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ISP\"/>
    </mc:Choice>
  </mc:AlternateContent>
  <xr:revisionPtr revIDLastSave="0" documentId="13_ncr:1_{0B33B781-188E-45C1-8FF1-DE3C67B48535}" xr6:coauthVersionLast="47" xr6:coauthVersionMax="47" xr10:uidLastSave="{00000000-0000-0000-0000-000000000000}"/>
  <bookViews>
    <workbookView xWindow="-110" yWindow="-110" windowWidth="19420" windowHeight="10420" firstSheet="11" activeTab="11" xr2:uid="{BC0F4EC9-1928-42F5-B1D0-85DA66851158}"/>
  </bookViews>
  <sheets>
    <sheet name="TB" sheetId="20" state="hidden" r:id="rId1"/>
    <sheet name="ADJ 2022" sheetId="23" state="hidden" r:id="rId2"/>
    <sheet name="ADJ 2021" sheetId="22" state="hidden" r:id="rId3"/>
    <sheet name="ADJ 2020" sheetId="21" state="hidden" r:id="rId4"/>
    <sheet name="Aset Tetap" sheetId="26" state="hidden" r:id="rId5"/>
    <sheet name="Summary" sheetId="28" state="hidden" r:id="rId6"/>
    <sheet name="AT" sheetId="27" r:id="rId7"/>
    <sheet name="COA AT" sheetId="31" state="hidden" r:id="rId8"/>
    <sheet name="Adjustment 2023" sheetId="30" state="hidden" r:id="rId9"/>
    <sheet name="Disclosure Aset" sheetId="17" r:id="rId10"/>
    <sheet name="NBV sdh habis" sheetId="33" r:id="rId11"/>
    <sheet name="Disclosure Aset DES 24" sheetId="32" r:id="rId12"/>
    <sheet name="1. Tanah" sheetId="12" r:id="rId13"/>
    <sheet name="2. Bangunan" sheetId="3" r:id="rId14"/>
    <sheet name="3. Sumur Bor" sheetId="14" r:id="rId15"/>
    <sheet name="4. Sarana &amp; Prasarana" sheetId="11" r:id="rId16"/>
    <sheet name="5. Mesin" sheetId="13" r:id="rId17"/>
    <sheet name="6. Instalasi Elektrik" sheetId="16" r:id="rId18"/>
    <sheet name="7. Kendaraan" sheetId="15" r:id="rId19"/>
    <sheet name="8 Peralatan &amp; Perlengkapan" sheetId="10" r:id="rId20"/>
    <sheet name="9. Infrastruktur" sheetId="9" r:id="rId21"/>
    <sheet name="NBV sdh 0" sheetId="29" state="hidden" r:id="rId22"/>
    <sheet name="Aset dlm pembangunan" sheetId="18" state="hidden" r:id="rId23"/>
    <sheet name="Jurnal 2022" sheetId="7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a">#REF!</definedName>
    <definedName name="\b">#N/A</definedName>
    <definedName name="\g">#N/A</definedName>
    <definedName name="\n">#N/A</definedName>
    <definedName name="________TGL1">#REF!</definedName>
    <definedName name="________TGL2">#REF!</definedName>
    <definedName name="_______TGL1">#REF!</definedName>
    <definedName name="_______TGL2">#REF!</definedName>
    <definedName name="______TGL1">#REF!</definedName>
    <definedName name="______TGL2">#REF!</definedName>
    <definedName name="_____TGL1">#REF!</definedName>
    <definedName name="_____TGL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TGL1">#REF!</definedName>
    <definedName name="____TGL2">#REF!</definedName>
    <definedName name="___RSE2">'[1]CMA Addition'!$H$139</definedName>
    <definedName name="___TGL1">#REF!</definedName>
    <definedName name="___TGL2">#REF!</definedName>
    <definedName name="__123Graph_A" hidden="1">'[2]12'!$AI$11:$AI$22</definedName>
    <definedName name="__123Graph_AWEAKNESS" hidden="1">'[3]ocean voyage'!#REF!</definedName>
    <definedName name="__123Graph_B" hidden="1">'[2]12'!$AJ$11:$AJ$22</definedName>
    <definedName name="__123Graph_C" hidden="1">'[2]12'!$AK$11:$AK$22</definedName>
    <definedName name="__123Graph_D" hidden="1">'[2]12'!$AL$11:$AL$22</definedName>
    <definedName name="__123Graph_E" hidden="1">'[2]12'!$AM$11:$AM$22</definedName>
    <definedName name="__123Graph_F" hidden="1">'[4]summary-1'!#REF!</definedName>
    <definedName name="__123Graph_LBL_AWEAKNESS" hidden="1">'[3]ocean voyage'!#REF!</definedName>
    <definedName name="__123Graph_X" hidden="1">'[2]12'!$AB$11:$AB$22</definedName>
    <definedName name="__123Graph_XWEAKNESS" hidden="1">'[3]ocean voyage'!#REF!</definedName>
    <definedName name="__COA08">[5]coa!$E$6:$E$944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m70000">#REF!</definedName>
    <definedName name="__RSE1">'[1]CMA Addition'!$E$139</definedName>
    <definedName name="__RSE2">'[6]CMA Addition'!$H$139</definedName>
    <definedName name="__TGL1">#REF!</definedName>
    <definedName name="__TGL2">#REF!</definedName>
    <definedName name="_100__123Graph_BCHART_75" hidden="1">'[7]Data SRL'!$AL$8:$AL$100</definedName>
    <definedName name="_101__123Graph_BCHART_77" hidden="1">'[7]Data SRL'!$AO$8:$AO$193</definedName>
    <definedName name="_102__123Graph_BCHART_78" hidden="1">'[7]Data SRL'!$AT$9:$AT$100</definedName>
    <definedName name="_103__123Graph_BCHART_79" hidden="1">'[7]Data SRL'!$BA$8:$BA$100</definedName>
    <definedName name="_104__123Graph_BCHART_8" hidden="1">'[8]PABRIK (2)'!#REF!</definedName>
    <definedName name="_105__123Graph_BCHART_81" hidden="1">'[7]Data SRL'!$BE$8:$BE$100</definedName>
    <definedName name="_106__123Graph_BCHART_85" hidden="1">'[7]Data Prod_Graf'!$B$4:$M$4</definedName>
    <definedName name="_107__123Graph_BCHART_86" hidden="1">'[7]Data Prod_Graf'!$B$12:$M$12</definedName>
    <definedName name="_108__123Graph_BCHART_87" hidden="1">'[7]Data Prod_Graf'!$B$21:$M$21</definedName>
    <definedName name="_109__123Graph_BCHART_88" hidden="1">'[7]Data Prod_Graf'!$B$29:$M$29</definedName>
    <definedName name="_10Module1__2__.by09ytd">[0]!_10Module1__2__.by09ytd</definedName>
    <definedName name="_110__123Graph_BCHART_9" hidden="1">'[8]PABRIK (2)'!#REF!</definedName>
    <definedName name="_111__123Graph_CCHART_1" hidden="1">'[7]Data SRL'!$BM$9:$BM$100</definedName>
    <definedName name="_112__123Graph_CCHART_10" hidden="1">'[8]PABRIK (2)'!$AF$9:$AF$287</definedName>
    <definedName name="_113__123Graph_CCHART_11" hidden="1">'[8]PABRIK (2)'!$AF$9:$AF$287</definedName>
    <definedName name="_114__123Graph_CCHART_12" hidden="1">'[8]PABRIK (2)'!$AF$9:$AF$287</definedName>
    <definedName name="_115__123Graph_CCHART_13" hidden="1">'[8]PABRIK (2)'!$AF$9:$AF$287</definedName>
    <definedName name="_116__123Graph_CCHART_14" hidden="1">'[8]PABRIK (2)'!$AF$9:$AF$287</definedName>
    <definedName name="_117__123Graph_CCHART_15" hidden="1">[9]Data!$P$50:$P$61</definedName>
    <definedName name="_118__123Graph_CCHART_16" hidden="1">'[8]PABRIK (2)'!$AF$9:$AF$287</definedName>
    <definedName name="_119__123Graph_CCHART_17" hidden="1">'[8]PABRIK (2)'!$AF$9:$AF$287</definedName>
    <definedName name="_11Module1__2__.pl01tm">[0]!_11Module1__2__.pl01tm</definedName>
    <definedName name="_120__123Graph_CCHART_18" hidden="1">'[8]PABRIK (2)'!$AF$9:$AF$287</definedName>
    <definedName name="_121__123Graph_CCHART_19" hidden="1">'[8]PABRIK (2)'!$AF$9:$AF$287</definedName>
    <definedName name="_122__123Graph_CCHART_2" hidden="1">'[7]Data SRL'!$AR$8:$AR$379</definedName>
    <definedName name="_123__123Graph_CCHART_20" hidden="1">'[8]PABRIK (2)'!$AF$9:$AF$287</definedName>
    <definedName name="_124__123Graph_CCHART_21" hidden="1">'[8]PABRIK (2)'!$AF$9:$AF$287</definedName>
    <definedName name="_125__123Graph_CCHART_22" hidden="1">'[8]PABRIK (2)'!$AF$9:$AF$287</definedName>
    <definedName name="_126__123Graph_CCHART_23" hidden="1">'[8]PABRIK (2)'!$AF$9:$AF$287</definedName>
    <definedName name="_127__123Graph_CCHART_24" hidden="1">'[8]PABRIK (2)'!$AF$9:$AF$287</definedName>
    <definedName name="_128__123Graph_CCHART_25" hidden="1">'[8]PABRIK (2)'!$AF$9:$AF$287</definedName>
    <definedName name="_129__123Graph_CCHART_26" hidden="1">'[8]PABRIK (2)'!$AF$9:$AF$287</definedName>
    <definedName name="_12Module1__2__.pl01ytd">[0]!_12Module1__2__.pl01ytd</definedName>
    <definedName name="_130__123Graph_CCHART_27" hidden="1">'[8]PABRIK (2)'!$AF$9:$AF$287</definedName>
    <definedName name="_131__123Graph_CCHART_28" hidden="1">'[8]PABRIK (2)'!$AF$9:$AF$287</definedName>
    <definedName name="_132__123Graph_CCHART_29" hidden="1">'[8]PABRIK (2)'!$AF$9:$AF$287</definedName>
    <definedName name="_133__123Graph_CCHART_3" hidden="1">'[7]Data SRL'!$L$8:$L$100</definedName>
    <definedName name="_134__123Graph_CCHART_4" hidden="1">'[7]Data SRL'!$BM$8:$BM$100</definedName>
    <definedName name="_135__123Graph_CCHART_5" hidden="1">[10]PO!$B$59:$M$59</definedName>
    <definedName name="_136__123Graph_CCHART_6" hidden="1">'[7]Data SRL'!$L$8:$L$100</definedName>
    <definedName name="_137__123Graph_CCHART_64" hidden="1">'[7]Data SRL'!$H$8:$H$379</definedName>
    <definedName name="_138__123Graph_CCHART_68" hidden="1">'[7]Data SRL'!$AC$8:$AC$100</definedName>
    <definedName name="_139__123Graph_CCHART_7" hidden="1">[11]PK!$B$63:$M$63</definedName>
    <definedName name="_13Module1__2__.pl02tm">[0]!_13Module1__2__.pl02tm</definedName>
    <definedName name="_140__123Graph_CCHART_73" hidden="1">'[7]Data SRL'!$AE$8:$AE$131</definedName>
    <definedName name="_141__123Graph_CCHART_75" hidden="1">'[7]Data SRL'!$AM$8:$AM$100</definedName>
    <definedName name="_142__123Graph_CCHART_77" hidden="1">'[7]Data SRL'!$AP$8:$AP$193</definedName>
    <definedName name="_143__123Graph_CCHART_78" hidden="1">'[7]Data SRL'!$AU$9:$AU$100</definedName>
    <definedName name="_144__123Graph_CCHART_79" hidden="1">'[7]Data SRL'!$BB$8:$BB$100</definedName>
    <definedName name="_145__123Graph_CCHART_8" hidden="1">'[8]PABRIK (2)'!$AF$9:$AF$287</definedName>
    <definedName name="_146__123Graph_CCHART_81" hidden="1">'[7]Data SRL'!$AY$8:$AY$100</definedName>
    <definedName name="_147__123Graph_CCHART_85" hidden="1">'[7]Data Prod_Graf'!$B$5:$M$5</definedName>
    <definedName name="_148__123Graph_CCHART_86" hidden="1">'[7]Data Prod_Graf'!$B$13:$M$13</definedName>
    <definedName name="_149__123Graph_CCHART_87" hidden="1">'[7]Data Prod_Graf'!$B$22:$M$22</definedName>
    <definedName name="_14Module1__2__.pl02ytd">[0]!_14Module1__2__.pl02ytd</definedName>
    <definedName name="_150__123Graph_CCHART_88" hidden="1">'[7]Data Prod_Graf'!$B$30:$M$30</definedName>
    <definedName name="_151__123Graph_CCHART_9" hidden="1">'[8]PABRIK (2)'!$AF$9:$AF$287</definedName>
    <definedName name="_152__123Graph_DCHART_1" hidden="1">'[7]Data SRL'!$BN$9:$BN$100</definedName>
    <definedName name="_153__123Graph_DCHART_15" hidden="1">[9]Data!$Q$50:$Q$61</definedName>
    <definedName name="_154__123Graph_DCHART_2" hidden="1">'[7]Data SRL'!$J$8:$J$379</definedName>
    <definedName name="_155__123Graph_DCHART_5" hidden="1">'[7]Data SRL'!$BN$9:$BN$100</definedName>
    <definedName name="_156__123Graph_DCHART_6" hidden="1">'[7]Data SRL'!$CV$8:$CV$100</definedName>
    <definedName name="_157__123Graph_DCHART_7" hidden="1">[11]PK!$B$64:$M$64</definedName>
    <definedName name="_158__123Graph_DCHART_77" hidden="1">'[7]Data SRL'!$AQ$8:$AQ$193</definedName>
    <definedName name="_159__123Graph_DCHART_78" hidden="1">'[7]Data SRL'!$BJ$8:$BJ$100</definedName>
    <definedName name="_15Module1__2__.pl03tm">[0]!_15Module1__2__.pl03tm</definedName>
    <definedName name="_160__123Graph_DCHART_79" hidden="1">'[7]Data SRL'!$BC$8:$BC$100</definedName>
    <definedName name="_161__123Graph_DCHART_81" hidden="1">'[7]Data SRL'!$BH$8:$BH$100</definedName>
    <definedName name="_162__123Graph_DCHART_85" hidden="1">'[7]Data Prod_Graf'!$B$6:$M$6</definedName>
    <definedName name="_163__123Graph_DCHART_86" hidden="1">'[7]Data Prod_Graf'!$B$14:$M$14</definedName>
    <definedName name="_164__123Graph_DCHART_87" hidden="1">'[7]Data Prod_Graf'!$B$23:$M$23</definedName>
    <definedName name="_165__123Graph_DCHART_88" hidden="1">'[7]Data Prod_Graf'!$B$31:$M$31</definedName>
    <definedName name="_166__123Graph_ECHART_1" hidden="1">'[7]Data SRL'!$BO$9:$BO$100</definedName>
    <definedName name="_167__123Graph_ECHART_2" hidden="1">'[7]Data SRL'!$CS$8:$CS$379</definedName>
    <definedName name="_168__123Graph_ECHART_3" hidden="1">'[7]Data SRL'!$N$8:$N$100</definedName>
    <definedName name="_169__123Graph_ECHART_4" hidden="1">'[7]Data SRL'!$BO$9:$BO$100</definedName>
    <definedName name="_16Module1__2__.pl03ytd">[0]!_16Module1__2__.pl03ytd</definedName>
    <definedName name="_170__123Graph_ECHART_5" hidden="1">[10]PO!$B$61:$M$61</definedName>
    <definedName name="_171__123Graph_ECHART_6" hidden="1">'[7]Data SRL'!$CW$8:$CW$100</definedName>
    <definedName name="_172__123Graph_ECHART_7" hidden="1">[11]PK!$B$65:$M$65</definedName>
    <definedName name="_173__123Graph_ECHART_85" hidden="1">'[7]Data Prod_Graf'!$B$7:$M$7</definedName>
    <definedName name="_174__123Graph_ECHART_86" hidden="1">'[7]Data Prod_Graf'!$B$15:$M$15</definedName>
    <definedName name="_175__123Graph_ECHART_87" hidden="1">'[7]Data Prod_Graf'!$B$24:$M$24</definedName>
    <definedName name="_176__123Graph_ECHART_88" hidden="1">'[7]Data Prod_Graf'!$B$32:$M$32</definedName>
    <definedName name="_177__123Graph_FCHART_1" hidden="1">'[7]Data SRL'!$BP$9:$BP$100</definedName>
    <definedName name="_178__123Graph_FCHART_2" hidden="1">[10]PO!$B$30:$M$30</definedName>
    <definedName name="_179__123Graph_FCHART_5" hidden="1">'[7]Data SRL'!$BP$9:$BP$100</definedName>
    <definedName name="_17Module1__2__.pltm">[0]!_17Module1__2__.pltm</definedName>
    <definedName name="_180__123Graph_FCHART_6" hidden="1">[11]PK!$B$33:$M$33</definedName>
    <definedName name="_181__123Graph_FCHART_7" hidden="1">[11]PK!$B$66:$M$66</definedName>
    <definedName name="_182__123Graph_FCHART_78" hidden="1">'[7]Data SRL'!$AX$8:$AX$100</definedName>
    <definedName name="_183__123Graph_FCHART_86" hidden="1">'[7]Data Prod_Graf'!$B$16:$M$16</definedName>
    <definedName name="_184__123Graph_FCHART_87" hidden="1">'[7]Data Prod_Graf'!$B$25:$M$25</definedName>
    <definedName name="_185__123Graph_XCHART_1" hidden="1">[9]Data!$A$2:$A$73</definedName>
    <definedName name="_186__123Graph_XCHART_10" hidden="1">'[8]PABRIK (2)'!$A$9:$A$380</definedName>
    <definedName name="_187__123Graph_XCHART_11" hidden="1">'[8]PABRIK (2)'!$A$9:$A$380</definedName>
    <definedName name="_188__123Graph_XCHART_12" hidden="1">'[8]PABRIK (2)'!$A$9:$A$380</definedName>
    <definedName name="_189__123Graph_XCHART_13" hidden="1">[9]Data!$L$50:$L$61</definedName>
    <definedName name="_18Module1__2__.plytd">[0]!_18Module1__2__.plytd</definedName>
    <definedName name="_19__123Graph_ACHART_1" hidden="1">[9]Data!$B$2:$B$73</definedName>
    <definedName name="_190__123Graph_XCHART_14" hidden="1">[9]Data!$L$50:$L$61</definedName>
    <definedName name="_191__123Graph_XCHART_15" hidden="1">[9]Data!$L$50:$L$61</definedName>
    <definedName name="_192__123Graph_XCHART_16" hidden="1">[9]Data!$L$62:$L$73</definedName>
    <definedName name="_193__123Graph_XCHART_17" hidden="1">[9]Data!$L$62:$L$73</definedName>
    <definedName name="_194__123Graph_XCHART_18" hidden="1">'[8]PABRIK (2)'!$A$9:$A$380</definedName>
    <definedName name="_195__123Graph_XCHART_19" hidden="1">'[8]PABRIK (2)'!$A$9:$A$380</definedName>
    <definedName name="_196__123Graph_XCHART_2" hidden="1">[9]Data!$A$38:$A$73</definedName>
    <definedName name="_197__123Graph_XCHART_20" hidden="1">'[8]PABRIK (2)'!$A$9:$A$380</definedName>
    <definedName name="_198__123Graph_XCHART_21" hidden="1">'[8]PABRIK (2)'!$A$9:$A$380</definedName>
    <definedName name="_199__123Graph_XCHART_22" hidden="1">'[8]PABRIK (2)'!$A$9:$A$380</definedName>
    <definedName name="_1Excel_BuiltIn_Print_Area_11_1">#REF!</definedName>
    <definedName name="_20__123Graph_ACHART_10" hidden="1">'[8]PABRIK (2)'!#REF!</definedName>
    <definedName name="_200__123Graph_XCHART_23" hidden="1">'[8]PABRIK (2)'!$A$9:$A$380</definedName>
    <definedName name="_201__123Graph_XCHART_24" hidden="1">'[8]PABRIK (2)'!$A$9:$A$380</definedName>
    <definedName name="_202__123Graph_XCHART_25" hidden="1">'[8]PABRIK (2)'!$A$9:$A$380</definedName>
    <definedName name="_203__123Graph_XCHART_26" hidden="1">'[8]PABRIK (2)'!$A$9:$A$380</definedName>
    <definedName name="_204__123Graph_XCHART_27" hidden="1">'[8]PABRIK (2)'!$A$9:$A$380</definedName>
    <definedName name="_205__123Graph_XCHART_28" hidden="1">'[8]PABRIK (2)'!$A$9:$A$380</definedName>
    <definedName name="_206__123Graph_XCHART_29" hidden="1">'[8]PABRIK (2)'!$A$9:$A$380</definedName>
    <definedName name="_207__123Graph_XCHART_3" hidden="1">[9]Data!$A$38:$A$73</definedName>
    <definedName name="_208__123Graph_XCHART_4" hidden="1">[9]Data!$A$38:$A$73</definedName>
    <definedName name="_209__123Graph_XCHART_5" hidden="1">[9]Data!$A$2:$A$73</definedName>
    <definedName name="_21__123Graph_ACHART_11" hidden="1">'[8]PABRIK (2)'!#REF!</definedName>
    <definedName name="_210__123Graph_XCHART_6" hidden="1">[9]Data!$A$2:$A$73</definedName>
    <definedName name="_211__123Graph_XCHART_62" hidden="1">'[7]Data SRL'!$B$8:$B$131</definedName>
    <definedName name="_212__123Graph_XCHART_64" hidden="1">'[7]Data SRL'!$B$8:$B$379</definedName>
    <definedName name="_213__123Graph_XCHART_65" hidden="1">'[7]Data SRL'!$B$8:$B$379</definedName>
    <definedName name="_214__123Graph_XCHART_68" hidden="1">'[7]Data SRL'!$B$8:$B$100</definedName>
    <definedName name="_215__123Graph_XCHART_69" hidden="1">'[7]Data SRL'!$B$8:$B$379</definedName>
    <definedName name="_216__123Graph_XCHART_7" hidden="1">[9]Data!$A$38:$A$73</definedName>
    <definedName name="_217__123Graph_XCHART_70" hidden="1">'[7]Data SRL'!$B$8:$B$379</definedName>
    <definedName name="_218__123Graph_XCHART_71" hidden="1">'[7]Data SRL'!$B$8:$B$379</definedName>
    <definedName name="_219__123Graph_XCHART_72" hidden="1">'[7]Data SRL'!$B$8:$B$379</definedName>
    <definedName name="_22__123Graph_ACHART_12" hidden="1">[9]Data!$K$38:$K$73</definedName>
    <definedName name="_220__123Graph_XCHART_73" hidden="1">'[7]Data SRL'!$B$8:$B$131</definedName>
    <definedName name="_221__123Graph_XCHART_74" hidden="1">'[7]Data SRL'!$B$8:$B$100</definedName>
    <definedName name="_222__123Graph_XCHART_75" hidden="1">'[7]Data SRL'!$B$8:$B$100</definedName>
    <definedName name="_223__123Graph_XCHART_77" hidden="1">'[7]Data SRL'!$B$8:$B$193</definedName>
    <definedName name="_224__123Graph_XCHART_78" hidden="1">'[7]Data SRL'!$B$8:$B$100</definedName>
    <definedName name="_225__123Graph_XCHART_79" hidden="1">'[7]Data SRL'!$B$8:$B$100</definedName>
    <definedName name="_226__123Graph_XCHART_8" hidden="1">[9]Data!$A$2:$A$73</definedName>
    <definedName name="_227__123Graph_XCHART_81" hidden="1">'[7]Data SRL'!$B$8:$B$100</definedName>
    <definedName name="_228__123Graph_XCHART_86" hidden="1">'[7]Data Prod_Graf'!$B$11:$M$11</definedName>
    <definedName name="_229__123Graph_XCHART_87" hidden="1">'[7]Data Prod_Graf'!$B$20:$M$20</definedName>
    <definedName name="_23__123Graph_ACHART_13" hidden="1">[9]Data!$M$50:$M$61</definedName>
    <definedName name="_230__123Graph_XCHART_88" hidden="1">'[7]Data Prod_Graf'!$B$28:$M$28</definedName>
    <definedName name="_231__123Graph_XCHART_9" hidden="1">[9]Data!$A$38:$A$73</definedName>
    <definedName name="_24__123Graph_ACHART_14" hidden="1">[9]Data!$O$50:$O$61</definedName>
    <definedName name="_25__123Graph_ACHART_15" hidden="1">[9]Data!$B$50:$B$61</definedName>
    <definedName name="_26__123Graph_ACHART_16" hidden="1">[9]Data!$K$62:$K$73</definedName>
    <definedName name="_27__123Graph_ACHART_17" hidden="1">[9]Data!$F$62:$F$73</definedName>
    <definedName name="_28__123Graph_ACHART_18" hidden="1">'[8]PABRIK (2)'!#REF!</definedName>
    <definedName name="_29__123Graph_ACHART_19" hidden="1">'[8]PABRIK (2)'!#REF!</definedName>
    <definedName name="_2Module1__2__.by01ytd">[0]!_2Module1__2__.by01ytd</definedName>
    <definedName name="_30__123Graph_ACHART_2" hidden="1">[9]Data!$F$38:$F$73</definedName>
    <definedName name="_31__123Graph_ACHART_20" hidden="1">'[8]PABRIK (2)'!#REF!</definedName>
    <definedName name="_32__123Graph_ACHART_21" hidden="1">'[8]PABRIK (2)'!$B$9:$B$287</definedName>
    <definedName name="_33__123Graph_ACHART_22" hidden="1">'[8]PABRIK (2)'!$E$9:$E$287</definedName>
    <definedName name="_34__123Graph_ACHART_23" hidden="1">'[8]PABRIK (2)'!$K$9:$K$287</definedName>
    <definedName name="_35__123Graph_ACHART_24" hidden="1">'[8]PABRIK (2)'!$N$9:$N$287</definedName>
    <definedName name="_36__123Graph_ACHART_25" hidden="1">'[8]PABRIK (2)'!$H$9:$H$287</definedName>
    <definedName name="_37__123Graph_ACHART_26" hidden="1">'[8]PABRIK (2)'!$Q$9:$Q$287</definedName>
    <definedName name="_38__123Graph_ACHART_27" hidden="1">'[8]PABRIK (2)'!$T$9:$T$287</definedName>
    <definedName name="_39__123Graph_ACHART_28" hidden="1">'[8]PABRIK (2)'!$W$9:$W$287</definedName>
    <definedName name="_3Module1__2__.by02ytd">[0]!_3Module1__2__.by02ytd</definedName>
    <definedName name="_40__123Graph_ACHART_29" hidden="1">'[8]PABRIK (2)'!$AC$9:$AC$287</definedName>
    <definedName name="_41__123Graph_ACHART_3" hidden="1">[9]Data!$G$38:$G$73</definedName>
    <definedName name="_42__123Graph_ACHART_4" hidden="1">[9]Data!$H$38:$H$73</definedName>
    <definedName name="_43__123Graph_ACHART_5" hidden="1">[9]Data!$C$2:$C$73</definedName>
    <definedName name="_432">432</definedName>
    <definedName name="_44__123Graph_ACHART_6" hidden="1">[9]Data!$D$2:$D$73</definedName>
    <definedName name="_45__123Graph_ACHART_62" hidden="1">'[7]Data SRL'!$C$8:$C$131</definedName>
    <definedName name="_46__123Graph_ACHART_64" hidden="1">'[7]Data SRL'!$F$8:$F$379</definedName>
    <definedName name="_47__123Graph_ACHART_65" hidden="1">'[7]Data SRL'!$I$8:$I$379</definedName>
    <definedName name="_48__123Graph_ACHART_68" hidden="1">'[7]Data SRL'!$N$8:$N$100</definedName>
    <definedName name="_49__123Graph_ACHART_69" hidden="1">'[7]Data SRL'!$M$8:$M$379</definedName>
    <definedName name="_4Module1__2__.by03ytd">[0]!_4Module1__2__.by03ytd</definedName>
    <definedName name="_50__123Graph_ACHART_7" hidden="1">[9]Data!$I$38:$I$73</definedName>
    <definedName name="_51__123Graph_ACHART_70" hidden="1">'[7]Data SRL'!$S$8:$S$379</definedName>
    <definedName name="_52__123Graph_ACHART_71" hidden="1">'[7]Data SRL'!$Q$39:$Q$379</definedName>
    <definedName name="_53__123Graph_ACHART_72" hidden="1">'[7]Data SRL'!$T$8:$T$379</definedName>
    <definedName name="_54__123Graph_ACHART_73" hidden="1">'[7]Data SRL'!$AC$8:$AC$131</definedName>
    <definedName name="_55__123Graph_ACHART_74" hidden="1">'[7]Data SRL'!$AH$8:$AH$100</definedName>
    <definedName name="_56__123Graph_ACHART_75" hidden="1">'[7]Data SRL'!$AK$8:$AK$100</definedName>
    <definedName name="_57__123Graph_ACHART_77" hidden="1">'[7]Data SRL'!$AN$8:$AN$193</definedName>
    <definedName name="_58__123Graph_ACHART_78" hidden="1">'[7]Data SRL'!$AS$8:$AS$100</definedName>
    <definedName name="_59__123Graph_ACHART_79" hidden="1">'[7]Data SRL'!$AZ$8:$AZ$100</definedName>
    <definedName name="_5Module1__2__.by04ytd">[0]!_5Module1__2__.by04ytd</definedName>
    <definedName name="_60__123Graph_ACHART_8" hidden="1">[9]Data!$E$2:$E$73</definedName>
    <definedName name="_61__123Graph_ACHART_81" hidden="1">'[7]Data SRL'!$BD$8:$BD$100</definedName>
    <definedName name="_62__123Graph_ACHART_85" hidden="1">'[7]Data Prod_Graf'!$B$3:$M$3</definedName>
    <definedName name="_63__123Graph_ACHART_9" hidden="1">[9]Data!$J$38:$J$73</definedName>
    <definedName name="_64__123Graph_BCHART_1" hidden="1">'[7]Data SRL'!$BL$9:$BL$100</definedName>
    <definedName name="_65__123Graph_BCHART_10" hidden="1">'[8]PABRIK (2)'!#REF!</definedName>
    <definedName name="_66__123Graph_BCHART_11" hidden="1">'[8]PABRIK (2)'!#REF!</definedName>
    <definedName name="_67__123Graph_BCHART_12" hidden="1">'[8]PABRIK (2)'!#REF!</definedName>
    <definedName name="_68__123Graph_BCHART_13" hidden="1">[9]Data!$N$50:$N$61</definedName>
    <definedName name="_69__123Graph_BCHART_14" hidden="1">[9]Data!$D$62:$D$73</definedName>
    <definedName name="_6Module1__2__.by05ytd">[0]!_6Module1__2__.by05ytd</definedName>
    <definedName name="_70__123Graph_BCHART_15" hidden="1">[9]Data!$B$62:$B$73</definedName>
    <definedName name="_71__123Graph_BCHART_16" hidden="1">'[8]PABRIK (2)'!#REF!</definedName>
    <definedName name="_72__123Graph_BCHART_17" hidden="1">[9]Data!$M$62:$M$73</definedName>
    <definedName name="_73__123Graph_BCHART_18" hidden="1">'[8]PABRIK (2)'!#REF!</definedName>
    <definedName name="_74__123Graph_BCHART_19" hidden="1">'[8]PABRIK (2)'!#REF!</definedName>
    <definedName name="_75__123Graph_BCHART_2" hidden="1">'[7]Data SRL'!$D$8:$D$379</definedName>
    <definedName name="_76__123Graph_BCHART_20" hidden="1">'[8]PABRIK (2)'!#REF!</definedName>
    <definedName name="_77__123Graph_BCHART_21" hidden="1">'[8]PABRIK (2)'!$C$9:$C$287</definedName>
    <definedName name="_78__123Graph_BCHART_22" hidden="1">'[8]PABRIK (2)'!$F$9:$F$287</definedName>
    <definedName name="_79__123Graph_BCHART_23" hidden="1">'[8]PABRIK (2)'!$L$9:$L$287</definedName>
    <definedName name="_7Module1__2__.by06ytd">[0]!_7Module1__2__.by06ytd</definedName>
    <definedName name="_80__123Graph_BCHART_24" hidden="1">'[8]PABRIK (2)'!$O$9:$O$287</definedName>
    <definedName name="_81__123Graph_BCHART_25" hidden="1">'[8]PABRIK (2)'!$I$9:$I$287</definedName>
    <definedName name="_82__123Graph_BCHART_26" hidden="1">'[8]PABRIK (2)'!$R$9:$R$287</definedName>
    <definedName name="_83__123Graph_BCHART_27" hidden="1">'[8]PABRIK (2)'!$U$9:$U$287</definedName>
    <definedName name="_8311">#REF!</definedName>
    <definedName name="_84__123Graph_BCHART_28" hidden="1">'[8]PABRIK (2)'!$X$9:$X$287</definedName>
    <definedName name="_85__123Graph_BCHART_29" hidden="1">'[8]PABRIK (2)'!$AD$9:$AD$287</definedName>
    <definedName name="_86__123Graph_BCHART_3" hidden="1">'[8]PABRIK (2)'!#REF!</definedName>
    <definedName name="_87__123Graph_BCHART_4" hidden="1">'[8]PABRIK (2)'!#REF!</definedName>
    <definedName name="_88__123Graph_BCHART_5" hidden="1">'[7]Data SRL'!$BL$9:$BL$100</definedName>
    <definedName name="_89__123Graph_BCHART_6" hidden="1">[11]PK!$B$29:$M$29</definedName>
    <definedName name="_8Module1__2__.by07ytd">[0]!_8Module1__2__.by07ytd</definedName>
    <definedName name="_90__123Graph_BCHART_62" hidden="1">'[7]Data SRL'!$D$8:$D$131</definedName>
    <definedName name="_91__123Graph_BCHART_64" hidden="1">'[7]Data SRL'!$G$8:$G$379</definedName>
    <definedName name="_92__123Graph_BCHART_68" hidden="1">'[7]Data SRL'!$W$8:$W$100</definedName>
    <definedName name="_93__123Graph_BCHART_69" hidden="1">'[7]Data SRL'!$V$8:$V$379</definedName>
    <definedName name="_94__123Graph_BCHART_7" hidden="1">'[7]Data SRL'!$CT$8:$CT$379</definedName>
    <definedName name="_95__123Graph_BCHART_70" hidden="1">'[7]Data SRL'!$AB$8:$AB$379</definedName>
    <definedName name="_96__123Graph_BCHART_71" hidden="1">'[7]Data SRL'!$Y$8:$Y$379</definedName>
    <definedName name="_97__123Graph_BCHART_72" hidden="1">'[7]Data SRL'!$U$8:$U$379</definedName>
    <definedName name="_98__123Graph_BCHART_73" hidden="1">'[7]Data SRL'!$AD$8:$AD$131</definedName>
    <definedName name="_99__123Graph_BCHART_74" hidden="1">'[7]Data SRL'!$AI$8:$AI$100</definedName>
    <definedName name="_9Module1__2__.by08ytd">[0]!_9Module1__2__.by08ytd</definedName>
    <definedName name="_a">#REF!</definedName>
    <definedName name="_aje05" hidden="1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COA08">[12]coa!$E$6:$E$944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#REF!</definedName>
    <definedName name="_Dist_Values" hidden="1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li2" hidden="1">'[13]BBM-03'!$B$767:$B$769</definedName>
    <definedName name="_Fill" localSheetId="4" hidden="1">[14]worksheet!#REF!</definedName>
    <definedName name="_Fill" hidden="1">[14]worksheet!#REF!</definedName>
    <definedName name="_xlnm._FilterDatabase" localSheetId="13" hidden="1">'2. Bangunan'!$A$3:$AS$114</definedName>
    <definedName name="_xlnm._FilterDatabase" localSheetId="14" hidden="1">'3. Sumur Bor'!$A$1:$AS$39</definedName>
    <definedName name="_xlnm._FilterDatabase" localSheetId="15" hidden="1">'4. Sarana &amp; Prasarana'!$A$1:$BB$27</definedName>
    <definedName name="_xlnm._FilterDatabase" localSheetId="16" hidden="1">'5. Mesin'!$A$1:$AY$312</definedName>
    <definedName name="_xlnm._FilterDatabase" localSheetId="17" hidden="1">'6. Instalasi Elektrik'!$A$1:$AR$40</definedName>
    <definedName name="_xlnm._FilterDatabase" localSheetId="18" hidden="1">'7. Kendaraan'!$A$1:$AX$62</definedName>
    <definedName name="_xlnm._FilterDatabase" localSheetId="19" hidden="1">'8 Peralatan &amp; Perlengkapan'!$A$3:$AZ$143</definedName>
    <definedName name="_xlnm._FilterDatabase" localSheetId="20" hidden="1">'9. Infrastruktur'!$A$1:$AX$50</definedName>
    <definedName name="_xlnm._FilterDatabase" localSheetId="4" hidden="1">'Aset Tetap'!$D$10:$S$891</definedName>
    <definedName name="_xlnm._FilterDatabase" localSheetId="10" hidden="1">'NBV sdh habis'!$B$4:$F$279</definedName>
    <definedName name="_Key1" hidden="1">#REF!</definedName>
    <definedName name="_Key2" hidden="1">#REF!</definedName>
    <definedName name="_m70000">#REF!</definedName>
    <definedName name="_MatInverse_In" hidden="1">#REF!</definedName>
    <definedName name="_MatMult_A" hidden="1">#REF!</definedName>
    <definedName name="_Order1" localSheetId="4" hidden="1">0</definedName>
    <definedName name="_Order1" hidden="1">0</definedName>
    <definedName name="_Order2" hidden="1">255</definedName>
    <definedName name="_Regression_Int">1</definedName>
    <definedName name="_RSE1">'[6]CMA Addition'!$E$139</definedName>
    <definedName name="_RSE2">'[6]CMA Addition'!$H$139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>[15]tbl1!$A$7:$X$200</definedName>
    <definedName name="_TGL1">#REF!</definedName>
    <definedName name="_TGL2">#REF!</definedName>
    <definedName name="a" localSheetId="4">'[16]POT-0601'!#REF!</definedName>
    <definedName name="a">'[16]POT-0601'!#REF!</definedName>
    <definedName name="aa" localSheetId="4">'[17]POT-0601'!#REF!</definedName>
    <definedName name="aa">'[17]POT-0601'!#REF!</definedName>
    <definedName name="aaa">#REF!</definedName>
    <definedName name="aaaa" localSheetId="4">'[17]POT-0601'!#REF!</definedName>
    <definedName name="aaaa">'[17]POT-0601'!#REF!</definedName>
    <definedName name="aaaaaa" localSheetId="4">'[17]POT-0601'!#REF!</definedName>
    <definedName name="aaaaaa">'[17]POT-0601'!#REF!</definedName>
    <definedName name="aaaaaaaa" localSheetId="4">'[17]POT-0601'!#REF!</definedName>
    <definedName name="aaaaaaaa">'[17]POT-0601'!#REF!</definedName>
    <definedName name="aaaaaaaaa" localSheetId="4">'[17]POT-0601'!#REF!</definedName>
    <definedName name="aaaaaaaaa">'[17]POT-0601'!#REF!</definedName>
    <definedName name="aaaaaaaaaaa" localSheetId="4">'[17]POT-0601'!#REF!</definedName>
    <definedName name="aaaaaaaaaaa">'[17]POT-0601'!#REF!</definedName>
    <definedName name="aaaaaaaaaaaaaaaaaaaaa" localSheetId="4">'[17]POT-0601'!#REF!</definedName>
    <definedName name="aaaaaaaaaaaaaaaaaaaaa">'[17]POT-0601'!#REF!</definedName>
    <definedName name="AAHKAJKA" hidden="1">#REF!</definedName>
    <definedName name="aan" localSheetId="4">'[18]POT-0601'!#REF!</definedName>
    <definedName name="aan">'[19]POT-0601'!#REF!</definedName>
    <definedName name="abik" localSheetId="4">'[17]POT-0601'!#REF!</definedName>
    <definedName name="abik">'[17]POT-0601'!#REF!</definedName>
    <definedName name="Additional_information_for_report_disclosure">#REF!</definedName>
    <definedName name="ade" localSheetId="4">'[17]POT-0601'!#REF!</definedName>
    <definedName name="ade">'[17]POT-0601'!#REF!</definedName>
    <definedName name="Aging_percent">#REF!,#REF!</definedName>
    <definedName name="aje_04" hidden="1">#REF!</definedName>
    <definedName name="AJP" localSheetId="4">#REF!</definedName>
    <definedName name="AJP">#REF!</definedName>
    <definedName name="akaka">#REF!</definedName>
    <definedName name="AKGADHGAD" hidden="1">[20]INVES!#REF!</definedName>
    <definedName name="AkunContra">'[21]Contra '!$C$9:$C$1331</definedName>
    <definedName name="AkunDN">'[22]Debit Note'!$C$7:$C$62</definedName>
    <definedName name="AkunEkspor" localSheetId="4">[23]Ekspor!$C$10:$C$723</definedName>
    <definedName name="AkunEkspor">[24]Ekspor!$C$10:$C$723</definedName>
    <definedName name="AkunEksport" localSheetId="4">#REF!</definedName>
    <definedName name="AkunEksport">#REF!</definedName>
    <definedName name="AkunJournal">[25]Journal!$C$7:$C$784</definedName>
    <definedName name="AkunLokal" localSheetId="4">#REF!</definedName>
    <definedName name="AkunLokal">#REF!</definedName>
    <definedName name="AkunPayment">[25]Payment!$C$7:$C$873</definedName>
    <definedName name="AkunPE" localSheetId="4">#REF!</definedName>
    <definedName name="AkunPE">#REF!</definedName>
    <definedName name="AkunPurchase" localSheetId="4">#REF!</definedName>
    <definedName name="AkunPurchase">#REF!</definedName>
    <definedName name="AkunRecipt">[25]Receipt!$C$7:$C$480</definedName>
    <definedName name="AkunRM" localSheetId="4">#REF!</definedName>
    <definedName name="AkunRM">#REF!</definedName>
    <definedName name="AkunSales" localSheetId="4">#REF!</definedName>
    <definedName name="AkunSales">#REF!</definedName>
    <definedName name="Alamat" localSheetId="4">#REF!</definedName>
    <definedName name="Alamat">#REF!</definedName>
    <definedName name="ALL">'[26]Accounts Payable (AA):10-1-1'!$A$1:$J$69</definedName>
    <definedName name="Allowance_to_Receivables">#REF!,#REF!</definedName>
    <definedName name="Allowance_to_Sales">#REF!,#REF!</definedName>
    <definedName name="ANGCNPD" localSheetId="4">#REF!</definedName>
    <definedName name="ANGCNPD">#REF!</definedName>
    <definedName name="ani" localSheetId="4">'[17]POT-0601'!#REF!</definedName>
    <definedName name="ani">'[17]POT-0601'!#REF!</definedName>
    <definedName name="AS2DocOpenMode" hidden="1">"AS2DocumentEdit"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s" hidden="1">{#N/A,#N/A,FALSE,"Aging Summary";#N/A,#N/A,FALSE,"Ratio Analysis";#N/A,#N/A,FALSE,"Test 120 Day Accts";#N/A,#N/A,FALSE,"Tickmarks"}</definedName>
    <definedName name="ASDASD" hidden="1">{#N/A,#N/A,FALSE,"Aging Summary";#N/A,#N/A,FALSE,"Ratio Analysis";#N/A,#N/A,FALSE,"Test 120 Day Accts";#N/A,#N/A,FALSE,"Tickmarks"}</definedName>
    <definedName name="askkdsfk">#REF!</definedName>
    <definedName name="at_mks" hidden="1">[27]jpr!$E$60:$E$67</definedName>
    <definedName name="atun" localSheetId="4">'[18]POT-0601'!#REF!</definedName>
    <definedName name="atun">'[19]POT-0601'!#REF!</definedName>
    <definedName name="awfr" localSheetId="4">'[17]POT-0601'!#REF!</definedName>
    <definedName name="awfr">'[17]POT-0601'!#REF!</definedName>
    <definedName name="ayr">#REF!</definedName>
    <definedName name="b" hidden="1">#REF!</definedName>
    <definedName name="BANGUNAN" localSheetId="4">#REF!</definedName>
    <definedName name="BANGUNAN">#REF!</definedName>
    <definedName name="BANGUNAN_PENGENDAPAN___SISTEM_LIMBAH" localSheetId="4">#REF!</definedName>
    <definedName name="BANGUNAN_PENGENDAPAN___SISTEM_LIMBAH">#REF!</definedName>
    <definedName name="BANKHALL" hidden="1">#REF!</definedName>
    <definedName name="bapak" localSheetId="4">'[17]POT-0601'!#REF!</definedName>
    <definedName name="bapak">'[17]POT-0601'!#REF!</definedName>
    <definedName name="bbmok" hidden="1">'[28]BBM-03'!$B$767:$B$769</definedName>
    <definedName name="bd">#REF!</definedName>
    <definedName name="BEx007Y12ETED3Z5CP3XL1BM6QYX" hidden="1">BS - non Monetary - [29]LC!$D$8:$D$8</definedName>
    <definedName name="BEx00BE7AU634JDV7SCW9MMVKRP8" hidden="1">BS - non Monetary - [30]TC!$D$8:$D$8</definedName>
    <definedName name="BEx00OQ8XWRYXSGQ4QM2KSK8BT3K" hidden="1">BS - non Monetary - [30]TC!$C$13:$D$14</definedName>
    <definedName name="BEx00TDGEHGPRRMFZPWDXN1YMVV0" hidden="1">BS - [31]Monetary!$C$13:$D$14</definedName>
    <definedName name="BEx010V5Q7H3D228EWSHACVPH3HN" hidden="1">BS - non Monetary - [30]TC!$D$7:$D$7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hidden="1">BS - [31]Monetary!$D$8:$D$8</definedName>
    <definedName name="BEx02K0GUDRTDR8YNJUR6GQKA7I2" hidden="1">BS - Equity - [29]LC!$D$7:$D$7</definedName>
    <definedName name="BEx037ZMN53YJRWZIFPLBTF05DPF" hidden="1">TB BS Monetary [32]Item!$D$8:$D$8</definedName>
    <definedName name="BEx1HPAXEJCFJZUXV6OBQYSLEDDX" hidden="1">TB BS non Monetary [33]GC!$C$17:$F$417</definedName>
    <definedName name="BEx1HSAV4K79HX1ZFAM9C0GWAPMS" hidden="1">TB BS non Monetary [33]GC!$D$7:$D$7</definedName>
    <definedName name="BEx1I33AASUH63Z9E230T0IX3GS1" hidden="1">Trial [34]Balance!$C$13:$D$15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hidden="1">BS - [31]Monetary!$D$7:$D$7</definedName>
    <definedName name="BEx1MF8CHMLZEELM4BQVZ64O34DU" hidden="1">BS - non Monitory - [30]TC!$D$7:$D$7</definedName>
    <definedName name="BEx1NKFV94NLIX7GWZF94ZXG9A85" hidden="1">Trial [34]Balance!$D$7:$D$7</definedName>
    <definedName name="BEx1NYOFXRJ0SM1SY2X12X9BQCHU" hidden="1">BS - [31]Monetary!$C$13:$D$14</definedName>
    <definedName name="BEx1OLR2C5PLSMU9JXY9I7WXUMVH" hidden="1">Balance [35]Sheet!$D$8:$D$8</definedName>
    <definedName name="BEx1P0FRZZF84FLWU9AP2RP24Z36" hidden="1">BS - [31]Monetary!$C$17:$O$209</definedName>
    <definedName name="BEx1PA110IBEYWMI8L8D8NZF80QB" hidden="1">#N/A</definedName>
    <definedName name="BEx1PB2QHUX9BX1JXMV8MWTSZK4D" hidden="1">BS - [31]Monetary!$D$7:$D$7</definedName>
    <definedName name="BEx1PWNLEE9UF4G1EG0EA7DP9ULY" hidden="1">BS - [31]Monetary!$D$6:$D$6</definedName>
    <definedName name="BEx1Q2Y6C78G2RPAT9KY9GYQAPBN" hidden="1">#N/A</definedName>
    <definedName name="BEx1RNW6USYYFEABIA2ARVOHMTM2" hidden="1">BS - non Monitory - [33]GC!$C$13:$D$15</definedName>
    <definedName name="BEx1RUC3PDQFO3C1S6C5YOJ8CCY8" hidden="1">BS - non Monetary - [29]LC!$C$17:$I$667</definedName>
    <definedName name="BEx1RVJ8PHNELTRLANR73CMTPITO" hidden="1">BS - [31]Monetary!$D$8:$D$8</definedName>
    <definedName name="BEx1RX6NEGKQ8WLU9YVNWV7D4S8F" hidden="1">BS - [31]Monetary!$D$7:$D$7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hidden="1">TB BS non Monetary [33]GC!$D$8:$D$8</definedName>
    <definedName name="BEx1UR8CIM2OFMUNRKRKA3H537BX" hidden="1">BS Equity [32]Item!$D$8:$D$8</definedName>
    <definedName name="BEx1X7XVT1YL9NHYXPID6SEQ3EWX" hidden="1">#N/A</definedName>
    <definedName name="BEx1X9W28V2XT5IHVIQAL36NO8NI" hidden="1">#N/A</definedName>
    <definedName name="BEx1XGMS506E69TJ5P4XP2YO3V4I" hidden="1">BS - non Monetary - [29]LC!$D$6:$D$6</definedName>
    <definedName name="BEx1XPBPFQFRQ9VYA4VWIGHVH0M5" hidden="1">#N/A</definedName>
    <definedName name="BEx1YDAUDZBOXTB4S5136LC75RDT" hidden="1">BS - Equity - [30]TC!$D$7:$D$7</definedName>
    <definedName name="BEx3AAAYRYGF3M7WGTDZC2160NGQ" hidden="1">BS - Equity - [30]TC!$D$7:$D$7</definedName>
    <definedName name="BEx3B3DJR3NSV6MC7LB7OC43JDZQ" hidden="1">#N/A</definedName>
    <definedName name="BEx3B6DHGWUNAGL1ZVPNSVG2KG2S" hidden="1">BS - [36]Monitory!$D$7:$D$7</definedName>
    <definedName name="BEx3BONMZD0K6MPXJK0JMFER6HFC" hidden="1">BS - [31]Monetary!$D$8:$D$8</definedName>
    <definedName name="BEx3C3CBK529MJ99C52ZKBJNVUO3" hidden="1">#N/A</definedName>
    <definedName name="BEx3C6XTFB4KPWATGTYA4LKIRH0J" hidden="1">BS - [36]Monitory!$C$13:$D$15</definedName>
    <definedName name="BEx3CBA6UOPGY43GZRHR1UB1O5WR" hidden="1">#N/A</definedName>
    <definedName name="BEx3COX00WXANGZALCEL33B2NJI7" hidden="1">BS - non Monetary - [29]LC!$D$6:$D$6</definedName>
    <definedName name="BEx3CURGZDHO1P6377CPTZPC1EKW" hidden="1">#N/A</definedName>
    <definedName name="BEx3CURHFSYQFTB89TZOWN2741P5" hidden="1">#N/A</definedName>
    <definedName name="BEx3DBUI4BYU0MC58S22IWHTHDQU" hidden="1">BS - non Monetary - [30]TC!$D$6:$D$6</definedName>
    <definedName name="BEx3DJC8HLWFRLK5A51O5C8510YH" hidden="1">BS - non Monetary - [29]LC!$D$6:$D$6</definedName>
    <definedName name="BEx3DYRU3IDFLRSYLYQ9HYBFMOKE" hidden="1">TB BS non Monetary [33]GC!$C$17:$F$416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hidden="1">TB BS non Monetary [30]TC!$D$6:$D$6</definedName>
    <definedName name="BEx3FRNPN23AEIDIY1AMMLUPFSPP" hidden="1">#N/A</definedName>
    <definedName name="BEx3HH3K4PJP6OKQLSY741271RGS" hidden="1">BS - non Monetary - [30]TC!$D$8:$D$8</definedName>
    <definedName name="BEx3HTJA14SOGXA1EC0L34FG631P" hidden="1">#N/A</definedName>
    <definedName name="BEx3I52LF9I27YXRT36LQBAAH0TS" hidden="1">BS - non Monetary - [30]TC!$C$13:$D$14</definedName>
    <definedName name="BEx3I5IUS6ECWA1H3DHK97BBLK6L" hidden="1">#N/A</definedName>
    <definedName name="BEx3II9CPGUC05WXSVN6CVCQ8GLQ" hidden="1">BS - Equity - [30]TC!$C$13:$D$14</definedName>
    <definedName name="BEx3J5C54WGAO35B53XD515J6DFX" hidden="1">BS - non Monetary - [29]LC!$C$17:$F$529</definedName>
    <definedName name="BEx3JERXYRQQI1YPU3AWRKT5VANV" hidden="1">BS - [31]Monetary!$C$13:$D$14</definedName>
    <definedName name="BEx3JHH28AL1KXWMCGTC7D11XY9X" hidden="1">BS - [31]Monetary!$C$13:$D$14</definedName>
    <definedName name="BEx3JKRPH53VWE4OS8Y06KFA3AYG" hidden="1">#N/A</definedName>
    <definedName name="BEx3JYUU197CR5XW25A42UI34I8M" hidden="1">BS - non Monetary - [29]LC!$D$6:$D$6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hidden="1">BS - non Monetary - [29]LC!$D$8:$D$8</definedName>
    <definedName name="BEx3LLG4K0FQTHPZAOMJU028WKN5" hidden="1">#N/A</definedName>
    <definedName name="BEx3LT8P5B9VJUKBFK78R9ISN8RD" hidden="1">BS - [31]Monetary!$D$6:$D$6</definedName>
    <definedName name="BEx3M9FAPKMTNOEKSPJBI58CHKWF" hidden="1">Trial [34]Balance!$D$7:$D$7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hidden="1">BS - [31]Monetary!$D$6:$D$6</definedName>
    <definedName name="BEx3O7EKWAWVWX0U5VG972TXT7GZ" hidden="1">#N/A</definedName>
    <definedName name="BEx3OIXYZQCK2MD1E5WOQT48V1E6" hidden="1">#N/A</definedName>
    <definedName name="BEx3OM8MVER6VTXFU8EI5UHSLLN8" hidden="1">BS - non Monetary - [33]GC!$C$13:$D$15</definedName>
    <definedName name="BEx3PGNOQD7U6R961HZ1U7IBX68U" hidden="1">#N/A</definedName>
    <definedName name="BEx3PSY21P0809RK1344RY4WLONY" hidden="1">BS - [31]Monetary!$D$8:$D$8</definedName>
    <definedName name="BEx3PUAOD7L85ITI1L71T0C76JPX" hidden="1">#N/A</definedName>
    <definedName name="BEx3PVCDZW9T1V4T27P57VJ4VS6L" hidden="1">BS - non Monetary - [30]TC!$D$8:$D$8</definedName>
    <definedName name="BEx3Q34WLPX9QF13K6WZ2BNBPIHN" hidden="1">#N/A</definedName>
    <definedName name="BEx3Q6QDEWQISQ53WAQK5GP1IEWS" hidden="1">Trial [34]Balance!$C$13:$D$13</definedName>
    <definedName name="BEx3QK7X5JX6AI9O81OBTZ0R6FVD" hidden="1">BS - non Monitory - [30]TC!$C$13:$D$15</definedName>
    <definedName name="BEx3QZ7F6MBQ0J2P7SLTM3BZK0SU" hidden="1">BS - non Monitory - [30]TC!$D$7:$D$7</definedName>
    <definedName name="BEx3R1LPVDHQNJDH8W7VYC5SCK4Z" hidden="1">BS - [31]Monetary!$C$17:$CA$189</definedName>
    <definedName name="BEx3RHC3WFR8X0U227FW05CG6XQJ" hidden="1">#N/A</definedName>
    <definedName name="BEx3RMVLIH7HPRE7V7ICDHQAAVKC" hidden="1">BS - [31]Monetary!$D$6:$D$6</definedName>
    <definedName name="BEx3RODKLHPQOZIXUDQWJEWPWIXN" hidden="1">TB BS non Monetary [33]GC!$D$6:$D$6</definedName>
    <definedName name="BEx3RPKW998XXV83QLUVWK5FZ9YG" hidden="1">TB BS Monetary [32]Item!$C$13:$D$15</definedName>
    <definedName name="BEx3S20KMF1NLBL28VXBKO12SXXE" hidden="1">BS - [31]Monetary!$C$13:$D$14</definedName>
    <definedName name="BEx3S55SHEYEPIFFDO0GS7KRM5MD" hidden="1">#N/A</definedName>
    <definedName name="BEx3S6NQZ3BVM959W30E6UUGLJYF" hidden="1">BS - non Monitory - [30]TC!$D$8:$D$8</definedName>
    <definedName name="BEx3S8GGVNOSES8Y1SO3V5NDCOME" hidden="1">BS - non Monetary - [29]LC!$D$6:$D$6</definedName>
    <definedName name="BEx3S9NM55JWQ7ZCU8BULABIOY5Q" hidden="1">TB - [37]BS!$C$17:$I$1005</definedName>
    <definedName name="BEx3SB5K66RMTE1IEAE615HAMU62" hidden="1">Trial [34]Balance!$D$8:$D$8</definedName>
    <definedName name="BEx3T9X5X4YG4M4WQI5A16HP5A88" hidden="1">#N/A</definedName>
    <definedName name="BEx3UM0U29AXDIUI40TYLJK6P985" hidden="1">#N/A</definedName>
    <definedName name="BEx3UPMBJRSAG2LL8L3X13J6DIBX" hidden="1">BS - non Monetary - [30]TC!$D$7:$D$7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hidden="1">BS - [31]Monetary!$D$7:$D$7</definedName>
    <definedName name="BEx5AZIR331WOLDRPGKBX5BXEXYE" hidden="1">#N/A</definedName>
    <definedName name="BEx5CUCNAKQ3TEEJYAMWQ5R48YF0" hidden="1">#REF!</definedName>
    <definedName name="BEx5D2LA1AGSJA85WUAKAN0TUNM9" hidden="1">BS - non Monetary - [30]TC!$D$6:$D$6</definedName>
    <definedName name="BEx5DDOJNG95M6EIP395IULIW3NM" hidden="1">#N/A</definedName>
    <definedName name="BEx5DDTZ7P94DXJRXPFE5NECGKPB" hidden="1">TB BS non Monetary [30]TC!$D$8:$D$8</definedName>
    <definedName name="BEx5EOVS0M8XCT3EQ9XD3O5RLVAI" hidden="1">#N/A</definedName>
    <definedName name="BEx5FAB67AOJ5G28OPFF6WUAMGT8" hidden="1">#N/A</definedName>
    <definedName name="BEx5GQRC3LI6UW1X0ILOGTQ1URLT" hidden="1">BS - [36]Monitory!$C$17:$F$760</definedName>
    <definedName name="BEx5HBL6Q95MVYZZD5D4PPNBJ0IW" hidden="1">#N/A</definedName>
    <definedName name="BEx5HE4YPRXUW1Y7N8Y2IYAJQPYT" hidden="1">BS - Equity - [29]LC!$D$7:$D$7</definedName>
    <definedName name="BEx5HM2T1JKFFPN62RQG095M4RZ6" hidden="1">BS - Equity - [30]TC!$C$17:$AT$95</definedName>
    <definedName name="BEx5HQ4J35ZIEPTABIBZK9TTX6HA" hidden="1">#N/A</definedName>
    <definedName name="BEx5J64AQWLL7JJ7Q9KQXCAWWYRO" hidden="1">BS - non Monetary - [29]LC!$C$17:$G$529</definedName>
    <definedName name="BEx5JL3ZAAMQ77FHH48LCO24XAMN" hidden="1">BS - non Monetary - [29]LC!$C$17:$J$515</definedName>
    <definedName name="BEx5JM5MU36ET2ST1YDS1MAJWC3M" hidden="1">BS - non Monitory - [30]TC!$D$7:$D$7</definedName>
    <definedName name="BEx5JS5F890H7Y3IBNRGUWBHUKL5" hidden="1">BS - non Monetary - [29]LC!$C$13:$D$14</definedName>
    <definedName name="BEx5JZCCI1I9US53KMKMTSM06W7B" hidden="1">TB BS non Monetary [33]GC!$D$6:$D$6</definedName>
    <definedName name="BEx5KBBZ8ZQ8B0IYE67T8FMV6A6R" hidden="1">#N/A</definedName>
    <definedName name="BEx5KLTMEKV4FK8KMU18Z2XIJ6ZP" hidden="1">BS - non Monetary - [29]LC!$D$6:$D$6</definedName>
    <definedName name="BEx5KVK75OS2AZCNBGZJ3EMK0ZMK" hidden="1">#N/A</definedName>
    <definedName name="BEx5KWWUBPS46HFMRLH3JTCPQQ96" hidden="1">TB - [37]BS!$D$6:$D$6</definedName>
    <definedName name="BEx5L73ICCN3WP25CWF24IZKDVF1" hidden="1">BS - non Monitory - [33]GC!$C$17:$F$416</definedName>
    <definedName name="BEx5M729I4RLUHILVWSAVPM0NB73" hidden="1">#N/A</definedName>
    <definedName name="BEx5MDCT6PB368XYSUV5A72107UZ" hidden="1">#N/A</definedName>
    <definedName name="BEx5MDNMH8ASUEN68071R04GZZXH" hidden="1">BS - [36]Monitory!$C$13:$D$15</definedName>
    <definedName name="BEx5ME97UJJCHCZF8PAEH6VAR0FS" hidden="1">BS - non Monetary - [30]TC!$D$6:$D$6</definedName>
    <definedName name="BEx5N28DGOQ7ITB72BXY6SN77VVW" hidden="1">#N/A</definedName>
    <definedName name="BEx5N28EETQOWPW1DJIHG1TST5BF" hidden="1">#N/A</definedName>
    <definedName name="BEx5NRUUQAT9DYSH5E7809NEI4A9" hidden="1">BS - non Monetary - [29]LC!$C$13:$D$14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hidden="1">TB BS non Monetary [30]TC!$D$8:$D$8</definedName>
    <definedName name="BEx74RTT2VJOJQT8SSRSUDLG8O6B" hidden="1">BS - [31]Monetary!$C$17:$I$862</definedName>
    <definedName name="BEx750YYLC81F53GVLZIHW2Q062Y" hidden="1">BS - non Monetary - [29]LC!$D$8:$D$8</definedName>
    <definedName name="BEx76D2L81TQJT7CRSOPK82ZY07V" hidden="1">#N/A</definedName>
    <definedName name="BEx76QUWHFAAXB9IW08UVL43N5VE" hidden="1">BS - [31]Monetary!$C$13:$D$14</definedName>
    <definedName name="BEx76TEJ3SXXBLXSCF90UEBI0D29" hidden="1">BS - non Monetary - [30]TC!$C$17:$F$663</definedName>
    <definedName name="BEx77GS684BBZRMUJWNX1U6YQ729" hidden="1">BS - non Monetary - [29]LC!$D$7:$D$7</definedName>
    <definedName name="BEx77JH9DJ0LAYVI8P72VCBMC3T3" hidden="1">#N/A</definedName>
    <definedName name="BEx787AYW7WFTQZ1TFVT8139SLCK" hidden="1">TB - [37]BS!$C$13:$D$15</definedName>
    <definedName name="BEx78QXR41XZ5ZT95MJOJPSO0X7J" hidden="1">BS - non Monetary - [29]LC!$D$7:$D$7</definedName>
    <definedName name="BEx791VHCJXA9GQG65468M2JZO9H" hidden="1">#N/A</definedName>
    <definedName name="BEx79L7I35HQGOM1LRQD4KUKXNCS" hidden="1">BS - [31]Monetary!$C$17:$I$189</definedName>
    <definedName name="BEx79WAJY6JUWLL7XLTE9U5U9KAG" hidden="1">BS - non Monetary - [29]LC!$C$17:$I$662</definedName>
    <definedName name="BEx7BVBO5BKE2YLDYWWISFK3K6CX" hidden="1">BS - non Monitory - [33]GC!$D$7:$D$7</definedName>
    <definedName name="BEx7BZ7Y1ZVVR8A4YD6M3Z0MA5GN" hidden="1">BS - Equity - [30]TC!$D$7:$D$7</definedName>
    <definedName name="BEx7C2YR1CGZK435DOFINJLQPNC7" hidden="1">BS - Equity - [29]LC!$D$8:$D$8</definedName>
    <definedName name="BEx7CM5A62XR2KA9GT0Y5P719XQN" hidden="1">BS - non Monetary - [30]TC!$C$17:$O$663</definedName>
    <definedName name="BEx7D1A2PZPNW0QMQ6BKN16U3HEY" hidden="1">TB BS non Monetary [33]GC!$C$17:$F$416</definedName>
    <definedName name="BEx7DAVCCHRTER4K82PB7EFCCY8J" hidden="1">BS - Equity - [30]TC!$D$8:$D$8</definedName>
    <definedName name="BEx7DDPZ09A1UNKO9J4W5RLSZ48T" hidden="1">BS - non Monetary - [30]TC!$D$7:$D$7</definedName>
    <definedName name="BEx7DWG84TMHFS3HAOZ7EY2KSTI0" hidden="1">#N/A</definedName>
    <definedName name="BEx7E6N203GHSI1NBAPHG32354BE" hidden="1">BS - non Monetary - [30]TC!$C$17:$F$503</definedName>
    <definedName name="BEx7EDOJ7AAQ7FAP5RCS1K9222OI" hidden="1">#N/A</definedName>
    <definedName name="BEx7EHVKTAZO01LN3J8ELIHYFY6K" hidden="1">BS - [31]Monetary!$D$8:$D$8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hidden="1">BS - Equity - [29]LC!$D$8:$D$8</definedName>
    <definedName name="BEx7G8NX1X59VCH0Z5U180GT0PWE" hidden="1">BS - non Monitory - [33]GC!$D$6:$D$6</definedName>
    <definedName name="BEx7GGB5F54VHRMX197WMEA7I06T" hidden="1">BS - non Monitory - [33]GC!$C$13:$D$15</definedName>
    <definedName name="BEx7HF831DCECFD6P4NNPY2WJZ2Z" hidden="1">#N/A</definedName>
    <definedName name="BEx7HXYC8A5X4YAMMN5JII7CZLP5" hidden="1">BS - [31]Monetary!$C$13:$D$14</definedName>
    <definedName name="BEx7HY945IRK1DK5PK157GPULL9O" hidden="1">#N/A</definedName>
    <definedName name="BEx7HYJYBMJPW0QGQNL0FOZU7OCF" hidden="1">BS - [31]Monetary!$D$7:$D$7</definedName>
    <definedName name="BEx7I48XPAGXLTNTR2RTGHRZEXIK" hidden="1">#N/A</definedName>
    <definedName name="BEx7ID8L7LEZUGWWHJU1Z0DK7IDW" hidden="1">BS - non Monitory - [33]GC!$D$8:$D$8</definedName>
    <definedName name="BEx7IORYOELCYB353OGP3RM9T8DD" hidden="1">#N/A</definedName>
    <definedName name="BEx7J9LQT8G2628MR1FTQBA0YACO" hidden="1">BS - Equity - [30]TC!$C$17:$E$97</definedName>
    <definedName name="BEx7JOAEHKWGP4HBEXGDBLAYJVJB" hidden="1">#N/A</definedName>
    <definedName name="BEx7JVC20H9TQ0QMKKPU0B0TL6CS" hidden="1">Balance [35]Sheet!$C$13:$D$15</definedName>
    <definedName name="BEx7K70USD6RU7RAEKSZLTNRCYIK" hidden="1">BS - [31]Monetary!$D$8:$D$8</definedName>
    <definedName name="BEx7K8O3WIGGDWCN8YS2I0TG17IJ" hidden="1">BS - non Monetary - [30]TC!$C$13:$D$14</definedName>
    <definedName name="BEx7KN7HN51262YYB30YTCYNJBIX" hidden="1">BS - [31]Monetary!$D$6:$D$6</definedName>
    <definedName name="BEx7KZ1LUAUCLG8U7SKBHTN9RGAZ" hidden="1">BS - non Monetary - [30]TC!$D$8:$D$8</definedName>
    <definedName name="BEx7KZCEMOX8W75LKD9C410STYNK" hidden="1">TB - [37]BS!$D$7:$D$7</definedName>
    <definedName name="BEx7LIDG1AP6GXNKUPLR1I5SI00S" hidden="1">Balance [35]Sheet!$D$7:$D$7</definedName>
    <definedName name="BEx7MLXOS7VHADWSEHTI2QMGDNJ6" hidden="1">BS - [31]Monetary!$C$13:$D$15</definedName>
    <definedName name="BEx7MS8B5G1EPX36P2QF24KAQWGG" hidden="1">BS - non Monetary - [29]LC!$D$8:$D$8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hidden="1">BS - non Monetary - [29]LC!$D$7:$D$7</definedName>
    <definedName name="BEx916E7ON3GFPG7T8WOK9ZQQ7ZE" hidden="1">BS - [31]Monetary!$C$17:$AW$189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hidden="1">BS - non Monetary - [30]TC!$C$13:$D$14</definedName>
    <definedName name="BEx929I7A47IEBQMD4X6BHOA254X" hidden="1">TB - [37]BS!$D$7:$D$7</definedName>
    <definedName name="BEx92BGEQMJASP96MUVX4ZNRBDL4" hidden="1">#N/A</definedName>
    <definedName name="BEx92GEDSWZWBKVXWDGMBOJIO8S2" hidden="1">#N/A</definedName>
    <definedName name="BEx92HR0A6ZCMEN9YH24J2JSOD2E" hidden="1">BS - non Monetary - [29]LC!$D$7:$D$7</definedName>
    <definedName name="BEx92O6VWE0KKG3G03LMEW1VPSOM" hidden="1">BS - Equity - [29]LC!$D$8:$D$8</definedName>
    <definedName name="BEx92QFRMFZR33YI778N0P4M9W4Q" hidden="1">#N/A</definedName>
    <definedName name="BEx937YZRE6V78K58AYGNT9X9PZA" hidden="1">BS - non Monetary - [29]LC!$C$17:$G$662</definedName>
    <definedName name="BEx93E49W44GK8WS6KNXZW1BOUSI" hidden="1">#N/A</definedName>
    <definedName name="BEx93OR8MIX63BU5Z6KC2N8DM55Y" hidden="1">Trial [34]Balance!$D$6:$D$6</definedName>
    <definedName name="BEx93RWEIGZ2VLT6CP4M3GLEPA0I" hidden="1">BS - non Monetary - [29]LC!$D$8:$D$8</definedName>
    <definedName name="BEx93V7A9C1GD1EB3JZLEF6PJNSA" hidden="1">#N/A</definedName>
    <definedName name="BEx9458NEBNTBN0FIOPVKPVIZHAA" hidden="1">#N/A</definedName>
    <definedName name="BEx948JBSS1CM9X3TZFB81R3F3YV" hidden="1">BS - [31]Monetary!$C$17:$CM$193</definedName>
    <definedName name="BEx94AC3743DRC2TOHEJVIPWQO6E" hidden="1">BS - non Monetary - [30]TC!$C$17:$AO$663</definedName>
    <definedName name="BEx94FFHM6QE0AGYKV598MMAFSLA" hidden="1">#N/A</definedName>
    <definedName name="BEx94H2R8OMKYQNTDM49IUBKUWK4" hidden="1">BS - non Monetary - [29]LC!$D$6:$D$6</definedName>
    <definedName name="BEx94ZYIMD97CM6LAIMCGNW7T0U7" hidden="1">BS - [31]Monetary!$C$13:$D$14</definedName>
    <definedName name="BEx95396I1OWQT5HOHHDUT659ET8" hidden="1">BS - Equity - [29]LC!$D$6:$D$6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hidden="1">BS - non Monetary - [29]LC!$D$7:$D$7</definedName>
    <definedName name="BEx97RRAPB86GVFN7J3R4FGRM8NX" hidden="1">#N/A</definedName>
    <definedName name="BEx98KOF876XW2M9MNV6O6PKBA9A" hidden="1">BS - [31]Monetary!$D$7:$D$7</definedName>
    <definedName name="BEx995NOC27PDJO0BI7VAKPMN1DW" hidden="1">#N/A</definedName>
    <definedName name="BEx9A5RSMZTBA79XFBJZ1M1IR9RT" hidden="1">BS - non Monetary - [30]TC!$C$17:$M$663</definedName>
    <definedName name="BEx9AONIUFL9J33KCQSFVUYKXQJ7" hidden="1">#N/A</definedName>
    <definedName name="BEx9B3SA2RF2LXHC7BIQHABRO0NC" hidden="1">BS - non Monetary - [29]LC!$D$8:$D$8</definedName>
    <definedName name="BEx9BBQBP88XNJAV24SKB8O4UPH5" hidden="1">BS - non Monetary - [29]LC!$D$8:$D$8</definedName>
    <definedName name="BEx9BOBG5UD5AJDW3GDXR4LOG369" hidden="1">BS - [31]Monetary!$D$6:$D$6</definedName>
    <definedName name="BEx9BZ98OHOXIH95MJZ6010CD6WE" hidden="1">#N/A</definedName>
    <definedName name="BEx9CKJB584H9M2DMLKMS88S83K3" hidden="1">TB BS non Monetary [30]TC!$C$17:$F$418</definedName>
    <definedName name="BEx9CWTOAD6N19SYCKQZ7KM6E8F4" hidden="1">#N/A</definedName>
    <definedName name="BEx9D4GP6HGJLMYRFE0GNIB35W11" hidden="1">BS - non Monetary - [30]TC!$D$8:$D$8</definedName>
    <definedName name="BEx9DLJRTN0IXHQ0JZ65O1382SEU" hidden="1">BS - non Monetary - [29]LC!$C$13:$D$14</definedName>
    <definedName name="BEx9DTXUE7FCJ9J8MHGW67TEF07M" hidden="1">BS - non Monetary - [30]TC!$C$17:$F$668</definedName>
    <definedName name="BEx9E9DF38ZITW4EPY772ILUXSF6" hidden="1">BS - non Monetary - [29]LC!$C$17:$G$662</definedName>
    <definedName name="BEx9EAVEH57GLNI6C5ZSLSIO3C5S" hidden="1">TB BS Monetary [32]Item!$D$7:$D$7</definedName>
    <definedName name="BEx9EOIDF0VG081MBLJLEHGKOQMP" hidden="1">BS - non Monetary - [29]LC!$D$6:$D$6</definedName>
    <definedName name="BEx9ETWGFLCNLDYIC4JPBY4X5CSE" hidden="1">BS - non Monetary - [29]LC!$C$17:$G$502</definedName>
    <definedName name="BEx9FDOKFXJQQK240Y4N1E8DYIU6" hidden="1">BS - non Monitory - [30]TC!$C$13:$D$15</definedName>
    <definedName name="BEx9FFS2QSYF0S6XD3QS63PO33GK" hidden="1">#N/A</definedName>
    <definedName name="BEx9G4SY0P9B8H44N7CFHO3I71EZ" hidden="1">#N/A</definedName>
    <definedName name="BEx9GTJ5T0439R7TEABK0P4HQY7F" hidden="1">BS - non Monetary - [30]TC!$C$17:$K$663</definedName>
    <definedName name="BEx9GZ81OQJ11MPN2BUB5OSQDZQY" hidden="1">BS - [31]Monetary!$D$6:$D$6</definedName>
    <definedName name="BEx9H40SDGU442F8ISCHVYCKKVJ0" hidden="1">BS - Equity - [29]LC!$C$17:$E$95</definedName>
    <definedName name="BEx9HJGEF5PFOQALZGVS1PIO97VV" hidden="1">BS - non Monitory - [30]TC!$D$6:$D$6</definedName>
    <definedName name="BEx9IDKP34EAWDU9PERQHFSEZ7SW" hidden="1">BS - non Monetary - [29]LC!$D$7:$D$7</definedName>
    <definedName name="BEx9JAJJLXC8UFJ7JE4WHQMNJ26A" hidden="1">BS - non Monitory - [30]TC!$D$8:$D$8</definedName>
    <definedName name="BExAVP89KVXHAU4M0L44ZGSGPMVL" hidden="1">BS - non Monetary - [29]LC!$D$7:$D$7</definedName>
    <definedName name="BExAVTQ3UE0MS3DPMFIRGH1X0RJC" hidden="1">BS - [31]Monetary!$D$8:$D$8</definedName>
    <definedName name="BExAWHEGJG6LSLNSYHMVWGHTTBL2" hidden="1">BS - non Monetary - [29]LC!$C$13:$D$14</definedName>
    <definedName name="BExAXBO7EPGXRIXDZZAPTAZ5G8O3" hidden="1">BS - [31]Monetary!$C$13:$D$14</definedName>
    <definedName name="BExAXDBFXQ9XV0OOHNQNW110H9WV" hidden="1">BS - [31]Monetary!$C$17:$I$192</definedName>
    <definedName name="BExAXEO4M61ZLNXO6PB0AMK954S1" hidden="1">BS - [31]Monetary!$D$6:$D$6</definedName>
    <definedName name="BExAXW77MAP8W0CYVWMV7PAGECTT" hidden="1">Balance [35]Sheet!$C$17:$I$1005</definedName>
    <definedName name="BExAY98NJKLXVCY52LYABP9IDHLW" hidden="1">BS - non Monetary - [30]TC!$C$17:$F$663</definedName>
    <definedName name="BExAYQGZU7AZ92O6HHET2H03DEZV" hidden="1">TB BS non Monetary [30]TC!$D$6:$D$6</definedName>
    <definedName name="BExAZPU5MGHSVBMRRRYQXKJWBIY3" hidden="1">#N/A</definedName>
    <definedName name="BExB1889E5TNR8ZRCW90AEDJY78D" hidden="1">#N/A</definedName>
    <definedName name="BExB1JROTN19DI95LSIR4VWGSST4" hidden="1">Balance [35]Sheet!$D$7:$D$7</definedName>
    <definedName name="BExB1W2333UU931GEPOI0BI9064S" hidden="1">BS - Equity - [30]TC!$D$7:$D$7</definedName>
    <definedName name="BExB26P1JHM69YSQHW5M6LNAO40Y" hidden="1">#N/A</definedName>
    <definedName name="BExB29JNCBBQK63NYU89XXTJ5UJ6" hidden="1">TB - [37]BS!$D$6:$D$6</definedName>
    <definedName name="BExB3E5JEX76XGKCLFV1TWYLYS5W" hidden="1">BS - non Monetary - [30]TC!$D$6:$D$6</definedName>
    <definedName name="BExB40XKF1GX1YL6755EM167MQV7" hidden="1">BS - non Monetary - [29]LC!$D$8:$D$8</definedName>
    <definedName name="BExB4FM8X9BLFXMGIYXPGA61GQ2M" hidden="1">Balance [35]Sheet!$D$6:$D$6</definedName>
    <definedName name="BExB4V75I7WAIJHISE78OO962RAK" hidden="1">#N/A</definedName>
    <definedName name="BExB5JRW3T2U8GG0Y9RRW909RS9O" hidden="1">TB - [37]BS!$D$6:$D$6</definedName>
    <definedName name="BExB5K2OAFN44XBM45GSHZ50R70O" hidden="1">BS - non Monetary - [30]TC!$C$13:$D$14</definedName>
    <definedName name="BExB5LQ4TC4A4NIK9LLF1SNW076S" hidden="1">BS - [31]Monetary!$D$7:$D$7</definedName>
    <definedName name="BExB5PGWM0GVGQUQA373K52QCQ0I" hidden="1">#N/A</definedName>
    <definedName name="BExB5S0IR3Y08EHDCL9VS9SVI9PF" hidden="1">BS - [31]Monetary!$D$7:$D$7</definedName>
    <definedName name="BExB65SVGJM6S9LZ90Z7OZ2PW1H3" hidden="1">BS - non Monetary - [29]LC!$D$7:$D$7</definedName>
    <definedName name="BExB6695CNUKVNYB6QANFT0DPNK8" hidden="1">BS - non Monetary - [30]TC!$D$6:$D$6</definedName>
    <definedName name="BExB7BM3DQTQ2JH43AI8VGKYUZDR" hidden="1">#N/A</definedName>
    <definedName name="BExB7DK68UK9VC0S76ZZO74NOMU7" hidden="1">Balance [35]Sheet!$C$17:$N$710</definedName>
    <definedName name="BExB7KWEIC7I8QE5DCUV60R8O4H3" hidden="1">BS - non Monitory - [30]TC!$D$6:$D$6</definedName>
    <definedName name="BExB7LHZLERY9WCLLQLTXRWEM4WY" hidden="1">#N/A</definedName>
    <definedName name="BExB7MUMZ4APC2HE3OV9JQXT7DB8" hidden="1">Balance [35]Sheet!$D$7:$D$7</definedName>
    <definedName name="BExB7SOYZL41R0DCJANKGD9Y024Q" hidden="1">#N/A</definedName>
    <definedName name="BExB8C69AGMZA4L5OY1MEFUT2YJO" hidden="1">#N/A</definedName>
    <definedName name="BExB8JIIKFSUOCHYQ4K7WP9NO69K" hidden="1">BS - Equity - [29]LC!$D$6:$D$6</definedName>
    <definedName name="BExB9R9SNZP3DK1ZHAURR20NLZXA" hidden="1">BS - [31]Monetary!$D$7:$D$7</definedName>
    <definedName name="BExBAAWH6003V8V7NPMNUUI4OP1E" hidden="1">#N/A</definedName>
    <definedName name="BExBABCPZHVQN681UY5AH75YUIRT" hidden="1">#N/A</definedName>
    <definedName name="BExBAF90XXSES0P1NVZSAD6YRC3T" hidden="1">BS - [31]Monetary!$C$13:$D$14</definedName>
    <definedName name="BExBAK1MFI1LHEP3OTMQRACFDCMS" hidden="1">#N/A</definedName>
    <definedName name="BExBB0OELEX1EP00S2ZCHRT5OCVA" hidden="1">BS - [31]Monetary!$D$6:$D$6</definedName>
    <definedName name="BExBB5MBV9O4JU2NDY2U76WR7KZ1" hidden="1">BS - [31]Monetary!$D$6:$D$6</definedName>
    <definedName name="BExBBCNY7A2DVA368GHDEL4U8389" hidden="1">#N/A</definedName>
    <definedName name="BExBBSJTC2HLZ8T3LJJP61B6DIHJ" hidden="1">BS - [31]Monetary!$D$7:$D$7</definedName>
    <definedName name="BExBBSZWQAG5N0HSUZOZ4Z65W27Q" hidden="1">BS - non Monetary - [30]TC!$C$17:$F$505</definedName>
    <definedName name="BExBBTLMBZQ0OPV9CEW3OS0OE9OM" hidden="1">BS - non Monetary - [30]TC!$D$8:$D$8</definedName>
    <definedName name="BExBC66N2CREWA5380UJ1VM1CRNX" hidden="1">#N/A</definedName>
    <definedName name="BExBCP7Q71SKYQT3E73IEFJLH478" hidden="1">BS - [31]Monetary!$C$17:$AA$189</definedName>
    <definedName name="BExBCQPTNSB29NSEBHCUJ0R3TLCZ" hidden="1">#N/A</definedName>
    <definedName name="BExBCYYH2TQBPB8AR6ITMMP4YJTA" hidden="1">BS - [31]Monetary!$D$6:$D$6</definedName>
    <definedName name="BExBDEJJE5OJ8NRB5K6MUKSEBYBM" hidden="1">BS - non Monetary - [30]TC!$D$7:$D$7</definedName>
    <definedName name="BExBDS12C7LOIM22F8EA4J9U1NPD" hidden="1">BS - Equity - [29]LC!$D$7:$D$7</definedName>
    <definedName name="BExBDY0UQ5SC80IEMF69UZYWPUUJ" hidden="1">BS - non Monetary - [29]LC!$C$13:$D$14</definedName>
    <definedName name="BExBE8YKXDPJIYXC0ZYFGF4N5O65" hidden="1">BS - non Monetary - [30]TC!$D$8:$D$8</definedName>
    <definedName name="BExBEYFQ0ENUT2XFPNJU2U0XW4L5" hidden="1">#N/A</definedName>
    <definedName name="BExCR8MKPDPF0K2G95EJLSXGGKLZ" hidden="1">BS - [31]Monetary!$D$7:$D$7</definedName>
    <definedName name="BExCRQB5HK7GMYCAS9BJH15SQII0" hidden="1">BS - non Monetary - [29]LC!$C$13:$D$14</definedName>
    <definedName name="BExCT47K28HSYGDK4KYX5ZADB7M1" hidden="1">#N/A</definedName>
    <definedName name="BExCT7CYNNXY9SGEYMNR0HD2R6MS" hidden="1">BS - Equity - [30]TC!$D$8:$D$8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hidden="1">BS - [31]Monetary!$C$13:$D$14</definedName>
    <definedName name="BExCU1S08T24JT61PX8EQNJOUM9H" hidden="1">BS - non Monetary - [29]LC!$C$17:$R$662</definedName>
    <definedName name="BExCU766UPZ34PNFN8XHAAVPH9QV" hidden="1">BS - non Monetary - [29]LC!$D$6:$D$6</definedName>
    <definedName name="BExCUG5W1MDULPS62DASO4QA6R3B" hidden="1">BS - [36]Monitory!$D$6:$D$6</definedName>
    <definedName name="BExCUNNMVYVE9F0AMVAASHY0XXPQ" hidden="1">BS - non Monetary - [29]LC!$C$17:$G$667</definedName>
    <definedName name="BExCV9DSZVVQLP3JW3UARQLEIS0R" hidden="1">BS - Equity - [29]LC!$C$17:$E$93</definedName>
    <definedName name="BExCVPV92MIGQMLVCRE7NOA37NYY" hidden="1">BS - non Monetary - [29]LC!$D$6:$D$6</definedName>
    <definedName name="BExCWWVGVYT7IV2TTVJGJSGTB98N" hidden="1">#N/A</definedName>
    <definedName name="BExCWYYZHIARB72FK3B7V8C7558Q" hidden="1">BS - non Monetary - [29]LC!$D$8:$D$8</definedName>
    <definedName name="BExCXUL80YH9SPJ6AL9PAN0F53IA" hidden="1">#N/A</definedName>
    <definedName name="BExCXZJBQKODPMBKNAVVADYEL7PD" hidden="1">BS - non Monetary - [29]LC!$D$7:$D$7</definedName>
    <definedName name="BExCY5OFD6MRG6L59PXB9LXOMRD5" hidden="1">#N/A</definedName>
    <definedName name="BExCY6FHU82O0TT1TD7FJ2VT9VI3" hidden="1">BS - [31]Monetary!$C$13:$D$14</definedName>
    <definedName name="BExCYLEYSVSSJWF1QMUQADFB1MU0" hidden="1">#N/A</definedName>
    <definedName name="BExCYM0EL5Q5TXUFWBIGH04TS0UP" hidden="1">BS - [31]Monetary!$D$7:$D$7</definedName>
    <definedName name="BExCYWCPHLLNJAUQUP7EOZWMDBEF" hidden="1">BS - [31]Monetary!$D$7:$D$7</definedName>
    <definedName name="BExCZYEUKJ3NK67IHX3LX6VCP8T6" hidden="1">BS Equity [32]Item!$C$23:$T$63</definedName>
    <definedName name="BExD0CY8FUNNNJIH1QX5G3EJURBA" hidden="1">BS - non Monetary - [30]TC!$C$13:$D$14</definedName>
    <definedName name="BExD0SJ3VMS9455XS8GSHPLYZLZX" hidden="1">BS - non Monitory - [30]TC!$C$13:$D$15</definedName>
    <definedName name="BExD11TMC7G974WHXC60VTAU5UOJ" hidden="1">#N/A</definedName>
    <definedName name="BExD1KK175566PDWHFSVQS1WL1X5" hidden="1">Trial [34]Balance!$D$8:$D$8</definedName>
    <definedName name="BExD1SY4HJ0WH4OF2K6ELBMD9JNF" hidden="1">#N/A</definedName>
    <definedName name="BExD2IF3U6LM3NVULRQ0HY91LE7S" hidden="1">#N/A</definedName>
    <definedName name="BExD2LPS4DCFSKKQH9XHB8EPNYNB" hidden="1">BS Equity [32]Item!$D$7:$D$7</definedName>
    <definedName name="BExD2NTC1HSCW10RXV39QCAQS2Z5" hidden="1">BS - non Monetary - [30]TC!$C$17:$F$663</definedName>
    <definedName name="BExD2PM28II2H5FN62JU85C70UEU" hidden="1">BS - [31]Monetary!$C$17:$I$192</definedName>
    <definedName name="BExD34R0UJ2ZB3R091R58SCGVLY3" hidden="1">BS - non Monetary - [29]LC!$D$7:$D$7</definedName>
    <definedName name="BExD3MA49DRGNYD7ATUJ27MUFLJB" hidden="1">#N/A</definedName>
    <definedName name="BExD3MA4T84AA8L2Q54YM4VDECQ3" hidden="1">BS - [36]Monitory!$C$17:$F$760</definedName>
    <definedName name="BExD3SVIR3P28GY02GJ3ZAKUQM3Q" hidden="1">Balance [35]Sheet!$D$8:$D$8</definedName>
    <definedName name="BExD41POCG4G30PKB3P8XUV1VG2V" hidden="1">BS - non Monetary - [30]TC!$C$13:$D$14</definedName>
    <definedName name="BExD479FPIV5434YHMJZ5CCUN3OU" hidden="1">BS - non Monetary - [29]LC!$D$7:$D$7</definedName>
    <definedName name="BExD4FCPYK2NFYT1TRXNIX3D7I7K" hidden="1">BS - [31]Monetary!$D$8:$D$8</definedName>
    <definedName name="BExD51Z8H8FNA5YCENNARQX9QFYO" hidden="1">#N/A</definedName>
    <definedName name="BExD5QK13KWZWPNMDPLPPK0XKPQ5" hidden="1">#N/A</definedName>
    <definedName name="BExD5XG6IHB3U3F31V2QBIT80Q6L" hidden="1">BS - [31]Monetary!$D$7:$D$7</definedName>
    <definedName name="BExD6SMBHB2BNCN96SV00A29ENMI" hidden="1">#N/A</definedName>
    <definedName name="BExD7OZEVSCE94HGFDNO2DMBEZWG" hidden="1">BS - non Monetary - [29]LC!$D$7:$D$7</definedName>
    <definedName name="BExD7UZ7R8ECF7TWJYHT4A37BB8O" hidden="1">#N/A</definedName>
    <definedName name="BExD85BJGH7ZPLDGRFLL78VMUZCL" hidden="1">TB BS Monetary [32]Item!$D$7:$D$7</definedName>
    <definedName name="BExD862FVU568QEGFXXGOJGYFPHJ" hidden="1">Balance [35]Sheet!$C$13:$D$15</definedName>
    <definedName name="BExD8M3LC7S0ZTW0GNFM2DKT5431" hidden="1">BS - non Monetary - [30]TC!$D$7:$D$7</definedName>
    <definedName name="BExD8WFW6Y6WQC509UWWHTFLPGH5" hidden="1">BS - non Monetary - [29]LC!$D$8:$D$8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hidden="1">BS - non Monetary - [29]LC!$D$6:$D$6</definedName>
    <definedName name="BExEO6TOLQU8ANMWWZAUJO0NSHV0" hidden="1">BS - Equity - [30]TC!$C$13:$D$14</definedName>
    <definedName name="BExEOV3MYSBF5QLBUFL3GMB8VO83" hidden="1">#N/A</definedName>
    <definedName name="BExEOYP4DQNK1DGYBPGOPRAAVF7T" hidden="1">BS - non Monetary - [30]TC!$D$6:$D$6</definedName>
    <definedName name="BExEP9HK8QB4H2QG69I7UPXIRD0I" hidden="1">BS - non Monetary - [29]LC!$D$6:$D$6</definedName>
    <definedName name="BExEQSS43Y9LSBOEG8YSNJWQBJ9R" hidden="1">#N/A</definedName>
    <definedName name="BExEQVBXAD0P53GKIAMIUB3GGMB9" hidden="1">BS - non Monetary - [29]LC!$D$7:$D$7</definedName>
    <definedName name="BExER10SWPFZGIBEI2CJZNCEWRBB" hidden="1">BS - non Monetary - [30]TC!$D$6:$D$6</definedName>
    <definedName name="BExES3DUWKQFK4YEM14TVU93OW77" hidden="1">BS - non Monetary - [29]LC!$D$7:$D$7</definedName>
    <definedName name="BExES56LF48TPIYT7FCI07TXEDGP" hidden="1">BS - [31]Monetary!$C$13:$D$14</definedName>
    <definedName name="BExESDF8VV3TTJBBKTBKLGONTDJ4" hidden="1">#N/A</definedName>
    <definedName name="BExESDVIJG2DTKABJ74XFWCE5A7Z" hidden="1">BS - non Monetary - [29]LC!$C$17:$K$662</definedName>
    <definedName name="BExESFO8G834NVIKU0PW3PSY7JLI" hidden="1">#N/A</definedName>
    <definedName name="BExEU0M3SQ5ZMU9NCL0GO3LT1KP9" hidden="1">TB BS Monetary [32]Item!$D$6:$D$6</definedName>
    <definedName name="BExEUTOP7NRZ0C5CB8B1QW2M8YXX" hidden="1">BS - [36]Monitory!$C$17:$F$760</definedName>
    <definedName name="BExEVMB1U5VUGQDT9387DRHS0SHY" hidden="1">BS - non Monetary - [29]LC!$C$13:$D$14</definedName>
    <definedName name="BExEVZY1T646XUXV2IZKDBRZOXSI" hidden="1">BS - non Monetary - [29]LC!$D$6:$D$6</definedName>
    <definedName name="BExEWFOFJZOL54SOGW9DDAN418BW" hidden="1">BS - [31]Monetary!$D$7:$D$7</definedName>
    <definedName name="BExEWGKRI3UP3XZZC4LCMWVAFY3F" hidden="1">BS - non Monetary - [29]LC!$C$17:$G$662</definedName>
    <definedName name="BExEX4P98X1QB7T7L4XBUG2XPXWX" hidden="1">BS - Equity - [29]LC!$D$6:$D$6</definedName>
    <definedName name="BExEX7UMW7JGTN9FCK5XMPVS9353" hidden="1">BS - [31]Monetary!$D$7:$D$7</definedName>
    <definedName name="BExEX9Y4KOEZNF3EUA2TV738NOJR" hidden="1">BS - [31]Monetary!$D$7:$D$7</definedName>
    <definedName name="BExEXG391ST02VQF24G2I2OUL9CV" hidden="1">BS - Equity - [30]TC!$C$13:$D$14</definedName>
    <definedName name="BExEXIXVC4EQ9QM9DLL1WU3KAPOO" hidden="1">#N/A</definedName>
    <definedName name="BExEXNQCJSW20396HJI51OATYKAN" hidden="1">BS - Equity - [29]LC!$D$7:$D$7</definedName>
    <definedName name="BExEXO15A9T0TBFMVBYNC3U3J97X" hidden="1">#N/A</definedName>
    <definedName name="BExEXO6LDQ46YBVNNAVEV4C08VBH" hidden="1">#N/A</definedName>
    <definedName name="BExEXWKOOYPFTL0I8JD0N4ZNE7JY" hidden="1">BS - non Monetary - [30]TC!$D$8:$D$8</definedName>
    <definedName name="BExEXZVE7BI000ECNCFY6862FB6Y" hidden="1">BS - non Monetary - [29]LC!$C$13:$D$14</definedName>
    <definedName name="BExEYYMZV2HNH63DZAKVIFWG70XF" hidden="1">BS - non Monetary - [29]LC!$D$7:$D$7</definedName>
    <definedName name="BExEZ3VPRRK8PLSJBKDKHEXY3AZR" hidden="1">BS - [31]Monetary!$D$8:$D$8</definedName>
    <definedName name="BExEZMRI0LOGNA5CAF1TX5ZH39LJ" hidden="1">BS - Equity - [30]TC!$D$8:$D$8</definedName>
    <definedName name="BExEZRK3LKUHROXMX71J97SXEX7A" hidden="1">BS - non Monetary - [30]TC!$C$13:$D$14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hidden="1">BS - [31]Monetary!$D$8:$D$8</definedName>
    <definedName name="BExF25F9ZI6SAG5XXGZ8G9I26J7D" hidden="1">TB BS Monetary [32]Item!$C$13:$D$15</definedName>
    <definedName name="BExF2N974O93GIYDUN529XOK822F" hidden="1">Trial [34]Balance!$C$13:$D$15</definedName>
    <definedName name="BExF2Q92DQ08GFBFO4QRAO14NNSW" hidden="1">BS - [31]Monetary!$D$6:$D$6</definedName>
    <definedName name="BExF2ZZNFHZY6PM2QC5AW49M1M94" hidden="1">BS - non Monetary - [30]TC!$D$8:$D$8</definedName>
    <definedName name="BExF4E6V1IYGN4VBM3WM4772T8VM" hidden="1">BS - non Monitory - [30]TC!$C$17:$F$417</definedName>
    <definedName name="BExF4KXONPHVBNK5YL2QUFFZ5JBT" hidden="1">Trial [34]Balance!$D$8:$D$8</definedName>
    <definedName name="BExF4VF5REGPFNGN5Q14LOY1GMQV" hidden="1">#N/A</definedName>
    <definedName name="BExF63MJ8YMJY4C1MAX5UGNIBV8N" hidden="1">TB BS non Monetary [33]GC!$C$13:$D$15</definedName>
    <definedName name="BExF6NUXRTL4O26PCE4NW8MIFKPO" hidden="1">#N/A</definedName>
    <definedName name="BExF7LFDP07MQ90J9OJZWS4G53BN" hidden="1">#N/A</definedName>
    <definedName name="BExF7V5XVUE319AD7B1I3JX29D58" hidden="1">BS - non Monetary - [33]GC!$C$17:$G$564</definedName>
    <definedName name="BExF82CVLMXA9ICZNFGO7KTMKHNI" hidden="1">BS - [36]Monitory!$D$7:$D$7</definedName>
    <definedName name="BExF84LXAT5W77N115R814JGD0KA" hidden="1">BS - non Monetary - [29]LC!$D$8:$D$8</definedName>
    <definedName name="BExF8E1NU3UCFIFQRA87QME5Z4YG" hidden="1">BS - non Monetary - [30]TC!$D$7:$D$7</definedName>
    <definedName name="BExF8QMVZNETR6TT84EDEB0132GU" hidden="1">#N/A</definedName>
    <definedName name="BExF93ITMIVJZQTLPU6ML5YIFXFB" hidden="1">BS - [31]Monetary!$D$6:$D$6</definedName>
    <definedName name="BExGL7F2VK0ZI00X5ISDCFMXECKL" hidden="1">BS - non Monetary - [30]TC!$D$8:$D$8</definedName>
    <definedName name="BExGLB0JG7LRDRTHEWISDWI1UBV4" hidden="1">BS - non Monetary - [30]TC!$C$17:$I$565</definedName>
    <definedName name="BExGLG3ZPFH39U03MVJNODOD2AVB" hidden="1">#N/A</definedName>
    <definedName name="BExGLKLT4UH48IA1ZUU2SAN38309" hidden="1">#N/A</definedName>
    <definedName name="BExGLQWET3XRCYOQRGW93YHIMCQT" hidden="1">TB - [37]BS!$D$8:$D$8</definedName>
    <definedName name="BExGMCMLAGUU5KYMYXMRWG6CHPRZ" hidden="1">BS - Equity - [30]TC!$D$6:$D$6</definedName>
    <definedName name="BExGMEA0VNPBVGT0ZQT8I41G974Z" hidden="1">#N/A</definedName>
    <definedName name="BExGMFXAE3NTCPSJBXTO0J2NFJNS" hidden="1">BS - non Monetary - [30]TC!$D$7:$D$7</definedName>
    <definedName name="BExGMGZ3JCW9ZLQXMBF3SKEO56LE" hidden="1">#N/A</definedName>
    <definedName name="BExGMJ2NHZ3AUMYXM54LNP9SVCEB" hidden="1">BS - non Monetary - [30]TC!$D$8:$D$8</definedName>
    <definedName name="BExGNFL8K0W1BRFWUC6HYXUWWFTK" hidden="1">#N/A</definedName>
    <definedName name="BExGO0KJHE1S872QSBCNA1I4VGEI" hidden="1">#N/A</definedName>
    <definedName name="BExGO4WW0RENO2J4OJ9XQW695M2Z" hidden="1">BS - [31]Monetary!$C$17:$M$862</definedName>
    <definedName name="BExGOH79DKYLT81AF057CM8P13EH" hidden="1">#N/A</definedName>
    <definedName name="BExGOU38F8KNR0PBX05XRJSWL2KQ" hidden="1">BS - non Monitory - [30]TC!$D$6:$D$6</definedName>
    <definedName name="BExGP5RZO2Q5DEMPZIXYSEXTOXK2" hidden="1">BS - non Monetary - [30]TC!$D$6:$D$6</definedName>
    <definedName name="BExGP7FB25M8XX7IHCD7HD9W9WG1" hidden="1">BS - [31]Monetary!$C$17:$I$192</definedName>
    <definedName name="BExGPEX1P8WDOW5LVSPKA0MRU3NI" hidden="1">BS - [36]Monitory!$D$6:$D$6</definedName>
    <definedName name="BExGQ550VCPB5D8PT2FVR5T1NI70" hidden="1">BS - non Monetary - [30]TC!$D$8:$D$8</definedName>
    <definedName name="BExGQ5W3DO742KN1GR94F6EWXEME" hidden="1">#N/A</definedName>
    <definedName name="BExGQ96SWVOKCI5GQ6XDUMJYZX5I" hidden="1">#N/A</definedName>
    <definedName name="BExGRBP67JMNHHTOS7JCKPXFDUVF" hidden="1">BS - non Monetary - [30]TC!$D$7:$D$7</definedName>
    <definedName name="BExGT38JU5ISXVUX190XKGKVKN3Y" hidden="1">BS - non Monitory - [30]TC!$C$17:$F$417</definedName>
    <definedName name="BExGTQGP0VCLFC8QEZHC3QKJF9I7" hidden="1">BS - Equity - [29]LC!$D$6:$D$6</definedName>
    <definedName name="BExGTRNVH1HJLPUOAE35JJECKFOZ" hidden="1">BS Equity [32]Item!$C$23:$D$63</definedName>
    <definedName name="BExGUHVU3XYZIJZOKOVEESD9NJO1" hidden="1">BS - non Monetary - [29]LC!$D$7:$D$7</definedName>
    <definedName name="BExGUQQ2XSF3HRF4TLK3KG7O3EJB" hidden="1">#N/A</definedName>
    <definedName name="BExGVXQGT0VOE6WSVJ8GBZXR2QCC" hidden="1">#N/A</definedName>
    <definedName name="BExGVXVSBXD1XIPQRLNJM2ML03WF" hidden="1">TB BS non Monetary [30]TC!$C$13:$D$15</definedName>
    <definedName name="BExGVYMOUHJASZITEQHMNNIOO57L" hidden="1">Trial [34]Balance!$D$6:$D$6</definedName>
    <definedName name="BExGW0A3A2H6VYCZLLJLLHU3KHJ6" hidden="1">BS - non Monetary - [30]TC!$C$13:$D$14</definedName>
    <definedName name="BExGWDGUGUW2YMWI6T4BU9VA6QA6" hidden="1">#N/A</definedName>
    <definedName name="BExGWI9GWRU93PRDJQM3GCGNOMVI" hidden="1">BS - [36]Monitory!$D$8:$D$8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hidden="1">BS - [31]Monetary!$D$6:$D$6</definedName>
    <definedName name="BExGZIGCXSAAY72LKVO4WT2935O5" hidden="1">BS - non Monetary - [30]TC!$C$17:$F$516</definedName>
    <definedName name="BExH070XZM7IZLZ3BT83OVPPFWNT" hidden="1">BS - non Monetary - [29]LC!$D$8:$D$8</definedName>
    <definedName name="BExH0HO2A7M9D1YQPMCPEFH5U8NS" hidden="1">#N/A</definedName>
    <definedName name="BExH0TCVR29FT90NK6Q3KSZO9GKF" hidden="1">#N/A</definedName>
    <definedName name="BExH14W5X8MRYO1EM2RRD9ND37BL" hidden="1">BS - non Monetary - [30]TC!$D$8:$D$8</definedName>
    <definedName name="BExH1FOM0C6VRDA3DVWTRXKHUGIB" hidden="1">BS - non Monetary - [30]TC!$C$17:$F$505</definedName>
    <definedName name="BExH1TBGICZ9QESB2WWV6UWA16EH" hidden="1">BS - non Monetary - [30]TC!$D$8:$D$8</definedName>
    <definedName name="BExH1VF0E7CJLE9V5FJDLH4UMU6E" hidden="1">Balance [35]Sheet!$D$7:$D$7</definedName>
    <definedName name="BExH25RCP7NR5HCGW1HF46EX2O74" hidden="1">BS - non Monetary - [30]TC!$D$7:$D$7</definedName>
    <definedName name="BExH2AEHECUY49P8UPD526OBRV00" hidden="1">BS - non Monetary - [30]TC!$C$13:$D$14</definedName>
    <definedName name="BExH2V2Z3BVWI76ZLIZW7BJZ65IG" hidden="1">#N/A</definedName>
    <definedName name="BExH2YDMRYTFGYFSQMRHLWBHFGYP" hidden="1">BS Equity [32]Item!$C$13:$D$21</definedName>
    <definedName name="BExH38F56OOVBEIBP602643GLG5B" hidden="1">#N/A</definedName>
    <definedName name="BExIH7LOL9Q0NBX366KJ0PIG87OW" hidden="1">#N/A</definedName>
    <definedName name="BExIHEXX5UT5ZMWZPM8FQRIIJM2A" hidden="1">BS - non Monetary - [30]TC!$C$13:$D$14</definedName>
    <definedName name="BExIIG9A9X9QAWQAXQW5HWFBPLJJ" hidden="1">BS - non Monetary - [29]LC!$D$7:$D$7</definedName>
    <definedName name="BExIITQPKXBGY4KQC2ZBQ5G9LGJK" hidden="1">#N/A</definedName>
    <definedName name="BExIL5IBDELDRCCV7HTURAOZ5YC6" hidden="1">BS - non Monetary - [29]LC!$D$8:$D$8</definedName>
    <definedName name="BExIL87ETHDNQL3YGEAQCCKDLFX7" hidden="1">BS - non Monetary - [30]TC!$D$8:$D$8</definedName>
    <definedName name="BExILAR7C7HW9UZ625QWOSZYG2U5" hidden="1">BS - non Monetary - [30]TC!$D$6:$D$6</definedName>
    <definedName name="BExILMLBDTLGSQP72A1I9Y640DFR" hidden="1">BS - non Monetary - [29]LC!$C$13:$D$14</definedName>
    <definedName name="BExILTXKO84HB0AIMTUIRWV2QVMM" hidden="1">BS - [31]Monetary!$D$8:$D$8</definedName>
    <definedName name="BExIMB0K9HSHSO4HL3QYLORHA79V" hidden="1">TB BS Monetary [32]Item!$D$7:$D$7</definedName>
    <definedName name="BExIMCYTJI84LJAWJND8CX2G51VC" hidden="1">#N/A</definedName>
    <definedName name="BExIMHGNDN8S7O8EO7PPBS0Y4DRK" hidden="1">BS - non Monetary - [30]TC!$C$17:$F$663</definedName>
    <definedName name="BExIMTLJYWHLYF9MEWM3XSGG6L46" hidden="1">#N/A</definedName>
    <definedName name="BExIMX70S3AVS2PZM7BZN0WFMX6L" hidden="1">BS - non Monetary - [29]LC!$C$13:$D$14</definedName>
    <definedName name="BExINCHATLIBQD9124WH00C6U9AG" hidden="1">Trial [34]Balance!$D$6:$D$6</definedName>
    <definedName name="BExIOI4VCN4LZ24SN63UUF3SFHYA" hidden="1">#N/A</definedName>
    <definedName name="BExIOYH0VWDS9BMWS6PHPMYXI1AR" hidden="1">TB BS Monetary [32]Item!$D$6:$D$6</definedName>
    <definedName name="BExIQ2BW4KIHKK4F8TB8CG6SALQH" hidden="1">BS - non Monitory - [33]GC!$C$17:$F$416</definedName>
    <definedName name="BExIR9XV6I4GOXR1NDC8QSIQ5FKB" hidden="1">#N/A</definedName>
    <definedName name="BExIRU62J556M8VZ4SH686SMP2S9" hidden="1">#N/A</definedName>
    <definedName name="BExISHE6RI9OKT74BYSBLQE6FZMA" hidden="1">BS - [31]Monetary!$C$17:$W$209</definedName>
    <definedName name="BExISRVT7HO508ZEB5RVDEHS1XO2" hidden="1">BS - non Monetary - [29]LC!$C$13:$D$14</definedName>
    <definedName name="BExIT34CKYWTE22GAPA6UKXB8P60" hidden="1">BS - non Monetary - [30]TC!$D$7:$D$7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hidden="1">BS - non Monetary - [30]TC!$C$13:$D$14</definedName>
    <definedName name="BExIUL2HVDMISHT4NKHDUJM2P8AJ" hidden="1">BS - non Monitory - [30]TC!$D$8:$D$8</definedName>
    <definedName name="BExIUUT2YFOJR8OD9OWLEKZY4UD4" hidden="1">#N/A</definedName>
    <definedName name="BExIVF6R7JNQ365RH58NYNT1DUF7" hidden="1">TB BS non Monetary [30]TC!$C$13:$D$15</definedName>
    <definedName name="BExIVJJA14SK8VNH7W0RUHSG68FO" hidden="1">#N/A</definedName>
    <definedName name="BExIW6WQ621TPSN7QZ5DNEAWKUON" hidden="1">BS - [31]Monetary!$C$13:$D$14</definedName>
    <definedName name="BExIWO51XP59FASPRC74Z8Y7Q30V" hidden="1">BS - [31]Monetary!$C$13:$D$14</definedName>
    <definedName name="BExIWTDYMJ5YBHERB7FZQY4J6TYI" hidden="1">BS - non Monetary - [30]TC!$D$7:$D$7</definedName>
    <definedName name="BExIWVMYUKS572HQZVLGZMHQ6IE0" hidden="1">BS - non Monitory - [30]TC!$D$6:$D$6</definedName>
    <definedName name="BExIXBIT9Z57LVUUV835FBTSHDVP" hidden="1">BS - non Monetary - [30]TC!$C$17:$F$505</definedName>
    <definedName name="BExIXEO1W2M3AWM9GOJGVIV4NJ2F" hidden="1">BS - Equity - [29]LC!$D$7:$D$7</definedName>
    <definedName name="BExIXNT0RAYMJNVEO578N4B61NQE" hidden="1">TB BS non Monetary [33]GC!$C$13:$D$15</definedName>
    <definedName name="BExIXTYA6F5RWMN1DZ9YJWZ61HIM" hidden="1">BS - [36]Monitory!$D$7:$D$7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hidden="1">Balance [35]Sheet!$D$6:$D$6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hidden="1">#REF!</definedName>
    <definedName name="BExKEFOTHBHWJYJ7B2OXLYXEASID" hidden="1">BS - Equity - [29]LC!$C$13:$D$15</definedName>
    <definedName name="BExKF0DAKJ02RT98D2QQJY72ZNNN" hidden="1">BS - non Monitory - [33]GC!$D$6:$D$6</definedName>
    <definedName name="BExKF8GFSKWR0PM1YADGL8GQJ6D1" hidden="1">#N/A</definedName>
    <definedName name="BExKFQAHKN96T11K9SMEROZST3QE" hidden="1">BS - non Monitory - [33]GC!$C$13:$D$15</definedName>
    <definedName name="BExKG0XGR9TU1MJZ88FILG160H6L" hidden="1">#N/A</definedName>
    <definedName name="BExKG5KT02WIM5LKPSGAQK3YTF9S" hidden="1">BS - [31]Monetary!$D$6:$D$6</definedName>
    <definedName name="BExKG66CJOBF0JV4UP20X3XJ0O39" hidden="1">#N/A</definedName>
    <definedName name="BExKG96A7S1NRWMBBLN1LJEMCB16" hidden="1">BS - [31]Monetary!$D$7:$D$7</definedName>
    <definedName name="BExKGIM1ILKGFGN8G1YTZC9DN9CK" hidden="1">BS - non Monetary - [30]TC!$C$17:$K$668</definedName>
    <definedName name="BExKHEOKVGAGDI0UP2R82N2UB479" hidden="1">#N/A</definedName>
    <definedName name="BExKHZYHC7PCM1S949175QU9MTNI" hidden="1">BS - [31]Monetary!$C$13:$D$14</definedName>
    <definedName name="BExKIL8OHRMM61EFPDQ5TPIMF76U" hidden="1">#N/A</definedName>
    <definedName name="BExKJD9A0L3OHCS3QQLDGYGOVNDJ" hidden="1">BS - non Monetary - [29]LC!$D$8:$D$8</definedName>
    <definedName name="BExKK7J1Q54SC1BZJ0YQMO45617G" hidden="1">BS - non Monitory - [33]GC!$D$7:$D$7</definedName>
    <definedName name="BExKKIM8PKEEFVOYZ391STDIBZVQ" hidden="1">#N/A</definedName>
    <definedName name="BExKL9AIOFN3RIMP036UN0SFJHU5" hidden="1">BS - non Monetary - [30]TC!$D$7:$D$7</definedName>
    <definedName name="BExKLASFS6L83WOTDKX1J6B4PQ4Y" hidden="1">BS - Equity - [30]TC!$D$8:$D$8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hidden="1">BS - non Monetary - [30]TC!$D$6:$D$6</definedName>
    <definedName name="BExKNZW60NOJCO7KWAPFXJNVWRXX" hidden="1">BS - [31]Monetary!$D$8:$D$8</definedName>
    <definedName name="BExKO437DXFW1I8Y9A0ZOPCMDXCU" hidden="1">TB - [37]BS!$D$7:$D$7</definedName>
    <definedName name="BExKO6SBJTO4J03EYXNXC4T337Q6" hidden="1">TB BS non Monetary [33]GC!$D$8:$D$8</definedName>
    <definedName name="BExKO8L30XKFI6ZLDMS1TOO6JT4I" hidden="1">BS - non Monetary - [29]LC!$C$13:$D$14</definedName>
    <definedName name="BExKOSD67TRLHXQLPXAASE23W8YH" hidden="1">BS - non Monetary - [29]LC!$D$8:$D$8</definedName>
    <definedName name="BExKOY7IF4CNYMUAR6NGT0O0LLI6" hidden="1">#N/A</definedName>
    <definedName name="BExKPVMFL1Q2YQ0JOF5IR37WYCOA" hidden="1">BS - non Monitory - [33]GC!$D$6:$D$6</definedName>
    <definedName name="BExKPY0SDRF9SEJ1FMK64OF6H0SG" hidden="1">BS - non Monetary - [33]GC!$D$7:$D$7</definedName>
    <definedName name="BExKQ9ERJ67IMVLZK0STBU0U3IXR" hidden="1">#N/A</definedName>
    <definedName name="BExKQJGBKZSRJJ003OV78MJ7IBZ8" hidden="1">BS - Equity - [29]LC!$C$13:$D$15</definedName>
    <definedName name="BExKR6IYHY8ETP1VV0VK9VUXYW3S" hidden="1">BS - non Monetary - [29]LC!$C$17:$AA$662</definedName>
    <definedName name="BExKRA4M1SA7DMD2K5F1LNYGDAV3" hidden="1">BS - non Monetary - [29]LC!$D$8:$D$8</definedName>
    <definedName name="BExKRCO6Q6GULRSXIZA5TEIQWAO8" hidden="1">#N/A</definedName>
    <definedName name="BExKRY937OP2HFN6AL0898S29WR7" hidden="1">BS - non Monetary - [30]TC!$D$7:$D$7</definedName>
    <definedName name="BExKRZWCJIILJ73W8HI8Y0OJPJ69" hidden="1">BS - non Monetary - [29]LC!$C$13:$D$14</definedName>
    <definedName name="BExKS6C7L0GVV2SZO90D21T23NNS" hidden="1">BS - Equity - [30]TC!$C$17:$E$95</definedName>
    <definedName name="BExKSJOG96NKO1O3XB5S7MT21GN4" hidden="1">#N/A</definedName>
    <definedName name="BExKSLH7DPCJ7OITCJFEZ0K9JCSJ" hidden="1">BS - non Monitory - [33]GC!$D$8:$D$8</definedName>
    <definedName name="BExKSMOD6TVZPHA8OZH3Y1S1184H" hidden="1">BS - [31]Monetary!$C$17:$I$212</definedName>
    <definedName name="BExKT1NUWL6W7IXA51WG9TORJ2WR" hidden="1">#N/A</definedName>
    <definedName name="BExKTG71L1S4MGXQ7AB9JBNU45SN" hidden="1">#N/A</definedName>
    <definedName name="BExKTKOXGL5BHWNHFMW7NUUB356Z" hidden="1">BS - [31]Monetary!$C$17:$I$189</definedName>
    <definedName name="BExKTOAENUXHRTKGEWGNY631OOUI" hidden="1">#N/A</definedName>
    <definedName name="BExKV9J6D8S5GF9EK971GIFC585R" hidden="1">BS - non Monetary - [29]LC!$C$17:$F$529</definedName>
    <definedName name="BExM9Y1C8AJJHYMT506IAD8WRB0V" hidden="1">BS - non Monetary - [30]TC!$D$6:$D$6</definedName>
    <definedName name="BExM9YMW9DUO8I0VXQI7Q5PV3RF3" hidden="1">Balance [35]Sheet!$C$13:$D$18</definedName>
    <definedName name="BExMAABOO1IGJ3D5WDW1NFUH0KCR" hidden="1">BS - [36]Monitory!$C$13:$D$15</definedName>
    <definedName name="BExMALPPF28N6EKKB3X6SRK1UPZ7" hidden="1">BS - [31]Monetary!$D$8:$D$8</definedName>
    <definedName name="BExMAQIC8MTFY76NPB91U7IF1JO1" hidden="1">#N/A</definedName>
    <definedName name="BExMATI84IGKQC9W5T5F41N5ICE2" hidden="1">#N/A</definedName>
    <definedName name="BExMAVWI7PT8IN9B0BUDCJ521WI3" hidden="1">TB - [37]BS!$D$6:$D$6</definedName>
    <definedName name="BExMBDL567CYKIBZCEPTWB658VVN" hidden="1">#N/A</definedName>
    <definedName name="BExMC805YBTLBCGTZIU1FQ6PTL0L" hidden="1">#N/A</definedName>
    <definedName name="BExMC8R8GFNID5HV423BN41W4JLQ" hidden="1">TB - [37]BS!$C$17:$K$928</definedName>
    <definedName name="BExMDOAWNLTR0BF16G5575M016S5" hidden="1">BS - [36]Monitory!$D$6:$D$6</definedName>
    <definedName name="BExMDS75KV2427HYWBHEU5KX0VGT" hidden="1">BS - [31]Monetary!$C$13:$D$14</definedName>
    <definedName name="BExMDY1ITX9085L7MEAI474C92EZ" hidden="1">#N/A</definedName>
    <definedName name="BExME1C67W45X0I2SF68W9CDDG61" hidden="1">Balance [35]Sheet!$C$13:$D$15</definedName>
    <definedName name="BExME64UGO6G3Y66R2BY27LVQUNJ" hidden="1">BS - non Monetary - [29]LC!$C$13:$D$14</definedName>
    <definedName name="BExMF874AZBL44MYPT54ILUA2CZZ" hidden="1">TB - [37]BS!$C$17:$F$2992</definedName>
    <definedName name="BExMFFZMUVTXXI2VVDA23JDXUVOZ" hidden="1">#N/A</definedName>
    <definedName name="BExMG0TE2UQQPSPDM3W0VB1UL5H8" hidden="1">BS - non Monetary - [30]TC!$D$6:$D$6</definedName>
    <definedName name="BExMG8WQZ1SWXGJRR1K6DX7PVKVO" hidden="1">BS - Equity - [29]LC!$C$17:$E$93</definedName>
    <definedName name="BExMGFI4QQL4OBZBSV55NVFP9T1N" hidden="1">BS - non Monetary - [29]LC!$D$6:$D$6</definedName>
    <definedName name="BExMGH022LE3BF46APO2D9HAL2Z0" hidden="1">BS - [31]Monetary!$D$6:$D$6</definedName>
    <definedName name="BExMGLSQ4JNCDDWC6LYN9Z6UW3PI" hidden="1">#N/A</definedName>
    <definedName name="BExMH06M1EXOV4XLBI2EO1TDIIR9" hidden="1">#N/A</definedName>
    <definedName name="BExMH9BLZ9MPEG88KB50W7AIW2X1" hidden="1">BS - non Monetary - [29]LC!$D$6:$D$6</definedName>
    <definedName name="BExMI76UN4UZPSC6JXEY4ALK1VZL" hidden="1">#N/A</definedName>
    <definedName name="BExMIEOJRLPLHK79RBVX7D507CRG" hidden="1">BS - [31]Monetary!$D$7:$D$7</definedName>
    <definedName name="BExMIFA6PO7PIGND0UYIWQLDQC31" hidden="1">BS - non Monetary - [29]LC!$D$8:$D$8</definedName>
    <definedName name="BExMJ3US4QCJMK3W2IV5EA4EREKY" hidden="1">BS - non Monetary - [30]TC!$C$13:$D$14</definedName>
    <definedName name="BExMJCP4AYLQXOXZXMG39SSDFAN7" hidden="1">#N/A</definedName>
    <definedName name="BExMJDW9LIWY5THYHCOF7EBVKU1A" hidden="1">BS - non Monetary - [30]TC!$D$8:$D$8</definedName>
    <definedName name="BExMJM4WKZKXCP3T9QKSTVH0CJAJ" hidden="1">#N/A</definedName>
    <definedName name="BExMK9TAS8RRJQ4TYLHVUWMV8B27" hidden="1">BS - non Monetary - [29]LC!$D$6:$D$6</definedName>
    <definedName name="BExMKOCHFULXMXL70UDI8WMTC6DB" hidden="1">#N/A</definedName>
    <definedName name="BExMKVU9D11M3SQQ2WWD9TNN829K" hidden="1">#N/A</definedName>
    <definedName name="BExMM7SM6ADNA5IXF6YA4EKAXQVU" hidden="1">BS - non Monetary - [30]TC!$D$7:$D$7</definedName>
    <definedName name="BExMMJHDU9WDZFE90XSY9O3VF7TD" hidden="1">TB - [37]BS!$D$7:$D$7</definedName>
    <definedName name="BExMMUF5LE9V59FP6FDUVU4SA4AG" hidden="1">BS - [31]Monetary!$D$6:$D$6</definedName>
    <definedName name="BExMNIJLJZEJV3QFOUAEB1JMSCKG" hidden="1">BS - non Monetary - [30]TC!$C$13:$D$14</definedName>
    <definedName name="BExMNQHMHHJEXHDH5S03F5MNWUDT" hidden="1">#N/A</definedName>
    <definedName name="BExMO1FD0NL47NQWVZKEUUGDV6MC" hidden="1">BS - non Monitory - [33]GC!$D$6:$D$6</definedName>
    <definedName name="BExMODEXWE7UNANO6WUXST6VTADQ" hidden="1">#N/A</definedName>
    <definedName name="BExMOOCOZ6YE13UTCZ7WH6HR952Q" hidden="1">#N/A</definedName>
    <definedName name="BExMOX73FKIKUD16MI1IZ6D6QDEX" hidden="1">BS - non Monetary - [29]LC!$C$13:$D$14</definedName>
    <definedName name="BExMOY3FZ0TV07OJ6060CN8I9ZXI" hidden="1">BS - Equity - [30]TC!$D$6:$D$6</definedName>
    <definedName name="BExMOZAMJGLLO8ACLEE3AK1PCHIR" hidden="1">TB BS non Monetary [33]GC!$D$8:$D$8</definedName>
    <definedName name="BExMOZQQ13G90KYAYGP5TYXY9Z9E" hidden="1">BS - [36]Monitory!$D$8:$D$8</definedName>
    <definedName name="BExMP2FYXXZ4RHSX0EL3Q703O4M3" hidden="1">BS - non Monetary - [30]TC!$D$7:$D$7</definedName>
    <definedName name="BExMP3CD3FLA8SVTIO0K6DH6IAR5" hidden="1">#N/A</definedName>
    <definedName name="BExMP4UA7E7LUQ9OC7QK28JV634F" hidden="1">BS - non Monetary - [30]TC!$D$7:$D$7</definedName>
    <definedName name="BExMP78GMWNVZY107XM01W426XEB" hidden="1">BS - [31]Monetary!$D$8:$D$8</definedName>
    <definedName name="BExMPIH5IV2C62V97HQ7LC05JGTQ" hidden="1">BS - non Monetary - [30]TC!$C$13:$D$14</definedName>
    <definedName name="BExMPWK8IFLVP66R3UNXLFN7RN1U" hidden="1">TB BS Monetary [32]Item!$D$8:$D$8</definedName>
    <definedName name="BExMQ2EKWZE12LEDQE90BRFV92JV" hidden="1">BS - Equity - [29]LC!$C$17:$E$93</definedName>
    <definedName name="BExMQNDUME81WZYCC5OTZRUX3N2Q" hidden="1">Balance [35]Sheet!$D$6:$D$6</definedName>
    <definedName name="BExMQPS60YT6DN6BL3II0TUIUEQG" hidden="1">#N/A</definedName>
    <definedName name="BExMR2IM90OTE8OBX2HOT9I4XWWZ" hidden="1">BS - non Monetary - [29]LC!$C$17:$N$662</definedName>
    <definedName name="BExMRBYKWGLPS623WRQ29UKT5DIO" hidden="1">#N/A</definedName>
    <definedName name="BExMRVW1RX9IH7K998Q6Z7QSLUAY" hidden="1">BS - [31]Monetary!$C$17:$I$862</definedName>
    <definedName name="BExMSXNHXEU5Y0KMK9YUZ0PL1G2D" hidden="1">BS - non Monitory - [33]GC!$C$17:$F$416</definedName>
    <definedName name="BExO672364HYAMDX6XVAMUSW7TFC" hidden="1">BS - [31]Monetary!$C$17:$I$189</definedName>
    <definedName name="BExO6XA9UM1IODHU7IX65YNG5DOD" hidden="1">BS - [36]Monitory!$D$8:$D$8</definedName>
    <definedName name="BExO7P5P1HDMOF39OZ7BAJ8T2QN1" hidden="1">#N/A</definedName>
    <definedName name="BExO88XN9YGEIZY4C2YABRLNT04S" hidden="1">BS - non Monetary - [29]LC!$C$17:$T$735</definedName>
    <definedName name="BExO991QDD1W75Q0ZGB12141PMO0" hidden="1">BS - non Monetary - [30]TC!$C$17:$F$505</definedName>
    <definedName name="BExO9EFX4M0TZ2PAODXGQB0WVVEL" hidden="1">BS - non Monetary - [30]TC!$D$6:$D$6</definedName>
    <definedName name="BExO9F6YF6VHRXW3P5PZXCWVMHAP" hidden="1">BS - [31]Monetary!$C$17:$I$194</definedName>
    <definedName name="BExO9TA4E3362TGCFZVIDSNZMTZW" hidden="1">#N/A</definedName>
    <definedName name="BExOA9BA1AIVW5GM3O22BP63NTHQ" hidden="1">BS - Equity - [29]LC!$D$7:$D$7</definedName>
    <definedName name="BExOAF0AGXPP2YIFWQ0HQYCHNVM1" hidden="1">#N/A</definedName>
    <definedName name="BExOBGBIP59NNB8874KP1D6I5AYJ" hidden="1">BS - [31]Monetary!$C$13:$D$14</definedName>
    <definedName name="BExOBGX2R38ZF2MG5AOPOI76UD67" hidden="1">TB - [37]BS!$D$8:$D$8</definedName>
    <definedName name="BExOBH7V9VOFVQ4LYWUQVPS881CM" hidden="1">BS - non Monetary - [30]TC!$D$7:$D$7</definedName>
    <definedName name="BExOBSB3N8CWMNBZBW2K6TNBCOX3" hidden="1">BS - non Monetary - [29]LC!$D$6:$D$6</definedName>
    <definedName name="BExOC81FOLPSZSVBQUEI1UKLTAP1" hidden="1">TB BS Monetary [32]Item!$D$6:$D$6</definedName>
    <definedName name="BExOCBC51MGOM01WS46NRKV1OLN8" hidden="1">#N/A</definedName>
    <definedName name="BExOE6RSYZNW6X9ZKZI94T0V9EG6" hidden="1">BS - non Monitory - [33]GC!$C$13:$D$15</definedName>
    <definedName name="BExOFG6CE5PYAP2M3LCF8EAZXAYI" hidden="1">BS - [31]Monetary!$D$8:$D$8</definedName>
    <definedName name="BExOFQD8JKUQ96CPWEVYXT3TM5UH" hidden="1">BS - non Monetary - [33]GC!$D$6:$D$6</definedName>
    <definedName name="BExOG6JPBTHWZ6ER3U7P06X83G2Y" hidden="1">#N/A</definedName>
    <definedName name="BExOGJFS4KXZOMCV006PB6M8CAIF" hidden="1">BS - [31]Monetary!$D$6:$D$6</definedName>
    <definedName name="BExOH5WWHSFCATJC8HIBLU13Y77V" hidden="1">BS - non Monetary - [30]TC!$D$8:$D$8</definedName>
    <definedName name="BExOH80EKRO3TX72Z0XU8ON98KTK" hidden="1">BS - non Monitory - [30]TC!$C$13:$D$15</definedName>
    <definedName name="BExOHH5E6O6ZWO88XBBUMLOR2KS3" hidden="1">BS - [31]Monetary!$D$8:$D$8</definedName>
    <definedName name="BExOHKASAE397R5LR3EEIJXO4BQO" hidden="1">BS - non Monetary - [30]TC!$D$8:$D$8</definedName>
    <definedName name="BExOJ5U8M4H51L2O69SW4PKOU8VF" hidden="1">BS - non Monetary - [30]TC!$D$6:$D$6</definedName>
    <definedName name="BExOJNZ2DK9WJ7T33LZ20AA8JKSY" hidden="1">BS - non Monetary - [30]TC!$D$6:$D$6</definedName>
    <definedName name="BExOK0V1DIF4AV12K1WTMCVMMJVT" hidden="1">TB - [37]BS!$C$17:$K$928</definedName>
    <definedName name="BExOKQMS0SDTH1DDW0G9R76A2D0Z" hidden="1">BS - [31]Monetary!$C$13:$D$14</definedName>
    <definedName name="BExOKQS8LY9TCAO8PL0M85D63MXS" hidden="1">BS - non Monetary - [29]LC!$D$8:$D$8</definedName>
    <definedName name="BExOKQS8Z6I1QUB2DR5KLB6BFVI3" hidden="1">BS - Equity - [30]TC!$D$7:$D$7</definedName>
    <definedName name="BExOL6TFD233MTABKRFD5UDT7GIL" hidden="1">BS - non Monetary - [29]LC!$C$17:$F$529</definedName>
    <definedName name="BExOLA9ETCG6T74XQ7065X3Y8YRX" hidden="1">#N/A</definedName>
    <definedName name="BExOM9XDRFMQZ8UJSVOLL2UOR4P7" hidden="1">Trial [34]Balance!$C$17:$T$706</definedName>
    <definedName name="BExOMAOFLFGMVRGB17NSJLZDIQNB" hidden="1">#N/A</definedName>
    <definedName name="BExOMHPXQJN85HNKVW3SHHOE3IYV" hidden="1">BS - Equity - [30]TC!$C$17:$E$95</definedName>
    <definedName name="BExOMVNQ3N981M4GQ9PLHFU2VDM7" hidden="1">Trial [34]Balance!$D$7:$D$7</definedName>
    <definedName name="BExOMVT14U7R3E310HB5L9S7GNA9" hidden="1">#N/A</definedName>
    <definedName name="BExOMZPC577G7HGKV29SVCYYK52K" hidden="1">BS - [31]Monetary!$D$8:$D$8</definedName>
    <definedName name="BExON8OZQX3EDUO9AXBYD7DNQ0NC" hidden="1">BS - non Monitory - [30]TC!$D$7:$D$7</definedName>
    <definedName name="BExON8P07CKFEQSQCNCE7YEHWYL1" hidden="1">BS - [31]Monetary!$D$8:$D$8</definedName>
    <definedName name="BExONR9XNGNS5W8ACMVEOD162HTR" hidden="1">#N/A</definedName>
    <definedName name="BExONWYZ7NA3XFZ318HWMJTMJIU0" hidden="1">Balance [35]Sheet!$C$17:$I$1005</definedName>
    <definedName name="BExOOOE5JQNZQPOTFQC38C7L3LJG" hidden="1">#N/A</definedName>
    <definedName name="BExOPSUQ3VDHV2G8Y9KUSJQWL47Z" hidden="1">BS - Equity - [30]TC!$D$8:$D$8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hidden="1">BS - [31]Monetary!$C$13:$D$14</definedName>
    <definedName name="BExQ3RL2WL8F4GMWFDQREPDCUZRL" hidden="1">#N/A</definedName>
    <definedName name="BExQ4EIFDH5SRO4V3WQVCH6CG7XN" hidden="1">BS - non Monetary - [29]LC!$C$17:$F$529</definedName>
    <definedName name="BExQ4F403BI08TRSLMOZT9JGNTDO" hidden="1">BS - [31]Monetary!$C$13:$D$14</definedName>
    <definedName name="BExQ4IPH221UI4DA4Y9VFU5F6NQ4" hidden="1">BS - [36]Monitory!$D$7:$D$7</definedName>
    <definedName name="BExQ4J09QLU5URB8GKW5BKEGMFIK" hidden="1">BS Equity [32]Item!$D$8:$D$8</definedName>
    <definedName name="BExQ4L946ZYQRZJ2TTDMMZM72JZH" hidden="1">BS - non Monetary - [30]TC!$C$17:$F$530</definedName>
    <definedName name="BExQ54FO2MAVUUHKB5RLWWHYYQJD" hidden="1">BS - non Monetary - [30]TC!$D$7:$D$7</definedName>
    <definedName name="BExQ57QBVY7KBMCGKFD964FK745N" hidden="1">BS - Equity - [29]LC!$D$6:$D$6</definedName>
    <definedName name="BExQ6NKX8T4E75WVQ6Q0HDV2KTLZ" hidden="1">BS - Equity - [30]TC!$C$17:$E$95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hidden="1">BS - non Monetary - [30]TC!$D$8:$D$8</definedName>
    <definedName name="BExQ7C07GHLSGBGP7RWL1TBHSDLP" hidden="1">#N/A</definedName>
    <definedName name="BExQ8VWENV09SAS51J39KXJCH61J" hidden="1">TB BS non Monetary [30]TC!$C$17:$F$418</definedName>
    <definedName name="BExQ93U9F7CF20IB04J2Q4D4EMB7" hidden="1">BS - non Monetary - [30]TC!$C$13:$D$14</definedName>
    <definedName name="BExQ9GVJ29GW1YE0YVZXVQUNW868" hidden="1">TB BS non Monetary [30]TC!$D$7:$D$7</definedName>
    <definedName name="BExQ9U295SJ67ENVKSOWOWBUXU3T" hidden="1">#N/A</definedName>
    <definedName name="BExQA1PHE3TGQE7GR306KY4Q6YZU" hidden="1">BS - non Monetary - [30]TC!$C$17:$I$516</definedName>
    <definedName name="BExQAC1M1ED19E1HGMZ55RUO82T4" hidden="1">BS - non Monitory - [33]GC!$D$7:$D$7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hidden="1">TB - [37]BS!$D$8:$D$8</definedName>
    <definedName name="BExQB7TCDYRI0YASXGCYL0ZUEP4H" hidden="1">BS - non Monetary - [29]LC!$D$7:$D$7</definedName>
    <definedName name="BExQDFDXVSM6DM4U8PU6UWVQY4FI" hidden="1">#N/A</definedName>
    <definedName name="BExQDKBVF9093QE52BIP6VE0C2L1" hidden="1">BS - [31]Monetary!$D$6:$D$6</definedName>
    <definedName name="BExQDQMGBRWHJTG7EPMEZW6WMVFI" hidden="1">BS - [31]Monetary!$D$8:$D$8</definedName>
    <definedName name="BExQEJ3G5AC10JC6ZQI9OVC8WSKX" hidden="1">BS Equity [32]Item!$D$6:$D$6</definedName>
    <definedName name="BExQEJP0FJXH8GYVJI65F9UNS3QH" hidden="1">#N/A</definedName>
    <definedName name="BExQEXXGFDB7B6KK4FTN548I1HCQ" hidden="1">BS - non Monetary - [29]LC!$D$6:$D$6</definedName>
    <definedName name="BExQF29ZRIPRAN7UOZSCR22B8BNP" hidden="1">#N/A</definedName>
    <definedName name="BExQFMT0YBD5P8LQ4KM5UDKMCP7T" hidden="1">BS - non Monetary - [30]TC!$D$6:$D$6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hidden="1">BS - non Monetary - [29]LC!$D$7:$D$7</definedName>
    <definedName name="BExQGXEPE8D1YDXL6BL417BY89M5" hidden="1">Balance [35]Sheet!$D$6:$D$6</definedName>
    <definedName name="BExQHHMWN8RPABF31FLT54RO2YUN" hidden="1">#N/A</definedName>
    <definedName name="BExQHT0YISY65MID23WWAE7CX59Q" hidden="1">BS - non Monitory - [30]TC!$C$13:$D$15</definedName>
    <definedName name="BExQHVKQZEABGK8EW4ZIFMGCTLXT" hidden="1">BS - non Monetary - [30]TC!$C$13:$D$14</definedName>
    <definedName name="BExQI80FDESDB6CJ8DR99HEYD44Z" hidden="1">#N/A</definedName>
    <definedName name="BExQIDURU3EBW1YYDSAP3ADR1UPU" hidden="1">BS - [31]Monetary!$C$17:$S$212</definedName>
    <definedName name="BExQIM3JQHFNFLWKQMHDU2TWC6MP" hidden="1">BS - non Monetary - [30]TC!$D$7:$D$7</definedName>
    <definedName name="BExQIQ5AO40HXCJND4X0YNYXX1TF" hidden="1">BS - non Monetary - [29]LC!$D$7:$D$7</definedName>
    <definedName name="BExQIXC2HZI9CG6ZWUB78XRDIWYI" hidden="1">BS - non Monetary - [30]TC!$D$7:$D$7</definedName>
    <definedName name="BExQJ3S5UGIEC5DPD96BRRR7TB59" hidden="1">#N/A</definedName>
    <definedName name="BExQJJ7QM9WJJ6TN2YPU7L8JF9FU" hidden="1">BS - [31]Monetary!$C$17:$I$192</definedName>
    <definedName name="BExQJZECKEJBU6KFVLDLKRUFNELB" hidden="1">#N/A</definedName>
    <definedName name="BExQK172ONDZ6KT1H1RPPM42ETU3" hidden="1">BS - [31]Monetary!$C$17:$I$188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hidden="1">BS - Equity - [29]LC!$D$8:$D$8</definedName>
    <definedName name="BExRZHFBRVMCGKT9KRYENH2RDY1G" hidden="1">BS - non Monitory - [30]TC!$C$17:$F$417</definedName>
    <definedName name="BExS0EUAW057BE4D434LQFSA63F7" hidden="1">BS - [31]Monetary!$D$8:$D$8</definedName>
    <definedName name="BExS0MMU1VTBD2KH3GVF3MPW9GMG" hidden="1">BS - [31]Monetary!$D$7:$D$7</definedName>
    <definedName name="BExS1OZWW1UM8CVDDUVAHTM6XTDR" hidden="1">BS - Equity - [29]LC!$D$8:$D$8</definedName>
    <definedName name="BExS1TCAASDOB6SZ16D4LJB0N784" hidden="1">#N/A</definedName>
    <definedName name="BExS1XJC009WSV527PILJSYJRRV4" hidden="1">BS - non Monetary - [30]TC!$D$8:$D$8</definedName>
    <definedName name="BExS25MNHUIKFB5LA7MNO6RAFIBD" hidden="1">BS - non Monetary - [33]GC!$D$8:$D$8</definedName>
    <definedName name="BExS3555HR93L3A4H6L3SV7LU0TK" hidden="1">BS - non Monetary - [29]LC!$D$6:$D$6</definedName>
    <definedName name="BExS3CC40CRIOEG0U25CJ356PEMC" hidden="1">BS - Equity - [29]LC!$C$17:$E$93</definedName>
    <definedName name="BExS3U5ZAQJWK7RE9NMZJLV0FKB2" hidden="1">BS - non Monetary - [29]LC!$D$8:$D$8</definedName>
    <definedName name="BExS48ELFFNVVQBLXIBB3ME4D6XP" hidden="1">BS - [36]Monitory!$C$17:$F$760</definedName>
    <definedName name="BExS49AXPPPD8SYJDP6DZZZGX4C5" hidden="1">BS - [31]Monetary!$D$6:$D$6</definedName>
    <definedName name="BExS4DNBBA0MDUXW6QV1QNTNL3OS" hidden="1">BS - non Monetary - [29]LC!$D$8:$D$8</definedName>
    <definedName name="BExS4FAQERATD1PU7TSO5M3P58PE" hidden="1">BS - non Monetary - [30]TC!$D$6:$D$6</definedName>
    <definedName name="BExS4ZOGCW69ZLFAG2P7R8R13YYO" hidden="1">#N/A</definedName>
    <definedName name="BExS54X6PDO30CQHGECE8O07E6R0" hidden="1">BS - non Monetary - [30]TC!$D$7:$D$7</definedName>
    <definedName name="BExS55YUEAJSIB521IVZUH26FZPP" hidden="1">BS - non Monetary - [30]TC!$C$17:$F$530</definedName>
    <definedName name="BExS564AUC2W6ZNQY69BI0WUL9E7" hidden="1">#N/A</definedName>
    <definedName name="BExS5DRE6SF24YIKQP1R0PTQKDNK" hidden="1">BS - Equity - [30]TC!$D$6:$D$6</definedName>
    <definedName name="BExS5ET9JMSREFGI5A6FEASX32FM" hidden="1">BS - non Monetary - [30]TC!$D$7:$D$7</definedName>
    <definedName name="BExS5M06VCEAOO8WSOXMTN2C2382" hidden="1">#N/A</definedName>
    <definedName name="BExS6K0QB0KMTI7UG8YFC9LBWEHF" hidden="1">BS - non Monetary - [29]LC!$D$8:$D$8</definedName>
    <definedName name="BExS9RUOELWQ7FWJIMZMRS0APL0E" hidden="1">BS - [31]Monetary!$D$7:$D$7</definedName>
    <definedName name="BExS9UUPZ5HDCX7LB8WPWOIOMAY2" hidden="1">#N/A</definedName>
    <definedName name="BExS9ZCF6LUH509DUDRKZ9C14QI8" hidden="1">BS - non Monetary - [30]TC!$D$6:$D$6</definedName>
    <definedName name="BExSA33DC9QX1XSX0C4CEYGS6CGW" hidden="1">#N/A</definedName>
    <definedName name="BExSA8MX0ZNSWJ3JR5NI5UA1KUFE" hidden="1">BS - non Monetary - [30]TC!$C$13:$D$14</definedName>
    <definedName name="BExSAFJ2HLH2UK5HNOX110E3GPIE" hidden="1">#N/A</definedName>
    <definedName name="BExSARO4FCTV6QOUSANXL83P6GW5" hidden="1">#N/A</definedName>
    <definedName name="BExSAUYSLWZNCK2KLFWDPBHR1OC9" hidden="1">BS - Equity - [29]LC!$C$17:$R$93</definedName>
    <definedName name="BExSAVUZYEXXBPTSVMBUG7C20V89" hidden="1">TB BS Monetary [32]Item!$C$17:$F$761</definedName>
    <definedName name="BExSBMU2QYB7EARSBH0RW5MORE7D" hidden="1">BS - [31]Monetary!$D$8:$D$8</definedName>
    <definedName name="BExSBVDORQNJJ5MM6RHT3C3UDN2K" hidden="1">#N/A</definedName>
    <definedName name="BExSC3X4UOTARXHQ1ZL0W7315MX9" hidden="1">BS - non Monetary - [30]TC!$C$13:$D$14</definedName>
    <definedName name="BExSCGYJP4PY4X4JD16UK7NPE776" hidden="1">Balance [35]Sheet!$D$8:$D$8</definedName>
    <definedName name="BExSCWOWDRBGK9RN4WELEDGE7WV7" hidden="1">BS - Equity - [29]LC!$C$13:$D$15</definedName>
    <definedName name="BExSDWCUL6CV6TV0B75YLSF9QBCC" hidden="1">BS - non Monitory - [30]TC!$D$7:$D$7</definedName>
    <definedName name="BExSDYLPZPHT3DM8YVYTOF0RV0QW" hidden="1">#N/A</definedName>
    <definedName name="BExSENBSVQ1M2E1RV8TVLN0MIXIG" hidden="1">TB BS Monetary [32]Item!$C$17:$F$761</definedName>
    <definedName name="BExSEQX9JSJUUICFSPJDQ2KPF8AA" hidden="1">BS - non Monitory - [30]TC!$C$17:$F$417</definedName>
    <definedName name="BExSF0TBU7AXD6GO17GBKCRIAQ05" hidden="1">#N/A</definedName>
    <definedName name="BExSFNW3MLDNRLKDEZUJD5I43D1V" hidden="1">BS - non Monitory - [30]TC!$D$8:$D$8</definedName>
    <definedName name="BExSFYJ1QDXKH0L0ITCJ03BHS741" hidden="1">BS - Equity - [29]LC!$D$6:$D$6</definedName>
    <definedName name="BExSGAIMXNAZ5Y0ZOUQ31DFG1S27" hidden="1">#N/A</definedName>
    <definedName name="BExSGY714OVL16QYE077KFEQDOPJ" hidden="1">#N/A</definedName>
    <definedName name="BExSH833RH66ZWVNU84KNE1KQWPX" hidden="1">BS - non Monetary - [29]LC!$D$7:$D$7</definedName>
    <definedName name="BExSHDS4AJ9AUUL37XCWDI3O9A8H" hidden="1">#N/A</definedName>
    <definedName name="BExTUMFSHWTWBWK5QQUILZYA6B8I" hidden="1">#N/A</definedName>
    <definedName name="BExTVERAY3G1GCHWD6V65BPL3ZSM" hidden="1">BS - non Monetary - [30]TC!$D$6:$D$6</definedName>
    <definedName name="BExTVJ95PQGB39YZHY8B8V4T8SNJ" hidden="1">BS - Equity - [30]TC!$C$13:$D$14</definedName>
    <definedName name="BExTVPJPD8KKYBFVCUK33CGXSSHN" hidden="1">BS - non Monetary - [30]TC!$D$6:$D$6</definedName>
    <definedName name="BExTWPIHMX3BDAOXLSG8SVPIQB2J" hidden="1">#N/A</definedName>
    <definedName name="BExTXGC21UTNJML1K5PW2W5HNBTZ" hidden="1">BS - non Monetary - [30]TC!$D$8:$D$8</definedName>
    <definedName name="BExTXQ2TCZTPGPG4ZTZMLX1PHBC1" hidden="1">BS - [31]Monetary!$D$6:$D$6</definedName>
    <definedName name="BExTY5IFO2O8JNB3VNV5LZJPC6DF" hidden="1">BS - [31]Monetary!$C$17:$I$208</definedName>
    <definedName name="BExTY5NWC0E7X6RIUKYE4G1YP93R" hidden="1">BS - non Monetary - [30]TC!$D$6:$D$6</definedName>
    <definedName name="BExTZ97YCXH5EGMCYKP3OKJ943Q2" hidden="1">TB BS non Monetary [30]TC!$D$7:$D$7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hidden="1">BS Equity [32]Item!$D$7:$D$7</definedName>
    <definedName name="BExU0IMI0UFK98Q441PLJG5CX0I9" hidden="1">#N/A</definedName>
    <definedName name="BExU0L0TQ32RNXLW32U7QN4HRTV6" hidden="1">BS - [31]Monetary!$C$13:$D$14</definedName>
    <definedName name="BExU0TEYMXM370MY9GAU071DDOY8" hidden="1">BS - non Monitory - [30]TC!$C$17:$F$417</definedName>
    <definedName name="BExU0Z3YJ5TPCGJDCJIKACBL0P5L" hidden="1">BS - Equity - [29]LC!$D$8:$D$8</definedName>
    <definedName name="BExU153PYYYZB6JPLOT7TVMVSERI" hidden="1">BS - non Monetary - [29]LC!$C$13:$D$14</definedName>
    <definedName name="BExU1F54H8ZIDTMXJIP60MTNANIT" hidden="1">TB BS Monetary [32]Item!$C$17:$F$705</definedName>
    <definedName name="BExU1IQL666K82YWROP4IWEX9IW2" hidden="1">Trial [34]Balance!$C$17:$K$707</definedName>
    <definedName name="BExU27RGBSV2J3PK6XFIAFFYQ34K" hidden="1">BS - [31]Monetary!$D$6:$D$6</definedName>
    <definedName name="BExU2ARC5RDX7VIEQHKXHQ40HNC8" hidden="1">#N/A</definedName>
    <definedName name="BExU2C9AM5MZ3ESAUI90OGXKTWBR" hidden="1">BS - [31]Monetary!$C$17:$S$189</definedName>
    <definedName name="BExU2YQGY17B3YDT901PMGKU9KXS" hidden="1">BS Equity [32]Item!$C$13:$D$21</definedName>
    <definedName name="BExU3LTC5R0KKNOB2L7Z2MNJZQP8" hidden="1">Trial [34]Balance!$C$17:$N$710</definedName>
    <definedName name="BExU3WWJ3OJ88BIJCDTHGKEDX5R8" hidden="1">BS - [31]Monetary!$C$17:$I$189</definedName>
    <definedName name="BExU4CS7EU9KGK36IZVQGD4NCVBA" hidden="1">#N/A</definedName>
    <definedName name="BExU4I13MLRF8QR4L3QPRS1OF4H0" hidden="1">BS - Equity - [29]LC!$C$13:$D$15</definedName>
    <definedName name="BExU4JZB88DUV0VQ0BBEWHQN869X" hidden="1">BS - non Monetary - [30]TC!$D$7:$D$7</definedName>
    <definedName name="BExU4RH21Q4FU86OVQQ7UM69VS30" hidden="1">BS - non Monetary - [30]TC!$D$6:$D$6</definedName>
    <definedName name="BExU5HEBQABXKO62ZNTQ8V3S25KR" hidden="1">#N/A</definedName>
    <definedName name="BExU5J715ZUAK3PWFBX889DSDCIP" hidden="1">BS - non Monetary - [29]LC!$C$17:$G$504</definedName>
    <definedName name="BExU5OAGTVLC00XP6TAM7X9VCJI7" hidden="1">BS - non Monetary - [30]TC!$D$7:$D$7</definedName>
    <definedName name="BExU622T1E20ULZ2FMIZARLXX5RW" hidden="1">BS - [36]Monitory!$D$8:$D$8</definedName>
    <definedName name="BExU69KINCSW6ABQ5QJQB2P5L0RE" hidden="1">#N/A</definedName>
    <definedName name="BExU6ARNQG8EC8R4S0RJV66166T6" hidden="1">#N/A</definedName>
    <definedName name="BExU71LAKNM8J3V6IU8C6C07TZM6" hidden="1">BS - non Monetary - [29]LC!$C$13:$D$14</definedName>
    <definedName name="BExU71W1Y9J8XB9XD7YN3N0B19EU" hidden="1">BS - [31]Monetary!$C$17:$W$189</definedName>
    <definedName name="BExU7K0RA256R6VIR1RMI554YDD3" hidden="1">BS - [31]Monetary!$C$13:$D$14</definedName>
    <definedName name="BExU7U7LRIVJ9XQH3NIWY0JMAIZ8" hidden="1">BS - non Monetary - [29]LC!$D$8:$D$8</definedName>
    <definedName name="BExU7XT1Z5VSJU0HK7H7D6CSWF0O" hidden="1">#N/A</definedName>
    <definedName name="BExU89CDPGGBNBNDEOXNJT77ONLB" hidden="1">BS - [31]Monetary!$C$13:$D$14</definedName>
    <definedName name="BExU8DE5H651E3BRQ3DEGUMVDEBH" hidden="1">#N/A</definedName>
    <definedName name="BExU8QVNNHH4WH4DSQUCLPWA3DF1" hidden="1">#N/A</definedName>
    <definedName name="BExU8YIQ8UAQBGO0QYQ5XY74RKI5" hidden="1">BS - [31]Monetary!$D$7:$D$7</definedName>
    <definedName name="BExU8Z49ZOW1MKK0LUNJFOEP5PDT" hidden="1">BS - non Monetary - [30]TC!$C$17:$AU$736</definedName>
    <definedName name="BExU92KH4C2H9WRJA0I5O8ZL88WE" hidden="1">BS - non Monetary - [29]LC!$D$8:$D$8</definedName>
    <definedName name="BExU959KKU8PZJB0OZ8DNWCA608S" hidden="1">BS - non Monetary - [30]TC!$D$8:$D$8</definedName>
    <definedName name="BExU9FLRCIOXIB6M6PQ7EBZ7WAJN" hidden="1">BS - non Monetary - [30]TC!$D$8:$D$8</definedName>
    <definedName name="BExU9HEHMB9UYHVZ3GEN0046NEP8" hidden="1">#N/A</definedName>
    <definedName name="BExUA34NB2WEXEC9MFIEET98CHPH" hidden="1">BS - non Monetary - [29]LC!$C$13:$D$14</definedName>
    <definedName name="BExUACPWC16ION1F0Z9P2MOPIAVR" hidden="1">TB BS Monetary [32]Item!$C$13:$D$15</definedName>
    <definedName name="BExUAVLO4FTVO5MFXGN1K81PFNC9" hidden="1">#N/A</definedName>
    <definedName name="BExUC2R86XFOQ504U9U6ITCC21N8" hidden="1">BS - Equity - [29]LC!$C$13:$D$15</definedName>
    <definedName name="BExUCHAM5VKSBOQ9D0FLH5W302LG" hidden="1">BS - [31]Monetary!$C$13:$D$14</definedName>
    <definedName name="BExUCTKYT3CZTZJOG3CNCAADHZ0J" hidden="1">BS - non Monetary - [30]TC!$D$8:$D$8</definedName>
    <definedName name="BExUDH3VL3MXZYRNJBHNSIJ5YHVT" hidden="1">BS - [31]Monetary!$D$6:$D$6</definedName>
    <definedName name="BExUDMSVXBVYLCUKIFFSZH8DW5IX" hidden="1">BS - non Monetary - [29]LC!$C$17:$G$515</definedName>
    <definedName name="BExUDZE19Y7J0OWP2528YT3P02BO" hidden="1">#N/A</definedName>
    <definedName name="BExVQ6L1GRC8LT88ZO5LKJ25ISZM" hidden="1">#N/A</definedName>
    <definedName name="BExVRU84ZNGHAU1DD3KXOBWI0P1L" hidden="1">BS - non Monetary - [30]TC!$C$17:$F$530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hidden="1">BS - [31]Monetary!$D$6:$D$6</definedName>
    <definedName name="BExVU1N8UJU2D0SRDH6H7DI3B9PU" hidden="1">BS - [31]Monetary!$C$13:$D$14</definedName>
    <definedName name="BExVU5UAW59IR5M2WNJKV27NPJ5Y" hidden="1">TB - [37]BS!$C$13:$D$15</definedName>
    <definedName name="BExVUAMXI1A1U167HCNWKW7MF04C" hidden="1">#N/A</definedName>
    <definedName name="BExVULVFY880DEOTZKDXDS4FUWP8" hidden="1">BS - [31]Monetary!$D$7:$D$7</definedName>
    <definedName name="BExVUXK9SB2XLT78VMM4T8JYC7U8" hidden="1">TB - [37]BS!$C$13:$D$15</definedName>
    <definedName name="BExVV0PMI3LRGOBG31H69P5X4JGM" hidden="1">BS - non Monetary - [29]LC!$C$17:$G$662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hidden="1">BS - non Monetary - [30]TC!$D$8:$D$8</definedName>
    <definedName name="BExVW50RFUH4JJA01P7PVNQXEM5A" hidden="1">#N/A</definedName>
    <definedName name="BExVWEWSX8MCW9XL61Q6BA9RYY34" hidden="1">#N/A</definedName>
    <definedName name="BExVWLSZXBKJOT95U7S3L1YOUN2Z" hidden="1">BS - non Monetary - [30]TC!$C$13:$D$14</definedName>
    <definedName name="BExVWSUFRFOYKMJW4P1IQY9T4QJ6" hidden="1">BS - [36]Monitory!$C$17:$F$760</definedName>
    <definedName name="BExVX7TWSVBEM0SIWW2CWQBOWN0A" hidden="1">BS - [31]Monetary!$D$7:$D$7</definedName>
    <definedName name="BExVXYNHSXI19G2RHUT0IEKVWR8N" hidden="1">BS - non Monetary - [30]TC!$C$17:$F$663</definedName>
    <definedName name="BExVY6QT8MYH8YP49L62L4WQ3Q1E" hidden="1">BS - [31]Monetary!$C$17:$I$862</definedName>
    <definedName name="BExVYFW1H90OH1AYYPR4FVVX2DXL" hidden="1">BS - non Monetary - [29]LC!$D$6:$D$6</definedName>
    <definedName name="BExVYS0W2TC4Z501AAHKRAYARH00" hidden="1">#N/A</definedName>
    <definedName name="BExVYZ7VRVFYWYP0Y3894C52W0IN" hidden="1">BS - non Monetary - [29]LC!$D$7:$D$7</definedName>
    <definedName name="BExVZI8WSTMOWDQWQY1NFNHE063B" hidden="1">BS - [31]Monetary!$D$6:$D$6</definedName>
    <definedName name="BExW0MUU0EABXZPZA09AE2I0QGZM" hidden="1">BS - non Monitory - [33]GC!$D$7:$D$7</definedName>
    <definedName name="BExW0XY2N4Y76QO7N8OKAK8CNACS" hidden="1">TB BS non Monetary [33]GC!$D$6:$D$6</definedName>
    <definedName name="BExW1E4PEPLKSNA8GFA5KBZVHEY6" hidden="1">#N/A</definedName>
    <definedName name="BExW1UWXHGPS6DTSBPHCGSPK0X9G" hidden="1">TB BS non Monetary [33]GC!$D$7:$D$7</definedName>
    <definedName name="BExW223VCSYHV678D4LKPOPMBSUK" hidden="1">#N/A</definedName>
    <definedName name="BExW2CG1I2ULG5W1F3XRL1ZL2W8P" hidden="1">#N/A</definedName>
    <definedName name="BExW2DCE7PXK7XWRNRKJ5K9Q3CNS" hidden="1">TB BS non Monetary [33]GC!$D$7:$D$7</definedName>
    <definedName name="BExW2EUCVL1NGKEW8BMJ264DZNUN" hidden="1">#N/A</definedName>
    <definedName name="BExW36477HQK5O4UJNYZ3REFBGTI" hidden="1">#N/A</definedName>
    <definedName name="BExW40U2RWUNEHHKGBVDSIN7JAV6" hidden="1">BS - [31]Monetary!$D$8:$D$8</definedName>
    <definedName name="BExW42S96V7ZAEC2KVDS1HQ9D5YL" hidden="1">#N/A</definedName>
    <definedName name="BExW4DF707EEQT6OLXAUE3ZDM2PW" hidden="1">#N/A</definedName>
    <definedName name="BExW4EMESDTYU434K5URF2EZ07F7" hidden="1">BS - non Monitory - [30]TC!$D$8:$D$8</definedName>
    <definedName name="BExW4OYJ1610HEOEFPOSP73H5755" hidden="1">#N/A</definedName>
    <definedName name="BExW52ARUGJDKL0QOQ9CK01ZY7DU" hidden="1">BS - Equity - [30]TC!$D$8:$D$8</definedName>
    <definedName name="BExW5STKN94UI0RHUXTFXA4CL3EI" hidden="1">#N/A</definedName>
    <definedName name="BExW66WO90KZRNJOG5X2VKEB1KBA" hidden="1">TB - [37]BS!$D$8:$D$8</definedName>
    <definedName name="BExW67T2MM2O02QAZILHFBOCC503" hidden="1">#N/A</definedName>
    <definedName name="BExW6W8BK7DVLLKOB8FYEGKXW7VH" hidden="1">#N/A</definedName>
    <definedName name="BExW6Z87J2L5SDIR9Y4V4BUFUFI6" hidden="1">BS - [31]Monetary!$D$7:$D$7</definedName>
    <definedName name="BExW75Z2VK0PFVVUIQDT6GQL9BPV" hidden="1">#N/A</definedName>
    <definedName name="BExW76PZ435HMB81GU4J5OKCXK49" hidden="1">BS - [31]Monetary!$D$8:$D$8</definedName>
    <definedName name="BExW76VG9QH41I50O4ID9XFTF89I" hidden="1">BS - non Monetary - [29]LC!$D$8:$D$8</definedName>
    <definedName name="BExW799MA3J3A6WTE1UHH8W1WHAV" hidden="1">#N/A</definedName>
    <definedName name="BExW86OQODMNWO31FMCNU8UI0NG1" hidden="1">BS - [31]Monetary!$D$8:$D$8</definedName>
    <definedName name="BExW8C88IIYVK6ADC8P02MN1T5WQ" hidden="1">Balance [35]Sheet!$D$8:$D$8</definedName>
    <definedName name="BExW8IDJ0OTJTXN4YQUO6FWMY16X" hidden="1">BS - non Monetary - [30]TC!$D$8:$D$8</definedName>
    <definedName name="BExW8J4FTPCSN0FSZUCDZX04NF63" hidden="1">BS - non Monetary - [29]LC!$C$13:$D$14</definedName>
    <definedName name="BExW8SKDNHK92CSSE356XA9D7A5T" hidden="1">BS - non Monetary - [30]TC!$D$6:$D$6</definedName>
    <definedName name="BExW90I8M31S10UWTO2LV12LRO9N" hidden="1">#N/A</definedName>
    <definedName name="BExXLPZCFHP2BF00EJNBFNUUF2HR" hidden="1">#N/A</definedName>
    <definedName name="BExXMGCSO1JYL62ZB30OLGW0O8HB" hidden="1">BS - non Monetary - [30]TC!$D$8:$D$8</definedName>
    <definedName name="BExXMNJR7HTQXY3GZUMY9UBB8AVE" hidden="1">BS - non Monetary - [29]LC!$D$6:$D$6</definedName>
    <definedName name="BExXMT8SKUNS5I6TUX9NAOML6LMZ" hidden="1">#N/A</definedName>
    <definedName name="BExXMYXSSTB1636QLYK84SG9EIZ7" hidden="1">BS - [31]Monetary!$D$8:$D$8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hidden="1">BS - non Monetary - [30]TC!$C$17:$Z$663</definedName>
    <definedName name="BExXOQXA4QLH0Y521XHHGC9VTHDA" hidden="1">BS - Equity - [30]TC!$D$6:$D$6</definedName>
    <definedName name="BExXOUO1Y1Z5MIBO3GEDU10SKTY1" hidden="1">BS - non Monitory - [33]GC!$D$8:$D$8</definedName>
    <definedName name="BExXP2GLNCNL45SABJV6E83OCMED" hidden="1">#REF!</definedName>
    <definedName name="BExXPAENHPPJQZR0KR5UM9XOGFZL" hidden="1">BS - non Monetary - [29]LC!$D$6:$D$6</definedName>
    <definedName name="BExXPE5DMUYCU3AI25WE8RPSRNP7" hidden="1">BS - non Monetary - [29]LC!$C$13:$D$14</definedName>
    <definedName name="BExXQUAT4R8M9HRMRPFN0PIW3WTS" hidden="1">BS - non Monetary - [30]TC!$D$7:$D$7</definedName>
    <definedName name="BExXR350QNBDPBVAO09KO7A3SGZX" hidden="1">#N/A</definedName>
    <definedName name="BExXRYGGSSVMJ61X0WJHK1IA8LIM" hidden="1">BS - non Monetary - [30]TC!$C$17:$M$516</definedName>
    <definedName name="BExXSUZ7SH7G5J9UNN3KZFTW6H7D" hidden="1">BS - non Monetary - [30]TC!$D$6:$D$6</definedName>
    <definedName name="BExXSWRRKSVZTQI5HFYON9QI80UP" hidden="1">BS - non Monetary - [29]LC!$D$8:$D$8</definedName>
    <definedName name="BExXTDJZC16W0EW7750RD5IJUUI5" hidden="1">BS - non Monetary - [30]TC!$C$17:$H$530</definedName>
    <definedName name="BExXTL77POIOKH5ZDOSBXKIFKF3R" hidden="1">TB BS non Monetary [33]GC!$C$13:$D$15</definedName>
    <definedName name="BExXTRCDHJ4F0OZOI2PJMVIIKO0Y" hidden="1">BS - non Monetary - [29]LC!$C$13:$D$14</definedName>
    <definedName name="BExXTW4ZVIXLUN9APHU3LT9FAVB6" hidden="1">#N/A</definedName>
    <definedName name="BExXU5KRBW6SEPBOIWETI76TI8KD" hidden="1">BS - Equity - [30]TC!$D$7:$D$7</definedName>
    <definedName name="BExXULWVLPBFYINY8VGNLOCO22GV" hidden="1">BS - non Monetary - [29]LC!$C$17:$G$662</definedName>
    <definedName name="BExXV5JIHGLTCYU9RICBT6UDP99I" hidden="1">#N/A</definedName>
    <definedName name="BExXVPX7AUDP07XWOTRNKG6YYST9" hidden="1">#N/A</definedName>
    <definedName name="BExXVQTLMQFSHJXNH8QZ39ITZ03B" hidden="1">BS - [36]Monitory!$D$6:$D$6</definedName>
    <definedName name="BExXVT2F0PYL04NY0B12BCW1HDO8" hidden="1">BS - non Monetary - [29]LC!$C$13:$D$14</definedName>
    <definedName name="BExXW5YDLQFNX2H725275K9JKRQP" hidden="1">BS - [36]Monitory!$C$13:$D$15</definedName>
    <definedName name="BExXWAWHQPN550JYQC3WHUL0EN4G" hidden="1">#N/A</definedName>
    <definedName name="BExXWWMOLQ6QM60Z2P4LR5O9XKPJ" hidden="1">BS - non Monetary - [29]LC!$C$13:$D$14</definedName>
    <definedName name="BExXXGERW8YUSOUP9GTA140PQDN0" hidden="1">BS - non Monetary - [30]TC!$C$13:$D$14</definedName>
    <definedName name="BExXXTG2R9GUPONNP0VX2ZOIOR0T" hidden="1">BS - non Monetary - [29]LC!$D$7:$D$7</definedName>
    <definedName name="BExXY4JATB1Y42GPKVYV98HC5CTV" hidden="1">Balance [35]Sheet!$C$17:$Q$713</definedName>
    <definedName name="BExXYCH41DZ6ID27KWS6A71R4U5D" hidden="1">BS - non Monetary - [30]TC!$D$6:$D$6</definedName>
    <definedName name="BExXYKPW58UEUXUNIGSNUH8860LB" hidden="1">BS - non Monetary - [29]LC!$D$7:$D$7</definedName>
    <definedName name="BExXYVCUN4CU6ZKFYVG55W7O5UZH" hidden="1">#N/A</definedName>
    <definedName name="BExXZ5P760W4VWHANCLOEBXKGZQK" hidden="1">BS - non Monitory - [30]TC!$D$6:$D$6</definedName>
    <definedName name="BExXZJMSMAJZKFAIRQ89DEQ0IKMM" hidden="1">Balance [35]Sheet!$C$13:$D$15</definedName>
    <definedName name="BExXZSRTW5JW71MSIF8MO1AFS8DE" hidden="1">BS - [31]Monetary!$D$6:$D$6</definedName>
    <definedName name="BExY09EQOJDRQ7463KZ8ZVF8T1GS" hidden="1">BS - non Monetary - [30]TC!$D$6:$D$6</definedName>
    <definedName name="BExY0DB03PU4V1HVZ2IEBAOVCAQ2" hidden="1">BS - Equity - [30]TC!$D$6:$D$6</definedName>
    <definedName name="BExY0TMY3B7OOKSIBAGEJP52V7YT" hidden="1">BS - non Monetary - [29]LC!$D$6:$D$6</definedName>
    <definedName name="BExY17KKRQW3XC1DBF9EKUZZOUQT" hidden="1">BS Equity [32]Item!$D$6:$D$6</definedName>
    <definedName name="BExY1GKB6LOVBUNIJ3F8TEE0QK62" hidden="1">BS - non Monetary - [29]LC!$D$6:$D$6</definedName>
    <definedName name="BExY1QGBKQHQPZST140TAWBWPQVX" hidden="1">#N/A</definedName>
    <definedName name="BExY2LMGCQGBTS0SH0IMVFSTIGCV" hidden="1">BS - [36]Monitory!$D$7:$D$7</definedName>
    <definedName name="BExY36AZ6GKXMHX57BFX8HSRCO41" hidden="1">BS - [36]Monitory!$C$13:$D$15</definedName>
    <definedName name="BExY3MS7M4I13X5LD8D74ZM77GX2" hidden="1">BS - Equity - [30]TC!$D$6:$D$6</definedName>
    <definedName name="BExY3QZGHKBQ46Y2R7RFBBDFCD6L" hidden="1">BS - [36]Monitory!$D$8:$D$8</definedName>
    <definedName name="BExY3UVJH7082NH3QAOUYOW7L7M9" hidden="1">#N/A</definedName>
    <definedName name="BExY3YX8OY10QC4MQ3XJ6992P5WP" hidden="1">BS - [31]Monetary!$D$8:$D$8</definedName>
    <definedName name="BExY4A5YEZIE4KRUPPHU3X91GKGG" hidden="1">BS - non Monetary - [29]LC!$D$6:$D$6</definedName>
    <definedName name="BExY544SE5QBW2B020GPDO6278CO" hidden="1">BS - non Monetary - [29]LC!$C$17:$G$504</definedName>
    <definedName name="BExY586J31DVWT0F82I792S32J4T" hidden="1">BS - [31]Monetary!$D$7:$D$7</definedName>
    <definedName name="BExY64P31TT9VQ296ZOTEF5QZ4QX" hidden="1">#N/A</definedName>
    <definedName name="BExZI6HUW7ETTB3LBN8LF8GQJVMQ" hidden="1">BS - non Monetary - [30]TC!$C$17:$F$530</definedName>
    <definedName name="BExZIAE3BYSEXNJMUIA2F9UVL18S" hidden="1">BS - non Monetary - [29]LC!$D$8:$D$8</definedName>
    <definedName name="BExZJ4D3HXT240JOTHL06D0DKDZ0" hidden="1">BS - [31]Monetary!$D$6:$D$6</definedName>
    <definedName name="BExZJ7YKWGRT7WRMWOK0HFM0YQ4I" hidden="1">BS - non Monetary - [29]LC!$C$13:$D$14</definedName>
    <definedName name="BExZJWU33K1FEJUU7D9ZGQDZ01YV" hidden="1">TB BS Monetary [32]Item!$D$8:$D$8</definedName>
    <definedName name="BExZKJWW2U1D5MUMTQCOK3X7SH5U" hidden="1">BS - non Monetary - [29]LC!$C$17:$G$504</definedName>
    <definedName name="BExZKSGBE1MS02IIM264DCKBFTXE" hidden="1">BS - Equity - [29]LC!$C$13:$D$15</definedName>
    <definedName name="BExZKTI0YT5U5BV9SHG0XJIYT0B0" hidden="1">BS - non Monetary - [30]TC!$D$7:$D$7</definedName>
    <definedName name="BExZLM4HXR864WJ4NMWCQYZGI3YN" hidden="1">BS - non Monitory - [33]GC!$C$17:$F$416</definedName>
    <definedName name="BExZMDUFMTGZ2W1S5Z4494AOGUUE" hidden="1">TB - [37]BS!$C$13:$D$15</definedName>
    <definedName name="BExZMMJDGYPAEOTXBESSC5VPBE0D" hidden="1">BS - [36]Monitory!$D$6:$D$6</definedName>
    <definedName name="BExZMTQC2Z54KQ44Z0OTWN4H38SR" hidden="1">BS - non Monetary - [30]TC!$C$13:$D$14</definedName>
    <definedName name="BExZN7IMY9MJU9J2TA6CFYVSNEGU" hidden="1">BS - non Monetary - [29]LC!$C$17:$G$504</definedName>
    <definedName name="BExZNRG2EIS2EMZMQGJ07IE1Q0WO" hidden="1">#N/A</definedName>
    <definedName name="BExZO9Q7RMXXDEA7T3QODVNUCXXM" hidden="1">BS - non Monetary - [30]TC!$D$6:$D$6</definedName>
    <definedName name="BExZOPWV0HR2MU9G3236O11VQEPY" hidden="1">BS - [31]Monetary!$D$8:$D$8</definedName>
    <definedName name="BExZOTYGC0MGVGXI2HOZUN17GVVY" hidden="1">BS - non Monetary - [30]TC!$C$13:$D$15</definedName>
    <definedName name="BExZOZ7BPP3K1X0V3X9ZU6HJY47P" hidden="1">BS - non Monetary - [30]TC!$C$13:$D$14</definedName>
    <definedName name="BExZP1LIC907GLXRJZVBZ1NJSSXU" hidden="1">BS - non Monetary - [29]LC!$C$13:$D$14</definedName>
    <definedName name="BExZP98PG8JAXI4JGRXGOI5JM36D" hidden="1">#N/A</definedName>
    <definedName name="BExZP9E6RFJ00HV0Q8GIUPBXTOXW" hidden="1">BS - [31]Monetary!$D$7:$D$7</definedName>
    <definedName name="BExZPU7ZTRCT0U1527P9KFAMJEZX" hidden="1">BS - non Monetary - [29]LC!$D$7:$D$7</definedName>
    <definedName name="BExZPZBF6JNLNAXN7HLYC35XTAT3" hidden="1">BS - non Monetary - [29]LC!$D$7:$D$7</definedName>
    <definedName name="BExZQB5JZWCOCC7IRYIAULUQC3XG" hidden="1">#N/A</definedName>
    <definedName name="BExZQMZSCVZBPH8BAQD7DU4PHOQ8" hidden="1">BS - non Monetary - [29]LC!$C$13:$D$14</definedName>
    <definedName name="BExZQUC3R1C0CLQP27CUZTDTYXU7" hidden="1">BS - Equity - [30]TC!$C$13:$D$14</definedName>
    <definedName name="BExZRBV788IXO88PWDZ972XQLYOW" hidden="1">BS - [31]Monetary!$C$17:$I$297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hidden="1">BS - non Monitory - [33]GC!$D$8:$D$8</definedName>
    <definedName name="BExZSM62WTUO2W378UE6RTRRZCF1" hidden="1">BS - non Monetary - [30]TC!$C$13:$D$14</definedName>
    <definedName name="BExZT5I44XAFNM0I32YHCC2FYGTY" hidden="1">BS - Equity - [30]TC!$C$17:$E$95</definedName>
    <definedName name="BExZTHXSMKDM85GQ6X1GKVH31T3E" hidden="1">#N/A</definedName>
    <definedName name="BExZTO8EQTW6H676ETSJO1QTL4VQ" hidden="1">#N/A</definedName>
    <definedName name="BExZV2QD0NBRQCWF3GPFSM2MX0TC" hidden="1">BS - [31]Monetary!$C$17:$F$862</definedName>
    <definedName name="BExZWJXFC3EFBA1ZDQPFLD0BQPWQ" hidden="1">#N/A</definedName>
    <definedName name="BExZX4LXKP3LMGFGCWVMOUV2E25N" hidden="1">BS - non Monetary - [30]TC!$D$7:$D$7</definedName>
    <definedName name="BExZXG584BE77RIWSAGRGBXDJNV5" hidden="1">BS - Equity - [30]TC!$C$13:$D$14</definedName>
    <definedName name="BExZXLOY1YYNCUNZ7FZKZR4V248T" hidden="1">BS - non Monetary - [30]TC!$C$13:$D$14</definedName>
    <definedName name="BExZY5X6WT0XDI9MR7SUPZA34LDA" hidden="1">BS - non Monetary - [29]LC!$D$6:$D$6</definedName>
    <definedName name="BExZYH5OXF8X7QGEQJ6P9FHNSQI2" hidden="1">#N/A</definedName>
    <definedName name="BExZYXHTJTKWQP67UMM8D0VUZ5EZ" hidden="1">BS - non Monetary - [30]TC!$C$13:$D$14</definedName>
    <definedName name="BExZZ8A7VC39JMYFNUZK5RYGY0VZ" hidden="1">#N/A</definedName>
    <definedName name="BExZZ9S1QJHESO9WH21G0ROO3ZUR" hidden="1">#N/A</definedName>
    <definedName name="BExZZDTQZCXXLOY1580YIWWTOY9Q" hidden="1">#REF!</definedName>
    <definedName name="BExZZU5PUQT7WMX3UP7EIDQEPLPS" hidden="1">BS - non Monetary - [29]LC!$C$17:$H$515</definedName>
    <definedName name="BG.EDI" localSheetId="4">#REF!</definedName>
    <definedName name="BG.EDI">#REF!</definedName>
    <definedName name="BG.NURSALI" localSheetId="4">#REF!</definedName>
    <definedName name="BG.NURSALI">#REF!</definedName>
    <definedName name="BG.SUGI" localSheetId="4">#REF!</definedName>
    <definedName name="BG.SUGI">#REF!</definedName>
    <definedName name="BG.TATI" localSheetId="4">#REF!</definedName>
    <definedName name="BG.TATI">#REF!</definedName>
    <definedName name="BG_Del" hidden="1">15</definedName>
    <definedName name="BG_Ins" hidden="1">4</definedName>
    <definedName name="BG_Mod" hidden="1">6</definedName>
    <definedName name="BH">#REF!</definedName>
    <definedName name="Biaya" localSheetId="4">#REF!</definedName>
    <definedName name="Biaya">#REF!</definedName>
    <definedName name="bln">[38]PTKP!$B$18:$B$29</definedName>
    <definedName name="BlnIni">[39]Periode!$J$18</definedName>
    <definedName name="BlnLalu">[39]Periode!$J$13</definedName>
    <definedName name="BNE" hidden="1">#REF!</definedName>
    <definedName name="bpll02tm">[0]!bpll02tm</definedName>
    <definedName name="bpll03tm">[0]!bpll03tm</definedName>
    <definedName name="BUD">#REF!</definedName>
    <definedName name="budi" localSheetId="4">'[17]POT-0601'!#REF!</definedName>
    <definedName name="budi">'[17]POT-0601'!#REF!</definedName>
    <definedName name="BuiltIn_Print_Area___4" localSheetId="4">#REF!</definedName>
    <definedName name="BuiltIn_Print_Area___4">#REF!</definedName>
    <definedName name="bulan" localSheetId="4">'[18]POT-0601'!#REF!</definedName>
    <definedName name="bulan">'[19]POT-0601'!#REF!</definedName>
    <definedName name="BulanContra" localSheetId="4">[23]Contra!$D$10:$D$384</definedName>
    <definedName name="BulanContra">[24]Contra!$D$10:$D$384</definedName>
    <definedName name="BulanDN">'[22]Debit Note'!$D$7:$D$62</definedName>
    <definedName name="BulanEkspor" localSheetId="4">#REF!</definedName>
    <definedName name="BulanEkspor">#REF!</definedName>
    <definedName name="BulanInd">[39]Periode!$S$3:$U$15</definedName>
    <definedName name="BulanJournal">[25]Journal!$D$7:$D$784</definedName>
    <definedName name="BulanLokal" localSheetId="4">#REF!</definedName>
    <definedName name="BulanLokal">#REF!</definedName>
    <definedName name="BulanPayment">[25]Payment!$D$7:$D$873</definedName>
    <definedName name="BulanPE" localSheetId="4">#REF!</definedName>
    <definedName name="BulanPE">#REF!</definedName>
    <definedName name="BulanPurchase" localSheetId="4">#REF!</definedName>
    <definedName name="BulanPurchase">#REF!</definedName>
    <definedName name="BulanRecipt">[25]Receipt!$D$7:$D$480</definedName>
    <definedName name="BulanRM" localSheetId="4">#REF!</definedName>
    <definedName name="BulanRM">#REF!</definedName>
    <definedName name="BulanSales" localSheetId="4">#REF!</definedName>
    <definedName name="BulanSales">#REF!</definedName>
    <definedName name="bunga.aan" localSheetId="4">'[18]POT-0601'!#REF!</definedName>
    <definedName name="bunga.aan">'[19]POT-0601'!#REF!</definedName>
    <definedName name="bunga.atun" localSheetId="4">'[18]POT-0601'!#REF!</definedName>
    <definedName name="bunga.atun">'[19]POT-0601'!#REF!</definedName>
    <definedName name="bunga.diman" localSheetId="4">#REF!</definedName>
    <definedName name="bunga.diman">#REF!</definedName>
    <definedName name="bunga.fredi" localSheetId="4">'[18]POT-0601'!#REF!</definedName>
    <definedName name="bunga.fredi">'[19]POT-0601'!#REF!</definedName>
    <definedName name="bunga.ina" localSheetId="4">'[18]POT-0601'!#REF!</definedName>
    <definedName name="bunga.ina">'[19]POT-0601'!#REF!</definedName>
    <definedName name="bunga.kholil" localSheetId="4">#REF!</definedName>
    <definedName name="bunga.kholil">#REF!</definedName>
    <definedName name="bunga.mbok" localSheetId="4">'[18]POT-0601'!#REF!</definedName>
    <definedName name="bunga.mbok">'[19]POT-0601'!#REF!</definedName>
    <definedName name="bunga.novita" localSheetId="4">#REF!</definedName>
    <definedName name="bunga.novita">#REF!</definedName>
    <definedName name="bunga.nug" localSheetId="4">#REF!</definedName>
    <definedName name="bunga.nug">#REF!</definedName>
    <definedName name="bunga.rahman" localSheetId="4">#REF!</definedName>
    <definedName name="bunga.rahman">#REF!</definedName>
    <definedName name="bunga.restu" localSheetId="4">#REF!</definedName>
    <definedName name="bunga.restu">#REF!</definedName>
    <definedName name="bunga.riki" localSheetId="4">'[18]POT-0601'!#REF!</definedName>
    <definedName name="bunga.riki">'[19]POT-0601'!#REF!</definedName>
    <definedName name="bunga.rizal" localSheetId="4">#REF!</definedName>
    <definedName name="bunga.rizal">#REF!</definedName>
    <definedName name="bunga.sahid" localSheetId="4">'[18]POT-0601'!#REF!</definedName>
    <definedName name="bunga.sahid">'[19]POT-0601'!#REF!</definedName>
    <definedName name="bunga.sahit" localSheetId="4">'[18]POT-0601'!#REF!</definedName>
    <definedName name="bunga.sahit">'[19]POT-0601'!#REF!</definedName>
    <definedName name="bunga.sangadi" localSheetId="4">#REF!</definedName>
    <definedName name="bunga.sangadi">#REF!</definedName>
    <definedName name="bunga.yatno" localSheetId="4">'[18]POT-0601'!#REF!</definedName>
    <definedName name="bunga.yatno">'[19]POT-0601'!#REF!</definedName>
    <definedName name="by01tm">[0]!by01tm</definedName>
    <definedName name="by02tm">[0]!by02tm</definedName>
    <definedName name="by03tm">[0]!by03tm</definedName>
    <definedName name="by04tm">[0]!by04tm</definedName>
    <definedName name="by05tm">[0]!by05tm</definedName>
    <definedName name="by06tm">[0]!by06tm</definedName>
    <definedName name="by07tm">[0]!by07tm</definedName>
    <definedName name="by08tm">[0]!by08tm</definedName>
    <definedName name="by09tm">[0]!by09tm</definedName>
    <definedName name="bydtltm">[0]!bydtltm</definedName>
    <definedName name="bydtlytd">[0]!bydtlytd</definedName>
    <definedName name="cash" hidden="1">#REF!</definedName>
    <definedName name="cf" hidden="1">0</definedName>
    <definedName name="Chart" hidden="1">'[8]PABRIK (2)'!#REF!</definedName>
    <definedName name="chart1" hidden="1">'[8]PABRIK (2)'!#REF!</definedName>
    <definedName name="chart10" hidden="1">'[8]PABRIK (2)'!#REF!</definedName>
    <definedName name="chart11" hidden="1">'[8]PABRIK (2)'!#REF!</definedName>
    <definedName name="chart12" hidden="1">'[8]PABRIK (2)'!#REF!</definedName>
    <definedName name="chart13" hidden="1">'[8]PABRIK (2)'!#REF!</definedName>
    <definedName name="chart14" hidden="1">'[8]PABRIK (2)'!#REF!</definedName>
    <definedName name="chart19" hidden="1">'[8]PABRIK (2)'!#REF!</definedName>
    <definedName name="chart2" hidden="1">'[8]PABRIK (2)'!#REF!</definedName>
    <definedName name="chart3" hidden="1">'[8]PABRIK (2)'!#REF!</definedName>
    <definedName name="chart4" hidden="1">'[8]PABRIK (2)'!#REF!</definedName>
    <definedName name="chart5" hidden="1">'[8]PABRIK (2)'!#REF!</definedName>
    <definedName name="chart6" hidden="1">'[8]PABRIK (2)'!#REF!</definedName>
    <definedName name="chart7" hidden="1">'[8]PABRIK (2)'!#REF!</definedName>
    <definedName name="chart8" hidden="1">'[8]PABRIK (2)'!#REF!</definedName>
    <definedName name="chart9" hidden="1">'[8]PABRIK (2)'!#REF!</definedName>
    <definedName name="chat19" hidden="1">'[8]PABRIK (2)'!#REF!</definedName>
    <definedName name="COA">[40]Sheet1!$A$2:$H$62</definedName>
    <definedName name="coba" hidden="1">'[13]BBM-03'!$B$767:$B$769</definedName>
    <definedName name="COST123" hidden="1">'[7]PK RM'!$B$30:$M$30</definedName>
    <definedName name="CS" hidden="1">'[9]% Lbr vs GP'!$B$32:$M$32</definedName>
    <definedName name="csDesignMode">1</definedName>
    <definedName name="d">#REF!</definedName>
    <definedName name="Daftar">[41]SAA!$J$10:$J$46</definedName>
    <definedName name="Daftar_123">#REF!</definedName>
    <definedName name="Data" localSheetId="4">#REF!</definedName>
    <definedName name="Data">#REF!</definedName>
    <definedName name="DATA_27">[42]KertasKerja_DB!$G$7:$IE$589</definedName>
    <definedName name="Data_Deskripsi">[25]Sheet2!$A:$B</definedName>
    <definedName name="_xlnm.Database" localSheetId="4">#REF!</definedName>
    <definedName name="_xlnm.Database">#REF!</definedName>
    <definedName name="DataPDt">'[42]WS EDIT (Izul)_DB'!$B$5:$AE$3803</definedName>
    <definedName name="Days_in_Receivables">#REF!,#REF!</definedName>
    <definedName name="dbBulan">[43]Tanggal!$G$2:$I$13</definedName>
    <definedName name="DBuild1">#REF!</definedName>
    <definedName name="DBuild10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d" localSheetId="4">'[17]POT-0601'!#REF!</definedName>
    <definedName name="dd">'[17]POT-0601'!#REF!</definedName>
    <definedName name="ddgg">#REF!</definedName>
    <definedName name="DEBET">#REF!</definedName>
    <definedName name="DEBET1">#REF!</definedName>
    <definedName name="DEBET2">#REF!</definedName>
    <definedName name="DEBET3">#REF!</definedName>
    <definedName name="DEBET4">#REF!</definedName>
    <definedName name="DebitContra">'[21]Contra '!$K$9:$K$1331</definedName>
    <definedName name="DebitDN">'[22]Debit Note'!$K$7:$K$62</definedName>
    <definedName name="DebitEkspor" localSheetId="4">[23]Ekspor!$K$10:$K$723</definedName>
    <definedName name="DebitEkspor">[24]Ekspor!$K$10:$K$723</definedName>
    <definedName name="DebitEksport" localSheetId="4">#REF!</definedName>
    <definedName name="DebitEksport">#REF!</definedName>
    <definedName name="DebitJournal">[25]Journal!$K$7:$K$784</definedName>
    <definedName name="DebitLokal" localSheetId="4">#REF!</definedName>
    <definedName name="DebitLokal">#REF!</definedName>
    <definedName name="DebitPayment">[25]Payment!$K$7:$K$873</definedName>
    <definedName name="DebitPE" localSheetId="4">#REF!</definedName>
    <definedName name="DebitPE">#REF!</definedName>
    <definedName name="DebitPurchase" localSheetId="4">#REF!</definedName>
    <definedName name="DebitPurchase">#REF!</definedName>
    <definedName name="DebitRecipt">[25]Receipt!$K$7:$K$480</definedName>
    <definedName name="DebitRM" localSheetId="4">#REF!</definedName>
    <definedName name="DebitRM">#REF!</definedName>
    <definedName name="DebitSales" localSheetId="4">#REF!</definedName>
    <definedName name="DebitSales">#REF!</definedName>
    <definedName name="Debt_Exp_to_Sales">#REF!,#REF!</definedName>
    <definedName name="Def" hidden="1">#REF!</definedName>
    <definedName name="des" localSheetId="4" hidden="1">[14]worksheet!#REF!</definedName>
    <definedName name="des" hidden="1">[14]worksheet!#REF!</definedName>
    <definedName name="DETAILS">'[26]Accounts Payable (AA):10-1-1'!$F$13:$H$47</definedName>
    <definedName name="dfagf">'[44]Rekpitulasi Beras'!#REF!,'[44]Rekpitulasi Beras'!$A$1:$J$34</definedName>
    <definedName name="dfd" hidden="1">#REF!</definedName>
    <definedName name="dfgt" localSheetId="4">'[17]POT-0601'!#REF!</definedName>
    <definedName name="dfgt">'[17]POT-0601'!#REF!</definedName>
    <definedName name="dfrstg" localSheetId="4">'[17]POT-0601'!#REF!</definedName>
    <definedName name="dfrstg">'[17]POT-0601'!#REF!</definedName>
    <definedName name="dftrdy" localSheetId="4">'[17]POT-0601'!#REF!</definedName>
    <definedName name="dftrdy">'[17]POT-0601'!#REF!</definedName>
    <definedName name="dg" localSheetId="4">'[17]POT-0601'!#REF!</definedName>
    <definedName name="dg">'[17]POT-0601'!#REF!</definedName>
    <definedName name="dido" localSheetId="4">'[17]POT-0601'!#REF!</definedName>
    <definedName name="dido">'[17]POT-0601'!#REF!</definedName>
    <definedName name="dila" localSheetId="4">'[17]POT-0601'!#REF!</definedName>
    <definedName name="dila">'[17]POT-0601'!#REF!</definedName>
    <definedName name="diman" localSheetId="4">#REF!</definedName>
    <definedName name="diman">#REF!</definedName>
    <definedName name="DINO" localSheetId="6">[45]data!$P$3:$R$9</definedName>
    <definedName name="DINO">[46]data!$P$3:$R$9</definedName>
    <definedName name="Divisi" localSheetId="4">#REF!</definedName>
    <definedName name="Divisi">#REF!</definedName>
    <definedName name="DMach10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rrg" localSheetId="4">'[17]POT-0601'!#REF!</definedName>
    <definedName name="drrg">'[17]POT-0601'!#REF!</definedName>
    <definedName name="dryjui" localSheetId="4">'[17]POT-0601'!#REF!</definedName>
    <definedName name="dryjui">'[17]POT-0601'!#REF!</definedName>
    <definedName name="dsfsdfsdf">[0]!dsfsdfsdf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COE1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ecrw" localSheetId="4">'[17]POT-0601'!#REF!</definedName>
    <definedName name="ecrw">'[17]POT-0601'!#REF!</definedName>
    <definedName name="EDDY.P">#REF!</definedName>
    <definedName name="edfeyer" localSheetId="4">'[17]POT-0601'!#REF!</definedName>
    <definedName name="edfeyer">'[17]POT-0601'!#REF!</definedName>
    <definedName name="EDI" localSheetId="4">#REF!</definedName>
    <definedName name="EDI">#REF!</definedName>
    <definedName name="efd" localSheetId="4">'[17]POT-0601'!#REF!</definedName>
    <definedName name="efd">'[17]POT-0601'!#REF!</definedName>
    <definedName name="ertfedg" localSheetId="4">'[17]POT-0601'!#REF!</definedName>
    <definedName name="ertfedg">'[17]POT-0601'!#REF!</definedName>
    <definedName name="esfrs" localSheetId="4">'[17]POT-0601'!#REF!</definedName>
    <definedName name="esfrs">'[17]POT-0601'!#REF!</definedName>
    <definedName name="Excel_BuiltIn_Database">#REF!</definedName>
    <definedName name="Excel_BuiltIn_Database_11">#REF!</definedName>
    <definedName name="Excel_BuiltIn_Print_Area">#REF!</definedName>
    <definedName name="Excel_BuiltIn_Print_Area_1">"$#REF!.$A$1:$J$103"</definedName>
    <definedName name="Excel_BuiltIn_Print_Area_1_1_1_1">[47]JRNl_A_RASO!#REF!</definedName>
    <definedName name="Excel_BuiltIn_Print_Area_10">#REF!</definedName>
    <definedName name="Excel_BuiltIn_Print_Area_10_1">"$'UM LAIN'.$#REF!$#REF!:$#REF!$#REF!"</definedName>
    <definedName name="Excel_BuiltIn_Print_Area_11">#REF!</definedName>
    <definedName name="Excel_BuiltIn_Print_Area_11_1">#REF!</definedName>
    <definedName name="Excel_BuiltIn_Print_Area_12">#REF!</definedName>
    <definedName name="Excel_BuiltIn_Print_Area_12_1">"$#REF!.$A$1:$X$279"</definedName>
    <definedName name="Excel_BuiltIn_Print_Area_14_1_1">"$#REF!.$B$1:$F$34"</definedName>
    <definedName name="Excel_BuiltIn_Print_Area_19_1">"$#REF!.$A$1:$J$1043"</definedName>
    <definedName name="Excel_BuiltIn_Print_Area_2">#REF!</definedName>
    <definedName name="Excel_BuiltIn_Print_Area_2_1">#REF!</definedName>
    <definedName name="Excel_BuiltIn_Print_Area_3">#REF!</definedName>
    <definedName name="Excel_BuiltIn_Print_Area_3_1">"$#REF!.$A$1:$H$174"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"$#REF!.$A$1:$X$269"</definedName>
    <definedName name="Excel_BuiltIn_Print_Area_55">'[44]Rekpitulasi Beras'!#REF!,'[44]Rekpitulasi Beras'!$A$1:$J$34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>"$#REF!.$A$3:$U$102"</definedName>
    <definedName name="Excel_BuiltIn_Print_Area_6_1">#REF!</definedName>
    <definedName name="Excel_BuiltIn_Print_Area_6_1_1">"$#REF!.$A$1:$X$148"</definedName>
    <definedName name="Excel_BuiltIn_Print_Area_60">#REF!</definedName>
    <definedName name="Excel_BuiltIn_Print_Area_7">"$#REF!.$B$3:$AH$50"</definedName>
    <definedName name="Excel_BuiltIn_Print_Area_8_1">"$#REF!.$A$1:$J$30"</definedName>
    <definedName name="Excel_BuiltIn_Print_Area_8_1_1">"$#REF!.$A$1:$M$20"</definedName>
    <definedName name="Excel_BuiltIn_Print_Area_9">#REF!</definedName>
    <definedName name="Excel_BuiltIn_Print_Titles_1">#REF!</definedName>
    <definedName name="Excel_BuiltIn_Print_Titles_1_1">[47]JRNl_A_RASO!#REF!</definedName>
    <definedName name="Excel_BuiltIn_Print_Titles_12">"$#REF!.$A$1:$IV$8"</definedName>
    <definedName name="Excel_BuiltIn_Print_Titles_12_1_1_1">#REF!</definedName>
    <definedName name="Excel_BuiltIn_Print_Titles_12_1_1_1_1">#REF!</definedName>
    <definedName name="Excel_BuiltIn_Print_Titles_19_1">"$#REF!.$A$1:$IV$9"</definedName>
    <definedName name="Excel_BuiltIn_Print_Titles_2">#REF!</definedName>
    <definedName name="Excel_BuiltIn_Print_Titles_3">"$#REF!.$A$#REF!:$IU$#REF!"</definedName>
    <definedName name="Excel_BuiltIn_Print_Titles_4">#REF!,#REF!</definedName>
    <definedName name="Excel_BuiltIn_Print_Titles_56">#REF!</definedName>
    <definedName name="Excel_BuiltIn_Print_Titles_57">#REF!</definedName>
    <definedName name="Excel_BuiltIn_Print_Titles_58">#REF!</definedName>
    <definedName name="Excel_BuiltIn_Print_Titles_59">#REF!</definedName>
    <definedName name="Excel_BuiltIn_Print_Titles_60">#REF!</definedName>
    <definedName name="f">#REF!</definedName>
    <definedName name="F2946688">#REF!</definedName>
    <definedName name="fajrin" localSheetId="4">'[17]POT-0601'!#REF!</definedName>
    <definedName name="fajrin">'[17]POT-0601'!#REF!</definedName>
    <definedName name="fdgr" localSheetId="4">'[17]POT-0601'!#REF!</definedName>
    <definedName name="fdgr">'[17]POT-0601'!#REF!</definedName>
    <definedName name="fdregv" localSheetId="4">'[17]POT-0601'!#REF!</definedName>
    <definedName name="fdregv">'[17]POT-0601'!#REF!</definedName>
    <definedName name="fdtgfth" localSheetId="4">'[17]POT-0601'!#REF!</definedName>
    <definedName name="fdtgfth">'[17]POT-0601'!#REF!</definedName>
    <definedName name="Fenty">'[48]Tabel Perkiraan'!$A$4:$B$135</definedName>
    <definedName name="fff" localSheetId="4">'[17]POT-0601'!#REF!</definedName>
    <definedName name="fff">'[17]POT-0601'!#REF!</definedName>
    <definedName name="fgd" localSheetId="4">'[17]POT-0601'!#REF!</definedName>
    <definedName name="fgd">'[17]POT-0601'!#REF!</definedName>
    <definedName name="fgdg" localSheetId="4">'[17]POT-0601'!#REF!</definedName>
    <definedName name="fgdg">'[17]POT-0601'!#REF!</definedName>
    <definedName name="fgj">#REF!</definedName>
    <definedName name="fgrg" localSheetId="4">'[17]POT-0601'!#REF!</definedName>
    <definedName name="fgrg">'[17]POT-0601'!#REF!</definedName>
    <definedName name="fgrjj" localSheetId="4">'[17]POT-0601'!#REF!</definedName>
    <definedName name="fgrjj">'[17]POT-0601'!#REF!</definedName>
    <definedName name="fgtruy" localSheetId="4">'[17]POT-0601'!#REF!</definedName>
    <definedName name="fgtruy">'[17]POT-0601'!#REF!</definedName>
    <definedName name="fhjjui" localSheetId="4">'[17]POT-0601'!#REF!</definedName>
    <definedName name="fhjjui">'[17]POT-0601'!#REF!</definedName>
    <definedName name="FORM">#REF!</definedName>
    <definedName name="fredi" localSheetId="4">'[18]POT-0601'!#REF!</definedName>
    <definedName name="fredi">'[19]POT-0601'!#REF!</definedName>
    <definedName name="fregf" localSheetId="4">'[17]POT-0601'!#REF!</definedName>
    <definedName name="fregf">'[17]POT-0601'!#REF!</definedName>
    <definedName name="fret" localSheetId="4">'[17]POT-0601'!#REF!</definedName>
    <definedName name="fret">'[17]POT-0601'!#REF!</definedName>
    <definedName name="fund3PFCY">[49]bs!$D$125:$M$189,[49]bs!$D$193:$M$207</definedName>
    <definedName name="fyuyiu" localSheetId="4">'[17]POT-0601'!#REF!</definedName>
    <definedName name="fyuyiu">'[17]POT-0601'!#REF!</definedName>
    <definedName name="g" localSheetId="4">'[17]POT-0601'!#REF!</definedName>
    <definedName name="g">'[17]POT-0601'!#REF!</definedName>
    <definedName name="gdgdg" localSheetId="4">'[17]POT-0601'!#REF!</definedName>
    <definedName name="gdgdg">'[17]POT-0601'!#REF!</definedName>
    <definedName name="gdrg" localSheetId="4">'[17]POT-0601'!#REF!</definedName>
    <definedName name="gdrg">'[17]POT-0601'!#REF!</definedName>
    <definedName name="gfgd" localSheetId="4">'[17]POT-0601'!#REF!</definedName>
    <definedName name="gfgd">'[17]POT-0601'!#REF!</definedName>
    <definedName name="gfhyu" localSheetId="4">'[17]POT-0601'!#REF!</definedName>
    <definedName name="gfhyu">'[17]POT-0601'!#REF!</definedName>
    <definedName name="gfv" localSheetId="4">'[17]POT-0601'!#REF!</definedName>
    <definedName name="gfv">'[17]POT-0601'!#REF!</definedName>
    <definedName name="Gita">#REF!</definedName>
    <definedName name="gkgyhgi">#REF!</definedName>
    <definedName name="GRADE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gr" localSheetId="4">'[17]POT-0601'!#REF!</definedName>
    <definedName name="grgr">'[17]POT-0601'!#REF!</definedName>
    <definedName name="gs" localSheetId="4">'[17]POT-0601'!#REF!</definedName>
    <definedName name="gs">'[17]POT-0601'!#REF!</definedName>
    <definedName name="gsfg" localSheetId="4">'[17]POT-0601'!#REF!</definedName>
    <definedName name="gsfg">'[17]POT-0601'!#REF!</definedName>
    <definedName name="GUNARTO">#REF!</definedName>
    <definedName name="gyjt" localSheetId="4">'[17]POT-0601'!#REF!</definedName>
    <definedName name="gyjt">'[17]POT-0601'!#REF!</definedName>
    <definedName name="h" localSheetId="4">'[17]POT-0601'!#REF!</definedName>
    <definedName name="h">'[17]POT-0601'!#REF!</definedName>
    <definedName name="Hari1" localSheetId="4">#REF!</definedName>
    <definedName name="Hari1">#REF!</definedName>
    <definedName name="Hari2" localSheetId="4">#REF!</definedName>
    <definedName name="Hari2">#REF!</definedName>
    <definedName name="HGDFSKHLGF" hidden="1">[20]INVES!#REF!</definedName>
    <definedName name="hsn">#REF!</definedName>
    <definedName name="hyg" localSheetId="4">'[17]POT-0601'!#REF!</definedName>
    <definedName name="hyg">'[17]POT-0601'!#REF!</definedName>
    <definedName name="I">#REF!</definedName>
    <definedName name="ina" localSheetId="4">'[18]POT-0601'!#REF!</definedName>
    <definedName name="ina">'[19]POT-0601'!#REF!</definedName>
    <definedName name="INVENTARIS__KANTOR" localSheetId="4">#REF!</definedName>
    <definedName name="INVENTARIS__KANTOR">#REF!</definedName>
    <definedName name="INVENTARIS__PABRIK" localSheetId="4">#REF!</definedName>
    <definedName name="INVENTARIS__PABRIK">#REF!</definedName>
    <definedName name="j">#REF!</definedName>
    <definedName name="janua" localSheetId="4" hidden="1">[14]worksheet!#REF!</definedName>
    <definedName name="janua" hidden="1">[14]worksheet!#REF!</definedName>
    <definedName name="jj" localSheetId="4">'[17]POT-0601'!#REF!</definedName>
    <definedName name="jj">'[17]POT-0601'!#REF!</definedName>
    <definedName name="jjjbjlb" localSheetId="4">'[17]POT-0601'!#REF!</definedName>
    <definedName name="jjjbjlb">'[17]POT-0601'!#REF!</definedName>
    <definedName name="jjuju" localSheetId="4">'[17]POT-0601'!#REF!</definedName>
    <definedName name="jjuju">'[17]POT-0601'!#REF!</definedName>
    <definedName name="jkbhk" localSheetId="4">'[17]POT-0601'!#REF!</definedName>
    <definedName name="jkbhk">'[17]POT-0601'!#REF!</definedName>
    <definedName name="jtty" localSheetId="4">'[17]POT-0601'!#REF!</definedName>
    <definedName name="jtty">'[17]POT-0601'!#REF!</definedName>
    <definedName name="JUMLAH">#REF!</definedName>
    <definedName name="KARYAWAN">[50]pph!$A$8:$DJ$26</definedName>
    <definedName name="karyawan1">#REF!</definedName>
    <definedName name="KASBANK">#REF!</definedName>
    <definedName name="kdkd" localSheetId="4">'[17]POT-0601'!#REF!</definedName>
    <definedName name="kdkd">'[17]POT-0601'!#REF!</definedName>
    <definedName name="kend" localSheetId="4">#REF!</definedName>
    <definedName name="kend">#REF!</definedName>
    <definedName name="KENDARAAN___KANTOR__PUSAT" localSheetId="4">#REF!</definedName>
    <definedName name="KENDARAAN___KANTOR__PUSAT">#REF!</definedName>
    <definedName name="KENDARAAN___PABRIK" localSheetId="4">#REF!</definedName>
    <definedName name="KENDARAAN___PABRIK">#REF!</definedName>
    <definedName name="khgg" localSheetId="4">'[17]POT-0601'!#REF!</definedName>
    <definedName name="khgg">'[17]POT-0601'!#REF!</definedName>
    <definedName name="khhh" localSheetId="4">'[17]POT-0601'!#REF!</definedName>
    <definedName name="khhh">'[17]POT-0601'!#REF!</definedName>
    <definedName name="Kholil" localSheetId="4">#REF!</definedName>
    <definedName name="Kholil">#REF!</definedName>
    <definedName name="kikik" localSheetId="4">'[17]POT-0601'!#REF!</definedName>
    <definedName name="kikik">'[17]POT-0601'!#REF!</definedName>
    <definedName name="kkk" localSheetId="4">'[17]POT-0601'!#REF!</definedName>
    <definedName name="kkk">'[17]POT-0601'!#REF!</definedName>
    <definedName name="kmn" localSheetId="4">'[17]POT-0601'!#REF!</definedName>
    <definedName name="kmn">'[17]POT-0601'!#REF!</definedName>
    <definedName name="Kode" localSheetId="4">#REF!</definedName>
    <definedName name="Kode">#REF!</definedName>
    <definedName name="Kode_k" localSheetId="4">#REF!</definedName>
    <definedName name="Kode_k">#REF!</definedName>
    <definedName name="kom" localSheetId="4">'[17]POT-0601'!#REF!</definedName>
    <definedName name="kom">'[17]POT-0601'!#REF!</definedName>
    <definedName name="Kontraktor" localSheetId="4">#REF!</definedName>
    <definedName name="Kontraktor">#REF!</definedName>
    <definedName name="KOTA">#REF!</definedName>
    <definedName name="KPP">#REF!</definedName>
    <definedName name="KREDIT">#REF!</definedName>
    <definedName name="KREDIT1">#REF!</definedName>
    <definedName name="KREDIT2">#REF!</definedName>
    <definedName name="KREDIT3">#REF!</definedName>
    <definedName name="KREDIT4">#REF!</definedName>
    <definedName name="KreditContra">'[21]Contra '!$L$9:$L$1331</definedName>
    <definedName name="KreditDN">'[22]Debit Note'!$L$7:$L$62</definedName>
    <definedName name="KreditEkspor" localSheetId="4">[23]Ekspor!$L$10:$L$723</definedName>
    <definedName name="KreditEkspor">[24]Ekspor!$L$10:$L$723</definedName>
    <definedName name="KreditEksport" localSheetId="4">#REF!</definedName>
    <definedName name="KreditEksport">#REF!</definedName>
    <definedName name="KreditJournal">[25]Journal!$L$7:$L$784</definedName>
    <definedName name="KreditLokal" localSheetId="4">#REF!</definedName>
    <definedName name="KreditLokal">#REF!</definedName>
    <definedName name="KreditPayment">[25]Payment!$L$7:$L$873</definedName>
    <definedName name="KreditPE" localSheetId="4">#REF!</definedName>
    <definedName name="KreditPE">#REF!</definedName>
    <definedName name="KreditPurchase" localSheetId="4">#REF!</definedName>
    <definedName name="KreditPurchase">#REF!</definedName>
    <definedName name="KreditRecipt">[25]Receipt!$L$7:$L$480</definedName>
    <definedName name="KreditRM" localSheetId="4">#REF!</definedName>
    <definedName name="KreditRM">#REF!</definedName>
    <definedName name="KreditSales" localSheetId="4">#REF!</definedName>
    <definedName name="KreditSales">#REF!</definedName>
    <definedName name="Kriteria1" localSheetId="4">#REF!</definedName>
    <definedName name="Kriteria1">#REF!</definedName>
    <definedName name="Kriteria2" localSheetId="4">#REF!</definedName>
    <definedName name="Kriteria2">#REF!</definedName>
    <definedName name="kt.aan" localSheetId="4">'[18]POT-0601'!#REF!</definedName>
    <definedName name="kt.aan">'[19]POT-0601'!#REF!</definedName>
    <definedName name="kt.atun" localSheetId="4">'[18]POT-0601'!#REF!</definedName>
    <definedName name="kt.atun">'[19]POT-0601'!#REF!</definedName>
    <definedName name="kt.diman" localSheetId="4">#REF!</definedName>
    <definedName name="kt.diman">#REF!</definedName>
    <definedName name="kt.fredi" localSheetId="4">'[18]POT-0601'!#REF!</definedName>
    <definedName name="kt.fredi">'[19]POT-0601'!#REF!</definedName>
    <definedName name="kt.ina" localSheetId="4">'[18]POT-0601'!#REF!</definedName>
    <definedName name="kt.ina">'[19]POT-0601'!#REF!</definedName>
    <definedName name="kt.kholil" localSheetId="4">'[18]POT-0601'!#REF!</definedName>
    <definedName name="kt.kholil">'[19]POT-0601'!#REF!</definedName>
    <definedName name="kt.mbok" localSheetId="4">'[18]POT-0601'!#REF!</definedName>
    <definedName name="kt.mbok">'[19]POT-0601'!#REF!</definedName>
    <definedName name="kt.novita" localSheetId="4">#REF!</definedName>
    <definedName name="kt.novita">#REF!</definedName>
    <definedName name="kt.nug" localSheetId="4">'[18]POT-0601'!#REF!</definedName>
    <definedName name="kt.nug">'[19]POT-0601'!#REF!</definedName>
    <definedName name="kt.rahman" localSheetId="4">#REF!</definedName>
    <definedName name="kt.rahman">#REF!</definedName>
    <definedName name="kt.restu" localSheetId="4">#REF!</definedName>
    <definedName name="kt.restu">#REF!</definedName>
    <definedName name="kt.riki" localSheetId="4">'[18]POT-0601'!#REF!</definedName>
    <definedName name="kt.riki">'[19]POT-0601'!#REF!</definedName>
    <definedName name="kt.rizal" localSheetId="4">#REF!</definedName>
    <definedName name="kt.rizal">#REF!</definedName>
    <definedName name="kt.sahid" localSheetId="4">#REF!</definedName>
    <definedName name="kt.sahid">#REF!</definedName>
    <definedName name="kt.sahit" localSheetId="4">#REF!</definedName>
    <definedName name="kt.sahit">#REF!</definedName>
    <definedName name="kt.sangadi" localSheetId="4">#REF!</definedName>
    <definedName name="kt.sangadi">#REF!</definedName>
    <definedName name="kt.yatno" localSheetId="4">#REF!</definedName>
    <definedName name="kt.yatno">#REF!</definedName>
    <definedName name="KTN.EDI" localSheetId="4">#REF!</definedName>
    <definedName name="KTN.EDI">#REF!</definedName>
    <definedName name="KTN.NURSALI" localSheetId="4">#REF!</definedName>
    <definedName name="KTN.NURSALI">#REF!</definedName>
    <definedName name="KTN.SUGI" localSheetId="4">#REF!</definedName>
    <definedName name="KTN.SUGI">#REF!</definedName>
    <definedName name="KTN.TATI" localSheetId="4">#REF!</definedName>
    <definedName name="KTN.TATI">#REF!</definedName>
    <definedName name="l" localSheetId="4">'[17]POT-0601'!#REF!</definedName>
    <definedName name="l">'[17]POT-0601'!#REF!</definedName>
    <definedName name="ladongi">#REF!</definedName>
    <definedName name="LAIN.EDI" localSheetId="4">#REF!</definedName>
    <definedName name="LAIN.EDI">#REF!</definedName>
    <definedName name="LAIN.NURSALI" localSheetId="4">#REF!</definedName>
    <definedName name="LAIN.NURSALI">#REF!</definedName>
    <definedName name="LAIN.NURSASLI" localSheetId="4">#REF!</definedName>
    <definedName name="LAIN.NURSASLI">#REF!</definedName>
    <definedName name="LAIN.SUGI" localSheetId="4">#REF!</definedName>
    <definedName name="LAIN.SUGI">#REF!</definedName>
    <definedName name="LAIN.TATI" localSheetId="4">#REF!</definedName>
    <definedName name="LAIN.TATI">#REF!</definedName>
    <definedName name="lflflfl" localSheetId="4">'[17]POT-0601'!#REF!</definedName>
    <definedName name="lflflfl">'[17]POT-0601'!#REF!</definedName>
    <definedName name="lglt" localSheetId="4">'[17]POT-0601'!#REF!</definedName>
    <definedName name="lglt">'[17]POT-0601'!#REF!</definedName>
    <definedName name="Lia" localSheetId="4">#REF!</definedName>
    <definedName name="Lia">#REF!</definedName>
    <definedName name="LINE">#REF!</definedName>
    <definedName name="lisa" localSheetId="4">'[17]POT-0601'!#REF!</definedName>
    <definedName name="lisa">'[17]POT-0601'!#REF!</definedName>
    <definedName name="LISST">#REF!</definedName>
    <definedName name="LIST">#REF!</definedName>
    <definedName name="lista">#REF!</definedName>
    <definedName name="listara">[51]NAMA!$F$9:$G$71</definedName>
    <definedName name="listr">[52]Nama!$F$9:$G$20</definedName>
    <definedName name="LISTRA">#REF!</definedName>
    <definedName name="ll.aan" localSheetId="4">'[18]POT-0601'!#REF!</definedName>
    <definedName name="ll.aan">'[19]POT-0601'!#REF!</definedName>
    <definedName name="ll.atun" localSheetId="4">'[18]POT-0601'!#REF!</definedName>
    <definedName name="ll.atun">'[19]POT-0601'!#REF!</definedName>
    <definedName name="ll.diman" localSheetId="4">#REF!</definedName>
    <definedName name="ll.diman">#REF!</definedName>
    <definedName name="ll.fredi" localSheetId="4">'[18]POT-0601'!#REF!</definedName>
    <definedName name="ll.fredi">'[19]POT-0601'!#REF!</definedName>
    <definedName name="ll.ina" localSheetId="4">'[18]POT-0601'!#REF!</definedName>
    <definedName name="ll.ina">'[19]POT-0601'!#REF!</definedName>
    <definedName name="ll.kholil" localSheetId="4">'[18]POT-0601'!#REF!</definedName>
    <definedName name="ll.kholil">'[19]POT-0601'!#REF!</definedName>
    <definedName name="ll.mbok" localSheetId="4">'[18]POT-0601'!#REF!</definedName>
    <definedName name="ll.mbok">'[19]POT-0601'!#REF!</definedName>
    <definedName name="ll.novita" localSheetId="4">#REF!</definedName>
    <definedName name="ll.novita">#REF!</definedName>
    <definedName name="ll.nug" localSheetId="4">'[18]POT-0601'!#REF!</definedName>
    <definedName name="ll.nug">'[19]POT-0601'!#REF!</definedName>
    <definedName name="ll.rahman" localSheetId="4">#REF!</definedName>
    <definedName name="ll.rahman">#REF!</definedName>
    <definedName name="ll.restu" localSheetId="4">#REF!</definedName>
    <definedName name="ll.restu">#REF!</definedName>
    <definedName name="ll.riki" localSheetId="4">'[18]POT-0601'!#REF!</definedName>
    <definedName name="ll.riki">'[19]POT-0601'!#REF!</definedName>
    <definedName name="ll.rizal" localSheetId="4">#REF!</definedName>
    <definedName name="ll.rizal">#REF!</definedName>
    <definedName name="ll.sahid" localSheetId="4">#REF!</definedName>
    <definedName name="ll.sahid">#REF!</definedName>
    <definedName name="ll.sahit" localSheetId="4">#REF!</definedName>
    <definedName name="ll.sahit">#REF!</definedName>
    <definedName name="ll.sangadi" localSheetId="4">#REF!</definedName>
    <definedName name="ll.sangadi">#REF!</definedName>
    <definedName name="ll.yatno" localSheetId="4">#REF!</definedName>
    <definedName name="ll.yatno">#REF!</definedName>
    <definedName name="lsle" localSheetId="4">'[17]POT-0601'!#REF!</definedName>
    <definedName name="lsle">'[17]POT-0601'!#REF!</definedName>
    <definedName name="LY">'[26]Accounts Payable (AA):10-1-1'!$J$13:$J$47</definedName>
    <definedName name="maret" localSheetId="4" hidden="1">[14]worksheet!#REF!</definedName>
    <definedName name="maret" hidden="1">[14]worksheet!#REF!</definedName>
    <definedName name="mas" localSheetId="4">'[17]POT-0601'!#REF!</definedName>
    <definedName name="mas">'[17]POT-0601'!#REF!</definedName>
    <definedName name="masa">[53]PTKP!#REF!</definedName>
    <definedName name="mbok" localSheetId="4">'[18]POT-0601'!#REF!</definedName>
    <definedName name="mbok">'[19]POT-0601'!#REF!</definedName>
    <definedName name="MEMORIAL">#REF!</definedName>
    <definedName name="MESIN___MESIN" localSheetId="4">#REF!</definedName>
    <definedName name="MESIN___MESIN">#REF!</definedName>
    <definedName name="MESIN___PERLENGKAPAN_BARU" localSheetId="4">#REF!</definedName>
    <definedName name="MESIN___PERLENGKAPAN_BARU">#REF!</definedName>
    <definedName name="mETRO1">4743</definedName>
    <definedName name="mkhhj" localSheetId="4">'[17]POT-0601'!#REF!</definedName>
    <definedName name="mkhhj">'[17]POT-0601'!#REF!</definedName>
    <definedName name="mm" localSheetId="4">'[17]POT-0601'!#REF!</definedName>
    <definedName name="mm">'[17]POT-0601'!#REF!</definedName>
    <definedName name="Module1.bpll">[0]!Module1.bpll</definedName>
    <definedName name="Module1.bpll01tm">[0]!Module1.bpll01tm</definedName>
    <definedName name="Module1.bpll01ytd">[0]!Module1.bpll01ytd</definedName>
    <definedName name="Module1.bpll02ytd">[0]!Module1.bpll02ytd</definedName>
    <definedName name="Module1.bpll03ytd">[0]!Module1.bpll03ytd</definedName>
    <definedName name="money" localSheetId="6">'[54]data (2)'!$T$1:$W$1008</definedName>
    <definedName name="money">'[55]data (2)'!$T$1:$W$1008</definedName>
    <definedName name="NAFGNGV" hidden="1">[20]INVES!#REF!</definedName>
    <definedName name="nama">[50]pph!$I$8:$I$26</definedName>
    <definedName name="NAMA1">#REF!</definedName>
    <definedName name="NAMA2">#REF!</definedName>
    <definedName name="neraca">#REF!</definedName>
    <definedName name="Nilai" localSheetId="4">#REF!</definedName>
    <definedName name="Nilai">#REF!</definedName>
    <definedName name="njhhjh" localSheetId="4">'[17]POT-0601'!#REF!</definedName>
    <definedName name="njhhjh">'[17]POT-0601'!#REF!</definedName>
    <definedName name="NoUrut">[50]pph!$A$8:$A$26</definedName>
    <definedName name="novi" localSheetId="4">#REF!</definedName>
    <definedName name="novi">#REF!</definedName>
    <definedName name="NSLain">[39]NS!$A$85:$O$89</definedName>
    <definedName name="NSPendapatan">[39]NS!$A$47:$O$52</definedName>
    <definedName name="nStr">[56]MacPro!$D$11</definedName>
    <definedName name="nug" localSheetId="4">#REF!</definedName>
    <definedName name="nug">#REF!</definedName>
    <definedName name="Number_of_Selections">'[6]CMA Addition'!$F$139</definedName>
    <definedName name="NURSALI" localSheetId="4">#REF!</definedName>
    <definedName name="NURSALI">#REF!</definedName>
    <definedName name="O">#REF!</definedName>
    <definedName name="of" localSheetId="4">'[17]POT-0601'!#REF!</definedName>
    <definedName name="of">'[17]POT-0601'!#REF!</definedName>
    <definedName name="ok" hidden="1">#REF!</definedName>
    <definedName name="OLD" hidden="1">#REF!</definedName>
    <definedName name="olif" localSheetId="4">'[17]POT-0601'!#REF!</definedName>
    <definedName name="olif">'[17]POT-0601'!#REF!</definedName>
    <definedName name="op" localSheetId="4">'[17]POT-0601'!#REF!</definedName>
    <definedName name="op">'[17]POT-0601'!#REF!</definedName>
    <definedName name="oyow" localSheetId="4">'[17]POT-0601'!#REF!</definedName>
    <definedName name="oyow">'[17]POT-0601'!#REF!</definedName>
    <definedName name="oyyy" localSheetId="4">'[17]POT-0601'!#REF!</definedName>
    <definedName name="oyyy">'[17]POT-0601'!#REF!</definedName>
    <definedName name="P">#REF!</definedName>
    <definedName name="Pajak" localSheetId="4">#REF!</definedName>
    <definedName name="Pajak">#REF!</definedName>
    <definedName name="Pajak1" localSheetId="4">#REF!</definedName>
    <definedName name="Pajak1">#REF!</definedName>
    <definedName name="PEMAKAIAN">#REF!</definedName>
    <definedName name="PEMBELIAN">#REF!</definedName>
    <definedName name="pembibitan" hidden="1">'[57]ocean voyage'!#REF!</definedName>
    <definedName name="Pendidikan" localSheetId="4">#REF!</definedName>
    <definedName name="Pendidikan">#REF!</definedName>
    <definedName name="PENJUALAN">#REF!</definedName>
    <definedName name="PERLENGKAPAN__MESIN" localSheetId="4">#REF!</definedName>
    <definedName name="PERLENGKAPAN__MESIN">#REF!</definedName>
    <definedName name="pk.aan" localSheetId="4">'[18]POT-0601'!#REF!</definedName>
    <definedName name="pk.aan">'[19]POT-0601'!#REF!</definedName>
    <definedName name="pk.atun" localSheetId="4">'[18]POT-0601'!#REF!</definedName>
    <definedName name="pk.atun">'[19]POT-0601'!#REF!</definedName>
    <definedName name="pk.kholil" localSheetId="4">'[18]POT-0601'!#REF!</definedName>
    <definedName name="pk.kholil">'[19]POT-0601'!#REF!</definedName>
    <definedName name="pk.yatno" localSheetId="4">'[18]POT-0601'!#REF!</definedName>
    <definedName name="pk.yatno">'[19]POT-0601'!#REF!</definedName>
    <definedName name="popop" localSheetId="4">'[17]POT-0601'!#REF!</definedName>
    <definedName name="popop">'[17]POT-0601'!#REF!</definedName>
    <definedName name="POT.EDI" localSheetId="4">#REF!</definedName>
    <definedName name="POT.EDI">#REF!</definedName>
    <definedName name="POT.NURSALI" localSheetId="4">#REF!</definedName>
    <definedName name="POT.NURSALI">#REF!</definedName>
    <definedName name="POT.SUGI" localSheetId="4">#REF!</definedName>
    <definedName name="POT.SUGI">#REF!</definedName>
    <definedName name="POT.TATI" localSheetId="4">#REF!</definedName>
    <definedName name="POT.TATI">#REF!</definedName>
    <definedName name="PRINT_A">#REF!</definedName>
    <definedName name="_xlnm.Print_Area" localSheetId="4">'Aset Tetap'!$D$1:$S$892</definedName>
    <definedName name="_xlnm.Print_Area" localSheetId="6">AT!$D$1:$S$920</definedName>
    <definedName name="_xlnm.Print_Area">#REF!</definedName>
    <definedName name="Print_Area_MI">#REF!</definedName>
    <definedName name="Print_Area_MI_2">#REF!</definedName>
    <definedName name="Print_Area_MI_3">#REF!</definedName>
    <definedName name="Print_Area_MI_5">#REF!</definedName>
    <definedName name="Print_Area_MI_6">#REF!</definedName>
    <definedName name="Print_Area_MI_7">#REF!</definedName>
    <definedName name="_xlnm.Print_Titles" localSheetId="4">'Aset Tetap'!$1:$9</definedName>
    <definedName name="_xlnm.Print_Titles" localSheetId="6">AT!$1:$10</definedName>
    <definedName name="_xlnm.Print_Titles">#REF!</definedName>
    <definedName name="PRINT_TITLES_MI">#REF!</definedName>
    <definedName name="Print_Titles_MI_1">#REF!</definedName>
    <definedName name="Print_Titles_MI_2">#REF!</definedName>
    <definedName name="Print_Titles_MI_3">#REF!</definedName>
    <definedName name="Produk" localSheetId="4">#REF!</definedName>
    <definedName name="Produk">#REF!</definedName>
    <definedName name="ptkp">[58]Sheet2!$A$1:$C$13</definedName>
    <definedName name="PWE" hidden="1">#REF!</definedName>
    <definedName name="RAB" hidden="1">#REF!</definedName>
    <definedName name="rahman" localSheetId="4">#REF!</definedName>
    <definedName name="rahman">#REF!</definedName>
    <definedName name="Rate1">5000</definedName>
    <definedName name="restu" localSheetId="4">#REF!</definedName>
    <definedName name="restu">#REF!</definedName>
    <definedName name="rfbhytu" localSheetId="4">'[17]POT-0601'!#REF!</definedName>
    <definedName name="rfbhytu">'[17]POT-0601'!#REF!</definedName>
    <definedName name="rfedrg" localSheetId="4">'[17]POT-0601'!#REF!</definedName>
    <definedName name="rfedrg">'[17]POT-0601'!#REF!</definedName>
    <definedName name="rfr" localSheetId="4">'[17]POT-0601'!#REF!</definedName>
    <definedName name="rfr">'[17]POT-0601'!#REF!</definedName>
    <definedName name="rfsg" localSheetId="4">'[17]POT-0601'!#REF!</definedName>
    <definedName name="rfsg">'[17]POT-0601'!#REF!</definedName>
    <definedName name="rgdrg" localSheetId="4">'[17]POT-0601'!#REF!</definedName>
    <definedName name="rgdrg">'[17]POT-0601'!#REF!</definedName>
    <definedName name="riki" localSheetId="4">'[18]POT-0601'!#REF!</definedName>
    <definedName name="riki">'[19]POT-0601'!#REF!</definedName>
    <definedName name="rizal" localSheetId="4">#REF!</definedName>
    <definedName name="rizal">#REF!</definedName>
    <definedName name="Rp">[56]MacPro!$B$11</definedName>
    <definedName name="rrr" localSheetId="4">'[17]POT-0601'!#REF!</definedName>
    <definedName name="rrr">'[17]POT-0601'!#REF!</definedName>
    <definedName name="rtrr" localSheetId="4">'[17]POT-0601'!#REF!</definedName>
    <definedName name="rtrr">'[17]POT-0601'!#REF!</definedName>
    <definedName name="rtyit" localSheetId="4">'[17]POT-0601'!#REF!</definedName>
    <definedName name="rtyit">'[17]POT-0601'!#REF!</definedName>
    <definedName name="ruf" localSheetId="4">'[17]POT-0601'!#REF!</definedName>
    <definedName name="ruf">'[17]POT-0601'!#REF!</definedName>
    <definedName name="sahid" localSheetId="4">'[18]POT-0601'!#REF!</definedName>
    <definedName name="sahid">'[19]POT-0601'!#REF!</definedName>
    <definedName name="sajsa" hidden="1">[59]Ekuitas!#REF!</definedName>
    <definedName name="Saldo" localSheetId="4">#REF!</definedName>
    <definedName name="Saldo">#REF!</definedName>
    <definedName name="sangadi" localSheetId="4">#REF!</definedName>
    <definedName name="sangadi">#REF!</definedName>
    <definedName name="SARANA_PENUNJANG_PABRIK" localSheetId="4">#REF!</definedName>
    <definedName name="SARANA_PENUNJANG_PABRIK">#REF!</definedName>
    <definedName name="SCL">'[60]Tabel PErkiraan'!$A$3:$B$43</definedName>
    <definedName name="sd.ktn.edi" localSheetId="4">'[18]POT-0601'!#REF!</definedName>
    <definedName name="sd.ktn.edi">'[19]POT-0601'!#REF!</definedName>
    <definedName name="sd.ktn.nursali" localSheetId="4">'[18]POT-0601'!#REF!</definedName>
    <definedName name="sd.ktn.nursali">'[19]POT-0601'!#REF!</definedName>
    <definedName name="sd.ktn.sugi" localSheetId="4">'[18]POT-0601'!#REF!</definedName>
    <definedName name="sd.ktn.sugi">'[19]POT-0601'!#REF!</definedName>
    <definedName name="sd.ktn.tati" localSheetId="4">'[18]POT-0601'!#REF!</definedName>
    <definedName name="sd.ktn.tati">'[19]POT-0601'!#REF!</definedName>
    <definedName name="sd.lain.edi" localSheetId="4">'[18]POT-0601'!#REF!</definedName>
    <definedName name="sd.lain.edi">'[19]POT-0601'!#REF!</definedName>
    <definedName name="sd.lain.nursali" localSheetId="4">'[18]POT-0601'!#REF!</definedName>
    <definedName name="sd.lain.nursali">'[19]POT-0601'!#REF!</definedName>
    <definedName name="sd.lain.sugi" localSheetId="4">'[18]POT-0601'!#REF!</definedName>
    <definedName name="sd.lain.sugi">'[19]POT-0601'!#REF!</definedName>
    <definedName name="sd.lain.tati" localSheetId="4">'[18]POT-0601'!#REF!</definedName>
    <definedName name="sd.lain.tati">'[19]POT-0601'!#REF!</definedName>
    <definedName name="sd.sp.edi" localSheetId="4">'[18]POT-0601'!#REF!</definedName>
    <definedName name="sd.sp.edi">'[19]POT-0601'!#REF!</definedName>
    <definedName name="sd.sp.nursali" localSheetId="4">'[18]POT-0601'!#REF!</definedName>
    <definedName name="sd.sp.nursali">'[19]POT-0601'!#REF!</definedName>
    <definedName name="sd.sp.sugi" localSheetId="4">'[18]POT-0601'!#REF!</definedName>
    <definedName name="sd.sp.sugi">'[19]POT-0601'!#REF!</definedName>
    <definedName name="sd.sp.tati" localSheetId="4">'[18]POT-0601'!#REF!</definedName>
    <definedName name="sd.sp.tati">'[19]POT-0601'!#REF!</definedName>
    <definedName name="sd.tk.edi" localSheetId="4">'[18]POT-0601'!#REF!</definedName>
    <definedName name="sd.tk.edi">'[19]POT-0601'!#REF!</definedName>
    <definedName name="sd.tk.nursali" localSheetId="4">'[18]POT-0601'!#REF!</definedName>
    <definedName name="sd.tk.nursali">'[19]POT-0601'!#REF!</definedName>
    <definedName name="sd.tk.sugi" localSheetId="4">'[18]POT-0601'!#REF!</definedName>
    <definedName name="sd.tk.sugi">'[19]POT-0601'!#REF!</definedName>
    <definedName name="sd.tk.tati" localSheetId="4">'[18]POT-0601'!#REF!</definedName>
    <definedName name="sd.tk.tati">'[19]POT-0601'!#REF!</definedName>
    <definedName name="sdfewf" localSheetId="4">'[17]POT-0601'!#REF!</definedName>
    <definedName name="sdfewf">'[17]POT-0601'!#REF!</definedName>
    <definedName name="sdfrg" localSheetId="4">'[17]POT-0601'!#REF!</definedName>
    <definedName name="sdfrg">'[17]POT-0601'!#REF!</definedName>
    <definedName name="sewdfse" localSheetId="4">'[17]POT-0601'!#REF!</definedName>
    <definedName name="sewdfse">'[17]POT-0601'!#REF!</definedName>
    <definedName name="SIMP.EDI" localSheetId="4">#REF!</definedName>
    <definedName name="SIMP.EDI">#REF!</definedName>
    <definedName name="simp.nursali" localSheetId="4">#REF!</definedName>
    <definedName name="simp.nursali">#REF!</definedName>
    <definedName name="simp.sugi" localSheetId="4">#REF!</definedName>
    <definedName name="simp.sugi">#REF!</definedName>
    <definedName name="SIMP.TATI" localSheetId="4">#REF!</definedName>
    <definedName name="SIMP.TATI">#REF!</definedName>
    <definedName name="so" localSheetId="6">'[54]data (2)'!$T$2:$V$1025</definedName>
    <definedName name="so">'[55]data (2)'!$T$2:$V$1025</definedName>
    <definedName name="So.Ktn.aan" localSheetId="4">'[18]POT-0601'!#REF!</definedName>
    <definedName name="So.Ktn.aan">'[19]POT-0601'!#REF!</definedName>
    <definedName name="So.Ktn.atun" localSheetId="4">'[18]POT-0601'!#REF!</definedName>
    <definedName name="So.Ktn.atun">'[19]POT-0601'!#REF!</definedName>
    <definedName name="So.Ktn.Diman" localSheetId="4">'[18]POT-0601'!#REF!</definedName>
    <definedName name="So.Ktn.Diman">'[19]POT-0601'!#REF!</definedName>
    <definedName name="So.Ktn.Emak" localSheetId="4">'[18]POT-0601'!#REF!</definedName>
    <definedName name="So.Ktn.Emak">'[19]POT-0601'!#REF!</definedName>
    <definedName name="So.Ktn.Fa" localSheetId="4">'[18]POT-0601'!#REF!</definedName>
    <definedName name="So.Ktn.Fa">'[19]POT-0601'!#REF!</definedName>
    <definedName name="So.Ktn.Kholil" localSheetId="4">'[18]POT-0601'!#REF!</definedName>
    <definedName name="So.Ktn.Kholil">'[19]POT-0601'!#REF!</definedName>
    <definedName name="So.Ktn.novi" localSheetId="4">'[18]POT-0601'!#REF!</definedName>
    <definedName name="So.Ktn.novi">'[19]POT-0601'!#REF!</definedName>
    <definedName name="So.Ktn.Nugroho" localSheetId="4">'[18]POT-0601'!#REF!</definedName>
    <definedName name="So.Ktn.Nugroho">'[19]POT-0601'!#REF!</definedName>
    <definedName name="So.Ktn.rahman" localSheetId="4">'[18]POT-0601'!#REF!</definedName>
    <definedName name="So.Ktn.rahman">'[19]POT-0601'!#REF!</definedName>
    <definedName name="So.Ktn.Restu" localSheetId="4">'[18]POT-0601'!#REF!</definedName>
    <definedName name="So.Ktn.Restu">'[19]POT-0601'!#REF!</definedName>
    <definedName name="So.Ktn.Rina" localSheetId="4">'[18]POT-0601'!#REF!</definedName>
    <definedName name="So.Ktn.Rina">'[19]POT-0601'!#REF!</definedName>
    <definedName name="So.Ktn.Rizal" localSheetId="4">'[18]POT-0601'!#REF!</definedName>
    <definedName name="So.Ktn.Rizal">'[19]POT-0601'!#REF!</definedName>
    <definedName name="So.Ktn.Sahid" localSheetId="4">'[18]POT-0601'!#REF!</definedName>
    <definedName name="So.Ktn.Sahid">'[19]POT-0601'!#REF!</definedName>
    <definedName name="So.Ktn.Sangadi" localSheetId="4">'[18]POT-0601'!#REF!</definedName>
    <definedName name="So.Ktn.Sangadi">'[19]POT-0601'!#REF!</definedName>
    <definedName name="So.Ktn.Yatno" localSheetId="4">'[18]POT-0601'!#REF!</definedName>
    <definedName name="So.Ktn.Yatno">'[19]POT-0601'!#REF!</definedName>
    <definedName name="So.LL.aan" localSheetId="4">'[18]POT-0601'!#REF!</definedName>
    <definedName name="So.LL.aan">'[19]POT-0601'!#REF!</definedName>
    <definedName name="So.LL.Atun" localSheetId="4">'[18]POT-0601'!#REF!</definedName>
    <definedName name="So.LL.Atun">'[19]POT-0601'!#REF!</definedName>
    <definedName name="So.LL.Diman" localSheetId="4">'[18]POT-0601'!#REF!</definedName>
    <definedName name="So.LL.Diman">'[19]POT-0601'!#REF!</definedName>
    <definedName name="So.LL.Emak" localSheetId="4">'[18]POT-0601'!#REF!</definedName>
    <definedName name="So.LL.Emak">'[19]POT-0601'!#REF!</definedName>
    <definedName name="So.LL.Fa" localSheetId="4">'[18]POT-0601'!#REF!</definedName>
    <definedName name="So.LL.Fa">'[19]POT-0601'!#REF!</definedName>
    <definedName name="So.LL.Kholil" localSheetId="4">'[18]POT-0601'!#REF!</definedName>
    <definedName name="So.LL.Kholil">'[19]POT-0601'!#REF!</definedName>
    <definedName name="So.LL.Novi" localSheetId="4">'[18]POT-0601'!#REF!</definedName>
    <definedName name="So.LL.Novi">'[19]POT-0601'!#REF!</definedName>
    <definedName name="So.LL.Nugroho" localSheetId="4">'[18]POT-0601'!#REF!</definedName>
    <definedName name="So.LL.Nugroho">'[19]POT-0601'!#REF!</definedName>
    <definedName name="So.LL.rahman" localSheetId="4">'[18]POT-0601'!#REF!</definedName>
    <definedName name="So.LL.rahman">'[19]POT-0601'!#REF!</definedName>
    <definedName name="So.LL.Restu" localSheetId="4">'[18]POT-0601'!#REF!</definedName>
    <definedName name="So.LL.Restu">'[19]POT-0601'!#REF!</definedName>
    <definedName name="So.LL.Rina" localSheetId="4">'[18]POT-0601'!#REF!</definedName>
    <definedName name="So.LL.Rina">'[19]POT-0601'!#REF!</definedName>
    <definedName name="So.LL.Rizal" localSheetId="4">'[18]POT-0601'!#REF!</definedName>
    <definedName name="So.LL.Rizal">'[19]POT-0601'!#REF!</definedName>
    <definedName name="So.LL.Sahid" localSheetId="4">'[18]POT-0601'!#REF!</definedName>
    <definedName name="So.LL.Sahid">'[19]POT-0601'!#REF!</definedName>
    <definedName name="So.LL.Sangadi" localSheetId="4">'[18]POT-0601'!#REF!</definedName>
    <definedName name="So.LL.Sangadi">'[19]POT-0601'!#REF!</definedName>
    <definedName name="So.LL.Yatno" localSheetId="4">'[18]POT-0601'!#REF!</definedName>
    <definedName name="So.LL.Yatno">'[19]POT-0601'!#REF!</definedName>
    <definedName name="So.Sp.aan" localSheetId="4">'[18]POT-0601'!#REF!</definedName>
    <definedName name="So.Sp.aan">'[19]POT-0601'!#REF!</definedName>
    <definedName name="So.Sp.Atun" localSheetId="4">'[18]POT-0601'!#REF!</definedName>
    <definedName name="So.Sp.Atun">'[19]POT-0601'!#REF!</definedName>
    <definedName name="So.Sp.Diman" localSheetId="4">'[18]POT-0601'!#REF!</definedName>
    <definedName name="So.Sp.Diman">'[19]POT-0601'!#REF!</definedName>
    <definedName name="So.Sp.Emak" localSheetId="4">'[18]POT-0601'!#REF!</definedName>
    <definedName name="So.Sp.Emak">'[19]POT-0601'!#REF!</definedName>
    <definedName name="So.Sp.Fa" localSheetId="4">'[18]POT-0601'!#REF!</definedName>
    <definedName name="So.Sp.Fa">'[19]POT-0601'!#REF!</definedName>
    <definedName name="So.Sp.Kholil" localSheetId="4">'[18]POT-0601'!#REF!</definedName>
    <definedName name="So.Sp.Kholil">'[19]POT-0601'!#REF!</definedName>
    <definedName name="So.Sp.Novi" localSheetId="4">'[18]POT-0601'!#REF!</definedName>
    <definedName name="So.Sp.Novi">'[19]POT-0601'!#REF!</definedName>
    <definedName name="So.Sp.Nugroho" localSheetId="4">'[18]POT-0601'!#REF!</definedName>
    <definedName name="So.Sp.Nugroho">'[19]POT-0601'!#REF!</definedName>
    <definedName name="So.Sp.Rahman" localSheetId="4">'[18]POT-0601'!#REF!</definedName>
    <definedName name="So.Sp.Rahman">'[19]POT-0601'!#REF!</definedName>
    <definedName name="So.Sp.restu" localSheetId="4">'[18]POT-0601'!#REF!</definedName>
    <definedName name="So.Sp.restu">'[19]POT-0601'!#REF!</definedName>
    <definedName name="So.Sp.Rina" localSheetId="4">'[18]POT-0601'!#REF!</definedName>
    <definedName name="So.Sp.Rina">'[19]POT-0601'!#REF!</definedName>
    <definedName name="So.Sp.Rizal" localSheetId="4">'[18]POT-0601'!#REF!</definedName>
    <definedName name="So.Sp.Rizal">'[19]POT-0601'!#REF!</definedName>
    <definedName name="So.Sp.sahid" localSheetId="4">'[18]POT-0601'!#REF!</definedName>
    <definedName name="So.Sp.sahid">'[19]POT-0601'!#REF!</definedName>
    <definedName name="So.Sp.Sangadi" localSheetId="4">'[18]POT-0601'!#REF!</definedName>
    <definedName name="So.Sp.Sangadi">'[19]POT-0601'!#REF!</definedName>
    <definedName name="So.Sp.Yatno" localSheetId="4">'[18]POT-0601'!#REF!</definedName>
    <definedName name="So.Sp.Yatno">'[19]POT-0601'!#REF!</definedName>
    <definedName name="So.Tk.aan" localSheetId="4">'[18]POT-0601'!#REF!</definedName>
    <definedName name="So.Tk.aan">'[19]POT-0601'!#REF!</definedName>
    <definedName name="So.Tk.atun" localSheetId="4">'[18]POT-0601'!#REF!</definedName>
    <definedName name="So.Tk.atun">'[19]POT-0601'!#REF!</definedName>
    <definedName name="So.Tk.Diman" localSheetId="4">'[18]POT-0601'!#REF!</definedName>
    <definedName name="So.Tk.Diman">'[19]POT-0601'!#REF!</definedName>
    <definedName name="So.Tk.Emak" localSheetId="4">'[18]POT-0601'!#REF!</definedName>
    <definedName name="So.Tk.Emak">'[19]POT-0601'!#REF!</definedName>
    <definedName name="So.Tk.Fa" localSheetId="4">'[18]POT-0601'!#REF!</definedName>
    <definedName name="So.Tk.Fa">'[19]POT-0601'!#REF!</definedName>
    <definedName name="So.Tk.Kholil" localSheetId="4">'[18]POT-0601'!#REF!</definedName>
    <definedName name="So.Tk.Kholil">'[19]POT-0601'!#REF!</definedName>
    <definedName name="So.Tk.Novi" localSheetId="4">'[18]POT-0601'!#REF!</definedName>
    <definedName name="So.Tk.Novi">'[19]POT-0601'!#REF!</definedName>
    <definedName name="So.Tk.Nugroho" localSheetId="4">'[18]POT-0601'!#REF!</definedName>
    <definedName name="So.Tk.Nugroho">'[19]POT-0601'!#REF!</definedName>
    <definedName name="So.Tk.Rahman" localSheetId="4">'[18]POT-0601'!#REF!</definedName>
    <definedName name="So.Tk.Rahman">'[19]POT-0601'!#REF!</definedName>
    <definedName name="So.Tk.Restu" localSheetId="4">'[18]POT-0601'!#REF!</definedName>
    <definedName name="So.Tk.Restu">'[19]POT-0601'!#REF!</definedName>
    <definedName name="So.Tk.Rina" localSheetId="4">'[18]POT-0601'!#REF!</definedName>
    <definedName name="So.Tk.Rina">'[19]POT-0601'!#REF!</definedName>
    <definedName name="So.Tk.Rizal" localSheetId="4">'[18]POT-0601'!#REF!</definedName>
    <definedName name="So.Tk.Rizal">'[19]POT-0601'!#REF!</definedName>
    <definedName name="So.Tk.sahid" localSheetId="4">'[18]POT-0601'!#REF!</definedName>
    <definedName name="So.Tk.sahid">'[19]POT-0601'!#REF!</definedName>
    <definedName name="So.Tk.Sangadi" localSheetId="4">'[18]POT-0601'!#REF!</definedName>
    <definedName name="So.Tk.Sangadi">'[19]POT-0601'!#REF!</definedName>
    <definedName name="So.Tk.Yatno" localSheetId="4">'[18]POT-0601'!#REF!</definedName>
    <definedName name="So.Tk.Yatno">'[19]POT-0601'!#REF!</definedName>
    <definedName name="sp" hidden="1">#REF!</definedName>
    <definedName name="sp.aan" localSheetId="4">'[18]POT-0601'!#REF!</definedName>
    <definedName name="sp.aan">'[19]POT-0601'!#REF!</definedName>
    <definedName name="sp.atun" localSheetId="4">'[18]POT-0601'!#REF!</definedName>
    <definedName name="sp.atun">'[19]POT-0601'!#REF!</definedName>
    <definedName name="sp.diman" localSheetId="4">#REF!</definedName>
    <definedName name="sp.diman">#REF!</definedName>
    <definedName name="sp.fredi" localSheetId="4">'[18]POT-0601'!#REF!</definedName>
    <definedName name="sp.fredi">'[19]POT-0601'!#REF!</definedName>
    <definedName name="sp.ina" localSheetId="4">'[18]POT-0601'!#REF!</definedName>
    <definedName name="sp.ina">'[19]POT-0601'!#REF!</definedName>
    <definedName name="sp.kholil" localSheetId="4">#REF!</definedName>
    <definedName name="sp.kholil">#REF!</definedName>
    <definedName name="sp.mbok" localSheetId="4">'[18]POT-0601'!#REF!</definedName>
    <definedName name="sp.mbok">'[19]POT-0601'!#REF!</definedName>
    <definedName name="sp.novita" localSheetId="4">#REF!</definedName>
    <definedName name="sp.novita">#REF!</definedName>
    <definedName name="sp.nug" localSheetId="4">#REF!</definedName>
    <definedName name="sp.nug">#REF!</definedName>
    <definedName name="sp.rahman" localSheetId="4">#REF!</definedName>
    <definedName name="sp.rahman">#REF!</definedName>
    <definedName name="sp.restu" localSheetId="4">#REF!</definedName>
    <definedName name="sp.restu">#REF!</definedName>
    <definedName name="sp.riki" localSheetId="4">'[18]POT-0601'!#REF!</definedName>
    <definedName name="sp.riki">'[19]POT-0601'!#REF!</definedName>
    <definedName name="sp.rizal" localSheetId="4">#REF!</definedName>
    <definedName name="sp.rizal">#REF!</definedName>
    <definedName name="sp.sahid" localSheetId="4">'[18]POT-0601'!#REF!</definedName>
    <definedName name="sp.sahid">'[19]POT-0601'!#REF!</definedName>
    <definedName name="sp.sahit" localSheetId="4">'[18]POT-0601'!#REF!</definedName>
    <definedName name="sp.sahit">'[19]POT-0601'!#REF!</definedName>
    <definedName name="sp.sangadi" localSheetId="4">#REF!</definedName>
    <definedName name="sp.sangadi">#REF!</definedName>
    <definedName name="sp.yatno" localSheetId="4">'[18]POT-0601'!#REF!</definedName>
    <definedName name="sp.yatno">'[19]POT-0601'!#REF!</definedName>
    <definedName name="SPACE">#REF!</definedName>
    <definedName name="srie" localSheetId="4">'[17]POT-0601'!#REF!</definedName>
    <definedName name="srie">'[17]POT-0601'!#REF!</definedName>
    <definedName name="ssj" hidden="1">#REF!</definedName>
    <definedName name="sssss" localSheetId="4">'[17]POT-0601'!#REF!</definedName>
    <definedName name="sssss">'[17]POT-0601'!#REF!</definedName>
    <definedName name="st">[53]PTKP!$A$2:$A$13</definedName>
    <definedName name="Sub" localSheetId="4">#REF!</definedName>
    <definedName name="Sub">#REF!</definedName>
    <definedName name="SUGI" localSheetId="4">#REF!</definedName>
    <definedName name="SUGI">#REF!</definedName>
    <definedName name="T">#REF!</definedName>
    <definedName name="Tabel">[61]COA!$A$3:$B$73</definedName>
    <definedName name="TANAH" localSheetId="4">#REF!</definedName>
    <definedName name="TANAH">#REF!</definedName>
    <definedName name="tari" localSheetId="4">'[17]POT-0601'!#REF!</definedName>
    <definedName name="tari">'[17]POT-0601'!#REF!</definedName>
    <definedName name="TATI" localSheetId="4">#REF!</definedName>
    <definedName name="TATI">#REF!</definedName>
    <definedName name="tau" hidden="1">#REF!</definedName>
    <definedName name="TaxTV">10%</definedName>
    <definedName name="TaxXL">5%</definedName>
    <definedName name="Tempo" localSheetId="4">#REF!</definedName>
    <definedName name="Tempo">#REF!</definedName>
    <definedName name="TERBILANG">#REF!</definedName>
    <definedName name="TES" hidden="1">#REF!</definedName>
    <definedName name="TextRefCopy15">#REF!</definedName>
    <definedName name="TextRefCopy17">#REF!</definedName>
    <definedName name="TextRefCopyRangeCount" hidden="1">22</definedName>
    <definedName name="tgd" localSheetId="4">'[17]POT-0601'!#REF!</definedName>
    <definedName name="tgd">'[17]POT-0601'!#REF!</definedName>
    <definedName name="TglIni">[62]Periode!$J$19</definedName>
    <definedName name="TglLalu">[62]Periode!$J$14</definedName>
    <definedName name="Thn">[43]Tanggal!$C$4</definedName>
    <definedName name="ThnIni">[39]Periode!$J$17</definedName>
    <definedName name="ThnLalu">[39]Periode!$J$12</definedName>
    <definedName name="tihas" localSheetId="4">'[17]POT-0601'!#REF!</definedName>
    <definedName name="tihas">'[17]POT-0601'!#REF!</definedName>
    <definedName name="tk.aan" localSheetId="4">'[18]POT-0601'!#REF!</definedName>
    <definedName name="tk.aan">'[19]POT-0601'!#REF!</definedName>
    <definedName name="tk.atun" localSheetId="4">'[18]POT-0601'!#REF!</definedName>
    <definedName name="tk.atun">'[19]POT-0601'!#REF!</definedName>
    <definedName name="tk.diman" localSheetId="4">#REF!</definedName>
    <definedName name="tk.diman">#REF!</definedName>
    <definedName name="TK.EDI" localSheetId="4">#REF!</definedName>
    <definedName name="TK.EDI">#REF!</definedName>
    <definedName name="tk.fredi" localSheetId="4">'[18]POT-0601'!#REF!</definedName>
    <definedName name="tk.fredi">'[19]POT-0601'!#REF!</definedName>
    <definedName name="tk.ina" localSheetId="4">'[18]POT-0601'!#REF!</definedName>
    <definedName name="tk.ina">'[19]POT-0601'!#REF!</definedName>
    <definedName name="tk.kholil" localSheetId="4">'[18]POT-0601'!#REF!</definedName>
    <definedName name="tk.kholil">'[19]POT-0601'!#REF!</definedName>
    <definedName name="tk.mbok" localSheetId="4">'[18]POT-0601'!#REF!</definedName>
    <definedName name="tk.mbok">'[19]POT-0601'!#REF!</definedName>
    <definedName name="tk.novita" localSheetId="4">#REF!</definedName>
    <definedName name="tk.novita">#REF!</definedName>
    <definedName name="tk.nug" localSheetId="4">'[18]POT-0601'!#REF!</definedName>
    <definedName name="tk.nug">'[19]POT-0601'!#REF!</definedName>
    <definedName name="TK.NURSALI" localSheetId="4">#REF!</definedName>
    <definedName name="TK.NURSALI">#REF!</definedName>
    <definedName name="tk.rahman" localSheetId="4">#REF!</definedName>
    <definedName name="tk.rahman">#REF!</definedName>
    <definedName name="tk.restu" localSheetId="4">#REF!</definedName>
    <definedName name="tk.restu">#REF!</definedName>
    <definedName name="tk.riki" localSheetId="4">'[18]POT-0601'!#REF!</definedName>
    <definedName name="tk.riki">'[19]POT-0601'!#REF!</definedName>
    <definedName name="tk.rizal" localSheetId="4">#REF!</definedName>
    <definedName name="tk.rizal">#REF!</definedName>
    <definedName name="tk.sahid" localSheetId="4">#REF!</definedName>
    <definedName name="tk.sahid">#REF!</definedName>
    <definedName name="tk.sahit" localSheetId="4">#REF!</definedName>
    <definedName name="tk.sahit">#REF!</definedName>
    <definedName name="tk.sangadi" localSheetId="4">#REF!</definedName>
    <definedName name="tk.sangadi">#REF!</definedName>
    <definedName name="TK.TATI" localSheetId="4">#REF!</definedName>
    <definedName name="TK.TATI">#REF!</definedName>
    <definedName name="tk.yatno" localSheetId="4">#REF!</definedName>
    <definedName name="tk.yatno">#REF!</definedName>
    <definedName name="TOKO.SUGI" localSheetId="4">#REF!</definedName>
    <definedName name="TOKO.SUGI">#REF!</definedName>
    <definedName name="total.aan" localSheetId="4">'[18]POT-0601'!#REF!</definedName>
    <definedName name="total.aan">'[19]POT-0601'!#REF!</definedName>
    <definedName name="total.atun" localSheetId="4">'[18]POT-0601'!#REF!</definedName>
    <definedName name="total.atun">'[19]POT-0601'!#REF!</definedName>
    <definedName name="total.diman" localSheetId="4">'[18]POT-0601'!#REF!</definedName>
    <definedName name="total.diman">'[19]POT-0601'!#REF!</definedName>
    <definedName name="total.fredi" localSheetId="4">'[18]POT-0601'!#REF!</definedName>
    <definedName name="total.fredi">'[19]POT-0601'!#REF!</definedName>
    <definedName name="total.ina" localSheetId="4">'[18]POT-0601'!#REF!</definedName>
    <definedName name="total.ina">'[19]POT-0601'!#REF!</definedName>
    <definedName name="total.kholil" localSheetId="4">'[18]POT-0601'!#REF!</definedName>
    <definedName name="total.kholil">'[19]POT-0601'!#REF!</definedName>
    <definedName name="total.mbok" localSheetId="4">'[18]POT-0601'!#REF!</definedName>
    <definedName name="total.mbok">'[19]POT-0601'!#REF!</definedName>
    <definedName name="total.novita" localSheetId="4">'[18]POT-0601'!#REF!</definedName>
    <definedName name="total.novita">'[19]POT-0601'!#REF!</definedName>
    <definedName name="total.nug" localSheetId="4">'[18]POT-0601'!#REF!</definedName>
    <definedName name="total.nug">'[19]POT-0601'!#REF!</definedName>
    <definedName name="total.rahman" localSheetId="4">'[18]POT-0601'!#REF!</definedName>
    <definedName name="total.rahman">'[19]POT-0601'!#REF!</definedName>
    <definedName name="total.restu" localSheetId="4">'[18]POT-0601'!#REF!</definedName>
    <definedName name="total.restu">'[19]POT-0601'!#REF!</definedName>
    <definedName name="total.riki" localSheetId="4">'[18]POT-0601'!#REF!</definedName>
    <definedName name="total.riki">'[19]POT-0601'!#REF!</definedName>
    <definedName name="total.rizal" localSheetId="4">'[18]POT-0601'!#REF!</definedName>
    <definedName name="total.rizal">'[19]POT-0601'!#REF!</definedName>
    <definedName name="total.sahid" localSheetId="4">'[18]POT-0601'!#REF!</definedName>
    <definedName name="total.sahid">'[19]POT-0601'!#REF!</definedName>
    <definedName name="total.sahit" localSheetId="4">'[18]POT-0601'!#REF!</definedName>
    <definedName name="total.sahit">'[19]POT-0601'!#REF!</definedName>
    <definedName name="total.sangadi" localSheetId="4">'[18]POT-0601'!#REF!</definedName>
    <definedName name="total.sangadi">'[19]POT-0601'!#REF!</definedName>
    <definedName name="total.yatno" localSheetId="4">'[18]POT-0601'!#REF!</definedName>
    <definedName name="total.yatno">'[19]POT-0601'!#REF!</definedName>
    <definedName name="Total_Amount">'[1]CMA Addition'!$D$139</definedName>
    <definedName name="tr_service" localSheetId="4">#REF!</definedName>
    <definedName name="tr_service">#REF!</definedName>
    <definedName name="Trilogi">[56]MacPro!$C$11</definedName>
    <definedName name="TV" localSheetId="4">#REF!</definedName>
    <definedName name="TV">#REF!</definedName>
    <definedName name="TY">'[26]Accounts Payable (AA):10-1-1'!$I$13:$I$47</definedName>
    <definedName name="U">#REF!</definedName>
    <definedName name="ueda1" hidden="1">#REF!</definedName>
    <definedName name="uiuiuiu" localSheetId="4">'[17]POT-0601'!#REF!</definedName>
    <definedName name="uiuiuiu">'[17]POT-0601'!#REF!</definedName>
    <definedName name="URAIAN">#REF!</definedName>
    <definedName name="uu">'[63]Accounts Payable (AA):10-1-1'!$A$1:$J$69</definedName>
    <definedName name="v">#REF!</definedName>
    <definedName name="vdfdfh" localSheetId="4">'[17]POT-0601'!#REF!</definedName>
    <definedName name="vdfdfh">'[17]POT-0601'!#REF!</definedName>
    <definedName name="Volume" localSheetId="4">#REF!</definedName>
    <definedName name="Volume">#REF!</definedName>
    <definedName name="w" hidden="1">#REF!</definedName>
    <definedName name="WAHID">#REF!</definedName>
    <definedName name="wjb.aan" localSheetId="4">'[18]POT-0601'!#REF!</definedName>
    <definedName name="wjb.aan">'[19]POT-0601'!#REF!</definedName>
    <definedName name="Wjb.atun" localSheetId="4">'[18]POT-0601'!#REF!</definedName>
    <definedName name="Wjb.atun">'[19]POT-0601'!#REF!</definedName>
    <definedName name="wjb.diman" localSheetId="4">#REF!</definedName>
    <definedName name="wjb.diman">#REF!</definedName>
    <definedName name="wjb.fredi" localSheetId="4">'[18]POT-0601'!#REF!</definedName>
    <definedName name="wjb.fredi">'[19]POT-0601'!#REF!</definedName>
    <definedName name="wjb.ina" localSheetId="4">'[18]POT-0601'!#REF!</definedName>
    <definedName name="wjb.ina">'[19]POT-0601'!#REF!</definedName>
    <definedName name="wjb.kholil" localSheetId="4">#REF!</definedName>
    <definedName name="wjb.kholil">#REF!</definedName>
    <definedName name="wjb.mbok" localSheetId="4">'[18]POT-0601'!#REF!</definedName>
    <definedName name="wjb.mbok">'[19]POT-0601'!#REF!</definedName>
    <definedName name="wjb.novita" localSheetId="4">#REF!</definedName>
    <definedName name="wjb.novita">#REF!</definedName>
    <definedName name="wjb.nug" localSheetId="4">#REF!</definedName>
    <definedName name="wjb.nug">#REF!</definedName>
    <definedName name="wjb.rahman" localSheetId="4">#REF!</definedName>
    <definedName name="wjb.rahman">#REF!</definedName>
    <definedName name="wjb.restu" localSheetId="4">#REF!</definedName>
    <definedName name="wjb.restu">#REF!</definedName>
    <definedName name="wjb.riki" localSheetId="4">'[18]POT-0601'!#REF!</definedName>
    <definedName name="wjb.riki">'[19]POT-0601'!#REF!</definedName>
    <definedName name="wjb.rizal" localSheetId="4">#REF!</definedName>
    <definedName name="wjb.rizal">#REF!</definedName>
    <definedName name="wjb.sahid" localSheetId="4">'[18]POT-0601'!#REF!</definedName>
    <definedName name="wjb.sahid">'[19]POT-0601'!#REF!</definedName>
    <definedName name="wjb.sangadi" localSheetId="4">#REF!</definedName>
    <definedName name="wjb.sangadi">#REF!</definedName>
    <definedName name="wjb.yatno" localSheetId="4">'[18]POT-0601'!#REF!</definedName>
    <definedName name="wjb.yatno">'[19]POT-0601'!#REF!</definedName>
    <definedName name="wjib.sahid" localSheetId="4">'[18]POT-0601'!#REF!</definedName>
    <definedName name="wjib.sahid">'[19]POT-0601'!#REF!</definedName>
    <definedName name="wrn.Aging._.and._.Trend._.Analysis." hidden="1">{#N/A,#N/A,FALSE,"Aging Summary";#N/A,#N/A,FALSE,"Ratio Analysis";#N/A,#N/A,FALSE,"Test 120 Day Accts";#N/A,#N/A,FALSE,"Tickmarks"}</definedName>
    <definedName name="XRefColumnsCount" hidden="1">1</definedName>
    <definedName name="XRefCopyRangeCount" hidden="1">1</definedName>
    <definedName name="XRefPaste1" hidden="1">#REF!</definedName>
    <definedName name="XRefPasteRangeCount" hidden="1">1</definedName>
    <definedName name="yatno" localSheetId="4">'[18]POT-0601'!#REF!</definedName>
    <definedName name="yatno">'[19]POT-0601'!#REF!</definedName>
    <definedName name="Yes" hidden="1">[14]worksheet!#REF!</definedName>
    <definedName name="yudgd" localSheetId="4">'[17]POT-0601'!#REF!</definedName>
    <definedName name="yudgd">'[17]POT-0601'!#REF!</definedName>
    <definedName name="YURNALIS" hidden="1">'[3]ocean voyage'!#REF!</definedName>
    <definedName name="ZBZGB" hidden="1">[20]INVES!#REF!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15" i="13" l="1"/>
  <c r="D11" i="32"/>
  <c r="E330" i="13"/>
  <c r="F330" i="13"/>
  <c r="E317" i="13"/>
  <c r="AW313" i="13"/>
  <c r="AX313" i="13" s="1"/>
  <c r="AV313" i="13"/>
  <c r="S237" i="13"/>
  <c r="AS315" i="13"/>
  <c r="AP315" i="13"/>
  <c r="AM315" i="13"/>
  <c r="AJ315" i="13"/>
  <c r="AG315" i="13"/>
  <c r="AD315" i="13"/>
  <c r="AA315" i="13"/>
  <c r="Z315" i="13"/>
  <c r="Y315" i="13"/>
  <c r="V315" i="13"/>
  <c r="S315" i="13"/>
  <c r="R315" i="13"/>
  <c r="Q315" i="13"/>
  <c r="P315" i="13"/>
  <c r="O315" i="13"/>
  <c r="N315" i="13"/>
  <c r="M315" i="13"/>
  <c r="L315" i="13"/>
  <c r="K315" i="13"/>
  <c r="J315" i="13"/>
  <c r="I315" i="13"/>
  <c r="H315" i="13"/>
  <c r="G315" i="13"/>
  <c r="F315" i="13"/>
  <c r="E315" i="13"/>
  <c r="B7" i="33" l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24" i="33" s="1"/>
  <c r="B25" i="33" s="1"/>
  <c r="B26" i="33" s="1"/>
  <c r="B27" i="33" s="1"/>
  <c r="B28" i="33" s="1"/>
  <c r="B29" i="33" s="1"/>
  <c r="B30" i="33" s="1"/>
  <c r="B31" i="33" s="1"/>
  <c r="B32" i="33" s="1"/>
  <c r="B33" i="33" s="1"/>
  <c r="B34" i="33" s="1"/>
  <c r="B35" i="33" s="1"/>
  <c r="B36" i="33" s="1"/>
  <c r="B37" i="33" s="1"/>
  <c r="B38" i="33" s="1"/>
  <c r="B39" i="33" s="1"/>
  <c r="B40" i="33" s="1"/>
  <c r="B41" i="33" s="1"/>
  <c r="B42" i="33" s="1"/>
  <c r="B43" i="33" s="1"/>
  <c r="B44" i="33" s="1"/>
  <c r="B45" i="33" s="1"/>
  <c r="B46" i="33" s="1"/>
  <c r="B47" i="33" s="1"/>
  <c r="B48" i="33" s="1"/>
  <c r="B49" i="33" s="1"/>
  <c r="B50" i="33" s="1"/>
  <c r="B51" i="33" s="1"/>
  <c r="B52" i="33" s="1"/>
  <c r="B53" i="33" s="1"/>
  <c r="B54" i="33" s="1"/>
  <c r="B55" i="33" s="1"/>
  <c r="B56" i="33" s="1"/>
  <c r="B57" i="33" s="1"/>
  <c r="B58" i="33" s="1"/>
  <c r="B59" i="33" s="1"/>
  <c r="B60" i="33" s="1"/>
  <c r="B61" i="33" s="1"/>
  <c r="B62" i="33" s="1"/>
  <c r="B63" i="33" s="1"/>
  <c r="B64" i="33" s="1"/>
  <c r="B65" i="33" s="1"/>
  <c r="B66" i="33" s="1"/>
  <c r="B67" i="33" s="1"/>
  <c r="B68" i="33" s="1"/>
  <c r="B69" i="33" s="1"/>
  <c r="B70" i="33" s="1"/>
  <c r="B71" i="33" s="1"/>
  <c r="B72" i="33" s="1"/>
  <c r="B73" i="33" s="1"/>
  <c r="B74" i="33" s="1"/>
  <c r="B75" i="33" s="1"/>
  <c r="B76" i="33" s="1"/>
  <c r="B77" i="33" s="1"/>
  <c r="B78" i="33" s="1"/>
  <c r="B79" i="33" s="1"/>
  <c r="B80" i="33" s="1"/>
  <c r="B81" i="33" s="1"/>
  <c r="B82" i="33" s="1"/>
  <c r="B83" i="33" s="1"/>
  <c r="B84" i="33" s="1"/>
  <c r="B85" i="33" s="1"/>
  <c r="B86" i="33" s="1"/>
  <c r="B87" i="33" s="1"/>
  <c r="B88" i="33" s="1"/>
  <c r="B89" i="33" s="1"/>
  <c r="B90" i="33" s="1"/>
  <c r="B91" i="33" s="1"/>
  <c r="B92" i="33" s="1"/>
  <c r="B93" i="33" s="1"/>
  <c r="B94" i="33" s="1"/>
  <c r="B95" i="33" s="1"/>
  <c r="B96" i="33" s="1"/>
  <c r="B97" i="33" s="1"/>
  <c r="B98" i="33" s="1"/>
  <c r="B99" i="33" s="1"/>
  <c r="B100" i="33" s="1"/>
  <c r="B101" i="33" s="1"/>
  <c r="B102" i="33" s="1"/>
  <c r="B103" i="33" s="1"/>
  <c r="B104" i="33" s="1"/>
  <c r="B105" i="33" s="1"/>
  <c r="B106" i="33" s="1"/>
  <c r="B107" i="33" s="1"/>
  <c r="B108" i="33" s="1"/>
  <c r="B109" i="33" s="1"/>
  <c r="B110" i="33" s="1"/>
  <c r="B111" i="33" s="1"/>
  <c r="B112" i="33" s="1"/>
  <c r="B113" i="33" s="1"/>
  <c r="B114" i="33" s="1"/>
  <c r="B115" i="33" s="1"/>
  <c r="B116" i="33" s="1"/>
  <c r="B117" i="33" s="1"/>
  <c r="B118" i="33" s="1"/>
  <c r="B119" i="33" s="1"/>
  <c r="B120" i="33" s="1"/>
  <c r="B121" i="33" s="1"/>
  <c r="B122" i="33" s="1"/>
  <c r="B123" i="33" s="1"/>
  <c r="B124" i="33" s="1"/>
  <c r="B125" i="33" s="1"/>
  <c r="B126" i="33" s="1"/>
  <c r="B127" i="33" s="1"/>
  <c r="B128" i="33" s="1"/>
  <c r="B129" i="33" s="1"/>
  <c r="B130" i="33" s="1"/>
  <c r="B131" i="33" s="1"/>
  <c r="B132" i="33" s="1"/>
  <c r="B133" i="33" s="1"/>
  <c r="B134" i="33" s="1"/>
  <c r="B135" i="33" s="1"/>
  <c r="B136" i="33" s="1"/>
  <c r="B137" i="33" s="1"/>
  <c r="B138" i="33" s="1"/>
  <c r="B139" i="33" s="1"/>
  <c r="B140" i="33" s="1"/>
  <c r="B141" i="33" s="1"/>
  <c r="B142" i="33" s="1"/>
  <c r="B143" i="33" s="1"/>
  <c r="B144" i="33" s="1"/>
  <c r="B145" i="33" s="1"/>
  <c r="B146" i="33" s="1"/>
  <c r="B147" i="33" s="1"/>
  <c r="B148" i="33" s="1"/>
  <c r="B149" i="33" s="1"/>
  <c r="B150" i="33" s="1"/>
  <c r="B151" i="33" s="1"/>
  <c r="B152" i="33" s="1"/>
  <c r="B153" i="33" s="1"/>
  <c r="B154" i="33" s="1"/>
  <c r="B155" i="33" s="1"/>
  <c r="B156" i="33" s="1"/>
  <c r="B157" i="33" s="1"/>
  <c r="B158" i="33" s="1"/>
  <c r="B159" i="33" s="1"/>
  <c r="B160" i="33" s="1"/>
  <c r="B161" i="33" s="1"/>
  <c r="B162" i="33" s="1"/>
  <c r="B163" i="33" s="1"/>
  <c r="B164" i="33" s="1"/>
  <c r="B165" i="33" s="1"/>
  <c r="B166" i="33" s="1"/>
  <c r="B167" i="33" s="1"/>
  <c r="B168" i="33" s="1"/>
  <c r="B169" i="33" s="1"/>
  <c r="B170" i="33" s="1"/>
  <c r="B171" i="33" s="1"/>
  <c r="B172" i="33" s="1"/>
  <c r="B173" i="33" s="1"/>
  <c r="B174" i="33" s="1"/>
  <c r="B175" i="33" s="1"/>
  <c r="B176" i="33" s="1"/>
  <c r="B177" i="33" s="1"/>
  <c r="B178" i="33" s="1"/>
  <c r="B179" i="33" s="1"/>
  <c r="B180" i="33" s="1"/>
  <c r="B181" i="33" s="1"/>
  <c r="B182" i="33" s="1"/>
  <c r="B183" i="33" s="1"/>
  <c r="B184" i="33" s="1"/>
  <c r="B185" i="33" s="1"/>
  <c r="B186" i="33" s="1"/>
  <c r="B187" i="33" s="1"/>
  <c r="B188" i="33" s="1"/>
  <c r="B189" i="33" s="1"/>
  <c r="B190" i="33" s="1"/>
  <c r="B191" i="33" s="1"/>
  <c r="B192" i="33" s="1"/>
  <c r="B193" i="33" s="1"/>
  <c r="B194" i="33" s="1"/>
  <c r="B195" i="33" s="1"/>
  <c r="B196" i="33" s="1"/>
  <c r="B197" i="33" s="1"/>
  <c r="B198" i="33" s="1"/>
  <c r="B199" i="33" s="1"/>
  <c r="B200" i="33" s="1"/>
  <c r="B201" i="33" s="1"/>
  <c r="B202" i="33" s="1"/>
  <c r="B203" i="33" s="1"/>
  <c r="B204" i="33" s="1"/>
  <c r="B205" i="33" s="1"/>
  <c r="B206" i="33" s="1"/>
  <c r="B207" i="33" s="1"/>
  <c r="B208" i="33" s="1"/>
  <c r="B209" i="33" s="1"/>
  <c r="B210" i="33" s="1"/>
  <c r="B211" i="33" s="1"/>
  <c r="B212" i="33" s="1"/>
  <c r="B213" i="33" s="1"/>
  <c r="B214" i="33" s="1"/>
  <c r="B215" i="33" s="1"/>
  <c r="B216" i="33" s="1"/>
  <c r="B217" i="33" s="1"/>
  <c r="B218" i="33" s="1"/>
  <c r="B219" i="33" s="1"/>
  <c r="B220" i="33" s="1"/>
  <c r="B221" i="33" s="1"/>
  <c r="B222" i="33" s="1"/>
  <c r="B223" i="33" s="1"/>
  <c r="B224" i="33" s="1"/>
  <c r="B225" i="33" s="1"/>
  <c r="B226" i="33" s="1"/>
  <c r="B227" i="33" s="1"/>
  <c r="B228" i="33" s="1"/>
  <c r="B229" i="33" s="1"/>
  <c r="B230" i="33" s="1"/>
  <c r="B231" i="33" s="1"/>
  <c r="B232" i="33" s="1"/>
  <c r="B233" i="33" s="1"/>
  <c r="B234" i="33" s="1"/>
  <c r="B235" i="33" s="1"/>
  <c r="B236" i="33" s="1"/>
  <c r="B237" i="33" s="1"/>
  <c r="B238" i="33" s="1"/>
  <c r="B239" i="33" s="1"/>
  <c r="B240" i="33" s="1"/>
  <c r="B241" i="33" s="1"/>
  <c r="B242" i="33" s="1"/>
  <c r="B243" i="33" s="1"/>
  <c r="B244" i="33" s="1"/>
  <c r="B245" i="33" s="1"/>
  <c r="B246" i="33" s="1"/>
  <c r="B247" i="33" s="1"/>
  <c r="B248" i="33" s="1"/>
  <c r="B249" i="33" s="1"/>
  <c r="B250" i="33" s="1"/>
  <c r="B251" i="33" s="1"/>
  <c r="B252" i="33" s="1"/>
  <c r="B253" i="33" s="1"/>
  <c r="B254" i="33" s="1"/>
  <c r="B255" i="33" s="1"/>
  <c r="B256" i="33" s="1"/>
  <c r="B257" i="33" s="1"/>
  <c r="B258" i="33" s="1"/>
  <c r="B259" i="33" s="1"/>
  <c r="B260" i="33" s="1"/>
  <c r="B261" i="33" s="1"/>
  <c r="B262" i="33" s="1"/>
  <c r="B263" i="33" s="1"/>
  <c r="B264" i="33" s="1"/>
  <c r="B265" i="33" s="1"/>
  <c r="B266" i="33" s="1"/>
  <c r="B267" i="33" s="1"/>
  <c r="B268" i="33" s="1"/>
  <c r="B269" i="33" s="1"/>
  <c r="B270" i="33" s="1"/>
  <c r="B271" i="33" s="1"/>
  <c r="B272" i="33" s="1"/>
  <c r="B273" i="33" s="1"/>
  <c r="B274" i="33" s="1"/>
  <c r="B275" i="33" s="1"/>
  <c r="B276" i="33" s="1"/>
  <c r="B277" i="33" s="1"/>
  <c r="B278" i="33" s="1"/>
  <c r="B279" i="33" s="1"/>
  <c r="B6" i="33"/>
  <c r="F3" i="33"/>
  <c r="F13" i="33"/>
  <c r="F12" i="33"/>
  <c r="F11" i="33"/>
  <c r="F10" i="33"/>
  <c r="F9" i="33"/>
  <c r="F8" i="33"/>
  <c r="F7" i="33"/>
  <c r="F6" i="33"/>
  <c r="F5" i="33"/>
  <c r="E7" i="33"/>
  <c r="E6" i="33"/>
  <c r="E5" i="33"/>
  <c r="D8" i="33"/>
  <c r="D7" i="33"/>
  <c r="D6" i="33"/>
  <c r="D5" i="33"/>
  <c r="L14" i="33"/>
  <c r="D28" i="32"/>
  <c r="D25" i="32"/>
  <c r="D24" i="32"/>
  <c r="E64" i="9"/>
  <c r="AZ36" i="9"/>
  <c r="AZ31" i="9"/>
  <c r="AZ9" i="9"/>
  <c r="AZ144" i="10"/>
  <c r="AZ133" i="10"/>
  <c r="AZ117" i="10"/>
  <c r="AZ116" i="10"/>
  <c r="AZ113" i="10"/>
  <c r="AZ112" i="10"/>
  <c r="AZ110" i="10"/>
  <c r="AZ107" i="10"/>
  <c r="AZ106" i="10"/>
  <c r="AZ82" i="10"/>
  <c r="AZ81" i="10"/>
  <c r="AZ80" i="10"/>
  <c r="AZ59" i="10"/>
  <c r="AZ58" i="10"/>
  <c r="E57" i="16"/>
  <c r="F57" i="16"/>
  <c r="AZ43" i="16"/>
  <c r="AZ11" i="16"/>
  <c r="AZ10" i="16"/>
  <c r="AZ9" i="16"/>
  <c r="AZ8" i="16"/>
  <c r="AZ7" i="16"/>
  <c r="AZ6" i="16"/>
  <c r="AZ5" i="16"/>
  <c r="AX43" i="16"/>
  <c r="AW43" i="16"/>
  <c r="AV43" i="16"/>
  <c r="AV11" i="16"/>
  <c r="AW11" i="16" s="1"/>
  <c r="AX11" i="16" s="1"/>
  <c r="AV10" i="16"/>
  <c r="AW10" i="16" s="1"/>
  <c r="AX10" i="16" s="1"/>
  <c r="AV9" i="16"/>
  <c r="AW9" i="16" s="1"/>
  <c r="AX9" i="16" s="1"/>
  <c r="AV8" i="16"/>
  <c r="AW8" i="16" s="1"/>
  <c r="AX8" i="16" s="1"/>
  <c r="AV7" i="16"/>
  <c r="AW7" i="16" s="1"/>
  <c r="AX7" i="16" s="1"/>
  <c r="AV6" i="16"/>
  <c r="AW6" i="16" s="1"/>
  <c r="AX6" i="16" s="1"/>
  <c r="AX5" i="16"/>
  <c r="AW5" i="16"/>
  <c r="AV5" i="16"/>
  <c r="AV312" i="13"/>
  <c r="AZ309" i="13"/>
  <c r="AZ239" i="13"/>
  <c r="AZ90" i="13"/>
  <c r="AZ72" i="13"/>
  <c r="AZ34" i="13"/>
  <c r="AZ27" i="13"/>
  <c r="AZ25" i="13"/>
  <c r="AZ22" i="13"/>
  <c r="AZ17" i="13"/>
  <c r="AZ8" i="13"/>
  <c r="BD17" i="11"/>
  <c r="BD9" i="11"/>
  <c r="E55" i="14"/>
  <c r="BE40" i="14"/>
  <c r="BE38" i="14"/>
  <c r="BE24" i="14"/>
  <c r="BE22" i="14"/>
  <c r="BE15" i="14"/>
  <c r="BE14" i="14"/>
  <c r="BE13" i="14"/>
  <c r="BE12" i="14"/>
  <c r="BE7" i="14"/>
  <c r="BE6" i="14"/>
  <c r="BE5" i="14"/>
  <c r="BB113" i="3"/>
  <c r="BB115" i="3"/>
  <c r="BB111" i="3"/>
  <c r="BB110" i="3"/>
  <c r="BB109" i="3"/>
  <c r="BB108" i="3"/>
  <c r="BB107" i="3"/>
  <c r="BB81" i="3"/>
  <c r="BB80" i="3"/>
  <c r="BB79" i="3"/>
  <c r="BB78" i="3"/>
  <c r="BB76" i="3"/>
  <c r="BB74" i="3"/>
  <c r="BB71" i="3"/>
  <c r="BB70" i="3"/>
  <c r="BB69" i="3"/>
  <c r="BB67" i="3"/>
  <c r="BB64" i="3"/>
  <c r="BB62" i="3"/>
  <c r="BB61" i="3"/>
  <c r="BB58" i="3"/>
  <c r="BB57" i="3"/>
  <c r="BB54" i="3"/>
  <c r="BB53" i="3"/>
  <c r="BB52" i="3"/>
  <c r="BB51" i="3"/>
  <c r="BB50" i="3"/>
  <c r="BB49" i="3"/>
  <c r="BB48" i="3"/>
  <c r="BB46" i="3"/>
  <c r="BB45" i="3"/>
  <c r="BB43" i="3"/>
  <c r="BB42" i="3"/>
  <c r="BB41" i="3"/>
  <c r="BB39" i="3"/>
  <c r="BB38" i="3"/>
  <c r="BB37" i="3"/>
  <c r="BB36" i="3"/>
  <c r="BB35" i="3"/>
  <c r="BB34" i="3"/>
  <c r="BB32" i="3"/>
  <c r="BB31" i="3"/>
  <c r="BB30" i="3"/>
  <c r="BB27" i="3"/>
  <c r="BB26" i="3"/>
  <c r="BB25" i="3"/>
  <c r="BB23" i="3"/>
  <c r="BB22" i="3"/>
  <c r="BB21" i="3"/>
  <c r="BB20" i="3"/>
  <c r="BB19" i="3"/>
  <c r="BB18" i="3"/>
  <c r="BB17" i="3"/>
  <c r="BB16" i="3"/>
  <c r="BB15" i="3"/>
  <c r="BB14" i="3"/>
  <c r="BB13" i="3"/>
  <c r="BB12" i="3"/>
  <c r="BB11" i="3"/>
  <c r="BB9" i="3"/>
  <c r="BB8" i="3"/>
  <c r="BB7" i="3"/>
  <c r="BB40" i="14"/>
  <c r="BA40" i="14"/>
  <c r="AZ40" i="14"/>
  <c r="AZ22" i="14"/>
  <c r="BA22" i="14" s="1"/>
  <c r="BB22" i="14" s="1"/>
  <c r="BA13" i="14"/>
  <c r="BB13" i="14" s="1"/>
  <c r="AZ13" i="14"/>
  <c r="BA12" i="14"/>
  <c r="BB12" i="14" s="1"/>
  <c r="BA7" i="14"/>
  <c r="BB7" i="14" s="1"/>
  <c r="BA6" i="14"/>
  <c r="BB6" i="14" s="1"/>
  <c r="BB5" i="14"/>
  <c r="BA5" i="14"/>
  <c r="AW111" i="3"/>
  <c r="AX111" i="3" s="1"/>
  <c r="AY111" i="3" s="1"/>
  <c r="AW109" i="3"/>
  <c r="AX109" i="3" s="1"/>
  <c r="AY109" i="3" s="1"/>
  <c r="AW79" i="3"/>
  <c r="AX79" i="3" s="1"/>
  <c r="AY79" i="3" s="1"/>
  <c r="AW78" i="3"/>
  <c r="AX78" i="3" s="1"/>
  <c r="AY78" i="3" s="1"/>
  <c r="AW76" i="3"/>
  <c r="AX76" i="3" s="1"/>
  <c r="AY76" i="3" s="1"/>
  <c r="AW74" i="3"/>
  <c r="AX74" i="3" s="1"/>
  <c r="AY74" i="3" s="1"/>
  <c r="AY70" i="3"/>
  <c r="AW70" i="3"/>
  <c r="AX70" i="3"/>
  <c r="AW69" i="3"/>
  <c r="AX69" i="3" s="1"/>
  <c r="AY69" i="3" s="1"/>
  <c r="AW67" i="3"/>
  <c r="AX67" i="3" s="1"/>
  <c r="AY67" i="3" s="1"/>
  <c r="AW64" i="3"/>
  <c r="AX64" i="3" s="1"/>
  <c r="AY64" i="3" s="1"/>
  <c r="AW61" i="3"/>
  <c r="AW58" i="3"/>
  <c r="AW57" i="3"/>
  <c r="AW53" i="3"/>
  <c r="AW52" i="3"/>
  <c r="AW51" i="3"/>
  <c r="AW50" i="3"/>
  <c r="AW49" i="3"/>
  <c r="AW48" i="3"/>
  <c r="AW46" i="3"/>
  <c r="AW45" i="3"/>
  <c r="AW43" i="3"/>
  <c r="AW41" i="3"/>
  <c r="AW39" i="3"/>
  <c r="AW38" i="3"/>
  <c r="AW37" i="3"/>
  <c r="AW36" i="3"/>
  <c r="AW35" i="3"/>
  <c r="AW34" i="3"/>
  <c r="AW26" i="3"/>
  <c r="AW25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9" i="3"/>
  <c r="AW8" i="3"/>
  <c r="AW7" i="3"/>
  <c r="AX57" i="3"/>
  <c r="AX61" i="3"/>
  <c r="AY61" i="3" s="1"/>
  <c r="AX58" i="3"/>
  <c r="AY58" i="3" s="1"/>
  <c r="AY57" i="3"/>
  <c r="AX53" i="3"/>
  <c r="AY53" i="3" s="1"/>
  <c r="AX52" i="3"/>
  <c r="AY52" i="3" s="1"/>
  <c r="AX51" i="3"/>
  <c r="AY51" i="3" s="1"/>
  <c r="AX50" i="3"/>
  <c r="AY50" i="3" s="1"/>
  <c r="AX49" i="3"/>
  <c r="AY49" i="3" s="1"/>
  <c r="AX48" i="3"/>
  <c r="AY48" i="3" s="1"/>
  <c r="AX46" i="3"/>
  <c r="AY46" i="3" s="1"/>
  <c r="AX45" i="3"/>
  <c r="AY45" i="3" s="1"/>
  <c r="AX43" i="3"/>
  <c r="AY43" i="3" s="1"/>
  <c r="AX41" i="3"/>
  <c r="AY41" i="3" s="1"/>
  <c r="AX39" i="3"/>
  <c r="AY39" i="3" s="1"/>
  <c r="AX38" i="3"/>
  <c r="AY38" i="3" s="1"/>
  <c r="AX37" i="3"/>
  <c r="AY37" i="3" s="1"/>
  <c r="AX36" i="3"/>
  <c r="AY36" i="3" s="1"/>
  <c r="AX35" i="3"/>
  <c r="AY35" i="3" s="1"/>
  <c r="AX34" i="3"/>
  <c r="AY34" i="3" s="1"/>
  <c r="AX26" i="3"/>
  <c r="AY26" i="3" s="1"/>
  <c r="AX25" i="3"/>
  <c r="AY25" i="3" s="1"/>
  <c r="AX22" i="3"/>
  <c r="AY22" i="3" s="1"/>
  <c r="AX21" i="3"/>
  <c r="AY21" i="3" s="1"/>
  <c r="AX20" i="3"/>
  <c r="AY20" i="3" s="1"/>
  <c r="AX19" i="3"/>
  <c r="AY19" i="3" s="1"/>
  <c r="AX18" i="3"/>
  <c r="AY18" i="3" s="1"/>
  <c r="AX17" i="3"/>
  <c r="AY17" i="3" s="1"/>
  <c r="AX16" i="3"/>
  <c r="AY16" i="3" s="1"/>
  <c r="AX15" i="3"/>
  <c r="AY15" i="3" s="1"/>
  <c r="AX14" i="3"/>
  <c r="AY14" i="3" s="1"/>
  <c r="AX13" i="3"/>
  <c r="AY13" i="3" s="1"/>
  <c r="AX12" i="3"/>
  <c r="AY12" i="3" s="1"/>
  <c r="AX11" i="3"/>
  <c r="AY11" i="3" s="1"/>
  <c r="AX9" i="3"/>
  <c r="AY9" i="3" s="1"/>
  <c r="AX8" i="3"/>
  <c r="AY8" i="3" s="1"/>
  <c r="AX7" i="3"/>
  <c r="AY7" i="3" s="1"/>
  <c r="E130" i="3"/>
  <c r="F130" i="3" s="1"/>
  <c r="AY115" i="3"/>
  <c r="AX115" i="3"/>
  <c r="AW115" i="3"/>
  <c r="AY114" i="3"/>
  <c r="AX114" i="3"/>
  <c r="AW114" i="3"/>
  <c r="AY113" i="3"/>
  <c r="AX113" i="3"/>
  <c r="AW113" i="3"/>
  <c r="B7" i="32"/>
  <c r="H33" i="32"/>
  <c r="F33" i="32"/>
  <c r="B22" i="32"/>
  <c r="J19" i="32"/>
  <c r="H17" i="32"/>
  <c r="H21" i="32" s="1"/>
  <c r="F17" i="32"/>
  <c r="F21" i="32" s="1"/>
  <c r="D17" i="32"/>
  <c r="D21" i="32" s="1"/>
  <c r="J7" i="32" l="1"/>
  <c r="B98" i="32"/>
  <c r="AM312" i="13"/>
  <c r="H109" i="32"/>
  <c r="F109" i="32"/>
  <c r="B94" i="32"/>
  <c r="J94" i="32" s="1"/>
  <c r="I92" i="32"/>
  <c r="I96" i="32" s="1"/>
  <c r="H92" i="32"/>
  <c r="H96" i="32" s="1"/>
  <c r="F92" i="32"/>
  <c r="F96" i="32" s="1"/>
  <c r="J90" i="32"/>
  <c r="J87" i="32"/>
  <c r="J86" i="32"/>
  <c r="J85" i="32"/>
  <c r="J84" i="32"/>
  <c r="J83" i="32"/>
  <c r="AS312" i="13"/>
  <c r="B59" i="32"/>
  <c r="B44" i="32"/>
  <c r="J44" i="32"/>
  <c r="D54" i="32"/>
  <c r="F54" i="32"/>
  <c r="H54" i="32"/>
  <c r="J56" i="32"/>
  <c r="D58" i="32"/>
  <c r="F58" i="32"/>
  <c r="H58" i="32"/>
  <c r="F70" i="32"/>
  <c r="H70" i="32"/>
  <c r="B92" i="32" l="1"/>
  <c r="B96" i="32" s="1"/>
  <c r="J82" i="32"/>
  <c r="B109" i="32"/>
  <c r="AM26" i="9"/>
  <c r="AM17" i="9"/>
  <c r="AM12" i="9"/>
  <c r="AM10" i="9"/>
  <c r="AM8" i="9"/>
  <c r="AM7" i="9"/>
  <c r="AM115" i="10"/>
  <c r="AM114" i="10"/>
  <c r="AM103" i="10"/>
  <c r="AM101" i="10"/>
  <c r="AM100" i="10"/>
  <c r="AM99" i="10"/>
  <c r="AM98" i="10"/>
  <c r="AM97" i="10"/>
  <c r="AM96" i="10"/>
  <c r="AM94" i="10"/>
  <c r="AM93" i="10"/>
  <c r="AM92" i="10"/>
  <c r="AM91" i="10"/>
  <c r="AM90" i="10"/>
  <c r="AM88" i="10"/>
  <c r="AM86" i="10"/>
  <c r="AM85" i="10"/>
  <c r="AM84" i="10"/>
  <c r="AM83" i="10"/>
  <c r="AM74" i="10"/>
  <c r="AM73" i="10"/>
  <c r="AM72" i="10"/>
  <c r="AM71" i="10"/>
  <c r="AM70" i="10"/>
  <c r="AM69" i="10"/>
  <c r="AM68" i="10"/>
  <c r="AM67" i="10"/>
  <c r="AM66" i="10"/>
  <c r="AM65" i="10"/>
  <c r="AM64" i="10"/>
  <c r="AM63" i="10"/>
  <c r="AM62" i="10"/>
  <c r="AM61" i="10"/>
  <c r="AM60" i="10"/>
  <c r="AM26" i="10"/>
  <c r="AM25" i="10"/>
  <c r="AM24" i="10"/>
  <c r="AM23" i="10"/>
  <c r="AM22" i="10"/>
  <c r="AM21" i="10"/>
  <c r="AM20" i="10"/>
  <c r="AM19" i="10"/>
  <c r="AM18" i="10"/>
  <c r="AM17" i="10"/>
  <c r="AM16" i="10"/>
  <c r="AM15" i="10"/>
  <c r="AM14" i="10"/>
  <c r="AM13" i="10"/>
  <c r="AM12" i="10"/>
  <c r="AM11" i="10"/>
  <c r="AM10" i="10"/>
  <c r="AM9" i="10"/>
  <c r="AM8" i="10"/>
  <c r="AM43" i="15"/>
  <c r="AM42" i="15"/>
  <c r="AN15" i="11"/>
  <c r="AN12" i="11"/>
  <c r="AN10" i="11"/>
  <c r="AN8" i="11"/>
  <c r="AP312" i="13"/>
  <c r="AJ312" i="13"/>
  <c r="AG312" i="13"/>
  <c r="AD312" i="13"/>
  <c r="AE312" i="13" s="1"/>
  <c r="F111" i="3"/>
  <c r="N253" i="33"/>
  <c r="M253" i="33"/>
  <c r="L253" i="33"/>
  <c r="N252" i="33"/>
  <c r="M252" i="33"/>
  <c r="L252" i="33"/>
  <c r="N251" i="33"/>
  <c r="M251" i="33"/>
  <c r="L251" i="33"/>
  <c r="N250" i="33"/>
  <c r="M250" i="33"/>
  <c r="L250" i="33"/>
  <c r="N249" i="33"/>
  <c r="M249" i="33"/>
  <c r="L249" i="33"/>
  <c r="N248" i="33"/>
  <c r="M248" i="33"/>
  <c r="L248" i="33"/>
  <c r="N247" i="33"/>
  <c r="M247" i="33"/>
  <c r="L247" i="33"/>
  <c r="N246" i="33"/>
  <c r="M246" i="33"/>
  <c r="L246" i="33"/>
  <c r="N245" i="33"/>
  <c r="M245" i="33"/>
  <c r="L245" i="33"/>
  <c r="N244" i="33"/>
  <c r="M244" i="33"/>
  <c r="L244" i="33"/>
  <c r="M243" i="33"/>
  <c r="L243" i="33"/>
  <c r="N242" i="33"/>
  <c r="M242" i="33"/>
  <c r="L242" i="33"/>
  <c r="N241" i="33"/>
  <c r="M241" i="33"/>
  <c r="L241" i="33"/>
  <c r="N240" i="33"/>
  <c r="M240" i="33"/>
  <c r="L240" i="33"/>
  <c r="N239" i="33"/>
  <c r="M239" i="33"/>
  <c r="L239" i="33"/>
  <c r="N238" i="33"/>
  <c r="M238" i="33"/>
  <c r="L238" i="33"/>
  <c r="N237" i="33"/>
  <c r="M237" i="33"/>
  <c r="L237" i="33"/>
  <c r="N236" i="33"/>
  <c r="M236" i="33"/>
  <c r="L236" i="33"/>
  <c r="N235" i="33"/>
  <c r="M235" i="33"/>
  <c r="L235" i="33"/>
  <c r="N234" i="33"/>
  <c r="M234" i="33"/>
  <c r="L234" i="33"/>
  <c r="N233" i="33"/>
  <c r="M233" i="33"/>
  <c r="L233" i="33"/>
  <c r="N232" i="33"/>
  <c r="M232" i="33"/>
  <c r="L232" i="33"/>
  <c r="N231" i="33"/>
  <c r="M231" i="33"/>
  <c r="L231" i="33"/>
  <c r="N230" i="33"/>
  <c r="M230" i="33"/>
  <c r="L230" i="33"/>
  <c r="N229" i="33"/>
  <c r="M229" i="33"/>
  <c r="L229" i="33"/>
  <c r="N228" i="33"/>
  <c r="M228" i="33"/>
  <c r="L228" i="33"/>
  <c r="N227" i="33"/>
  <c r="M227" i="33"/>
  <c r="L227" i="33"/>
  <c r="N226" i="33"/>
  <c r="M226" i="33"/>
  <c r="L226" i="33"/>
  <c r="N225" i="33"/>
  <c r="M225" i="33"/>
  <c r="L225" i="33"/>
  <c r="N224" i="33"/>
  <c r="M224" i="33"/>
  <c r="L224" i="33"/>
  <c r="N223" i="33"/>
  <c r="M223" i="33"/>
  <c r="L223" i="33"/>
  <c r="N222" i="33"/>
  <c r="M222" i="33"/>
  <c r="L222" i="33"/>
  <c r="N221" i="33"/>
  <c r="M221" i="33"/>
  <c r="L221" i="33"/>
  <c r="N220" i="33"/>
  <c r="M220" i="33"/>
  <c r="L220" i="33"/>
  <c r="N219" i="33"/>
  <c r="M219" i="33"/>
  <c r="L219" i="33"/>
  <c r="N218" i="33"/>
  <c r="M218" i="33"/>
  <c r="L218" i="33"/>
  <c r="N217" i="33"/>
  <c r="M217" i="33"/>
  <c r="L217" i="33"/>
  <c r="N216" i="33"/>
  <c r="M216" i="33"/>
  <c r="L216" i="33"/>
  <c r="N215" i="33"/>
  <c r="M215" i="33"/>
  <c r="L215" i="33"/>
  <c r="N214" i="33"/>
  <c r="M214" i="33"/>
  <c r="L214" i="33"/>
  <c r="N213" i="33"/>
  <c r="M213" i="33"/>
  <c r="L213" i="33"/>
  <c r="N212" i="33"/>
  <c r="M212" i="33"/>
  <c r="L212" i="33"/>
  <c r="N211" i="33"/>
  <c r="M211" i="33"/>
  <c r="L211" i="33"/>
  <c r="N210" i="33"/>
  <c r="M210" i="33"/>
  <c r="L210" i="33"/>
  <c r="N209" i="33"/>
  <c r="M209" i="33"/>
  <c r="L209" i="33"/>
  <c r="N208" i="33"/>
  <c r="M208" i="33"/>
  <c r="L208" i="33"/>
  <c r="N207" i="33"/>
  <c r="M207" i="33"/>
  <c r="L207" i="33"/>
  <c r="N206" i="33"/>
  <c r="M206" i="33"/>
  <c r="L206" i="33"/>
  <c r="N205" i="33"/>
  <c r="M205" i="33"/>
  <c r="L205" i="33"/>
  <c r="N204" i="33"/>
  <c r="M204" i="33"/>
  <c r="L204" i="33"/>
  <c r="N203" i="33"/>
  <c r="M203" i="33"/>
  <c r="L203" i="33"/>
  <c r="N202" i="33"/>
  <c r="M202" i="33"/>
  <c r="L202" i="33"/>
  <c r="N201" i="33"/>
  <c r="M201" i="33"/>
  <c r="L201" i="33"/>
  <c r="N200" i="33"/>
  <c r="M200" i="33"/>
  <c r="L200" i="33"/>
  <c r="N199" i="33"/>
  <c r="M199" i="33"/>
  <c r="L199" i="33"/>
  <c r="N198" i="33"/>
  <c r="M198" i="33"/>
  <c r="L198" i="33"/>
  <c r="N197" i="33"/>
  <c r="M197" i="33"/>
  <c r="L197" i="33"/>
  <c r="N196" i="33"/>
  <c r="M196" i="33"/>
  <c r="L196" i="33"/>
  <c r="N195" i="33"/>
  <c r="M195" i="33"/>
  <c r="L195" i="33"/>
  <c r="N194" i="33"/>
  <c r="M194" i="33"/>
  <c r="L194" i="33"/>
  <c r="N193" i="33"/>
  <c r="M193" i="33"/>
  <c r="L193" i="33"/>
  <c r="N192" i="33"/>
  <c r="M192" i="33"/>
  <c r="L192" i="33"/>
  <c r="N191" i="33"/>
  <c r="M191" i="33"/>
  <c r="L191" i="33"/>
  <c r="N190" i="33"/>
  <c r="M190" i="33"/>
  <c r="L190" i="33"/>
  <c r="N189" i="33"/>
  <c r="M189" i="33"/>
  <c r="L189" i="33"/>
  <c r="N188" i="33"/>
  <c r="M188" i="33"/>
  <c r="L188" i="33"/>
  <c r="N187" i="33"/>
  <c r="M187" i="33"/>
  <c r="L187" i="33"/>
  <c r="N186" i="33"/>
  <c r="M186" i="33"/>
  <c r="L186" i="33"/>
  <c r="N185" i="33"/>
  <c r="M185" i="33"/>
  <c r="L185" i="33"/>
  <c r="N184" i="33"/>
  <c r="M184" i="33"/>
  <c r="L184" i="33"/>
  <c r="N183" i="33"/>
  <c r="M183" i="33"/>
  <c r="L183" i="33"/>
  <c r="N182" i="33"/>
  <c r="M182" i="33"/>
  <c r="L182" i="33"/>
  <c r="N181" i="33"/>
  <c r="M181" i="33"/>
  <c r="L181" i="33"/>
  <c r="N180" i="33"/>
  <c r="M180" i="33"/>
  <c r="L180" i="33"/>
  <c r="N179" i="33"/>
  <c r="M179" i="33"/>
  <c r="L179" i="33"/>
  <c r="M178" i="33"/>
  <c r="L178" i="33"/>
  <c r="N177" i="33"/>
  <c r="M177" i="33"/>
  <c r="L177" i="33"/>
  <c r="N176" i="33"/>
  <c r="M176" i="33"/>
  <c r="L176" i="33"/>
  <c r="N175" i="33"/>
  <c r="M175" i="33"/>
  <c r="L175" i="33"/>
  <c r="N174" i="33"/>
  <c r="M174" i="33"/>
  <c r="L174" i="33"/>
  <c r="N173" i="33"/>
  <c r="M173" i="33"/>
  <c r="L173" i="33"/>
  <c r="N172" i="33"/>
  <c r="M172" i="33"/>
  <c r="L172" i="33"/>
  <c r="N171" i="33"/>
  <c r="M171" i="33"/>
  <c r="L171" i="33"/>
  <c r="N170" i="33"/>
  <c r="M170" i="33"/>
  <c r="L170" i="33"/>
  <c r="N169" i="33"/>
  <c r="M169" i="33"/>
  <c r="L169" i="33"/>
  <c r="N168" i="33"/>
  <c r="M168" i="33"/>
  <c r="L168" i="33"/>
  <c r="N167" i="33"/>
  <c r="M167" i="33"/>
  <c r="L167" i="33"/>
  <c r="N166" i="33"/>
  <c r="M166" i="33"/>
  <c r="L166" i="33"/>
  <c r="N165" i="33"/>
  <c r="M165" i="33"/>
  <c r="L165" i="33"/>
  <c r="N164" i="33"/>
  <c r="M164" i="33"/>
  <c r="L164" i="33"/>
  <c r="N163" i="33"/>
  <c r="M163" i="33"/>
  <c r="L163" i="33"/>
  <c r="N162" i="33"/>
  <c r="M162" i="33"/>
  <c r="L162" i="33"/>
  <c r="N161" i="33"/>
  <c r="M161" i="33"/>
  <c r="L161" i="33"/>
  <c r="N160" i="33"/>
  <c r="M160" i="33"/>
  <c r="L160" i="33"/>
  <c r="N159" i="33"/>
  <c r="M159" i="33"/>
  <c r="L159" i="33"/>
  <c r="N158" i="33"/>
  <c r="M158" i="33"/>
  <c r="L158" i="33"/>
  <c r="N157" i="33"/>
  <c r="M157" i="33"/>
  <c r="L157" i="33"/>
  <c r="N156" i="33"/>
  <c r="M156" i="33"/>
  <c r="L156" i="33"/>
  <c r="N155" i="33"/>
  <c r="M155" i="33"/>
  <c r="L155" i="33"/>
  <c r="N154" i="33"/>
  <c r="M154" i="33"/>
  <c r="L154" i="33"/>
  <c r="N153" i="33"/>
  <c r="M153" i="33"/>
  <c r="L153" i="33"/>
  <c r="N152" i="33"/>
  <c r="M152" i="33"/>
  <c r="L152" i="33"/>
  <c r="N151" i="33"/>
  <c r="M151" i="33"/>
  <c r="L151" i="33"/>
  <c r="N150" i="33"/>
  <c r="M150" i="33"/>
  <c r="L150" i="33"/>
  <c r="N149" i="33"/>
  <c r="M149" i="33"/>
  <c r="L149" i="33"/>
  <c r="N148" i="33"/>
  <c r="M148" i="33"/>
  <c r="L148" i="33"/>
  <c r="N147" i="33"/>
  <c r="M147" i="33"/>
  <c r="L147" i="33"/>
  <c r="N146" i="33"/>
  <c r="M146" i="33"/>
  <c r="L146" i="33"/>
  <c r="N145" i="33"/>
  <c r="M145" i="33"/>
  <c r="L145" i="33"/>
  <c r="N144" i="33"/>
  <c r="M144" i="33"/>
  <c r="L144" i="33"/>
  <c r="N143" i="33"/>
  <c r="M143" i="33"/>
  <c r="L143" i="33"/>
  <c r="N142" i="33"/>
  <c r="M142" i="33"/>
  <c r="L142" i="33"/>
  <c r="N141" i="33"/>
  <c r="M141" i="33"/>
  <c r="L141" i="33"/>
  <c r="M140" i="33"/>
  <c r="L140" i="33"/>
  <c r="N139" i="33"/>
  <c r="M139" i="33"/>
  <c r="L139" i="33"/>
  <c r="N138" i="33"/>
  <c r="M138" i="33"/>
  <c r="L138" i="33"/>
  <c r="N137" i="33"/>
  <c r="M137" i="33"/>
  <c r="L137" i="33"/>
  <c r="N136" i="33"/>
  <c r="M136" i="33"/>
  <c r="L136" i="33"/>
  <c r="N135" i="33"/>
  <c r="M135" i="33"/>
  <c r="L135" i="33"/>
  <c r="N134" i="33"/>
  <c r="M134" i="33"/>
  <c r="L134" i="33"/>
  <c r="N133" i="33"/>
  <c r="M133" i="33"/>
  <c r="L133" i="33"/>
  <c r="N132" i="33"/>
  <c r="M132" i="33"/>
  <c r="L132" i="33"/>
  <c r="N131" i="33"/>
  <c r="M131" i="33"/>
  <c r="L131" i="33"/>
  <c r="N130" i="33"/>
  <c r="M130" i="33"/>
  <c r="L130" i="33"/>
  <c r="N129" i="33"/>
  <c r="M129" i="33"/>
  <c r="L129" i="33"/>
  <c r="N128" i="33"/>
  <c r="M128" i="33"/>
  <c r="L128" i="33"/>
  <c r="N127" i="33"/>
  <c r="M127" i="33"/>
  <c r="L127" i="33"/>
  <c r="M126" i="33"/>
  <c r="L126" i="33"/>
  <c r="N125" i="33"/>
  <c r="M125" i="33"/>
  <c r="L125" i="33"/>
  <c r="N124" i="33"/>
  <c r="M124" i="33"/>
  <c r="L124" i="33"/>
  <c r="N123" i="33"/>
  <c r="M123" i="33"/>
  <c r="L123" i="33"/>
  <c r="M122" i="33"/>
  <c r="L122" i="33"/>
  <c r="M121" i="33"/>
  <c r="L121" i="33"/>
  <c r="N120" i="33"/>
  <c r="M120" i="33"/>
  <c r="L120" i="33"/>
  <c r="M119" i="33"/>
  <c r="L119" i="33"/>
  <c r="M118" i="33"/>
  <c r="L118" i="33"/>
  <c r="M117" i="33"/>
  <c r="L117" i="33"/>
  <c r="N116" i="33"/>
  <c r="M116" i="33"/>
  <c r="L116" i="33"/>
  <c r="N115" i="33"/>
  <c r="M115" i="33"/>
  <c r="L115" i="33"/>
  <c r="N114" i="33"/>
  <c r="M114" i="33"/>
  <c r="L114" i="33"/>
  <c r="N113" i="33"/>
  <c r="M113" i="33"/>
  <c r="L113" i="33"/>
  <c r="N112" i="33"/>
  <c r="M112" i="33"/>
  <c r="L112" i="33"/>
  <c r="N111" i="33"/>
  <c r="M111" i="33"/>
  <c r="L111" i="33"/>
  <c r="M110" i="33"/>
  <c r="L110" i="33"/>
  <c r="N109" i="33"/>
  <c r="M109" i="33"/>
  <c r="L109" i="33"/>
  <c r="N108" i="33"/>
  <c r="M108" i="33"/>
  <c r="L108" i="33"/>
  <c r="N107" i="33"/>
  <c r="M107" i="33"/>
  <c r="L107" i="33"/>
  <c r="N106" i="33"/>
  <c r="M106" i="33"/>
  <c r="L106" i="33"/>
  <c r="N105" i="33"/>
  <c r="M105" i="33"/>
  <c r="L105" i="33"/>
  <c r="N104" i="33"/>
  <c r="M104" i="33"/>
  <c r="L104" i="33"/>
  <c r="N103" i="33"/>
  <c r="M103" i="33"/>
  <c r="L103" i="33"/>
  <c r="N102" i="33"/>
  <c r="M102" i="33"/>
  <c r="L102" i="33"/>
  <c r="N101" i="33"/>
  <c r="M101" i="33"/>
  <c r="L101" i="33"/>
  <c r="N100" i="33"/>
  <c r="M100" i="33"/>
  <c r="L100" i="33"/>
  <c r="N99" i="33"/>
  <c r="M99" i="33"/>
  <c r="L99" i="33"/>
  <c r="N98" i="33"/>
  <c r="M98" i="33"/>
  <c r="L98" i="33"/>
  <c r="N97" i="33"/>
  <c r="M97" i="33"/>
  <c r="L97" i="33"/>
  <c r="N96" i="33"/>
  <c r="M96" i="33"/>
  <c r="L96" i="33"/>
  <c r="N95" i="33"/>
  <c r="M95" i="33"/>
  <c r="L95" i="33"/>
  <c r="N94" i="33"/>
  <c r="M94" i="33"/>
  <c r="L94" i="33"/>
  <c r="N93" i="33"/>
  <c r="M93" i="33"/>
  <c r="L93" i="33"/>
  <c r="N92" i="33"/>
  <c r="M92" i="33"/>
  <c r="L92" i="33"/>
  <c r="N91" i="33"/>
  <c r="M91" i="33"/>
  <c r="L91" i="33"/>
  <c r="N90" i="33"/>
  <c r="M90" i="33"/>
  <c r="L90" i="33"/>
  <c r="N89" i="33"/>
  <c r="M89" i="33"/>
  <c r="L89" i="33"/>
  <c r="N88" i="33"/>
  <c r="M88" i="33"/>
  <c r="L88" i="33"/>
  <c r="N87" i="33"/>
  <c r="M87" i="33"/>
  <c r="L87" i="33"/>
  <c r="N86" i="33"/>
  <c r="M86" i="33"/>
  <c r="L86" i="33"/>
  <c r="N85" i="33"/>
  <c r="M85" i="33"/>
  <c r="L85" i="33"/>
  <c r="N84" i="33"/>
  <c r="M84" i="33"/>
  <c r="L84" i="33"/>
  <c r="N83" i="33"/>
  <c r="M83" i="33"/>
  <c r="L83" i="33"/>
  <c r="N82" i="33"/>
  <c r="M82" i="33"/>
  <c r="L82" i="33"/>
  <c r="N81" i="33"/>
  <c r="M81" i="33"/>
  <c r="L81" i="33"/>
  <c r="N80" i="33"/>
  <c r="M80" i="33"/>
  <c r="L80" i="33"/>
  <c r="L56" i="33"/>
  <c r="N79" i="33"/>
  <c r="M79" i="33"/>
  <c r="L79" i="33"/>
  <c r="N78" i="33"/>
  <c r="M78" i="33"/>
  <c r="L78" i="33"/>
  <c r="N77" i="33"/>
  <c r="M77" i="33"/>
  <c r="L77" i="33"/>
  <c r="N76" i="33"/>
  <c r="M76" i="33"/>
  <c r="L76" i="33"/>
  <c r="N75" i="33"/>
  <c r="M75" i="33"/>
  <c r="L75" i="33"/>
  <c r="N74" i="33"/>
  <c r="M74" i="33"/>
  <c r="L74" i="33"/>
  <c r="N73" i="33"/>
  <c r="M73" i="33"/>
  <c r="L73" i="33"/>
  <c r="N72" i="33"/>
  <c r="M72" i="33"/>
  <c r="L72" i="33"/>
  <c r="N71" i="33"/>
  <c r="M71" i="33"/>
  <c r="L71" i="33"/>
  <c r="N70" i="33"/>
  <c r="M70" i="33"/>
  <c r="L70" i="33"/>
  <c r="N69" i="33"/>
  <c r="M69" i="33"/>
  <c r="L69" i="33"/>
  <c r="N68" i="33"/>
  <c r="M68" i="33"/>
  <c r="L68" i="33"/>
  <c r="N67" i="33"/>
  <c r="M67" i="33"/>
  <c r="L67" i="33"/>
  <c r="N66" i="33"/>
  <c r="M66" i="33"/>
  <c r="L66" i="33"/>
  <c r="N65" i="33"/>
  <c r="M65" i="33"/>
  <c r="L65" i="33"/>
  <c r="N64" i="33"/>
  <c r="M64" i="33"/>
  <c r="L64" i="33"/>
  <c r="N63" i="33"/>
  <c r="M63" i="33"/>
  <c r="L63" i="33"/>
  <c r="M62" i="33"/>
  <c r="L62" i="33"/>
  <c r="M61" i="33"/>
  <c r="L61" i="33"/>
  <c r="N60" i="33"/>
  <c r="M60" i="33"/>
  <c r="L60" i="33"/>
  <c r="N59" i="33"/>
  <c r="M59" i="33"/>
  <c r="L59" i="33"/>
  <c r="N58" i="33"/>
  <c r="M58" i="33"/>
  <c r="L58" i="33"/>
  <c r="N57" i="33"/>
  <c r="M57" i="33"/>
  <c r="L57" i="33"/>
  <c r="N56" i="33"/>
  <c r="M56" i="33"/>
  <c r="N55" i="33"/>
  <c r="M55" i="33"/>
  <c r="L55" i="33"/>
  <c r="N54" i="33"/>
  <c r="M54" i="33"/>
  <c r="L54" i="33"/>
  <c r="N53" i="33"/>
  <c r="M53" i="33"/>
  <c r="L53" i="33"/>
  <c r="N52" i="33"/>
  <c r="M52" i="33"/>
  <c r="L52" i="33"/>
  <c r="M51" i="33"/>
  <c r="L51" i="33"/>
  <c r="N50" i="33"/>
  <c r="M50" i="33"/>
  <c r="L50" i="33"/>
  <c r="M49" i="33"/>
  <c r="L49" i="33"/>
  <c r="N48" i="33"/>
  <c r="M48" i="33"/>
  <c r="L48" i="33"/>
  <c r="N47" i="33"/>
  <c r="M47" i="33"/>
  <c r="L47" i="33"/>
  <c r="N46" i="33"/>
  <c r="M46" i="33"/>
  <c r="L46" i="33"/>
  <c r="N45" i="33"/>
  <c r="M45" i="33"/>
  <c r="L45" i="33"/>
  <c r="N44" i="33"/>
  <c r="M44" i="33"/>
  <c r="L44" i="33"/>
  <c r="N43" i="33"/>
  <c r="M43" i="33"/>
  <c r="L43" i="33"/>
  <c r="N42" i="33"/>
  <c r="M42" i="33"/>
  <c r="L42" i="33"/>
  <c r="N41" i="33"/>
  <c r="M41" i="33"/>
  <c r="L41" i="33"/>
  <c r="N40" i="33"/>
  <c r="M40" i="33"/>
  <c r="L40" i="33"/>
  <c r="N39" i="33"/>
  <c r="M39" i="33"/>
  <c r="L39" i="33"/>
  <c r="N38" i="33"/>
  <c r="M38" i="33"/>
  <c r="L38" i="33"/>
  <c r="N37" i="33"/>
  <c r="M37" i="33"/>
  <c r="L37" i="33"/>
  <c r="N36" i="33"/>
  <c r="M36" i="33"/>
  <c r="L36" i="33"/>
  <c r="N35" i="33"/>
  <c r="M35" i="33"/>
  <c r="L35" i="33"/>
  <c r="N34" i="33"/>
  <c r="M34" i="33"/>
  <c r="L34" i="33"/>
  <c r="N33" i="33"/>
  <c r="M33" i="33"/>
  <c r="L33" i="33"/>
  <c r="N32" i="33"/>
  <c r="M32" i="33"/>
  <c r="L32" i="33"/>
  <c r="N31" i="33"/>
  <c r="M31" i="33"/>
  <c r="L31" i="33"/>
  <c r="N30" i="33"/>
  <c r="M30" i="33"/>
  <c r="L30" i="33"/>
  <c r="N29" i="33"/>
  <c r="M29" i="33"/>
  <c r="L29" i="33"/>
  <c r="N28" i="33"/>
  <c r="M28" i="33"/>
  <c r="L28" i="33"/>
  <c r="N27" i="33"/>
  <c r="M27" i="33"/>
  <c r="L27" i="33"/>
  <c r="N26" i="33"/>
  <c r="M26" i="33"/>
  <c r="L26" i="33"/>
  <c r="N25" i="33"/>
  <c r="M25" i="33"/>
  <c r="L25" i="33"/>
  <c r="L23" i="33"/>
  <c r="M23" i="33"/>
  <c r="N23" i="33"/>
  <c r="L24" i="33"/>
  <c r="M24" i="33"/>
  <c r="N24" i="33"/>
  <c r="L20" i="33"/>
  <c r="M20" i="33"/>
  <c r="N20" i="33"/>
  <c r="L21" i="33"/>
  <c r="M21" i="33"/>
  <c r="N21" i="33"/>
  <c r="L22" i="33"/>
  <c r="M22" i="33"/>
  <c r="N22" i="33"/>
  <c r="N19" i="33"/>
  <c r="M19" i="33"/>
  <c r="L19" i="33"/>
  <c r="N18" i="33"/>
  <c r="M18" i="33"/>
  <c r="L18" i="33"/>
  <c r="N17" i="33"/>
  <c r="M17" i="33"/>
  <c r="L17" i="33"/>
  <c r="N16" i="33"/>
  <c r="M16" i="33"/>
  <c r="L16" i="33"/>
  <c r="N15" i="33"/>
  <c r="M15" i="33"/>
  <c r="L15" i="33"/>
  <c r="N14" i="33"/>
  <c r="M14" i="33"/>
  <c r="N13" i="33"/>
  <c r="N12" i="33"/>
  <c r="M13" i="33"/>
  <c r="M12" i="33"/>
  <c r="L13" i="33"/>
  <c r="L12" i="33"/>
  <c r="N11" i="33"/>
  <c r="M11" i="33"/>
  <c r="L11" i="33"/>
  <c r="M10" i="33"/>
  <c r="M9" i="33"/>
  <c r="L10" i="33"/>
  <c r="L9" i="33"/>
  <c r="N8" i="33"/>
  <c r="M8" i="33"/>
  <c r="L8" i="33"/>
  <c r="N7" i="33"/>
  <c r="N6" i="33"/>
  <c r="M7" i="33"/>
  <c r="M6" i="33"/>
  <c r="L7" i="33"/>
  <c r="L6" i="33"/>
  <c r="N5" i="33"/>
  <c r="M5" i="33"/>
  <c r="L5" i="33"/>
  <c r="J6" i="33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50" i="33" s="1"/>
  <c r="J51" i="33" s="1"/>
  <c r="J52" i="33" s="1"/>
  <c r="J53" i="33" s="1"/>
  <c r="J54" i="33" s="1"/>
  <c r="J55" i="33" s="1"/>
  <c r="J56" i="33" s="1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J85" i="33" s="1"/>
  <c r="J86" i="33" s="1"/>
  <c r="J87" i="33" s="1"/>
  <c r="J88" i="33" s="1"/>
  <c r="J89" i="33" s="1"/>
  <c r="J90" i="33" s="1"/>
  <c r="J91" i="33" s="1"/>
  <c r="J92" i="33" s="1"/>
  <c r="J93" i="33" s="1"/>
  <c r="J94" i="33" s="1"/>
  <c r="J95" i="33" s="1"/>
  <c r="J96" i="33" s="1"/>
  <c r="J97" i="33" s="1"/>
  <c r="J98" i="33" s="1"/>
  <c r="J99" i="33" s="1"/>
  <c r="J100" i="33" s="1"/>
  <c r="J101" i="33" s="1"/>
  <c r="J102" i="33" s="1"/>
  <c r="J103" i="33" s="1"/>
  <c r="J104" i="33" s="1"/>
  <c r="J105" i="33" s="1"/>
  <c r="J106" i="33" s="1"/>
  <c r="J107" i="33" s="1"/>
  <c r="J108" i="33" s="1"/>
  <c r="J109" i="33" s="1"/>
  <c r="J110" i="33" s="1"/>
  <c r="J111" i="33" s="1"/>
  <c r="J112" i="33" s="1"/>
  <c r="J113" i="33" s="1"/>
  <c r="J114" i="33" s="1"/>
  <c r="J115" i="33" s="1"/>
  <c r="J116" i="33" s="1"/>
  <c r="J117" i="33" s="1"/>
  <c r="J118" i="33" s="1"/>
  <c r="J119" i="33" s="1"/>
  <c r="J120" i="33" s="1"/>
  <c r="J121" i="33" s="1"/>
  <c r="J122" i="33" s="1"/>
  <c r="J123" i="33" s="1"/>
  <c r="J124" i="33" s="1"/>
  <c r="J125" i="33" s="1"/>
  <c r="J126" i="33" s="1"/>
  <c r="J127" i="33" s="1"/>
  <c r="J128" i="33" s="1"/>
  <c r="J129" i="33" s="1"/>
  <c r="J130" i="33" s="1"/>
  <c r="J131" i="33" s="1"/>
  <c r="J132" i="33" s="1"/>
  <c r="J133" i="33" s="1"/>
  <c r="J134" i="33" s="1"/>
  <c r="J135" i="33" s="1"/>
  <c r="J136" i="33" s="1"/>
  <c r="J137" i="33" s="1"/>
  <c r="J138" i="33" s="1"/>
  <c r="J139" i="33" s="1"/>
  <c r="J140" i="33" s="1"/>
  <c r="J141" i="33" s="1"/>
  <c r="J142" i="33" s="1"/>
  <c r="J143" i="33" s="1"/>
  <c r="J144" i="33" s="1"/>
  <c r="J145" i="33" s="1"/>
  <c r="J146" i="33" s="1"/>
  <c r="J147" i="33" s="1"/>
  <c r="J148" i="33" s="1"/>
  <c r="J149" i="33" s="1"/>
  <c r="J150" i="33" s="1"/>
  <c r="J151" i="33" s="1"/>
  <c r="J152" i="33" s="1"/>
  <c r="J153" i="33" s="1"/>
  <c r="J154" i="33" s="1"/>
  <c r="J155" i="33" s="1"/>
  <c r="J156" i="33" s="1"/>
  <c r="J157" i="33" s="1"/>
  <c r="J158" i="33" s="1"/>
  <c r="J159" i="33" s="1"/>
  <c r="J160" i="33" s="1"/>
  <c r="J161" i="33" s="1"/>
  <c r="J162" i="33" s="1"/>
  <c r="J163" i="33" s="1"/>
  <c r="J164" i="33" s="1"/>
  <c r="J165" i="33" s="1"/>
  <c r="J166" i="33" s="1"/>
  <c r="J167" i="33" s="1"/>
  <c r="J168" i="33" s="1"/>
  <c r="J169" i="33" s="1"/>
  <c r="J170" i="33" s="1"/>
  <c r="J171" i="33" s="1"/>
  <c r="J172" i="33" s="1"/>
  <c r="J173" i="33" s="1"/>
  <c r="J174" i="33" s="1"/>
  <c r="J175" i="33" s="1"/>
  <c r="J176" i="33" s="1"/>
  <c r="J177" i="33" s="1"/>
  <c r="J178" i="33" s="1"/>
  <c r="J179" i="33" s="1"/>
  <c r="J180" i="33" s="1"/>
  <c r="J181" i="33" s="1"/>
  <c r="J182" i="33" s="1"/>
  <c r="J183" i="33" s="1"/>
  <c r="J184" i="33" s="1"/>
  <c r="J185" i="33" s="1"/>
  <c r="J186" i="33" s="1"/>
  <c r="J187" i="33" s="1"/>
  <c r="J188" i="33" s="1"/>
  <c r="J189" i="33" s="1"/>
  <c r="J190" i="33" s="1"/>
  <c r="J191" i="33" s="1"/>
  <c r="J192" i="33" s="1"/>
  <c r="J193" i="33" s="1"/>
  <c r="J194" i="33" s="1"/>
  <c r="J195" i="33" s="1"/>
  <c r="J196" i="33" s="1"/>
  <c r="J197" i="33" s="1"/>
  <c r="J198" i="33" s="1"/>
  <c r="J199" i="33" s="1"/>
  <c r="J200" i="33" s="1"/>
  <c r="J201" i="33" s="1"/>
  <c r="J202" i="33" s="1"/>
  <c r="J203" i="33" s="1"/>
  <c r="J204" i="33" s="1"/>
  <c r="J205" i="33" s="1"/>
  <c r="J206" i="33" s="1"/>
  <c r="J207" i="33" s="1"/>
  <c r="J208" i="33" s="1"/>
  <c r="J209" i="33" s="1"/>
  <c r="J210" i="33" s="1"/>
  <c r="J211" i="33" s="1"/>
  <c r="J212" i="33" s="1"/>
  <c r="J213" i="33" s="1"/>
  <c r="J214" i="33" s="1"/>
  <c r="J215" i="33" s="1"/>
  <c r="J216" i="33" s="1"/>
  <c r="J217" i="33" s="1"/>
  <c r="J218" i="33" s="1"/>
  <c r="J219" i="33" s="1"/>
  <c r="J220" i="33" s="1"/>
  <c r="J221" i="33" s="1"/>
  <c r="J222" i="33" s="1"/>
  <c r="J223" i="33" s="1"/>
  <c r="J224" i="33" s="1"/>
  <c r="J225" i="33" s="1"/>
  <c r="J226" i="33" s="1"/>
  <c r="J227" i="33" s="1"/>
  <c r="J228" i="33" s="1"/>
  <c r="J229" i="33" s="1"/>
  <c r="J230" i="33" s="1"/>
  <c r="J231" i="33" s="1"/>
  <c r="J232" i="33" s="1"/>
  <c r="J233" i="33" s="1"/>
  <c r="J234" i="33" s="1"/>
  <c r="J235" i="33" s="1"/>
  <c r="J236" i="33" s="1"/>
  <c r="J237" i="33" s="1"/>
  <c r="J238" i="33" s="1"/>
  <c r="J239" i="33" s="1"/>
  <c r="J240" i="33" s="1"/>
  <c r="J241" i="33" s="1"/>
  <c r="J242" i="33" s="1"/>
  <c r="J243" i="33" s="1"/>
  <c r="J244" i="33" s="1"/>
  <c r="J245" i="33" s="1"/>
  <c r="J246" i="33" s="1"/>
  <c r="J247" i="33" s="1"/>
  <c r="J248" i="33" s="1"/>
  <c r="J249" i="33" s="1"/>
  <c r="J250" i="33" s="1"/>
  <c r="J251" i="33" s="1"/>
  <c r="J252" i="33" s="1"/>
  <c r="J253" i="33" s="1"/>
  <c r="AQ309" i="13"/>
  <c r="AQ239" i="13"/>
  <c r="AQ90" i="13"/>
  <c r="AQ72" i="13"/>
  <c r="AQ34" i="13"/>
  <c r="AQ27" i="13"/>
  <c r="AQ25" i="13"/>
  <c r="AQ22" i="13"/>
  <c r="AQ17" i="13"/>
  <c r="AQ8" i="13"/>
  <c r="AS90" i="13"/>
  <c r="AT90" i="13" s="1"/>
  <c r="AT22" i="13"/>
  <c r="AT309" i="13"/>
  <c r="AT239" i="13"/>
  <c r="E6" i="11"/>
  <c r="AN111" i="3" l="1"/>
  <c r="AT111" i="3"/>
  <c r="B111" i="32"/>
  <c r="AT8" i="13"/>
  <c r="AT17" i="13"/>
  <c r="AH312" i="13"/>
  <c r="AN312" i="13" s="1"/>
  <c r="AO312" i="13" s="1"/>
  <c r="AF312" i="13"/>
  <c r="N9" i="33"/>
  <c r="AQ111" i="3"/>
  <c r="AK111" i="3"/>
  <c r="AH111" i="3"/>
  <c r="AE111" i="3"/>
  <c r="AF111" i="3" s="1"/>
  <c r="G24" i="30"/>
  <c r="G25" i="30" s="1"/>
  <c r="G26" i="30" s="1"/>
  <c r="C26" i="30"/>
  <c r="C25" i="30"/>
  <c r="B26" i="30"/>
  <c r="B25" i="30"/>
  <c r="C24" i="30"/>
  <c r="C23" i="30"/>
  <c r="B24" i="30"/>
  <c r="B23" i="30"/>
  <c r="G23" i="30"/>
  <c r="G6" i="30"/>
  <c r="G7" i="30" s="1"/>
  <c r="G8" i="30" s="1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AQ312" i="13" l="1"/>
  <c r="AW312" i="13" s="1"/>
  <c r="AK312" i="13"/>
  <c r="AI312" i="13"/>
  <c r="AI111" i="3"/>
  <c r="AO111" i="3" s="1"/>
  <c r="AP111" i="3" s="1"/>
  <c r="AG111" i="3"/>
  <c r="AQ14" i="14"/>
  <c r="AX312" i="13" l="1"/>
  <c r="AZ312" i="13"/>
  <c r="AL312" i="13"/>
  <c r="AT312" i="13"/>
  <c r="AU312" i="13" s="1"/>
  <c r="AR312" i="13"/>
  <c r="AR111" i="3"/>
  <c r="AL111" i="3"/>
  <c r="AJ111" i="3"/>
  <c r="F37" i="15"/>
  <c r="AV37" i="15" s="1"/>
  <c r="AR14" i="14"/>
  <c r="AS14" i="14" s="1"/>
  <c r="F79" i="10"/>
  <c r="E88" i="29"/>
  <c r="D88" i="29"/>
  <c r="E87" i="29"/>
  <c r="D87" i="29"/>
  <c r="E86" i="29"/>
  <c r="D86" i="29"/>
  <c r="E84" i="29"/>
  <c r="C83" i="29"/>
  <c r="E81" i="29"/>
  <c r="E77" i="29"/>
  <c r="D77" i="29"/>
  <c r="E76" i="29"/>
  <c r="D76" i="29"/>
  <c r="D74" i="29"/>
  <c r="D73" i="29"/>
  <c r="D72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8" i="29"/>
  <c r="E7" i="29"/>
  <c r="E6" i="29"/>
  <c r="E5" i="29"/>
  <c r="E40" i="12"/>
  <c r="E30" i="12"/>
  <c r="E36" i="12"/>
  <c r="E131" i="17"/>
  <c r="E22" i="3"/>
  <c r="AG102" i="17"/>
  <c r="AG201" i="17"/>
  <c r="F118" i="13"/>
  <c r="AV118" i="13" s="1"/>
  <c r="H118" i="13"/>
  <c r="K118" i="13" s="1"/>
  <c r="L118" i="13" s="1"/>
  <c r="F6" i="13"/>
  <c r="AV6" i="13" s="1"/>
  <c r="H6" i="13"/>
  <c r="K6" i="13" s="1"/>
  <c r="L6" i="13" s="1"/>
  <c r="F29" i="10"/>
  <c r="AV29" i="10" s="1"/>
  <c r="F28" i="10"/>
  <c r="AV28" i="10" s="1"/>
  <c r="F78" i="10"/>
  <c r="F77" i="10"/>
  <c r="F76" i="10"/>
  <c r="AV76" i="10" s="1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AV41" i="10" s="1"/>
  <c r="F40" i="10"/>
  <c r="AV40" i="10" s="1"/>
  <c r="F39" i="10"/>
  <c r="AV39" i="10" s="1"/>
  <c r="F38" i="10"/>
  <c r="AV38" i="10" s="1"/>
  <c r="F37" i="10"/>
  <c r="AV37" i="10" s="1"/>
  <c r="F36" i="10"/>
  <c r="AV36" i="10" s="1"/>
  <c r="F35" i="10"/>
  <c r="AV35" i="10" s="1"/>
  <c r="F34" i="10"/>
  <c r="AV34" i="10" s="1"/>
  <c r="F33" i="10"/>
  <c r="AV33" i="10" s="1"/>
  <c r="F32" i="10"/>
  <c r="AV32" i="10" s="1"/>
  <c r="F31" i="10"/>
  <c r="AV31" i="10" s="1"/>
  <c r="F30" i="10"/>
  <c r="AV30" i="10" s="1"/>
  <c r="F311" i="13"/>
  <c r="AV311" i="13" s="1"/>
  <c r="F310" i="13"/>
  <c r="AV310" i="13" s="1"/>
  <c r="F238" i="13"/>
  <c r="AV238" i="13" s="1"/>
  <c r="F237" i="13"/>
  <c r="AV237" i="13" s="1"/>
  <c r="F236" i="13"/>
  <c r="AV236" i="13" s="1"/>
  <c r="F235" i="13"/>
  <c r="AV235" i="13" s="1"/>
  <c r="F234" i="13"/>
  <c r="AV234" i="13" s="1"/>
  <c r="F233" i="13"/>
  <c r="AV233" i="13" s="1"/>
  <c r="F232" i="13"/>
  <c r="AV232" i="13" s="1"/>
  <c r="F231" i="13"/>
  <c r="AV231" i="13" s="1"/>
  <c r="F230" i="13"/>
  <c r="AV230" i="13" s="1"/>
  <c r="F229" i="13"/>
  <c r="AV229" i="13" s="1"/>
  <c r="F228" i="13"/>
  <c r="AV228" i="13" s="1"/>
  <c r="F227" i="13"/>
  <c r="AV227" i="13" s="1"/>
  <c r="F224" i="13"/>
  <c r="AV224" i="13" s="1"/>
  <c r="F223" i="13"/>
  <c r="AV223" i="13" s="1"/>
  <c r="F222" i="13"/>
  <c r="AV222" i="13" s="1"/>
  <c r="F221" i="13"/>
  <c r="AV221" i="13" s="1"/>
  <c r="F220" i="13"/>
  <c r="AV220" i="13" s="1"/>
  <c r="F219" i="13"/>
  <c r="AV219" i="13" s="1"/>
  <c r="F218" i="13"/>
  <c r="AV218" i="13" s="1"/>
  <c r="F217" i="13"/>
  <c r="AV217" i="13" s="1"/>
  <c r="F216" i="13"/>
  <c r="AV216" i="13" s="1"/>
  <c r="F215" i="13"/>
  <c r="AV215" i="13" s="1"/>
  <c r="F212" i="13"/>
  <c r="AV212" i="13" s="1"/>
  <c r="F211" i="13"/>
  <c r="AV211" i="13" s="1"/>
  <c r="F209" i="13"/>
  <c r="AV209" i="13" s="1"/>
  <c r="F208" i="13"/>
  <c r="AV208" i="13" s="1"/>
  <c r="F207" i="13"/>
  <c r="AV207" i="13" s="1"/>
  <c r="F204" i="13"/>
  <c r="AV204" i="13" s="1"/>
  <c r="F202" i="13"/>
  <c r="AV202" i="13" s="1"/>
  <c r="F201" i="13"/>
  <c r="AV201" i="13" s="1"/>
  <c r="F200" i="13"/>
  <c r="AV200" i="13" s="1"/>
  <c r="F198" i="13"/>
  <c r="AV198" i="13" s="1"/>
  <c r="F197" i="13"/>
  <c r="AV197" i="13" s="1"/>
  <c r="F196" i="13"/>
  <c r="AV196" i="13" s="1"/>
  <c r="F194" i="13"/>
  <c r="AV194" i="13" s="1"/>
  <c r="F193" i="13"/>
  <c r="AV193" i="13" s="1"/>
  <c r="F192" i="13"/>
  <c r="AV192" i="13" s="1"/>
  <c r="F188" i="13"/>
  <c r="AV188" i="13" s="1"/>
  <c r="F185" i="13"/>
  <c r="AV185" i="13" s="1"/>
  <c r="F184" i="13"/>
  <c r="AV184" i="13" s="1"/>
  <c r="F171" i="13"/>
  <c r="AV171" i="13" s="1"/>
  <c r="F170" i="13"/>
  <c r="AV170" i="13" s="1"/>
  <c r="F169" i="13"/>
  <c r="AV169" i="13" s="1"/>
  <c r="F164" i="13"/>
  <c r="AV164" i="13" s="1"/>
  <c r="F154" i="13"/>
  <c r="AV154" i="13" s="1"/>
  <c r="F153" i="13"/>
  <c r="AV153" i="13" s="1"/>
  <c r="F152" i="13"/>
  <c r="AV152" i="13" s="1"/>
  <c r="F151" i="13"/>
  <c r="AV151" i="13" s="1"/>
  <c r="F150" i="13"/>
  <c r="AV150" i="13" s="1"/>
  <c r="F149" i="13"/>
  <c r="AV149" i="13" s="1"/>
  <c r="F147" i="13"/>
  <c r="AV147" i="13" s="1"/>
  <c r="F146" i="13"/>
  <c r="AV146" i="13" s="1"/>
  <c r="F145" i="13"/>
  <c r="AV145" i="13" s="1"/>
  <c r="F144" i="13"/>
  <c r="AV144" i="13" s="1"/>
  <c r="F143" i="13"/>
  <c r="AV143" i="13" s="1"/>
  <c r="F142" i="13"/>
  <c r="AV142" i="13" s="1"/>
  <c r="F141" i="13"/>
  <c r="AV141" i="13" s="1"/>
  <c r="F140" i="13"/>
  <c r="AV140" i="13" s="1"/>
  <c r="F139" i="13"/>
  <c r="AV139" i="13" s="1"/>
  <c r="F138" i="13"/>
  <c r="AV138" i="13" s="1"/>
  <c r="F137" i="13"/>
  <c r="AV137" i="13" s="1"/>
  <c r="F136" i="13"/>
  <c r="AV136" i="13" s="1"/>
  <c r="F135" i="13"/>
  <c r="AV135" i="13" s="1"/>
  <c r="F134" i="13"/>
  <c r="AV134" i="13" s="1"/>
  <c r="F133" i="13"/>
  <c r="AV133" i="13" s="1"/>
  <c r="F132" i="13"/>
  <c r="AV132" i="13" s="1"/>
  <c r="F131" i="13"/>
  <c r="AV131" i="13" s="1"/>
  <c r="F130" i="13"/>
  <c r="AV130" i="13" s="1"/>
  <c r="F129" i="13"/>
  <c r="AV129" i="13" s="1"/>
  <c r="F128" i="13"/>
  <c r="AV128" i="13" s="1"/>
  <c r="F127" i="13"/>
  <c r="AV127" i="13" s="1"/>
  <c r="F126" i="13"/>
  <c r="AV126" i="13" s="1"/>
  <c r="F125" i="13"/>
  <c r="AV125" i="13" s="1"/>
  <c r="F124" i="13"/>
  <c r="AV124" i="13" s="1"/>
  <c r="F123" i="13"/>
  <c r="AV123" i="13" s="1"/>
  <c r="F122" i="13"/>
  <c r="AV122" i="13" s="1"/>
  <c r="F121" i="13"/>
  <c r="AV121" i="13" s="1"/>
  <c r="F120" i="13"/>
  <c r="AV120" i="13" s="1"/>
  <c r="F119" i="13"/>
  <c r="AV119" i="13" s="1"/>
  <c r="F117" i="13"/>
  <c r="AV117" i="13" s="1"/>
  <c r="F116" i="13"/>
  <c r="AV116" i="13" s="1"/>
  <c r="F115" i="13"/>
  <c r="AV115" i="13" s="1"/>
  <c r="F114" i="13"/>
  <c r="AV114" i="13" s="1"/>
  <c r="F113" i="13"/>
  <c r="AV113" i="13" s="1"/>
  <c r="F112" i="13"/>
  <c r="AV112" i="13" s="1"/>
  <c r="F111" i="13"/>
  <c r="AV111" i="13" s="1"/>
  <c r="F110" i="13"/>
  <c r="AV110" i="13" s="1"/>
  <c r="F109" i="13"/>
  <c r="AV109" i="13" s="1"/>
  <c r="F108" i="13"/>
  <c r="AV108" i="13" s="1"/>
  <c r="F107" i="13"/>
  <c r="AV107" i="13" s="1"/>
  <c r="F106" i="13"/>
  <c r="AV106" i="13" s="1"/>
  <c r="F105" i="13"/>
  <c r="AV105" i="13" s="1"/>
  <c r="F104" i="13"/>
  <c r="AV104" i="13" s="1"/>
  <c r="F103" i="13"/>
  <c r="AV103" i="13" s="1"/>
  <c r="F102" i="13"/>
  <c r="AV102" i="13" s="1"/>
  <c r="F101" i="13"/>
  <c r="AV101" i="13" s="1"/>
  <c r="F96" i="13"/>
  <c r="AV96" i="13" s="1"/>
  <c r="F94" i="13"/>
  <c r="AV94" i="13" s="1"/>
  <c r="F93" i="13"/>
  <c r="AV93" i="13" s="1"/>
  <c r="F92" i="13"/>
  <c r="AV92" i="13" s="1"/>
  <c r="F91" i="13"/>
  <c r="AV91" i="13" s="1"/>
  <c r="F86" i="13"/>
  <c r="AV86" i="13" s="1"/>
  <c r="F85" i="13"/>
  <c r="AV85" i="13" s="1"/>
  <c r="F84" i="13"/>
  <c r="AV84" i="13" s="1"/>
  <c r="F83" i="13"/>
  <c r="AV83" i="13" s="1"/>
  <c r="F79" i="13"/>
  <c r="AV79" i="13" s="1"/>
  <c r="F75" i="13"/>
  <c r="AV75" i="13" s="1"/>
  <c r="F74" i="13"/>
  <c r="AV74" i="13" s="1"/>
  <c r="F73" i="13"/>
  <c r="AV73" i="13" s="1"/>
  <c r="F71" i="13"/>
  <c r="AV71" i="13" s="1"/>
  <c r="F70" i="13"/>
  <c r="AV70" i="13" s="1"/>
  <c r="F69" i="13"/>
  <c r="AV69" i="13" s="1"/>
  <c r="F68" i="13"/>
  <c r="AV68" i="13" s="1"/>
  <c r="F67" i="13"/>
  <c r="AV67" i="13" s="1"/>
  <c r="F66" i="13"/>
  <c r="AV66" i="13" s="1"/>
  <c r="F65" i="13"/>
  <c r="AV65" i="13" s="1"/>
  <c r="F64" i="13"/>
  <c r="AV64" i="13" s="1"/>
  <c r="F63" i="13"/>
  <c r="AV63" i="13" s="1"/>
  <c r="F62" i="13"/>
  <c r="AV62" i="13" s="1"/>
  <c r="F61" i="13"/>
  <c r="AV61" i="13" s="1"/>
  <c r="F60" i="13"/>
  <c r="AV60" i="13" s="1"/>
  <c r="F59" i="13"/>
  <c r="AV59" i="13" s="1"/>
  <c r="F58" i="13"/>
  <c r="AV58" i="13" s="1"/>
  <c r="F52" i="13"/>
  <c r="AV52" i="13" s="1"/>
  <c r="F51" i="13"/>
  <c r="AV51" i="13" s="1"/>
  <c r="F50" i="13"/>
  <c r="AV50" i="13" s="1"/>
  <c r="F49" i="13"/>
  <c r="AV49" i="13" s="1"/>
  <c r="F48" i="13"/>
  <c r="AV48" i="13" s="1"/>
  <c r="F47" i="13"/>
  <c r="AV47" i="13" s="1"/>
  <c r="F46" i="13"/>
  <c r="AV46" i="13" s="1"/>
  <c r="F45" i="13"/>
  <c r="AV45" i="13" s="1"/>
  <c r="F44" i="13"/>
  <c r="AV44" i="13" s="1"/>
  <c r="F43" i="13"/>
  <c r="AV43" i="13" s="1"/>
  <c r="F42" i="13"/>
  <c r="AV42" i="13" s="1"/>
  <c r="F41" i="13"/>
  <c r="AV41" i="13" s="1"/>
  <c r="F40" i="13"/>
  <c r="AV40" i="13" s="1"/>
  <c r="F39" i="13"/>
  <c r="AV39" i="13" s="1"/>
  <c r="F38" i="13"/>
  <c r="AV38" i="13" s="1"/>
  <c r="F37" i="13"/>
  <c r="AV37" i="13" s="1"/>
  <c r="F36" i="13"/>
  <c r="AV36" i="13" s="1"/>
  <c r="F35" i="13"/>
  <c r="AV35" i="13" s="1"/>
  <c r="F33" i="13"/>
  <c r="AV33" i="13" s="1"/>
  <c r="F32" i="13"/>
  <c r="AV32" i="13" s="1"/>
  <c r="F31" i="13"/>
  <c r="AV31" i="13" s="1"/>
  <c r="F30" i="13"/>
  <c r="AV30" i="13" s="1"/>
  <c r="F29" i="13"/>
  <c r="AV29" i="13" s="1"/>
  <c r="F28" i="13"/>
  <c r="AV28" i="13" s="1"/>
  <c r="F26" i="13"/>
  <c r="AV26" i="13" s="1"/>
  <c r="F24" i="13"/>
  <c r="AV24" i="13" s="1"/>
  <c r="F23" i="13"/>
  <c r="AV23" i="13" s="1"/>
  <c r="F21" i="13"/>
  <c r="AV21" i="13" s="1"/>
  <c r="F20" i="13"/>
  <c r="AV20" i="13" s="1"/>
  <c r="F19" i="13"/>
  <c r="AV19" i="13" s="1"/>
  <c r="F18" i="13"/>
  <c r="AV18" i="13" s="1"/>
  <c r="F16" i="13"/>
  <c r="AV16" i="13" s="1"/>
  <c r="F15" i="13"/>
  <c r="AV15" i="13" s="1"/>
  <c r="F14" i="13"/>
  <c r="AV14" i="13" s="1"/>
  <c r="F13" i="13"/>
  <c r="AV13" i="13" s="1"/>
  <c r="F7" i="13"/>
  <c r="AV7" i="13" s="1"/>
  <c r="E33" i="9"/>
  <c r="E48" i="15"/>
  <c r="E65" i="15"/>
  <c r="I48" i="15"/>
  <c r="E51" i="15"/>
  <c r="F51" i="15" s="1"/>
  <c r="G51" i="15" s="1"/>
  <c r="H51" i="15" s="1"/>
  <c r="I51" i="15" s="1"/>
  <c r="E52" i="15"/>
  <c r="E53" i="15"/>
  <c r="F53" i="15" s="1"/>
  <c r="E54" i="15"/>
  <c r="E55" i="15"/>
  <c r="F55" i="15" s="1"/>
  <c r="E56" i="15"/>
  <c r="E57" i="15"/>
  <c r="F57" i="15" s="1"/>
  <c r="E58" i="15"/>
  <c r="E59" i="15"/>
  <c r="F59" i="15" s="1"/>
  <c r="E60" i="15"/>
  <c r="E46" i="15"/>
  <c r="E61" i="15"/>
  <c r="E62" i="15"/>
  <c r="F62" i="15" s="1"/>
  <c r="H5" i="15"/>
  <c r="F5" i="15"/>
  <c r="S5" i="15"/>
  <c r="H6" i="15"/>
  <c r="I6" i="15" s="1"/>
  <c r="F6" i="15"/>
  <c r="H7" i="15"/>
  <c r="F7" i="15"/>
  <c r="H8" i="15"/>
  <c r="I8" i="15" s="1"/>
  <c r="F8" i="15"/>
  <c r="J8" i="15"/>
  <c r="S8" i="15"/>
  <c r="H9" i="15"/>
  <c r="I9" i="15" s="1"/>
  <c r="F9" i="15"/>
  <c r="P9" i="15"/>
  <c r="H10" i="15"/>
  <c r="I10" i="15" s="1"/>
  <c r="F10" i="15"/>
  <c r="S10" i="15"/>
  <c r="H11" i="15"/>
  <c r="F11" i="15"/>
  <c r="H12" i="15"/>
  <c r="K12" i="15" s="1"/>
  <c r="F12" i="15"/>
  <c r="H13" i="15"/>
  <c r="K13" i="15"/>
  <c r="F13" i="15"/>
  <c r="H14" i="15"/>
  <c r="F14" i="15"/>
  <c r="H15" i="15"/>
  <c r="F15" i="15"/>
  <c r="H16" i="15"/>
  <c r="K16" i="15" s="1"/>
  <c r="L16" i="15" s="1"/>
  <c r="F16" i="15"/>
  <c r="H17" i="15"/>
  <c r="K17" i="15" s="1"/>
  <c r="L17" i="15" s="1"/>
  <c r="F17" i="15"/>
  <c r="H18" i="15"/>
  <c r="K18" i="15" s="1"/>
  <c r="L18" i="15" s="1"/>
  <c r="F18" i="15"/>
  <c r="H19" i="15"/>
  <c r="F19" i="15"/>
  <c r="H20" i="15"/>
  <c r="F20" i="15"/>
  <c r="H21" i="15"/>
  <c r="K21" i="15" s="1"/>
  <c r="L21" i="15" s="1"/>
  <c r="F21" i="15"/>
  <c r="H22" i="15"/>
  <c r="K22" i="15" s="1"/>
  <c r="L22" i="15" s="1"/>
  <c r="F22" i="15"/>
  <c r="H23" i="15"/>
  <c r="K23" i="15" s="1"/>
  <c r="L23" i="15" s="1"/>
  <c r="F23" i="15"/>
  <c r="H24" i="15"/>
  <c r="K24" i="15" s="1"/>
  <c r="F24" i="15"/>
  <c r="H25" i="15"/>
  <c r="I25" i="15" s="1"/>
  <c r="F25" i="15"/>
  <c r="H26" i="15"/>
  <c r="K26" i="15" s="1"/>
  <c r="F26" i="15"/>
  <c r="H27" i="15"/>
  <c r="K27" i="15" s="1"/>
  <c r="L27" i="15" s="1"/>
  <c r="F27" i="15"/>
  <c r="H28" i="15"/>
  <c r="K28" i="15" s="1"/>
  <c r="F28" i="15"/>
  <c r="H29" i="15"/>
  <c r="F29" i="15"/>
  <c r="M29" i="15"/>
  <c r="H30" i="15"/>
  <c r="K30" i="15" s="1"/>
  <c r="L30" i="15" s="1"/>
  <c r="F30" i="15"/>
  <c r="H31" i="15"/>
  <c r="K31" i="15" s="1"/>
  <c r="F31" i="15"/>
  <c r="H32" i="15"/>
  <c r="F32" i="15"/>
  <c r="F33" i="15"/>
  <c r="AV33" i="15" s="1"/>
  <c r="F34" i="15"/>
  <c r="M34" i="15"/>
  <c r="N34" i="15" s="1"/>
  <c r="O34" i="15" s="1"/>
  <c r="F35" i="15"/>
  <c r="M35" i="15"/>
  <c r="N35" i="15" s="1"/>
  <c r="O35" i="15" s="1"/>
  <c r="P35" i="15"/>
  <c r="F36" i="15"/>
  <c r="AV36" i="15" s="1"/>
  <c r="H40" i="15"/>
  <c r="K40" i="15"/>
  <c r="L40" i="15" s="1"/>
  <c r="F40" i="15"/>
  <c r="H41" i="15"/>
  <c r="K41" i="15" s="1"/>
  <c r="F41" i="15"/>
  <c r="F42" i="15"/>
  <c r="AV42" i="15" s="1"/>
  <c r="F43" i="15"/>
  <c r="AV43" i="15" s="1"/>
  <c r="F52" i="15"/>
  <c r="J52" i="15" s="1"/>
  <c r="G52" i="15"/>
  <c r="H52" i="15" s="1"/>
  <c r="I52" i="15" s="1"/>
  <c r="S52" i="15"/>
  <c r="F54" i="15"/>
  <c r="F56" i="15"/>
  <c r="V56" i="15" s="1"/>
  <c r="F58" i="15"/>
  <c r="S58" i="15" s="1"/>
  <c r="F60" i="15"/>
  <c r="F61" i="15"/>
  <c r="F33" i="9"/>
  <c r="F8" i="10"/>
  <c r="AV8" i="10" s="1"/>
  <c r="F9" i="10"/>
  <c r="AV9" i="10" s="1"/>
  <c r="F10" i="10"/>
  <c r="AV10" i="10" s="1"/>
  <c r="F11" i="10"/>
  <c r="AV11" i="10" s="1"/>
  <c r="F12" i="10"/>
  <c r="AV12" i="10" s="1"/>
  <c r="F13" i="10"/>
  <c r="AV13" i="10" s="1"/>
  <c r="F14" i="10"/>
  <c r="AV14" i="10" s="1"/>
  <c r="F15" i="10"/>
  <c r="AV15" i="10" s="1"/>
  <c r="F16" i="10"/>
  <c r="AV16" i="10" s="1"/>
  <c r="F17" i="10"/>
  <c r="AV17" i="10" s="1"/>
  <c r="F18" i="10"/>
  <c r="AV18" i="10" s="1"/>
  <c r="F19" i="10"/>
  <c r="AV19" i="10" s="1"/>
  <c r="F20" i="10"/>
  <c r="AV20" i="10" s="1"/>
  <c r="F21" i="10"/>
  <c r="AV21" i="10" s="1"/>
  <c r="F22" i="10"/>
  <c r="AV22" i="10" s="1"/>
  <c r="F23" i="10"/>
  <c r="AV23" i="10" s="1"/>
  <c r="F24" i="10"/>
  <c r="AV24" i="10" s="1"/>
  <c r="F25" i="10"/>
  <c r="AV25" i="10" s="1"/>
  <c r="F26" i="10"/>
  <c r="AV26" i="10" s="1"/>
  <c r="F60" i="10"/>
  <c r="AV60" i="10" s="1"/>
  <c r="F61" i="10"/>
  <c r="AV61" i="10" s="1"/>
  <c r="P61" i="10"/>
  <c r="F62" i="10"/>
  <c r="AV62" i="10" s="1"/>
  <c r="P62" i="10"/>
  <c r="F63" i="10"/>
  <c r="AV63" i="10" s="1"/>
  <c r="F64" i="10"/>
  <c r="AV64" i="10" s="1"/>
  <c r="F65" i="10"/>
  <c r="AV65" i="10" s="1"/>
  <c r="F66" i="10"/>
  <c r="AV66" i="10" s="1"/>
  <c r="F67" i="10"/>
  <c r="AV67" i="10" s="1"/>
  <c r="M67" i="10"/>
  <c r="N67" i="10" s="1"/>
  <c r="F68" i="10"/>
  <c r="AV68" i="10" s="1"/>
  <c r="F69" i="10"/>
  <c r="AV69" i="10" s="1"/>
  <c r="F70" i="10"/>
  <c r="AV70" i="10" s="1"/>
  <c r="F71" i="10"/>
  <c r="AV71" i="10" s="1"/>
  <c r="F72" i="10"/>
  <c r="AV72" i="10" s="1"/>
  <c r="F73" i="10"/>
  <c r="AV73" i="10" s="1"/>
  <c r="F83" i="10"/>
  <c r="AV83" i="10" s="1"/>
  <c r="H83" i="10"/>
  <c r="P83" i="10"/>
  <c r="F84" i="10"/>
  <c r="AV84" i="10" s="1"/>
  <c r="H84" i="10"/>
  <c r="I84" i="10" s="1"/>
  <c r="F85" i="10"/>
  <c r="AV85" i="10" s="1"/>
  <c r="H85" i="10"/>
  <c r="F86" i="10"/>
  <c r="AV86" i="10" s="1"/>
  <c r="H86" i="10"/>
  <c r="I86" i="10" s="1"/>
  <c r="F88" i="10"/>
  <c r="AV88" i="10" s="1"/>
  <c r="F90" i="10"/>
  <c r="AV90" i="10" s="1"/>
  <c r="F91" i="10"/>
  <c r="AV91" i="10" s="1"/>
  <c r="F92" i="10"/>
  <c r="AV92" i="10" s="1"/>
  <c r="M92" i="10"/>
  <c r="F93" i="10"/>
  <c r="AV93" i="10" s="1"/>
  <c r="F94" i="10"/>
  <c r="AV94" i="10" s="1"/>
  <c r="F96" i="10"/>
  <c r="AV96" i="10" s="1"/>
  <c r="P96" i="10"/>
  <c r="F97" i="10"/>
  <c r="AV97" i="10" s="1"/>
  <c r="F98" i="10"/>
  <c r="AV98" i="10" s="1"/>
  <c r="F99" i="10"/>
  <c r="AV99" i="10" s="1"/>
  <c r="F100" i="10"/>
  <c r="AV100" i="10" s="1"/>
  <c r="F101" i="10"/>
  <c r="AV101" i="10" s="1"/>
  <c r="F103" i="10"/>
  <c r="AV103" i="10" s="1"/>
  <c r="F114" i="10"/>
  <c r="AV114" i="10" s="1"/>
  <c r="H114" i="10"/>
  <c r="I114" i="10" s="1"/>
  <c r="F115" i="10"/>
  <c r="AV115" i="10" s="1"/>
  <c r="H115" i="10"/>
  <c r="M115" i="10"/>
  <c r="H7" i="13"/>
  <c r="K7" i="13" s="1"/>
  <c r="L7" i="13" s="1"/>
  <c r="H12" i="13"/>
  <c r="K12" i="13" s="1"/>
  <c r="H18" i="13"/>
  <c r="K18" i="13" s="1"/>
  <c r="L18" i="13" s="1"/>
  <c r="H19" i="13"/>
  <c r="K19" i="13" s="1"/>
  <c r="L19" i="13" s="1"/>
  <c r="H20" i="13"/>
  <c r="I20" i="13" s="1"/>
  <c r="H21" i="13"/>
  <c r="K21" i="13" s="1"/>
  <c r="L21" i="13" s="1"/>
  <c r="H23" i="13"/>
  <c r="I23" i="13" s="1"/>
  <c r="H24" i="13"/>
  <c r="I24" i="13" s="1"/>
  <c r="H26" i="13"/>
  <c r="K26" i="13" s="1"/>
  <c r="L26" i="13" s="1"/>
  <c r="H28" i="13"/>
  <c r="I28" i="13" s="1"/>
  <c r="H29" i="13"/>
  <c r="I29" i="13" s="1"/>
  <c r="H30" i="13"/>
  <c r="I30" i="13" s="1"/>
  <c r="H31" i="13"/>
  <c r="I31" i="13" s="1"/>
  <c r="H32" i="13"/>
  <c r="K32" i="13" s="1"/>
  <c r="L32" i="13" s="1"/>
  <c r="H33" i="13"/>
  <c r="K33" i="13" s="1"/>
  <c r="L33" i="13" s="1"/>
  <c r="K35" i="13"/>
  <c r="L35" i="13" s="1"/>
  <c r="K36" i="13"/>
  <c r="L36" i="13" s="1"/>
  <c r="K37" i="13"/>
  <c r="L37" i="13" s="1"/>
  <c r="K38" i="13"/>
  <c r="L38" i="13" s="1"/>
  <c r="K39" i="13"/>
  <c r="L39" i="13" s="1"/>
  <c r="K40" i="13"/>
  <c r="L40" i="13" s="1"/>
  <c r="K41" i="13"/>
  <c r="L41" i="13" s="1"/>
  <c r="K42" i="13"/>
  <c r="L42" i="13" s="1"/>
  <c r="K43" i="13"/>
  <c r="L43" i="13" s="1"/>
  <c r="K44" i="13"/>
  <c r="L44" i="13" s="1"/>
  <c r="K45" i="13"/>
  <c r="L45" i="13" s="1"/>
  <c r="K46" i="13"/>
  <c r="L46" i="13" s="1"/>
  <c r="K47" i="13"/>
  <c r="L47" i="13" s="1"/>
  <c r="K48" i="13"/>
  <c r="L48" i="13" s="1"/>
  <c r="K49" i="13"/>
  <c r="L49" i="13" s="1"/>
  <c r="K50" i="13"/>
  <c r="L50" i="13" s="1"/>
  <c r="K51" i="13"/>
  <c r="L51" i="13" s="1"/>
  <c r="K52" i="13"/>
  <c r="L52" i="13" s="1"/>
  <c r="F53" i="13"/>
  <c r="AV53" i="13" s="1"/>
  <c r="F54" i="13"/>
  <c r="AV54" i="13" s="1"/>
  <c r="F55" i="13"/>
  <c r="AV55" i="13" s="1"/>
  <c r="F56" i="13"/>
  <c r="AV56" i="13" s="1"/>
  <c r="F57" i="13"/>
  <c r="AV57" i="13" s="1"/>
  <c r="H73" i="13"/>
  <c r="K73" i="13" s="1"/>
  <c r="L73" i="13" s="1"/>
  <c r="H74" i="13"/>
  <c r="K74" i="13" s="1"/>
  <c r="L74" i="13" s="1"/>
  <c r="H75" i="13"/>
  <c r="K75" i="13" s="1"/>
  <c r="L75" i="13" s="1"/>
  <c r="H77" i="13"/>
  <c r="K77" i="13" s="1"/>
  <c r="H79" i="13"/>
  <c r="H81" i="13"/>
  <c r="K81" i="13" s="1"/>
  <c r="H83" i="13"/>
  <c r="K83" i="13" s="1"/>
  <c r="L83" i="13" s="1"/>
  <c r="H84" i="13"/>
  <c r="K84" i="13" s="1"/>
  <c r="L84" i="13" s="1"/>
  <c r="H85" i="13"/>
  <c r="K85" i="13" s="1"/>
  <c r="L85" i="13" s="1"/>
  <c r="H86" i="13"/>
  <c r="K86" i="13" s="1"/>
  <c r="L86" i="13" s="1"/>
  <c r="H91" i="13"/>
  <c r="I91" i="13" s="1"/>
  <c r="H92" i="13"/>
  <c r="I92" i="13" s="1"/>
  <c r="H93" i="13"/>
  <c r="I93" i="13" s="1"/>
  <c r="H94" i="13"/>
  <c r="I94" i="13" s="1"/>
  <c r="S94" i="13"/>
  <c r="H95" i="13"/>
  <c r="H96" i="13"/>
  <c r="I96" i="13" s="1"/>
  <c r="H97" i="13"/>
  <c r="H98" i="13"/>
  <c r="H99" i="13"/>
  <c r="H100" i="13"/>
  <c r="H101" i="13"/>
  <c r="I101" i="13" s="1"/>
  <c r="H102" i="13"/>
  <c r="I102" i="13" s="1"/>
  <c r="H103" i="13"/>
  <c r="I103" i="13" s="1"/>
  <c r="H104" i="13"/>
  <c r="I104" i="13" s="1"/>
  <c r="H105" i="13"/>
  <c r="K105" i="13" s="1"/>
  <c r="H106" i="13"/>
  <c r="K106" i="13" s="1"/>
  <c r="L106" i="13" s="1"/>
  <c r="H107" i="13"/>
  <c r="K107" i="13" s="1"/>
  <c r="L107" i="13" s="1"/>
  <c r="H108" i="13"/>
  <c r="K108" i="13" s="1"/>
  <c r="L108" i="13" s="1"/>
  <c r="H109" i="13"/>
  <c r="K109" i="13" s="1"/>
  <c r="H110" i="13"/>
  <c r="K110" i="13" s="1"/>
  <c r="L110" i="13" s="1"/>
  <c r="H111" i="13"/>
  <c r="K111" i="13" s="1"/>
  <c r="L111" i="13" s="1"/>
  <c r="H112" i="13"/>
  <c r="K112" i="13" s="1"/>
  <c r="L112" i="13" s="1"/>
  <c r="H113" i="13"/>
  <c r="K113" i="13" s="1"/>
  <c r="H114" i="13"/>
  <c r="K114" i="13" s="1"/>
  <c r="L114" i="13" s="1"/>
  <c r="H115" i="13"/>
  <c r="K115" i="13" s="1"/>
  <c r="L115" i="13" s="1"/>
  <c r="H116" i="13"/>
  <c r="K116" i="13" s="1"/>
  <c r="L116" i="13" s="1"/>
  <c r="H117" i="13"/>
  <c r="K117" i="13" s="1"/>
  <c r="L117" i="13" s="1"/>
  <c r="H119" i="13"/>
  <c r="K119" i="13" s="1"/>
  <c r="L119" i="13" s="1"/>
  <c r="H120" i="13"/>
  <c r="K120" i="13" s="1"/>
  <c r="L120" i="13" s="1"/>
  <c r="H121" i="13"/>
  <c r="K121" i="13" s="1"/>
  <c r="L121" i="13" s="1"/>
  <c r="H122" i="13"/>
  <c r="K122" i="13" s="1"/>
  <c r="L122" i="13" s="1"/>
  <c r="H123" i="13"/>
  <c r="K123" i="13" s="1"/>
  <c r="H124" i="13"/>
  <c r="K124" i="13" s="1"/>
  <c r="L124" i="13" s="1"/>
  <c r="H125" i="13"/>
  <c r="K125" i="13" s="1"/>
  <c r="L125" i="13" s="1"/>
  <c r="H126" i="13"/>
  <c r="K126" i="13" s="1"/>
  <c r="L126" i="13" s="1"/>
  <c r="H127" i="13"/>
  <c r="K127" i="13" s="1"/>
  <c r="L127" i="13" s="1"/>
  <c r="H128" i="13"/>
  <c r="I128" i="13" s="1"/>
  <c r="H129" i="13"/>
  <c r="K129" i="13" s="1"/>
  <c r="L129" i="13" s="1"/>
  <c r="H130" i="13"/>
  <c r="K130" i="13" s="1"/>
  <c r="H131" i="13"/>
  <c r="K131" i="13" s="1"/>
  <c r="L131" i="13" s="1"/>
  <c r="H132" i="13"/>
  <c r="K132" i="13" s="1"/>
  <c r="L132" i="13" s="1"/>
  <c r="H133" i="13"/>
  <c r="K133" i="13" s="1"/>
  <c r="L133" i="13" s="1"/>
  <c r="H134" i="13"/>
  <c r="K134" i="13" s="1"/>
  <c r="L134" i="13" s="1"/>
  <c r="H135" i="13"/>
  <c r="K135" i="13" s="1"/>
  <c r="L135" i="13" s="1"/>
  <c r="H136" i="13"/>
  <c r="K136" i="13" s="1"/>
  <c r="L136" i="13" s="1"/>
  <c r="H137" i="13"/>
  <c r="K137" i="13" s="1"/>
  <c r="L137" i="13" s="1"/>
  <c r="H138" i="13"/>
  <c r="H139" i="13"/>
  <c r="K139" i="13" s="1"/>
  <c r="L139" i="13" s="1"/>
  <c r="H140" i="13"/>
  <c r="K140" i="13" s="1"/>
  <c r="L140" i="13" s="1"/>
  <c r="H141" i="13"/>
  <c r="K141" i="13" s="1"/>
  <c r="L141" i="13" s="1"/>
  <c r="H142" i="13"/>
  <c r="K142" i="13" s="1"/>
  <c r="L142" i="13" s="1"/>
  <c r="H143" i="13"/>
  <c r="K143" i="13" s="1"/>
  <c r="L143" i="13" s="1"/>
  <c r="H144" i="13"/>
  <c r="K144" i="13" s="1"/>
  <c r="L144" i="13" s="1"/>
  <c r="H145" i="13"/>
  <c r="K145" i="13" s="1"/>
  <c r="L145" i="13" s="1"/>
  <c r="H146" i="13"/>
  <c r="K146" i="13" s="1"/>
  <c r="L146" i="13" s="1"/>
  <c r="H147" i="13"/>
  <c r="K147" i="13" s="1"/>
  <c r="L147" i="13" s="1"/>
  <c r="H148" i="13"/>
  <c r="K148" i="13" s="1"/>
  <c r="H149" i="13"/>
  <c r="K149" i="13" s="1"/>
  <c r="L149" i="13" s="1"/>
  <c r="S149" i="13"/>
  <c r="H150" i="13"/>
  <c r="K150" i="13" s="1"/>
  <c r="L150" i="13" s="1"/>
  <c r="H151" i="13"/>
  <c r="H152" i="13"/>
  <c r="K152" i="13" s="1"/>
  <c r="L152" i="13" s="1"/>
  <c r="M153" i="13"/>
  <c r="H153" i="13"/>
  <c r="K153" i="13" s="1"/>
  <c r="H154" i="13"/>
  <c r="K154" i="13" s="1"/>
  <c r="L154" i="13" s="1"/>
  <c r="H157" i="13"/>
  <c r="K157" i="13" s="1"/>
  <c r="H158" i="13"/>
  <c r="K158" i="13" s="1"/>
  <c r="H159" i="13"/>
  <c r="K159" i="13" s="1"/>
  <c r="H160" i="13"/>
  <c r="K160" i="13" s="1"/>
  <c r="H163" i="13"/>
  <c r="K163" i="13" s="1"/>
  <c r="H164" i="13"/>
  <c r="K164" i="13" s="1"/>
  <c r="L164" i="13" s="1"/>
  <c r="H165" i="13"/>
  <c r="K165" i="13" s="1"/>
  <c r="H166" i="13"/>
  <c r="H168" i="13"/>
  <c r="K168" i="13" s="1"/>
  <c r="H169" i="13"/>
  <c r="K169" i="13" s="1"/>
  <c r="L169" i="13" s="1"/>
  <c r="H170" i="13"/>
  <c r="K170" i="13" s="1"/>
  <c r="L170" i="13" s="1"/>
  <c r="H171" i="13"/>
  <c r="K171" i="13" s="1"/>
  <c r="L171" i="13" s="1"/>
  <c r="F174" i="13"/>
  <c r="AV174" i="13" s="1"/>
  <c r="F175" i="13"/>
  <c r="AV175" i="13" s="1"/>
  <c r="F176" i="13"/>
  <c r="AV176" i="13" s="1"/>
  <c r="F177" i="13"/>
  <c r="AV177" i="13" s="1"/>
  <c r="F178" i="13"/>
  <c r="AV178" i="13" s="1"/>
  <c r="F179" i="13"/>
  <c r="AV179" i="13" s="1"/>
  <c r="F180" i="13"/>
  <c r="AV180" i="13" s="1"/>
  <c r="F181" i="13"/>
  <c r="AV181" i="13" s="1"/>
  <c r="F182" i="13"/>
  <c r="AV182" i="13" s="1"/>
  <c r="F183" i="13"/>
  <c r="AV183" i="13" s="1"/>
  <c r="V9" i="10"/>
  <c r="V10" i="10"/>
  <c r="F27" i="10"/>
  <c r="AV27" i="10" s="1"/>
  <c r="V31" i="10"/>
  <c r="W31" i="10" s="1"/>
  <c r="X31" i="10" s="1"/>
  <c r="V33" i="10"/>
  <c r="W33" i="10" s="1"/>
  <c r="X33" i="10" s="1"/>
  <c r="V61" i="10"/>
  <c r="V62" i="10"/>
  <c r="V66" i="10"/>
  <c r="V67" i="10"/>
  <c r="V70" i="10"/>
  <c r="F74" i="10"/>
  <c r="AV74" i="10" s="1"/>
  <c r="F75" i="10"/>
  <c r="AV75" i="10" s="1"/>
  <c r="V83" i="10"/>
  <c r="V85" i="10"/>
  <c r="V90" i="10"/>
  <c r="V92" i="10"/>
  <c r="V96" i="10"/>
  <c r="V97" i="10"/>
  <c r="V98" i="10"/>
  <c r="V99" i="10"/>
  <c r="V103" i="10"/>
  <c r="V115" i="10"/>
  <c r="V14" i="15"/>
  <c r="V30" i="15"/>
  <c r="V35" i="15"/>
  <c r="V42" i="15"/>
  <c r="V52" i="15"/>
  <c r="V49" i="13"/>
  <c r="C191" i="17"/>
  <c r="K191" i="17" s="1"/>
  <c r="S191" i="17" s="1"/>
  <c r="I217" i="17"/>
  <c r="H217" i="17"/>
  <c r="G217" i="17"/>
  <c r="K203" i="17"/>
  <c r="C131" i="17" s="1"/>
  <c r="J201" i="17"/>
  <c r="J205" i="17"/>
  <c r="I201" i="17"/>
  <c r="I205" i="17"/>
  <c r="H201" i="17"/>
  <c r="H205" i="17"/>
  <c r="G201" i="17"/>
  <c r="G205" i="17"/>
  <c r="E14" i="12"/>
  <c r="E10" i="12"/>
  <c r="AA8" i="15"/>
  <c r="AA31" i="15"/>
  <c r="AA34" i="15"/>
  <c r="AA35" i="15"/>
  <c r="AA52" i="15"/>
  <c r="AD6" i="15"/>
  <c r="AD14" i="15"/>
  <c r="AD34" i="15"/>
  <c r="AD35" i="15"/>
  <c r="AD52" i="15"/>
  <c r="AG5" i="15"/>
  <c r="AG8" i="15"/>
  <c r="AG9" i="15"/>
  <c r="AG20" i="15"/>
  <c r="AG21" i="15"/>
  <c r="AG29" i="15"/>
  <c r="AG30" i="15"/>
  <c r="AG35" i="15"/>
  <c r="AG40" i="15"/>
  <c r="AG52" i="15"/>
  <c r="AG56" i="15"/>
  <c r="AG61" i="15"/>
  <c r="AD101" i="13"/>
  <c r="AD105" i="13"/>
  <c r="AG117" i="13"/>
  <c r="AG122" i="13"/>
  <c r="D16" i="12"/>
  <c r="E225" i="13"/>
  <c r="Z225" i="13" s="1"/>
  <c r="E226" i="13"/>
  <c r="F226" i="13" s="1"/>
  <c r="AV226" i="13" s="1"/>
  <c r="E195" i="13"/>
  <c r="Z195" i="13" s="1"/>
  <c r="E203" i="13"/>
  <c r="Z203" i="13" s="1"/>
  <c r="E205" i="13"/>
  <c r="F205" i="13" s="1"/>
  <c r="E206" i="13"/>
  <c r="F206" i="13" s="1"/>
  <c r="AV206" i="13" s="1"/>
  <c r="E186" i="13"/>
  <c r="Z186" i="13" s="1"/>
  <c r="E187" i="13"/>
  <c r="F187" i="13" s="1"/>
  <c r="E190" i="13"/>
  <c r="F190" i="13" s="1"/>
  <c r="E191" i="13"/>
  <c r="E100" i="13"/>
  <c r="Z100" i="13" s="1"/>
  <c r="E97" i="13"/>
  <c r="N61" i="33" s="1"/>
  <c r="E95" i="13"/>
  <c r="F95" i="13" s="1"/>
  <c r="E165" i="13"/>
  <c r="F165" i="13" s="1"/>
  <c r="E168" i="13"/>
  <c r="E160" i="13"/>
  <c r="F160" i="13" s="1"/>
  <c r="AS160" i="13" s="1"/>
  <c r="E159" i="13"/>
  <c r="F159" i="13" s="1"/>
  <c r="E158" i="13"/>
  <c r="E148" i="13"/>
  <c r="E98" i="13"/>
  <c r="F98" i="13" s="1"/>
  <c r="AS98" i="13" s="1"/>
  <c r="E99" i="13"/>
  <c r="E29" i="9"/>
  <c r="AB9" i="9"/>
  <c r="AB133" i="10"/>
  <c r="AB132" i="10"/>
  <c r="AB117" i="10"/>
  <c r="AB116" i="10"/>
  <c r="AB113" i="10"/>
  <c r="AB112" i="10"/>
  <c r="AB110" i="10"/>
  <c r="AB107" i="10"/>
  <c r="AB50" i="15"/>
  <c r="F13" i="14"/>
  <c r="E23" i="14"/>
  <c r="F23" i="14" s="1"/>
  <c r="AH23" i="14" s="1"/>
  <c r="E22" i="14"/>
  <c r="AC23" i="14"/>
  <c r="AC81" i="3"/>
  <c r="AC110" i="3"/>
  <c r="Y29" i="9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E106" i="3"/>
  <c r="E105" i="3"/>
  <c r="F105" i="3" s="1"/>
  <c r="E104" i="3"/>
  <c r="F104" i="3" s="1"/>
  <c r="E103" i="3"/>
  <c r="E102" i="3"/>
  <c r="E101" i="3"/>
  <c r="AA101" i="3" s="1"/>
  <c r="E100" i="3"/>
  <c r="F100" i="3" s="1"/>
  <c r="E99" i="3"/>
  <c r="E98" i="3"/>
  <c r="E97" i="3"/>
  <c r="G97" i="3" s="1"/>
  <c r="E96" i="3"/>
  <c r="G96" i="3" s="1"/>
  <c r="E95" i="3"/>
  <c r="E94" i="3"/>
  <c r="E93" i="3"/>
  <c r="AA93" i="3" s="1"/>
  <c r="E92" i="3"/>
  <c r="G92" i="3" s="1"/>
  <c r="E91" i="3"/>
  <c r="E90" i="3"/>
  <c r="E89" i="3"/>
  <c r="G89" i="3" s="1"/>
  <c r="E88" i="3"/>
  <c r="F88" i="3" s="1"/>
  <c r="AQ88" i="3" s="1"/>
  <c r="E87" i="3"/>
  <c r="E86" i="3"/>
  <c r="E85" i="3"/>
  <c r="E84" i="3"/>
  <c r="F84" i="3" s="1"/>
  <c r="T84" i="3" s="1"/>
  <c r="E83" i="3"/>
  <c r="E82" i="3"/>
  <c r="Z73" i="3"/>
  <c r="E73" i="3"/>
  <c r="G73" i="3" s="1"/>
  <c r="Z63" i="3"/>
  <c r="E63" i="3"/>
  <c r="Z55" i="3"/>
  <c r="E55" i="3"/>
  <c r="Z44" i="3"/>
  <c r="E44" i="3"/>
  <c r="Z10" i="3"/>
  <c r="E10" i="3"/>
  <c r="Z34" i="14"/>
  <c r="Z33" i="14"/>
  <c r="Z32" i="14"/>
  <c r="Z31" i="14"/>
  <c r="Z30" i="14"/>
  <c r="Z29" i="14"/>
  <c r="Z28" i="14"/>
  <c r="Z27" i="14"/>
  <c r="Z26" i="14"/>
  <c r="Z25" i="14"/>
  <c r="E37" i="14"/>
  <c r="F37" i="14" s="1"/>
  <c r="E36" i="14"/>
  <c r="E35" i="14"/>
  <c r="E34" i="14"/>
  <c r="E33" i="14"/>
  <c r="AA33" i="14" s="1"/>
  <c r="E32" i="14"/>
  <c r="E31" i="14"/>
  <c r="E30" i="14"/>
  <c r="E29" i="14"/>
  <c r="AA29" i="14" s="1"/>
  <c r="E28" i="14"/>
  <c r="E27" i="14"/>
  <c r="E26" i="14"/>
  <c r="E25" i="14"/>
  <c r="AA25" i="14" s="1"/>
  <c r="Z21" i="14"/>
  <c r="Z20" i="14"/>
  <c r="Z19" i="14"/>
  <c r="Z18" i="14"/>
  <c r="Z17" i="14"/>
  <c r="Z16" i="14"/>
  <c r="E21" i="14"/>
  <c r="E20" i="14"/>
  <c r="E19" i="14"/>
  <c r="E18" i="14"/>
  <c r="E17" i="14"/>
  <c r="E16" i="14"/>
  <c r="AA16" i="14" s="1"/>
  <c r="E11" i="14"/>
  <c r="E10" i="14"/>
  <c r="E9" i="14"/>
  <c r="E8" i="14"/>
  <c r="Z11" i="14"/>
  <c r="Z10" i="14"/>
  <c r="Z9" i="14"/>
  <c r="Z8" i="14"/>
  <c r="E27" i="11"/>
  <c r="F27" i="11" s="1"/>
  <c r="E26" i="11"/>
  <c r="E25" i="11"/>
  <c r="E24" i="11"/>
  <c r="E23" i="11"/>
  <c r="E22" i="11"/>
  <c r="E21" i="11"/>
  <c r="E20" i="11"/>
  <c r="E19" i="11"/>
  <c r="E18" i="11"/>
  <c r="Z25" i="11"/>
  <c r="Z24" i="11"/>
  <c r="Z23" i="11"/>
  <c r="Z22" i="11"/>
  <c r="Z21" i="11"/>
  <c r="Z20" i="11"/>
  <c r="Z19" i="11"/>
  <c r="Z18" i="11"/>
  <c r="Z16" i="11"/>
  <c r="Z14" i="11"/>
  <c r="Z13" i="11"/>
  <c r="E16" i="11"/>
  <c r="E14" i="11"/>
  <c r="E13" i="11"/>
  <c r="AA13" i="11" s="1"/>
  <c r="Y303" i="13"/>
  <c r="Y302" i="13"/>
  <c r="Y301" i="13"/>
  <c r="Y300" i="13"/>
  <c r="Y299" i="13"/>
  <c r="Y298" i="13"/>
  <c r="Y297" i="13"/>
  <c r="Y296" i="13"/>
  <c r="Y295" i="13"/>
  <c r="Y294" i="13"/>
  <c r="Y293" i="13"/>
  <c r="Y292" i="13"/>
  <c r="Y291" i="13"/>
  <c r="Y290" i="13"/>
  <c r="Y289" i="13"/>
  <c r="Y288" i="13"/>
  <c r="Y287" i="13"/>
  <c r="Y286" i="13"/>
  <c r="Y285" i="13"/>
  <c r="Y284" i="13"/>
  <c r="Y283" i="13"/>
  <c r="Y282" i="13"/>
  <c r="Y281" i="13"/>
  <c r="Y280" i="13"/>
  <c r="Y279" i="13"/>
  <c r="Y278" i="13"/>
  <c r="Y277" i="13"/>
  <c r="Y276" i="13"/>
  <c r="Y275" i="13"/>
  <c r="Y274" i="13"/>
  <c r="Y273" i="13"/>
  <c r="Y272" i="13"/>
  <c r="Y271" i="13"/>
  <c r="Y270" i="13"/>
  <c r="Y269" i="13"/>
  <c r="Y268" i="13"/>
  <c r="Y267" i="13"/>
  <c r="Y266" i="13"/>
  <c r="Y265" i="13"/>
  <c r="Y264" i="13"/>
  <c r="Y263" i="13"/>
  <c r="Y262" i="13"/>
  <c r="Y261" i="13"/>
  <c r="Y260" i="13"/>
  <c r="Y259" i="13"/>
  <c r="Y258" i="13"/>
  <c r="Y257" i="13"/>
  <c r="Y256" i="13"/>
  <c r="Y255" i="13"/>
  <c r="Y254" i="13"/>
  <c r="Y253" i="13"/>
  <c r="Y252" i="13"/>
  <c r="Y251" i="13"/>
  <c r="Y250" i="13"/>
  <c r="Y249" i="13"/>
  <c r="Y248" i="13"/>
  <c r="Y247" i="13"/>
  <c r="Y246" i="13"/>
  <c r="Y245" i="13"/>
  <c r="Y244" i="13"/>
  <c r="Y243" i="13"/>
  <c r="Y242" i="13"/>
  <c r="Y241" i="13"/>
  <c r="Y240" i="13"/>
  <c r="E308" i="13"/>
  <c r="F308" i="13" s="1"/>
  <c r="E307" i="13"/>
  <c r="F307" i="13" s="1"/>
  <c r="E306" i="13"/>
  <c r="F306" i="13" s="1"/>
  <c r="E305" i="13"/>
  <c r="F305" i="13" s="1"/>
  <c r="AS305" i="13" s="1"/>
  <c r="E304" i="13"/>
  <c r="F304" i="13" s="1"/>
  <c r="E303" i="13"/>
  <c r="F303" i="13" s="1"/>
  <c r="E302" i="13"/>
  <c r="F302" i="13" s="1"/>
  <c r="AS302" i="13" s="1"/>
  <c r="E301" i="13"/>
  <c r="F301" i="13" s="1"/>
  <c r="E300" i="13"/>
  <c r="F300" i="13" s="1"/>
  <c r="E299" i="13"/>
  <c r="F299" i="13" s="1"/>
  <c r="AS299" i="13" s="1"/>
  <c r="E298" i="13"/>
  <c r="E297" i="13"/>
  <c r="E296" i="13"/>
  <c r="F296" i="13" s="1"/>
  <c r="E295" i="13"/>
  <c r="E294" i="13"/>
  <c r="E293" i="13"/>
  <c r="F293" i="13" s="1"/>
  <c r="AS293" i="13" s="1"/>
  <c r="E292" i="13"/>
  <c r="F292" i="13" s="1"/>
  <c r="E291" i="13"/>
  <c r="F291" i="13" s="1"/>
  <c r="E290" i="13"/>
  <c r="E289" i="13"/>
  <c r="F289" i="13" s="1"/>
  <c r="E288" i="13"/>
  <c r="F288" i="13" s="1"/>
  <c r="E287" i="13"/>
  <c r="E286" i="13"/>
  <c r="E285" i="13"/>
  <c r="F285" i="13" s="1"/>
  <c r="E284" i="13"/>
  <c r="F284" i="13" s="1"/>
  <c r="E283" i="13"/>
  <c r="F283" i="13" s="1"/>
  <c r="E282" i="13"/>
  <c r="E281" i="13"/>
  <c r="E280" i="13"/>
  <c r="F280" i="13" s="1"/>
  <c r="E279" i="13"/>
  <c r="E278" i="13"/>
  <c r="E277" i="13"/>
  <c r="F277" i="13" s="1"/>
  <c r="E276" i="13"/>
  <c r="F276" i="13" s="1"/>
  <c r="E275" i="13"/>
  <c r="F275" i="13" s="1"/>
  <c r="AS275" i="13" s="1"/>
  <c r="E274" i="13"/>
  <c r="E273" i="13"/>
  <c r="F273" i="13" s="1"/>
  <c r="E272" i="13"/>
  <c r="F272" i="13" s="1"/>
  <c r="E271" i="13"/>
  <c r="E270" i="13"/>
  <c r="E269" i="13"/>
  <c r="F269" i="13" s="1"/>
  <c r="E268" i="13"/>
  <c r="F268" i="13" s="1"/>
  <c r="AS268" i="13" s="1"/>
  <c r="E267" i="13"/>
  <c r="F267" i="13" s="1"/>
  <c r="E266" i="13"/>
  <c r="E265" i="13"/>
  <c r="E264" i="13"/>
  <c r="F264" i="13" s="1"/>
  <c r="E263" i="13"/>
  <c r="E262" i="13"/>
  <c r="E261" i="13"/>
  <c r="F261" i="13" s="1"/>
  <c r="E260" i="13"/>
  <c r="F260" i="13" s="1"/>
  <c r="E259" i="13"/>
  <c r="F259" i="13" s="1"/>
  <c r="E258" i="13"/>
  <c r="E257" i="13"/>
  <c r="F257" i="13" s="1"/>
  <c r="E256" i="13"/>
  <c r="F256" i="13" s="1"/>
  <c r="E255" i="13"/>
  <c r="F255" i="13" s="1"/>
  <c r="E254" i="13"/>
  <c r="E253" i="13"/>
  <c r="F253" i="13" s="1"/>
  <c r="E252" i="13"/>
  <c r="F252" i="13" s="1"/>
  <c r="E251" i="13"/>
  <c r="E250" i="13"/>
  <c r="E249" i="13"/>
  <c r="F249" i="13" s="1"/>
  <c r="AS249" i="13" s="1"/>
  <c r="E248" i="13"/>
  <c r="F248" i="13" s="1"/>
  <c r="E247" i="13"/>
  <c r="F247" i="13" s="1"/>
  <c r="E246" i="13"/>
  <c r="E245" i="13"/>
  <c r="F245" i="13" s="1"/>
  <c r="AS245" i="13" s="1"/>
  <c r="E244" i="13"/>
  <c r="F244" i="13" s="1"/>
  <c r="E243" i="13"/>
  <c r="F243" i="13" s="1"/>
  <c r="E242" i="13"/>
  <c r="E241" i="13"/>
  <c r="F241" i="13" s="1"/>
  <c r="AS241" i="13" s="1"/>
  <c r="E240" i="13"/>
  <c r="F240" i="13" s="1"/>
  <c r="Y214" i="13"/>
  <c r="E214" i="13"/>
  <c r="F214" i="13" s="1"/>
  <c r="Y199" i="13"/>
  <c r="E199" i="13"/>
  <c r="Y189" i="13"/>
  <c r="E189" i="13"/>
  <c r="Y88" i="13"/>
  <c r="Y87" i="13"/>
  <c r="E88" i="13"/>
  <c r="F88" i="13" s="1"/>
  <c r="E87" i="13"/>
  <c r="Y80" i="13"/>
  <c r="E80" i="13"/>
  <c r="Y40" i="16"/>
  <c r="Y39" i="16"/>
  <c r="Y38" i="16"/>
  <c r="Y37" i="16"/>
  <c r="Y36" i="16"/>
  <c r="Y35" i="16"/>
  <c r="Y34" i="16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E40" i="16"/>
  <c r="E39" i="16"/>
  <c r="E38" i="16"/>
  <c r="Z38" i="16" s="1"/>
  <c r="E37" i="16"/>
  <c r="E36" i="16"/>
  <c r="E35" i="16"/>
  <c r="E34" i="16"/>
  <c r="Z34" i="16" s="1"/>
  <c r="E33" i="16"/>
  <c r="E32" i="16"/>
  <c r="E31" i="16"/>
  <c r="E30" i="16"/>
  <c r="Z30" i="16" s="1"/>
  <c r="E29" i="16"/>
  <c r="E28" i="16"/>
  <c r="E27" i="16"/>
  <c r="E26" i="16"/>
  <c r="Z26" i="16" s="1"/>
  <c r="E25" i="16"/>
  <c r="E24" i="16"/>
  <c r="E23" i="16"/>
  <c r="Z23" i="16" s="1"/>
  <c r="E22" i="16"/>
  <c r="Z22" i="16" s="1"/>
  <c r="E21" i="16"/>
  <c r="E20" i="16"/>
  <c r="E19" i="16"/>
  <c r="E18" i="16"/>
  <c r="Z18" i="16" s="1"/>
  <c r="E17" i="16"/>
  <c r="E16" i="16"/>
  <c r="E15" i="16"/>
  <c r="E14" i="16"/>
  <c r="Z14" i="16" s="1"/>
  <c r="E13" i="16"/>
  <c r="Y62" i="15"/>
  <c r="Y61" i="15"/>
  <c r="Z61" i="15" s="1"/>
  <c r="Y60" i="15"/>
  <c r="Z60" i="15" s="1"/>
  <c r="Y59" i="15"/>
  <c r="Y58" i="15"/>
  <c r="Y57" i="15"/>
  <c r="Y56" i="15"/>
  <c r="Z56" i="15" s="1"/>
  <c r="Y55" i="15"/>
  <c r="Y54" i="15"/>
  <c r="Y53" i="15"/>
  <c r="Y52" i="15"/>
  <c r="Y51" i="15"/>
  <c r="Y46" i="15"/>
  <c r="Y142" i="10"/>
  <c r="Y141" i="10"/>
  <c r="Y140" i="10"/>
  <c r="Y139" i="10"/>
  <c r="Y138" i="10"/>
  <c r="Y137" i="10"/>
  <c r="Y136" i="10"/>
  <c r="Y135" i="10"/>
  <c r="Y134" i="10"/>
  <c r="Y131" i="10"/>
  <c r="Y130" i="10"/>
  <c r="Y129" i="10"/>
  <c r="Y128" i="10"/>
  <c r="Y127" i="10"/>
  <c r="Y126" i="10"/>
  <c r="Y125" i="10"/>
  <c r="Y124" i="10"/>
  <c r="Y123" i="10"/>
  <c r="Y122" i="10"/>
  <c r="Y121" i="10"/>
  <c r="Y120" i="10"/>
  <c r="Y119" i="10"/>
  <c r="Y118" i="10"/>
  <c r="E143" i="10"/>
  <c r="E142" i="10"/>
  <c r="E141" i="10"/>
  <c r="F141" i="10" s="1"/>
  <c r="AD141" i="10" s="1"/>
  <c r="E140" i="10"/>
  <c r="F140" i="10" s="1"/>
  <c r="AA140" i="10" s="1"/>
  <c r="E139" i="10"/>
  <c r="F139" i="10" s="1"/>
  <c r="AA139" i="10" s="1"/>
  <c r="E138" i="10"/>
  <c r="F138" i="10" s="1"/>
  <c r="E137" i="10"/>
  <c r="F137" i="10" s="1"/>
  <c r="AG137" i="10" s="1"/>
  <c r="E136" i="10"/>
  <c r="F136" i="10" s="1"/>
  <c r="E135" i="10"/>
  <c r="E134" i="10"/>
  <c r="F134" i="10" s="1"/>
  <c r="AD134" i="10" s="1"/>
  <c r="E132" i="10"/>
  <c r="F132" i="10" s="1"/>
  <c r="AG132" i="10" s="1"/>
  <c r="E131" i="10"/>
  <c r="F131" i="10" s="1"/>
  <c r="AD131" i="10" s="1"/>
  <c r="E130" i="10"/>
  <c r="F130" i="10" s="1"/>
  <c r="AG130" i="10" s="1"/>
  <c r="E129" i="10"/>
  <c r="F129" i="10" s="1"/>
  <c r="AD129" i="10" s="1"/>
  <c r="E128" i="10"/>
  <c r="F128" i="10" s="1"/>
  <c r="E127" i="10"/>
  <c r="F127" i="10" s="1"/>
  <c r="E126" i="10"/>
  <c r="F126" i="10" s="1"/>
  <c r="AG126" i="10" s="1"/>
  <c r="E125" i="10"/>
  <c r="F125" i="10" s="1"/>
  <c r="AP125" i="10" s="1"/>
  <c r="E124" i="10"/>
  <c r="F124" i="10" s="1"/>
  <c r="AG124" i="10" s="1"/>
  <c r="E123" i="10"/>
  <c r="F123" i="10" s="1"/>
  <c r="AG123" i="10" s="1"/>
  <c r="E122" i="10"/>
  <c r="E121" i="10"/>
  <c r="F121" i="10" s="1"/>
  <c r="E120" i="10"/>
  <c r="F120" i="10" s="1"/>
  <c r="AP120" i="10" s="1"/>
  <c r="E119" i="10"/>
  <c r="F119" i="10" s="1"/>
  <c r="AA119" i="10" s="1"/>
  <c r="E118" i="10"/>
  <c r="F118" i="10" s="1"/>
  <c r="AP118" i="10" s="1"/>
  <c r="Y111" i="10"/>
  <c r="Y109" i="10"/>
  <c r="Y108" i="10"/>
  <c r="Y104" i="10"/>
  <c r="Y102" i="10"/>
  <c r="E111" i="10"/>
  <c r="F111" i="10" s="1"/>
  <c r="E109" i="10"/>
  <c r="F109" i="10" s="1"/>
  <c r="AG109" i="10" s="1"/>
  <c r="E108" i="10"/>
  <c r="F108" i="10" s="1"/>
  <c r="AD108" i="10" s="1"/>
  <c r="E104" i="10"/>
  <c r="F104" i="10" s="1"/>
  <c r="AP104" i="10" s="1"/>
  <c r="E102" i="10"/>
  <c r="F102" i="10" s="1"/>
  <c r="AP102" i="10" s="1"/>
  <c r="Y95" i="10"/>
  <c r="Y89" i="10"/>
  <c r="Y87" i="10"/>
  <c r="E95" i="10"/>
  <c r="F95" i="10" s="1"/>
  <c r="AG95" i="10" s="1"/>
  <c r="E89" i="10"/>
  <c r="F89" i="10" s="1"/>
  <c r="E87" i="10"/>
  <c r="Y44" i="9"/>
  <c r="Y43" i="9"/>
  <c r="Y42" i="9"/>
  <c r="Y41" i="9"/>
  <c r="Y40" i="9"/>
  <c r="Y39" i="9"/>
  <c r="E44" i="9"/>
  <c r="E43" i="9"/>
  <c r="F43" i="9" s="1"/>
  <c r="AG43" i="9" s="1"/>
  <c r="E42" i="9"/>
  <c r="F42" i="9" s="1"/>
  <c r="AP42" i="9" s="1"/>
  <c r="E41" i="9"/>
  <c r="F41" i="9" s="1"/>
  <c r="E40" i="9"/>
  <c r="F40" i="9" s="1"/>
  <c r="E39" i="9"/>
  <c r="F39" i="9" s="1"/>
  <c r="E37" i="9"/>
  <c r="F37" i="9" s="1"/>
  <c r="Y37" i="9"/>
  <c r="Z37" i="9" s="1"/>
  <c r="Y35" i="9"/>
  <c r="Y34" i="9"/>
  <c r="Y32" i="9"/>
  <c r="E32" i="9"/>
  <c r="Z32" i="9" s="1"/>
  <c r="E11" i="9"/>
  <c r="Z11" i="9" s="1"/>
  <c r="E35" i="9"/>
  <c r="Z35" i="9" s="1"/>
  <c r="E34" i="9"/>
  <c r="Y38" i="9"/>
  <c r="Y33" i="9"/>
  <c r="Z33" i="9" s="1"/>
  <c r="Z30" i="9"/>
  <c r="Z28" i="9"/>
  <c r="Z27" i="9"/>
  <c r="Z26" i="9"/>
  <c r="Z25" i="9"/>
  <c r="Z24" i="9"/>
  <c r="Z23" i="9"/>
  <c r="Z22" i="9"/>
  <c r="Z21" i="9"/>
  <c r="Z20" i="9"/>
  <c r="Z19" i="9"/>
  <c r="Z18" i="9"/>
  <c r="Z17" i="9"/>
  <c r="Z16" i="9"/>
  <c r="Z15" i="9"/>
  <c r="Z14" i="9"/>
  <c r="Z13" i="9"/>
  <c r="Z12" i="9"/>
  <c r="Z10" i="9"/>
  <c r="Z8" i="9"/>
  <c r="Y6" i="9"/>
  <c r="Y5" i="9"/>
  <c r="Y7" i="9"/>
  <c r="Z139" i="10"/>
  <c r="Z138" i="10"/>
  <c r="Z136" i="10"/>
  <c r="Z134" i="10"/>
  <c r="Z130" i="10"/>
  <c r="Z125" i="10"/>
  <c r="Z115" i="10"/>
  <c r="Z114" i="10"/>
  <c r="Z108" i="10"/>
  <c r="Z103" i="10"/>
  <c r="Z101" i="10"/>
  <c r="Z100" i="10"/>
  <c r="Z99" i="10"/>
  <c r="Z98" i="10"/>
  <c r="Z97" i="10"/>
  <c r="Z96" i="10"/>
  <c r="Z94" i="10"/>
  <c r="Z93" i="10"/>
  <c r="Z92" i="10"/>
  <c r="Z91" i="10"/>
  <c r="Z90" i="10"/>
  <c r="Z88" i="10"/>
  <c r="Z86" i="10"/>
  <c r="Z85" i="10"/>
  <c r="Z83" i="10"/>
  <c r="Z76" i="10"/>
  <c r="Z75" i="10"/>
  <c r="Z74" i="10"/>
  <c r="Z73" i="10"/>
  <c r="Z72" i="10"/>
  <c r="Z71" i="10"/>
  <c r="Z70" i="10"/>
  <c r="Z69" i="10"/>
  <c r="Z68" i="10"/>
  <c r="Z67" i="10"/>
  <c r="Z65" i="10"/>
  <c r="Z64" i="10"/>
  <c r="Z63" i="10"/>
  <c r="Z62" i="10"/>
  <c r="Z61" i="10"/>
  <c r="Z60" i="10"/>
  <c r="Z33" i="10"/>
  <c r="Z32" i="10"/>
  <c r="Z31" i="10"/>
  <c r="Z30" i="10"/>
  <c r="Z29" i="10"/>
  <c r="Z28" i="10"/>
  <c r="Z27" i="10"/>
  <c r="Z26" i="10"/>
  <c r="Z25" i="10"/>
  <c r="Z24" i="10"/>
  <c r="Z23" i="10"/>
  <c r="Z22" i="10"/>
  <c r="Z21" i="10"/>
  <c r="Z20" i="10"/>
  <c r="Z19" i="10"/>
  <c r="Z18" i="10"/>
  <c r="Z17" i="10"/>
  <c r="Z16" i="10"/>
  <c r="Z15" i="10"/>
  <c r="Z14" i="10"/>
  <c r="Z13" i="10"/>
  <c r="Z12" i="10"/>
  <c r="Z11" i="10"/>
  <c r="Z10" i="10"/>
  <c r="Z9" i="10"/>
  <c r="Z8" i="10"/>
  <c r="Z33" i="3"/>
  <c r="Z34" i="3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Y65" i="15"/>
  <c r="Z58" i="15"/>
  <c r="Z52" i="15"/>
  <c r="Z43" i="15"/>
  <c r="Z42" i="15"/>
  <c r="Z41" i="15"/>
  <c r="Z40" i="15"/>
  <c r="Z36" i="15"/>
  <c r="Z35" i="15"/>
  <c r="Z34" i="15"/>
  <c r="Z33" i="15"/>
  <c r="Z32" i="15"/>
  <c r="Z31" i="15"/>
  <c r="Z30" i="15"/>
  <c r="Z29" i="15"/>
  <c r="Z28" i="15"/>
  <c r="Z27" i="15"/>
  <c r="Z26" i="15"/>
  <c r="Z25" i="15"/>
  <c r="Z24" i="15"/>
  <c r="Z23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6" i="15"/>
  <c r="Z5" i="15"/>
  <c r="Z39" i="16"/>
  <c r="Z37" i="16"/>
  <c r="Z35" i="16"/>
  <c r="Z33" i="16"/>
  <c r="Z31" i="16"/>
  <c r="Z29" i="16"/>
  <c r="Z27" i="16"/>
  <c r="Z25" i="16"/>
  <c r="Z21" i="16"/>
  <c r="Z19" i="16"/>
  <c r="Z17" i="16"/>
  <c r="Z15" i="16"/>
  <c r="Z13" i="16"/>
  <c r="Z10" i="16"/>
  <c r="Z9" i="16"/>
  <c r="Z8" i="16"/>
  <c r="Z7" i="16"/>
  <c r="Z6" i="16"/>
  <c r="Z5" i="16"/>
  <c r="Z75" i="3"/>
  <c r="Z79" i="3"/>
  <c r="Y210" i="13"/>
  <c r="Y213" i="13"/>
  <c r="Y172" i="13"/>
  <c r="Y173" i="13"/>
  <c r="Y167" i="13"/>
  <c r="Y166" i="13"/>
  <c r="Y162" i="13"/>
  <c r="Y161" i="13"/>
  <c r="Y163" i="13"/>
  <c r="Y156" i="13"/>
  <c r="Y155" i="13"/>
  <c r="Y157" i="13"/>
  <c r="Y82" i="13"/>
  <c r="Y89" i="13"/>
  <c r="Y78" i="13"/>
  <c r="Y81" i="13"/>
  <c r="Y76" i="13"/>
  <c r="Y77" i="13"/>
  <c r="Z73" i="13"/>
  <c r="Z18" i="13"/>
  <c r="Y9" i="13"/>
  <c r="Y10" i="13"/>
  <c r="Y11" i="13"/>
  <c r="Y12" i="13"/>
  <c r="E75" i="3"/>
  <c r="E79" i="3"/>
  <c r="AA79" i="3" s="1"/>
  <c r="E78" i="3"/>
  <c r="F78" i="3" s="1"/>
  <c r="E72" i="3"/>
  <c r="E77" i="3"/>
  <c r="E65" i="3"/>
  <c r="E66" i="3"/>
  <c r="E68" i="3"/>
  <c r="E69" i="3"/>
  <c r="Z310" i="13"/>
  <c r="Z299" i="13"/>
  <c r="Z289" i="13"/>
  <c r="Z275" i="13"/>
  <c r="Z273" i="13"/>
  <c r="Z247" i="13"/>
  <c r="Z238" i="13"/>
  <c r="Z237" i="13"/>
  <c r="Z236" i="13"/>
  <c r="Z235" i="13"/>
  <c r="Z234" i="13"/>
  <c r="Z233" i="13"/>
  <c r="Z232" i="13"/>
  <c r="Z231" i="13"/>
  <c r="Z230" i="13"/>
  <c r="Z229" i="13"/>
  <c r="Z228" i="13"/>
  <c r="Z227" i="13"/>
  <c r="Z226" i="13"/>
  <c r="Z224" i="13"/>
  <c r="Z223" i="13"/>
  <c r="Z222" i="13"/>
  <c r="Z221" i="13"/>
  <c r="Z220" i="13"/>
  <c r="Z219" i="13"/>
  <c r="Z218" i="13"/>
  <c r="Z217" i="13"/>
  <c r="Z216" i="13"/>
  <c r="Z215" i="13"/>
  <c r="Z214" i="13"/>
  <c r="Z212" i="13"/>
  <c r="Z211" i="13"/>
  <c r="Z209" i="13"/>
  <c r="Z208" i="13"/>
  <c r="Z207" i="13"/>
  <c r="Z204" i="13"/>
  <c r="Z202" i="13"/>
  <c r="Z201" i="13"/>
  <c r="Z200" i="13"/>
  <c r="Z198" i="13"/>
  <c r="Z197" i="13"/>
  <c r="Z196" i="13"/>
  <c r="Z194" i="13"/>
  <c r="Z193" i="13"/>
  <c r="Z192" i="13"/>
  <c r="Z188" i="13"/>
  <c r="Z185" i="13"/>
  <c r="Z184" i="13"/>
  <c r="Z183" i="13"/>
  <c r="Z182" i="13"/>
  <c r="Z181" i="13"/>
  <c r="Z180" i="13"/>
  <c r="Z179" i="13"/>
  <c r="Z178" i="13"/>
  <c r="Z177" i="13"/>
  <c r="Z176" i="13"/>
  <c r="Z175" i="13"/>
  <c r="Z174" i="13"/>
  <c r="Z171" i="13"/>
  <c r="Z170" i="13"/>
  <c r="Z169" i="13"/>
  <c r="Z165" i="13"/>
  <c r="Z164" i="13"/>
  <c r="Z160" i="13"/>
  <c r="Z159" i="13"/>
  <c r="Z158" i="13"/>
  <c r="Z154" i="13"/>
  <c r="Z153" i="13"/>
  <c r="Z152" i="13"/>
  <c r="Z151" i="13"/>
  <c r="Z150" i="13"/>
  <c r="Z149" i="13"/>
  <c r="Z147" i="13"/>
  <c r="Z146" i="13"/>
  <c r="Z145" i="13"/>
  <c r="Z144" i="13"/>
  <c r="Z143" i="13"/>
  <c r="Z142" i="13"/>
  <c r="Z141" i="13"/>
  <c r="Z140" i="13"/>
  <c r="Z139" i="13"/>
  <c r="Z138" i="13"/>
  <c r="Z137" i="13"/>
  <c r="Z136" i="13"/>
  <c r="Z135" i="13"/>
  <c r="Z134" i="13"/>
  <c r="Z133" i="13"/>
  <c r="Z132" i="13"/>
  <c r="Z131" i="13"/>
  <c r="Z130" i="13"/>
  <c r="Z129" i="13"/>
  <c r="Z128" i="13"/>
  <c r="Z127" i="13"/>
  <c r="Z126" i="13"/>
  <c r="Z125" i="13"/>
  <c r="Z124" i="13"/>
  <c r="Z123" i="13"/>
  <c r="Z122" i="13"/>
  <c r="Z121" i="13"/>
  <c r="Z120" i="13"/>
  <c r="Z119" i="13"/>
  <c r="Z118" i="13"/>
  <c r="Z117" i="13"/>
  <c r="Z116" i="13"/>
  <c r="Z115" i="13"/>
  <c r="Z114" i="13"/>
  <c r="Z113" i="13"/>
  <c r="Z112" i="13"/>
  <c r="Z111" i="13"/>
  <c r="Z110" i="13"/>
  <c r="Z109" i="13"/>
  <c r="Z108" i="13"/>
  <c r="Z107" i="13"/>
  <c r="Z106" i="13"/>
  <c r="Z105" i="13"/>
  <c r="Z104" i="13"/>
  <c r="Z103" i="13"/>
  <c r="Z102" i="13"/>
  <c r="Z101" i="13"/>
  <c r="Z98" i="13"/>
  <c r="Z96" i="13"/>
  <c r="Z94" i="13"/>
  <c r="Z93" i="13"/>
  <c r="Z92" i="13"/>
  <c r="Z91" i="13"/>
  <c r="Z86" i="13"/>
  <c r="Z85" i="13"/>
  <c r="Z84" i="13"/>
  <c r="Z83" i="13"/>
  <c r="Z79" i="13"/>
  <c r="Z75" i="13"/>
  <c r="Z74" i="13"/>
  <c r="Z68" i="13"/>
  <c r="Z67" i="13"/>
  <c r="Z66" i="13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52" i="13"/>
  <c r="Z51" i="13"/>
  <c r="Z50" i="13"/>
  <c r="Z49" i="13"/>
  <c r="Z48" i="13"/>
  <c r="Z47" i="13"/>
  <c r="Z46" i="13"/>
  <c r="Z45" i="13"/>
  <c r="Z44" i="13"/>
  <c r="Z43" i="13"/>
  <c r="Z42" i="13"/>
  <c r="Z41" i="13"/>
  <c r="Z40" i="13"/>
  <c r="Z39" i="13"/>
  <c r="Z38" i="13"/>
  <c r="Z37" i="13"/>
  <c r="Z36" i="13"/>
  <c r="Z35" i="13"/>
  <c r="Z33" i="13"/>
  <c r="Z32" i="13"/>
  <c r="Z31" i="13"/>
  <c r="Z30" i="13"/>
  <c r="Z29" i="13"/>
  <c r="Z28" i="13"/>
  <c r="Z26" i="13"/>
  <c r="Z24" i="13"/>
  <c r="Z23" i="13"/>
  <c r="Z21" i="13"/>
  <c r="Z20" i="13"/>
  <c r="Z19" i="13"/>
  <c r="Z7" i="13"/>
  <c r="Z6" i="13"/>
  <c r="AA15" i="11"/>
  <c r="AA12" i="11"/>
  <c r="AA11" i="11"/>
  <c r="AA10" i="11"/>
  <c r="Z7" i="11"/>
  <c r="Z8" i="11"/>
  <c r="Z5" i="11"/>
  <c r="Z6" i="11"/>
  <c r="AA13" i="14"/>
  <c r="AA12" i="14"/>
  <c r="AA7" i="14"/>
  <c r="AA6" i="14"/>
  <c r="AA5" i="14"/>
  <c r="AA109" i="3"/>
  <c r="AA106" i="3"/>
  <c r="AA102" i="3"/>
  <c r="AA98" i="3"/>
  <c r="AA90" i="3"/>
  <c r="AA86" i="3"/>
  <c r="AA82" i="3"/>
  <c r="AA76" i="3"/>
  <c r="AA75" i="3"/>
  <c r="AA74" i="3"/>
  <c r="AA70" i="3"/>
  <c r="AA67" i="3"/>
  <c r="AA64" i="3"/>
  <c r="AA63" i="3"/>
  <c r="Z77" i="3"/>
  <c r="Z72" i="3"/>
  <c r="AA72" i="3" s="1"/>
  <c r="Z78" i="3"/>
  <c r="AA78" i="3" s="1"/>
  <c r="Z69" i="3"/>
  <c r="AA69" i="3" s="1"/>
  <c r="Z65" i="3"/>
  <c r="Z66" i="3"/>
  <c r="Z68" i="3"/>
  <c r="AA61" i="3"/>
  <c r="AA57" i="3"/>
  <c r="AA53" i="3"/>
  <c r="AA52" i="3"/>
  <c r="AA51" i="3"/>
  <c r="AA50" i="3"/>
  <c r="AA49" i="3"/>
  <c r="AA48" i="3"/>
  <c r="AA45" i="3"/>
  <c r="AA43" i="3"/>
  <c r="Z41" i="3"/>
  <c r="AA39" i="3"/>
  <c r="AA38" i="3"/>
  <c r="AA37" i="3"/>
  <c r="AA36" i="3"/>
  <c r="AA35" i="3"/>
  <c r="AA26" i="3"/>
  <c r="AA25" i="3"/>
  <c r="AA24" i="3"/>
  <c r="AA21" i="3"/>
  <c r="AA20" i="3"/>
  <c r="AA19" i="3"/>
  <c r="AA18" i="3"/>
  <c r="AA17" i="3"/>
  <c r="AA16" i="3"/>
  <c r="AA15" i="3"/>
  <c r="AA14" i="3"/>
  <c r="AA13" i="3"/>
  <c r="AA12" i="3"/>
  <c r="AA11" i="3"/>
  <c r="AA9" i="3"/>
  <c r="AA8" i="3"/>
  <c r="AA7" i="3"/>
  <c r="AC108" i="3"/>
  <c r="AC107" i="3"/>
  <c r="AC80" i="3"/>
  <c r="AA9" i="14"/>
  <c r="AA25" i="11"/>
  <c r="AA23" i="11"/>
  <c r="AA22" i="11"/>
  <c r="AA21" i="11"/>
  <c r="AA19" i="11"/>
  <c r="AA18" i="11"/>
  <c r="AA16" i="11"/>
  <c r="E114" i="3"/>
  <c r="E147" i="10"/>
  <c r="L145" i="17"/>
  <c r="Q145" i="17"/>
  <c r="Q129" i="17"/>
  <c r="E38" i="9"/>
  <c r="C10" i="28" s="1"/>
  <c r="E5" i="9"/>
  <c r="E6" i="9"/>
  <c r="E7" i="9"/>
  <c r="E210" i="13"/>
  <c r="E213" i="13"/>
  <c r="F213" i="13" s="1"/>
  <c r="AV213" i="13" s="1"/>
  <c r="E172" i="13"/>
  <c r="F172" i="13" s="1"/>
  <c r="E173" i="13"/>
  <c r="E167" i="13"/>
  <c r="F167" i="13" s="1"/>
  <c r="E166" i="13"/>
  <c r="E162" i="13"/>
  <c r="F162" i="13" s="1"/>
  <c r="E161" i="13"/>
  <c r="F161" i="13" s="1"/>
  <c r="E163" i="13"/>
  <c r="E156" i="13"/>
  <c r="F156" i="13" s="1"/>
  <c r="E155" i="13"/>
  <c r="F155" i="13" s="1"/>
  <c r="E157" i="13"/>
  <c r="E82" i="13"/>
  <c r="E89" i="13"/>
  <c r="F89" i="13" s="1"/>
  <c r="AV89" i="13" s="1"/>
  <c r="E81" i="13"/>
  <c r="Z81" i="13"/>
  <c r="E76" i="13"/>
  <c r="F76" i="13" s="1"/>
  <c r="E77" i="13"/>
  <c r="E78" i="13"/>
  <c r="F78" i="13" s="1"/>
  <c r="E11" i="13"/>
  <c r="E10" i="13"/>
  <c r="F10" i="13" s="1"/>
  <c r="AS10" i="13" s="1"/>
  <c r="E9" i="13"/>
  <c r="Z9" i="13"/>
  <c r="E12" i="13"/>
  <c r="F12" i="13" s="1"/>
  <c r="AV12" i="13" s="1"/>
  <c r="E7" i="11"/>
  <c r="AA7" i="11" s="1"/>
  <c r="E8" i="11"/>
  <c r="N10" i="33" s="1"/>
  <c r="E5" i="11"/>
  <c r="G5" i="11" s="1"/>
  <c r="AA6" i="11"/>
  <c r="E60" i="3"/>
  <c r="E58" i="3"/>
  <c r="E33" i="3"/>
  <c r="E34" i="3"/>
  <c r="E59" i="3"/>
  <c r="E56" i="3"/>
  <c r="E47" i="3"/>
  <c r="E46" i="3"/>
  <c r="E40" i="3"/>
  <c r="E41" i="3"/>
  <c r="J2" i="10"/>
  <c r="G2" i="10"/>
  <c r="AI2" i="10"/>
  <c r="AH2" i="10"/>
  <c r="E2" i="10"/>
  <c r="E26" i="28"/>
  <c r="E27" i="28"/>
  <c r="E28" i="28"/>
  <c r="E29" i="28" s="1"/>
  <c r="E30" i="28" s="1"/>
  <c r="E31" i="28" s="1"/>
  <c r="A26" i="28"/>
  <c r="A27" i="28" s="1"/>
  <c r="A28" i="28" s="1"/>
  <c r="A29" i="28" s="1"/>
  <c r="A30" i="28" s="1"/>
  <c r="A31" i="28" s="1"/>
  <c r="E16" i="28"/>
  <c r="E17" i="28" s="1"/>
  <c r="E18" i="28" s="1"/>
  <c r="E19" i="28" s="1"/>
  <c r="E20" i="28" s="1"/>
  <c r="E21" i="28" s="1"/>
  <c r="AQ37" i="14"/>
  <c r="A16" i="28"/>
  <c r="A17" i="28"/>
  <c r="A18" i="28"/>
  <c r="A19" i="28" s="1"/>
  <c r="A20" i="28" s="1"/>
  <c r="A21" i="28" s="1"/>
  <c r="A19" i="11"/>
  <c r="A20" i="11" s="1"/>
  <c r="A21" i="11" s="1"/>
  <c r="A22" i="11" s="1"/>
  <c r="A23" i="11" s="1"/>
  <c r="A24" i="11" s="1"/>
  <c r="A25" i="11" s="1"/>
  <c r="A26" i="11" s="1"/>
  <c r="A27" i="11" s="1"/>
  <c r="C8" i="28"/>
  <c r="C5" i="28"/>
  <c r="C2" i="28"/>
  <c r="E85" i="17"/>
  <c r="K131" i="17"/>
  <c r="F44" i="9"/>
  <c r="F38" i="9"/>
  <c r="F34" i="9"/>
  <c r="G34" i="9" s="1"/>
  <c r="H34" i="9" s="1"/>
  <c r="I34" i="9" s="1"/>
  <c r="F30" i="9"/>
  <c r="AV30" i="9" s="1"/>
  <c r="F28" i="9"/>
  <c r="AV28" i="9" s="1"/>
  <c r="F27" i="9"/>
  <c r="AV27" i="9" s="1"/>
  <c r="F26" i="9"/>
  <c r="F25" i="9"/>
  <c r="AV25" i="9" s="1"/>
  <c r="F24" i="9"/>
  <c r="AV24" i="9" s="1"/>
  <c r="F23" i="9"/>
  <c r="AV23" i="9" s="1"/>
  <c r="F22" i="9"/>
  <c r="AV22" i="9" s="1"/>
  <c r="F21" i="9"/>
  <c r="AV21" i="9" s="1"/>
  <c r="F20" i="9"/>
  <c r="AV20" i="9" s="1"/>
  <c r="F19" i="9"/>
  <c r="F18" i="9"/>
  <c r="F17" i="9"/>
  <c r="F16" i="9"/>
  <c r="AV16" i="9" s="1"/>
  <c r="F15" i="9"/>
  <c r="F14" i="9"/>
  <c r="F13" i="9"/>
  <c r="F12" i="9"/>
  <c r="F10" i="9"/>
  <c r="F143" i="10"/>
  <c r="AG143" i="10" s="1"/>
  <c r="AH143" i="10" s="1"/>
  <c r="AI143" i="10" s="1"/>
  <c r="F105" i="10"/>
  <c r="AG97" i="10"/>
  <c r="AD96" i="10"/>
  <c r="AD76" i="10"/>
  <c r="AA69" i="10"/>
  <c r="Y66" i="10"/>
  <c r="Y147" i="10" s="1"/>
  <c r="AD43" i="10"/>
  <c r="AE43" i="10" s="1"/>
  <c r="AF43" i="10" s="1"/>
  <c r="AA39" i="10"/>
  <c r="AB39" i="10" s="1"/>
  <c r="AC39" i="10" s="1"/>
  <c r="AA35" i="10"/>
  <c r="AB35" i="10" s="1"/>
  <c r="AG21" i="10"/>
  <c r="I85" i="10"/>
  <c r="H33" i="9"/>
  <c r="I33" i="9" s="1"/>
  <c r="H10" i="9"/>
  <c r="I10" i="9" s="1"/>
  <c r="H12" i="9"/>
  <c r="K12" i="9" s="1"/>
  <c r="L12" i="9" s="1"/>
  <c r="AG131" i="10"/>
  <c r="G147" i="10"/>
  <c r="V13" i="9"/>
  <c r="S13" i="9"/>
  <c r="AP34" i="9"/>
  <c r="M34" i="9"/>
  <c r="AD34" i="9"/>
  <c r="AD35" i="10"/>
  <c r="AG39" i="10"/>
  <c r="AG28" i="10"/>
  <c r="AD28" i="10"/>
  <c r="AA28" i="10"/>
  <c r="AD32" i="10"/>
  <c r="AD36" i="10"/>
  <c r="AG44" i="10"/>
  <c r="AH44" i="10" s="1"/>
  <c r="AD66" i="10"/>
  <c r="AP66" i="10"/>
  <c r="AA66" i="10"/>
  <c r="AG78" i="10"/>
  <c r="AH78" i="10" s="1"/>
  <c r="AA98" i="10"/>
  <c r="AD29" i="10"/>
  <c r="AG33" i="10"/>
  <c r="AA33" i="10"/>
  <c r="AD37" i="10"/>
  <c r="AG45" i="10"/>
  <c r="AH45" i="10" s="1"/>
  <c r="AD67" i="10"/>
  <c r="AA67" i="10"/>
  <c r="AP67" i="10"/>
  <c r="AG67" i="10"/>
  <c r="AD71" i="10"/>
  <c r="AD75" i="10"/>
  <c r="AG75" i="10"/>
  <c r="AA75" i="10"/>
  <c r="AA99" i="10"/>
  <c r="AD99" i="10"/>
  <c r="AG99" i="10"/>
  <c r="AP103" i="10"/>
  <c r="AD103" i="10"/>
  <c r="AG103" i="10"/>
  <c r="AG76" i="10"/>
  <c r="AG96" i="10"/>
  <c r="AA96" i="10"/>
  <c r="AG140" i="10"/>
  <c r="AP96" i="10"/>
  <c r="AD69" i="10"/>
  <c r="AP69" i="10"/>
  <c r="AD97" i="10"/>
  <c r="AA97" i="10"/>
  <c r="AP97" i="10"/>
  <c r="AD30" i="10"/>
  <c r="AG35" i="10"/>
  <c r="AD39" i="10"/>
  <c r="AA31" i="10"/>
  <c r="AD31" i="10"/>
  <c r="AG31" i="10"/>
  <c r="AG43" i="10"/>
  <c r="AG69" i="10"/>
  <c r="AD86" i="10"/>
  <c r="AG115" i="10"/>
  <c r="AA92" i="10"/>
  <c r="AG85" i="10"/>
  <c r="AA84" i="10"/>
  <c r="AP115" i="10"/>
  <c r="AA88" i="10"/>
  <c r="AA134" i="10"/>
  <c r="AA25" i="10"/>
  <c r="I83" i="10"/>
  <c r="AA83" i="10"/>
  <c r="AP83" i="10"/>
  <c r="AG91" i="10"/>
  <c r="AP109" i="10"/>
  <c r="AA118" i="10"/>
  <c r="AP9" i="10"/>
  <c r="AP21" i="10"/>
  <c r="AD139" i="10"/>
  <c r="AA20" i="10"/>
  <c r="AG24" i="10"/>
  <c r="AD88" i="10"/>
  <c r="AP92" i="10"/>
  <c r="AD84" i="10"/>
  <c r="AD136" i="10"/>
  <c r="AP14" i="10"/>
  <c r="AA85" i="10"/>
  <c r="AG86" i="10"/>
  <c r="AA115" i="10"/>
  <c r="AG138" i="10"/>
  <c r="AA62" i="10"/>
  <c r="AD90" i="10"/>
  <c r="AP84" i="10"/>
  <c r="AP86" i="10"/>
  <c r="AD115" i="10"/>
  <c r="AD123" i="10"/>
  <c r="AP138" i="10"/>
  <c r="AP11" i="10"/>
  <c r="AG61" i="10"/>
  <c r="AA61" i="10"/>
  <c r="AP61" i="10"/>
  <c r="AD61" i="10"/>
  <c r="AP89" i="10"/>
  <c r="AP93" i="10"/>
  <c r="AD15" i="10"/>
  <c r="AD23" i="10"/>
  <c r="AG108" i="10"/>
  <c r="AA125" i="10"/>
  <c r="AD14" i="10"/>
  <c r="AG17" i="10"/>
  <c r="AG20" i="10"/>
  <c r="AA24" i="10"/>
  <c r="AG25" i="10"/>
  <c r="AG62" i="10"/>
  <c r="AG88" i="10"/>
  <c r="AP90" i="10"/>
  <c r="AA91" i="10"/>
  <c r="AD92" i="10"/>
  <c r="AG139" i="10"/>
  <c r="AD62" i="10"/>
  <c r="AG90" i="10"/>
  <c r="AD12" i="10"/>
  <c r="AD13" i="10"/>
  <c r="AG14" i="10"/>
  <c r="AD21" i="10"/>
  <c r="AD24" i="10"/>
  <c r="AP62" i="10"/>
  <c r="AD64" i="10"/>
  <c r="AP88" i="10"/>
  <c r="AA90" i="10"/>
  <c r="AG92" i="10"/>
  <c r="AD109" i="10"/>
  <c r="AP56" i="15"/>
  <c r="AP52" i="15"/>
  <c r="AP60" i="15"/>
  <c r="G65" i="15"/>
  <c r="L41" i="15"/>
  <c r="I40" i="15"/>
  <c r="I24" i="15"/>
  <c r="I23" i="15"/>
  <c r="I18" i="15"/>
  <c r="I13" i="15"/>
  <c r="L12" i="15"/>
  <c r="I11" i="15"/>
  <c r="I7" i="15"/>
  <c r="L13" i="15"/>
  <c r="L24" i="15"/>
  <c r="L28" i="15"/>
  <c r="F39" i="16"/>
  <c r="F37" i="16"/>
  <c r="AG37" i="16" s="1"/>
  <c r="F35" i="16"/>
  <c r="F34" i="16"/>
  <c r="AG34" i="16" s="1"/>
  <c r="F33" i="16"/>
  <c r="F31" i="16"/>
  <c r="V31" i="16" s="1"/>
  <c r="F30" i="16"/>
  <c r="F29" i="16"/>
  <c r="F27" i="16"/>
  <c r="F25" i="16"/>
  <c r="F23" i="16"/>
  <c r="F21" i="16"/>
  <c r="J21" i="16" s="1"/>
  <c r="F19" i="16"/>
  <c r="F18" i="16"/>
  <c r="P18" i="16" s="1"/>
  <c r="F17" i="16"/>
  <c r="F15" i="16"/>
  <c r="AP15" i="16" s="1"/>
  <c r="F14" i="16"/>
  <c r="F13" i="16"/>
  <c r="F11" i="16"/>
  <c r="F10" i="16"/>
  <c r="F9" i="16"/>
  <c r="F8" i="16"/>
  <c r="F7" i="16"/>
  <c r="F6" i="16"/>
  <c r="F5" i="16"/>
  <c r="AD7" i="16"/>
  <c r="AA7" i="16"/>
  <c r="AA6" i="16"/>
  <c r="AG35" i="16"/>
  <c r="AP33" i="16"/>
  <c r="AG33" i="16"/>
  <c r="AP31" i="16"/>
  <c r="AP27" i="16"/>
  <c r="AG27" i="16"/>
  <c r="AP23" i="16"/>
  <c r="AP21" i="16"/>
  <c r="AP18" i="16"/>
  <c r="AP17" i="16"/>
  <c r="AG17" i="16"/>
  <c r="AG15" i="16"/>
  <c r="M7" i="16"/>
  <c r="H9" i="16"/>
  <c r="I9" i="16" s="1"/>
  <c r="S27" i="16"/>
  <c r="M27" i="16"/>
  <c r="AP13" i="16"/>
  <c r="P17" i="16"/>
  <c r="H6" i="16"/>
  <c r="I6" i="16" s="1"/>
  <c r="M35" i="16"/>
  <c r="AD19" i="16"/>
  <c r="H7" i="16"/>
  <c r="I7" i="16" s="1"/>
  <c r="M10" i="16"/>
  <c r="P7" i="16"/>
  <c r="S7" i="16"/>
  <c r="V6" i="16"/>
  <c r="AA23" i="16"/>
  <c r="H10" i="16"/>
  <c r="I10" i="16"/>
  <c r="P23" i="16"/>
  <c r="G27" i="16"/>
  <c r="H27" i="16" s="1"/>
  <c r="I27" i="16" s="1"/>
  <c r="M6" i="16"/>
  <c r="V30" i="16"/>
  <c r="V8" i="16"/>
  <c r="P8" i="16"/>
  <c r="H8" i="16"/>
  <c r="AD13" i="16"/>
  <c r="G13" i="16"/>
  <c r="H13" i="16" s="1"/>
  <c r="I13" i="16" s="1"/>
  <c r="S13" i="16"/>
  <c r="AA17" i="16"/>
  <c r="V17" i="16"/>
  <c r="M17" i="16"/>
  <c r="G17" i="16"/>
  <c r="H17" i="16" s="1"/>
  <c r="I17" i="16" s="1"/>
  <c r="AD21" i="16"/>
  <c r="AA21" i="16"/>
  <c r="V21" i="16"/>
  <c r="S21" i="16"/>
  <c r="P21" i="16"/>
  <c r="M21" i="16"/>
  <c r="G21" i="16"/>
  <c r="H21" i="16" s="1"/>
  <c r="I21" i="16" s="1"/>
  <c r="V25" i="16"/>
  <c r="P25" i="16"/>
  <c r="M25" i="16"/>
  <c r="S29" i="16"/>
  <c r="P29" i="16"/>
  <c r="AA33" i="16"/>
  <c r="V33" i="16"/>
  <c r="M33" i="16"/>
  <c r="G33" i="16"/>
  <c r="H33" i="16" s="1"/>
  <c r="I33" i="16" s="1"/>
  <c r="AD33" i="16"/>
  <c r="AD37" i="16"/>
  <c r="AA37" i="16"/>
  <c r="V37" i="16"/>
  <c r="S37" i="16"/>
  <c r="P37" i="16"/>
  <c r="M37" i="16"/>
  <c r="G37" i="16"/>
  <c r="H37" i="16" s="1"/>
  <c r="J17" i="16"/>
  <c r="J25" i="16"/>
  <c r="J33" i="16"/>
  <c r="P33" i="16"/>
  <c r="S17" i="16"/>
  <c r="S33" i="16"/>
  <c r="AA13" i="16"/>
  <c r="AD17" i="16"/>
  <c r="S6" i="16"/>
  <c r="S10" i="16"/>
  <c r="V10" i="16"/>
  <c r="AD15" i="16"/>
  <c r="AA15" i="16"/>
  <c r="AA27" i="16"/>
  <c r="AD27" i="16"/>
  <c r="V27" i="16"/>
  <c r="AA31" i="16"/>
  <c r="AD35" i="16"/>
  <c r="J15" i="16"/>
  <c r="J23" i="16"/>
  <c r="J27" i="16"/>
  <c r="J31" i="16"/>
  <c r="J35" i="16"/>
  <c r="J39" i="16"/>
  <c r="K39" i="16" s="1"/>
  <c r="P15" i="16"/>
  <c r="P31" i="16"/>
  <c r="S35" i="16"/>
  <c r="AD10" i="16"/>
  <c r="AG11" i="16"/>
  <c r="AD11" i="16"/>
  <c r="AE11" i="16" s="1"/>
  <c r="P27" i="16"/>
  <c r="S15" i="16"/>
  <c r="S31" i="16"/>
  <c r="V15" i="16"/>
  <c r="AG10" i="16"/>
  <c r="K17" i="16"/>
  <c r="L17" i="16" s="1"/>
  <c r="K6" i="16"/>
  <c r="L6" i="16"/>
  <c r="K9" i="16"/>
  <c r="K10" i="16"/>
  <c r="L10" i="16" s="1"/>
  <c r="H5" i="16"/>
  <c r="I5" i="16"/>
  <c r="D6" i="12"/>
  <c r="D5" i="12"/>
  <c r="D4" i="12"/>
  <c r="E919" i="27"/>
  <c r="E918" i="27"/>
  <c r="E916" i="27"/>
  <c r="Q910" i="27"/>
  <c r="O910" i="27"/>
  <c r="M910" i="27"/>
  <c r="L910" i="27"/>
  <c r="K910" i="27"/>
  <c r="N909" i="27"/>
  <c r="N908" i="27"/>
  <c r="S907" i="27"/>
  <c r="R907" i="27"/>
  <c r="N907" i="27"/>
  <c r="R906" i="27"/>
  <c r="S906" i="27"/>
  <c r="N906" i="27"/>
  <c r="R905" i="27"/>
  <c r="N905" i="27"/>
  <c r="S905" i="27"/>
  <c r="R904" i="27"/>
  <c r="N904" i="27"/>
  <c r="S904" i="27"/>
  <c r="S903" i="27"/>
  <c r="R903" i="27"/>
  <c r="N903" i="27"/>
  <c r="R902" i="27"/>
  <c r="N902" i="27"/>
  <c r="Q899" i="27"/>
  <c r="P899" i="27"/>
  <c r="O899" i="27"/>
  <c r="M899" i="27"/>
  <c r="L899" i="27"/>
  <c r="K899" i="27"/>
  <c r="R898" i="27"/>
  <c r="N898" i="27"/>
  <c r="S898" i="27" s="1"/>
  <c r="R897" i="27"/>
  <c r="S897" i="27" s="1"/>
  <c r="N897" i="27"/>
  <c r="R896" i="27"/>
  <c r="R899" i="27"/>
  <c r="N896" i="27"/>
  <c r="R895" i="27"/>
  <c r="N895" i="27"/>
  <c r="Q892" i="27"/>
  <c r="Q912" i="27" s="1"/>
  <c r="P892" i="27"/>
  <c r="O892" i="27"/>
  <c r="M892" i="27"/>
  <c r="M912" i="27" s="1"/>
  <c r="L892" i="27"/>
  <c r="K892" i="27"/>
  <c r="R891" i="27"/>
  <c r="N891" i="27"/>
  <c r="S891" i="27"/>
  <c r="R890" i="27"/>
  <c r="N890" i="27"/>
  <c r="S890" i="27" s="1"/>
  <c r="S889" i="27"/>
  <c r="R889" i="27"/>
  <c r="N889" i="27"/>
  <c r="R888" i="27"/>
  <c r="N888" i="27"/>
  <c r="S888" i="27" s="1"/>
  <c r="R887" i="27"/>
  <c r="S887" i="27" s="1"/>
  <c r="N887" i="27"/>
  <c r="R886" i="27"/>
  <c r="N886" i="27"/>
  <c r="S886" i="27" s="1"/>
  <c r="R885" i="27"/>
  <c r="N885" i="27"/>
  <c r="S885" i="27" s="1"/>
  <c r="R884" i="27"/>
  <c r="N884" i="27"/>
  <c r="R883" i="27"/>
  <c r="N883" i="27"/>
  <c r="R882" i="27"/>
  <c r="N882" i="27"/>
  <c r="S882" i="27" s="1"/>
  <c r="R881" i="27"/>
  <c r="N881" i="27"/>
  <c r="R880" i="27"/>
  <c r="N880" i="27"/>
  <c r="S879" i="27"/>
  <c r="R879" i="27"/>
  <c r="N879" i="27"/>
  <c r="R878" i="27"/>
  <c r="S878" i="27"/>
  <c r="N878" i="27"/>
  <c r="R877" i="27"/>
  <c r="N877" i="27"/>
  <c r="S877" i="27"/>
  <c r="R876" i="27"/>
  <c r="N876" i="27"/>
  <c r="R875" i="27"/>
  <c r="N875" i="27"/>
  <c r="S875" i="27" s="1"/>
  <c r="S874" i="27"/>
  <c r="R874" i="27"/>
  <c r="N874" i="27"/>
  <c r="R873" i="27"/>
  <c r="N873" i="27"/>
  <c r="R872" i="27"/>
  <c r="N872" i="27"/>
  <c r="R871" i="27"/>
  <c r="N871" i="27"/>
  <c r="Q868" i="27"/>
  <c r="P868" i="27"/>
  <c r="O868" i="27"/>
  <c r="O912" i="27" s="1"/>
  <c r="M868" i="27"/>
  <c r="L868" i="27"/>
  <c r="K868" i="27"/>
  <c r="K912" i="27" s="1"/>
  <c r="R867" i="27"/>
  <c r="N867" i="27"/>
  <c r="S867" i="27"/>
  <c r="S866" i="27"/>
  <c r="R866" i="27"/>
  <c r="N866" i="27"/>
  <c r="S865" i="27"/>
  <c r="R865" i="27"/>
  <c r="N865" i="27"/>
  <c r="R864" i="27"/>
  <c r="R868" i="27"/>
  <c r="N864" i="27"/>
  <c r="Q856" i="27"/>
  <c r="Q857" i="27" s="1"/>
  <c r="O856" i="27"/>
  <c r="M856" i="27"/>
  <c r="L856" i="27"/>
  <c r="L857" i="27" s="1"/>
  <c r="K856" i="27"/>
  <c r="R855" i="27"/>
  <c r="S855" i="27" s="1"/>
  <c r="N854" i="27"/>
  <c r="P854" i="27" s="1"/>
  <c r="R853" i="27"/>
  <c r="S853" i="27" s="1"/>
  <c r="N853" i="27"/>
  <c r="R852" i="27"/>
  <c r="S852" i="27" s="1"/>
  <c r="N852" i="27"/>
  <c r="R851" i="27"/>
  <c r="N851" i="27"/>
  <c r="S851" i="27" s="1"/>
  <c r="R850" i="27"/>
  <c r="N850" i="27"/>
  <c r="S850" i="27"/>
  <c r="R849" i="27"/>
  <c r="S849" i="27" s="1"/>
  <c r="N849" i="27"/>
  <c r="R848" i="27"/>
  <c r="S848" i="27" s="1"/>
  <c r="N848" i="27"/>
  <c r="R847" i="27"/>
  <c r="N847" i="27"/>
  <c r="S847" i="27" s="1"/>
  <c r="R846" i="27"/>
  <c r="N846" i="27"/>
  <c r="S846" i="27"/>
  <c r="R845" i="27"/>
  <c r="N845" i="27"/>
  <c r="Q842" i="27"/>
  <c r="O842" i="27"/>
  <c r="M842" i="27"/>
  <c r="M857" i="27" s="1"/>
  <c r="L842" i="27"/>
  <c r="K842" i="27"/>
  <c r="K857" i="27"/>
  <c r="N841" i="27"/>
  <c r="S841" i="27"/>
  <c r="N840" i="27"/>
  <c r="P839" i="27"/>
  <c r="R839" i="27"/>
  <c r="N839" i="27"/>
  <c r="N838" i="27"/>
  <c r="N837" i="27"/>
  <c r="P837" i="27" s="1"/>
  <c r="R837" i="27"/>
  <c r="S836" i="27"/>
  <c r="R836" i="27"/>
  <c r="N836" i="27"/>
  <c r="R835" i="27"/>
  <c r="S835" i="27" s="1"/>
  <c r="N835" i="27"/>
  <c r="R834" i="27"/>
  <c r="N834" i="27"/>
  <c r="S834" i="27" s="1"/>
  <c r="R833" i="27"/>
  <c r="N833" i="27"/>
  <c r="R832" i="27"/>
  <c r="N832" i="27"/>
  <c r="R831" i="27"/>
  <c r="N831" i="27"/>
  <c r="S831" i="27" s="1"/>
  <c r="R830" i="27"/>
  <c r="N830" i="27"/>
  <c r="S830" i="27" s="1"/>
  <c r="R829" i="27"/>
  <c r="N829" i="27"/>
  <c r="R828" i="27"/>
  <c r="N828" i="27"/>
  <c r="S828" i="27"/>
  <c r="R827" i="27"/>
  <c r="N827" i="27"/>
  <c r="S827" i="27" s="1"/>
  <c r="Q823" i="27"/>
  <c r="M823" i="27"/>
  <c r="Q822" i="27"/>
  <c r="P822" i="27"/>
  <c r="P823" i="27" s="1"/>
  <c r="O822" i="27"/>
  <c r="O823" i="27"/>
  <c r="M822" i="27"/>
  <c r="L822" i="27"/>
  <c r="L823" i="27" s="1"/>
  <c r="K822" i="27"/>
  <c r="K823" i="27" s="1"/>
  <c r="R821" i="27"/>
  <c r="N821" i="27"/>
  <c r="R820" i="27"/>
  <c r="S820" i="27"/>
  <c r="N820" i="27"/>
  <c r="R815" i="27"/>
  <c r="Q815" i="27"/>
  <c r="P815" i="27"/>
  <c r="O815" i="27"/>
  <c r="M815" i="27"/>
  <c r="L815" i="27"/>
  <c r="K815" i="27"/>
  <c r="R814" i="27"/>
  <c r="N814" i="27"/>
  <c r="Q812" i="27"/>
  <c r="P812" i="27"/>
  <c r="O812" i="27"/>
  <c r="M812" i="27"/>
  <c r="L812" i="27"/>
  <c r="K812" i="27"/>
  <c r="R811" i="27"/>
  <c r="N811" i="27"/>
  <c r="S810" i="27"/>
  <c r="R810" i="27"/>
  <c r="R812" i="27"/>
  <c r="N810" i="27"/>
  <c r="Q807" i="27"/>
  <c r="Q816" i="27" s="1"/>
  <c r="P807" i="27"/>
  <c r="O807" i="27"/>
  <c r="O816" i="27"/>
  <c r="M807" i="27"/>
  <c r="M816" i="27" s="1"/>
  <c r="L807" i="27"/>
  <c r="K807" i="27"/>
  <c r="K816" i="27"/>
  <c r="R806" i="27"/>
  <c r="N806" i="27"/>
  <c r="R805" i="27"/>
  <c r="N805" i="27"/>
  <c r="S805" i="27" s="1"/>
  <c r="R804" i="27"/>
  <c r="N804" i="27"/>
  <c r="S804" i="27" s="1"/>
  <c r="R803" i="27"/>
  <c r="S803" i="27" s="1"/>
  <c r="N803" i="27"/>
  <c r="R802" i="27"/>
  <c r="N802" i="27"/>
  <c r="S802" i="27" s="1"/>
  <c r="R801" i="27"/>
  <c r="S801" i="27" s="1"/>
  <c r="N801" i="27"/>
  <c r="R800" i="27"/>
  <c r="N800" i="27"/>
  <c r="R799" i="27"/>
  <c r="N799" i="27"/>
  <c r="S799" i="27" s="1"/>
  <c r="R798" i="27"/>
  <c r="N798" i="27"/>
  <c r="R797" i="27"/>
  <c r="N797" i="27"/>
  <c r="S797" i="27" s="1"/>
  <c r="R796" i="27"/>
  <c r="N796" i="27"/>
  <c r="R795" i="27"/>
  <c r="N795" i="27"/>
  <c r="S795" i="27"/>
  <c r="S794" i="27"/>
  <c r="R794" i="27"/>
  <c r="N794" i="27"/>
  <c r="S793" i="27"/>
  <c r="R793" i="27"/>
  <c r="N793" i="27"/>
  <c r="R792" i="27"/>
  <c r="N792" i="27"/>
  <c r="R791" i="27"/>
  <c r="N791" i="27"/>
  <c r="R790" i="27"/>
  <c r="N790" i="27"/>
  <c r="R789" i="27"/>
  <c r="N789" i="27"/>
  <c r="S789" i="27" s="1"/>
  <c r="R788" i="27"/>
  <c r="S788" i="27" s="1"/>
  <c r="N788" i="27"/>
  <c r="R787" i="27"/>
  <c r="S787" i="27" s="1"/>
  <c r="N787" i="27"/>
  <c r="R786" i="27"/>
  <c r="N786" i="27"/>
  <c r="R785" i="27"/>
  <c r="S785" i="27" s="1"/>
  <c r="N785" i="27"/>
  <c r="R784" i="27"/>
  <c r="N784" i="27"/>
  <c r="Q779" i="27"/>
  <c r="O779" i="27"/>
  <c r="M779" i="27"/>
  <c r="L779" i="27"/>
  <c r="K779" i="27"/>
  <c r="N778" i="27"/>
  <c r="N777" i="27"/>
  <c r="P777" i="27"/>
  <c r="R777" i="27" s="1"/>
  <c r="N776" i="27"/>
  <c r="N775" i="27"/>
  <c r="R774" i="27"/>
  <c r="S774" i="27" s="1"/>
  <c r="N774" i="27"/>
  <c r="P774" i="27" s="1"/>
  <c r="N773" i="27"/>
  <c r="R772" i="27"/>
  <c r="N772" i="27"/>
  <c r="S772" i="27" s="1"/>
  <c r="R771" i="27"/>
  <c r="N771" i="27"/>
  <c r="S771" i="27"/>
  <c r="R770" i="27"/>
  <c r="N770" i="27"/>
  <c r="R769" i="27"/>
  <c r="N769" i="27"/>
  <c r="S769" i="27"/>
  <c r="R768" i="27"/>
  <c r="N768" i="27"/>
  <c r="R767" i="27"/>
  <c r="N767" i="27"/>
  <c r="S767" i="27" s="1"/>
  <c r="R766" i="27"/>
  <c r="N766" i="27"/>
  <c r="R765" i="27"/>
  <c r="N765" i="27"/>
  <c r="S765" i="27" s="1"/>
  <c r="R764" i="27"/>
  <c r="N764" i="27"/>
  <c r="S764" i="27" s="1"/>
  <c r="R763" i="27"/>
  <c r="S763" i="27" s="1"/>
  <c r="N763" i="27"/>
  <c r="R762" i="27"/>
  <c r="S762" i="27" s="1"/>
  <c r="N762" i="27"/>
  <c r="R761" i="27"/>
  <c r="N761" i="27"/>
  <c r="S761" i="27" s="1"/>
  <c r="R760" i="27"/>
  <c r="N760" i="27"/>
  <c r="S760" i="27" s="1"/>
  <c r="R759" i="27"/>
  <c r="N759" i="27"/>
  <c r="Q756" i="27"/>
  <c r="O756" i="27"/>
  <c r="O780" i="27" s="1"/>
  <c r="M756" i="27"/>
  <c r="M780" i="27" s="1"/>
  <c r="L756" i="27"/>
  <c r="L780" i="27" s="1"/>
  <c r="K756" i="27"/>
  <c r="N755" i="27"/>
  <c r="N754" i="27"/>
  <c r="N753" i="27"/>
  <c r="N752" i="27"/>
  <c r="P752" i="27"/>
  <c r="R752" i="27"/>
  <c r="N751" i="27"/>
  <c r="N750" i="27"/>
  <c r="N749" i="27"/>
  <c r="N748" i="27"/>
  <c r="P748" i="27" s="1"/>
  <c r="R748" i="27"/>
  <c r="S748" i="27" s="1"/>
  <c r="N747" i="27"/>
  <c r="P747" i="27"/>
  <c r="R747" i="27" s="1"/>
  <c r="N746" i="27"/>
  <c r="N745" i="27"/>
  <c r="N744" i="27"/>
  <c r="P744" i="27"/>
  <c r="R744" i="27"/>
  <c r="N743" i="27"/>
  <c r="N742" i="27"/>
  <c r="N741" i="27"/>
  <c r="N740" i="27"/>
  <c r="N739" i="27"/>
  <c r="P739" i="27"/>
  <c r="R739" i="27" s="1"/>
  <c r="N738" i="27"/>
  <c r="N737" i="27"/>
  <c r="N736" i="27"/>
  <c r="N735" i="27"/>
  <c r="N734" i="27"/>
  <c r="N733" i="27"/>
  <c r="N732" i="27"/>
  <c r="P732" i="27"/>
  <c r="R732" i="27" s="1"/>
  <c r="N731" i="27"/>
  <c r="P731" i="27"/>
  <c r="R731" i="27" s="1"/>
  <c r="N730" i="27"/>
  <c r="N729" i="27"/>
  <c r="N728" i="27"/>
  <c r="N727" i="27"/>
  <c r="N726" i="27"/>
  <c r="P725" i="27"/>
  <c r="R725" i="27"/>
  <c r="N725" i="27"/>
  <c r="P724" i="27"/>
  <c r="N724" i="27"/>
  <c r="R723" i="27"/>
  <c r="N723" i="27"/>
  <c r="S723" i="27"/>
  <c r="R722" i="27"/>
  <c r="S722" i="27" s="1"/>
  <c r="N722" i="27"/>
  <c r="R721" i="27"/>
  <c r="N721" i="27"/>
  <c r="S721" i="27" s="1"/>
  <c r="R720" i="27"/>
  <c r="N720" i="27"/>
  <c r="S720" i="27" s="1"/>
  <c r="R719" i="27"/>
  <c r="N719" i="27"/>
  <c r="S719" i="27"/>
  <c r="R718" i="27"/>
  <c r="S718" i="27" s="1"/>
  <c r="N718" i="27"/>
  <c r="S717" i="27"/>
  <c r="R717" i="27"/>
  <c r="N717" i="27"/>
  <c r="R716" i="27"/>
  <c r="N716" i="27"/>
  <c r="R715" i="27"/>
  <c r="N715" i="27"/>
  <c r="S715" i="27" s="1"/>
  <c r="R714" i="27"/>
  <c r="S714" i="27" s="1"/>
  <c r="N714" i="27"/>
  <c r="R713" i="27"/>
  <c r="N713" i="27"/>
  <c r="S713" i="27" s="1"/>
  <c r="R712" i="27"/>
  <c r="N712" i="27"/>
  <c r="S712" i="27"/>
  <c r="R711" i="27"/>
  <c r="N711" i="27"/>
  <c r="R710" i="27"/>
  <c r="N710" i="27"/>
  <c r="S710" i="27" s="1"/>
  <c r="R709" i="27"/>
  <c r="N709" i="27"/>
  <c r="S709" i="27" s="1"/>
  <c r="R708" i="27"/>
  <c r="N708" i="27"/>
  <c r="R707" i="27"/>
  <c r="N707" i="27"/>
  <c r="S707" i="27"/>
  <c r="R706" i="27"/>
  <c r="N706" i="27"/>
  <c r="R705" i="27"/>
  <c r="N705" i="27"/>
  <c r="S705" i="27"/>
  <c r="Q697" i="27"/>
  <c r="O697" i="27"/>
  <c r="M697" i="27"/>
  <c r="L697" i="27"/>
  <c r="K697" i="27"/>
  <c r="N696" i="27"/>
  <c r="P696" i="27"/>
  <c r="R696" i="27" s="1"/>
  <c r="N695" i="27"/>
  <c r="P695" i="27"/>
  <c r="R695" i="27" s="1"/>
  <c r="N694" i="27"/>
  <c r="N693" i="27"/>
  <c r="P693" i="27" s="1"/>
  <c r="R693" i="27"/>
  <c r="S693" i="27"/>
  <c r="S692" i="27"/>
  <c r="N692" i="27"/>
  <c r="P692" i="27"/>
  <c r="R692" i="27" s="1"/>
  <c r="R691" i="27"/>
  <c r="N691" i="27"/>
  <c r="P691" i="27"/>
  <c r="N690" i="27"/>
  <c r="N689" i="27"/>
  <c r="N688" i="27"/>
  <c r="P688" i="27" s="1"/>
  <c r="R688" i="27"/>
  <c r="S688" i="27"/>
  <c r="N687" i="27"/>
  <c r="P687" i="27"/>
  <c r="R687" i="27"/>
  <c r="S687" i="27" s="1"/>
  <c r="N686" i="27"/>
  <c r="P686" i="27" s="1"/>
  <c r="R686" i="27"/>
  <c r="S686" i="27"/>
  <c r="N685" i="27"/>
  <c r="P685" i="27" s="1"/>
  <c r="Q682" i="27"/>
  <c r="P682" i="27"/>
  <c r="O682" i="27"/>
  <c r="M682" i="27"/>
  <c r="L682" i="27"/>
  <c r="K682" i="27"/>
  <c r="S681" i="27"/>
  <c r="R681" i="27"/>
  <c r="N681" i="27"/>
  <c r="R680" i="27"/>
  <c r="S680" i="27" s="1"/>
  <c r="N680" i="27"/>
  <c r="R679" i="27"/>
  <c r="N679" i="27"/>
  <c r="S679" i="27" s="1"/>
  <c r="R678" i="27"/>
  <c r="R682" i="27" s="1"/>
  <c r="N678" i="27"/>
  <c r="R677" i="27"/>
  <c r="N677" i="27"/>
  <c r="Q674" i="27"/>
  <c r="Q699" i="27"/>
  <c r="O674" i="27"/>
  <c r="O699" i="27"/>
  <c r="M674" i="27"/>
  <c r="M699" i="27"/>
  <c r="L674" i="27"/>
  <c r="L699" i="27"/>
  <c r="K674" i="27"/>
  <c r="N673" i="27"/>
  <c r="N672" i="27"/>
  <c r="N671" i="27"/>
  <c r="P671" i="27" s="1"/>
  <c r="R671" i="27" s="1"/>
  <c r="N670" i="27"/>
  <c r="N669" i="27"/>
  <c r="N668" i="27"/>
  <c r="N667" i="27"/>
  <c r="N666" i="27"/>
  <c r="N665" i="27"/>
  <c r="N664" i="27"/>
  <c r="N663" i="27"/>
  <c r="N662" i="27"/>
  <c r="N661" i="27"/>
  <c r="N660" i="27"/>
  <c r="N659" i="27"/>
  <c r="N658" i="27"/>
  <c r="N657" i="27"/>
  <c r="N656" i="27"/>
  <c r="N655" i="27"/>
  <c r="P655" i="27" s="1"/>
  <c r="R655" i="27" s="1"/>
  <c r="N654" i="27"/>
  <c r="N653" i="27"/>
  <c r="N652" i="27"/>
  <c r="N651" i="27"/>
  <c r="N650" i="27"/>
  <c r="N649" i="27"/>
  <c r="N648" i="27"/>
  <c r="N647" i="27"/>
  <c r="N646" i="27"/>
  <c r="N645" i="27"/>
  <c r="N644" i="27"/>
  <c r="N643" i="27"/>
  <c r="N642" i="27"/>
  <c r="Q635" i="27"/>
  <c r="O635" i="27"/>
  <c r="M635" i="27"/>
  <c r="L635" i="27"/>
  <c r="K635" i="27"/>
  <c r="P634" i="27"/>
  <c r="R634" i="27" s="1"/>
  <c r="N634" i="27"/>
  <c r="N633" i="27"/>
  <c r="P633" i="27" s="1"/>
  <c r="R633" i="27" s="1"/>
  <c r="N632" i="27"/>
  <c r="P632" i="27" s="1"/>
  <c r="R632" i="27" s="1"/>
  <c r="N631" i="27"/>
  <c r="P631" i="27" s="1"/>
  <c r="R631" i="27" s="1"/>
  <c r="S631" i="27"/>
  <c r="R630" i="27"/>
  <c r="N630" i="27"/>
  <c r="P630" i="27" s="1"/>
  <c r="P629" i="27"/>
  <c r="R629" i="27" s="1"/>
  <c r="N629" i="27"/>
  <c r="N628" i="27"/>
  <c r="P628" i="27" s="1"/>
  <c r="R628" i="27" s="1"/>
  <c r="N627" i="27"/>
  <c r="N626" i="27"/>
  <c r="P625" i="27"/>
  <c r="R625" i="27" s="1"/>
  <c r="N625" i="27"/>
  <c r="N624" i="27"/>
  <c r="P624" i="27" s="1"/>
  <c r="R624" i="27" s="1"/>
  <c r="N623" i="27"/>
  <c r="N622" i="27"/>
  <c r="P621" i="27"/>
  <c r="R621" i="27" s="1"/>
  <c r="N621" i="27"/>
  <c r="N620" i="27"/>
  <c r="P620" i="27" s="1"/>
  <c r="R620" i="27" s="1"/>
  <c r="N619" i="27"/>
  <c r="N618" i="27"/>
  <c r="N617" i="27"/>
  <c r="P617" i="27"/>
  <c r="R617" i="27" s="1"/>
  <c r="S617" i="27"/>
  <c r="N616" i="27"/>
  <c r="P616" i="27"/>
  <c r="R616" i="27" s="1"/>
  <c r="S616" i="27"/>
  <c r="N615" i="27"/>
  <c r="N614" i="27"/>
  <c r="P614" i="27"/>
  <c r="R614" i="27" s="1"/>
  <c r="N613" i="27"/>
  <c r="P613" i="27"/>
  <c r="R613" i="27" s="1"/>
  <c r="S613" i="27"/>
  <c r="N612" i="27"/>
  <c r="P612" i="27"/>
  <c r="R612" i="27" s="1"/>
  <c r="S612" i="27"/>
  <c r="N611" i="27"/>
  <c r="N610" i="27"/>
  <c r="N609" i="27"/>
  <c r="P609" i="27"/>
  <c r="R609" i="27" s="1"/>
  <c r="S609" i="27"/>
  <c r="N608" i="27"/>
  <c r="P608" i="27"/>
  <c r="R608" i="27" s="1"/>
  <c r="S608" i="27"/>
  <c r="N607" i="27"/>
  <c r="Q603" i="27"/>
  <c r="Q604" i="27" s="1"/>
  <c r="Q637" i="27" s="1"/>
  <c r="O603" i="27"/>
  <c r="O604" i="27" s="1"/>
  <c r="O637" i="27" s="1"/>
  <c r="M603" i="27"/>
  <c r="M604" i="27" s="1"/>
  <c r="M637" i="27" s="1"/>
  <c r="L603" i="27"/>
  <c r="L604" i="27"/>
  <c r="L637" i="27" s="1"/>
  <c r="K603" i="27"/>
  <c r="K604" i="27" s="1"/>
  <c r="K637" i="27" s="1"/>
  <c r="P602" i="27"/>
  <c r="R602" i="27" s="1"/>
  <c r="N602" i="27"/>
  <c r="P601" i="27"/>
  <c r="R601" i="27"/>
  <c r="N601" i="27"/>
  <c r="N600" i="27"/>
  <c r="P600" i="27" s="1"/>
  <c r="R600" i="27" s="1"/>
  <c r="N599" i="27"/>
  <c r="P599" i="27" s="1"/>
  <c r="R599" i="27" s="1"/>
  <c r="S599" i="27" s="1"/>
  <c r="R598" i="27"/>
  <c r="N598" i="27"/>
  <c r="P598" i="27" s="1"/>
  <c r="N597" i="27"/>
  <c r="P596" i="27"/>
  <c r="N596" i="27"/>
  <c r="N603" i="27"/>
  <c r="N604" i="27" s="1"/>
  <c r="N637" i="27" s="1"/>
  <c r="Q589" i="27"/>
  <c r="O589" i="27"/>
  <c r="M589" i="27"/>
  <c r="L589" i="27"/>
  <c r="K589" i="27"/>
  <c r="N588" i="27"/>
  <c r="N587" i="27"/>
  <c r="P587" i="27"/>
  <c r="S586" i="27"/>
  <c r="R586" i="27"/>
  <c r="N586" i="27"/>
  <c r="R585" i="27"/>
  <c r="N585" i="27"/>
  <c r="S585" i="27" s="1"/>
  <c r="R584" i="27"/>
  <c r="N584" i="27"/>
  <c r="S584" i="27"/>
  <c r="S583" i="27"/>
  <c r="R583" i="27"/>
  <c r="N583" i="27"/>
  <c r="R582" i="27"/>
  <c r="S582" i="27" s="1"/>
  <c r="N582" i="27"/>
  <c r="R581" i="27"/>
  <c r="N581" i="27"/>
  <c r="Q578" i="27"/>
  <c r="O578" i="27"/>
  <c r="M578" i="27"/>
  <c r="L578" i="27"/>
  <c r="K578" i="27"/>
  <c r="N577" i="27"/>
  <c r="P577" i="27"/>
  <c r="R577" i="27"/>
  <c r="N576" i="27"/>
  <c r="P576" i="27" s="1"/>
  <c r="R576" i="27" s="1"/>
  <c r="N575" i="27"/>
  <c r="P575" i="27"/>
  <c r="R575" i="27" s="1"/>
  <c r="N574" i="27"/>
  <c r="P574" i="27"/>
  <c r="R574" i="27" s="1"/>
  <c r="N573" i="27"/>
  <c r="P573" i="27"/>
  <c r="R573" i="27"/>
  <c r="S573" i="27" s="1"/>
  <c r="N572" i="27"/>
  <c r="P572" i="27" s="1"/>
  <c r="R572" i="27" s="1"/>
  <c r="N571" i="27"/>
  <c r="P571" i="27"/>
  <c r="R571" i="27" s="1"/>
  <c r="N570" i="27"/>
  <c r="P570" i="27"/>
  <c r="R570" i="27"/>
  <c r="N569" i="27"/>
  <c r="P569" i="27"/>
  <c r="R569" i="27"/>
  <c r="N568" i="27"/>
  <c r="P568" i="27" s="1"/>
  <c r="R568" i="27" s="1"/>
  <c r="N567" i="27"/>
  <c r="P567" i="27"/>
  <c r="R567" i="27" s="1"/>
  <c r="S567" i="27" s="1"/>
  <c r="N566" i="27"/>
  <c r="P566" i="27"/>
  <c r="R566" i="27"/>
  <c r="N565" i="27"/>
  <c r="P565" i="27"/>
  <c r="R565" i="27"/>
  <c r="N564" i="27"/>
  <c r="P564" i="27" s="1"/>
  <c r="R564" i="27" s="1"/>
  <c r="N563" i="27"/>
  <c r="N562" i="27"/>
  <c r="P562" i="27"/>
  <c r="R562" i="27"/>
  <c r="N561" i="27"/>
  <c r="P561" i="27"/>
  <c r="R561" i="27"/>
  <c r="N560" i="27"/>
  <c r="P560" i="27" s="1"/>
  <c r="R560" i="27" s="1"/>
  <c r="N559" i="27"/>
  <c r="N558" i="27"/>
  <c r="N557" i="27"/>
  <c r="N556" i="27"/>
  <c r="N555" i="27"/>
  <c r="N554" i="27"/>
  <c r="N553" i="27"/>
  <c r="N552" i="27"/>
  <c r="N551" i="27"/>
  <c r="N550" i="27"/>
  <c r="N549" i="27"/>
  <c r="N548" i="27"/>
  <c r="N547" i="27"/>
  <c r="N546" i="27"/>
  <c r="N545" i="27"/>
  <c r="N544" i="27"/>
  <c r="N543" i="27"/>
  <c r="N542" i="27"/>
  <c r="N541" i="27"/>
  <c r="N540" i="27"/>
  <c r="N539" i="27"/>
  <c r="N538" i="27"/>
  <c r="N537" i="27"/>
  <c r="N536" i="27"/>
  <c r="N535" i="27"/>
  <c r="N534" i="27"/>
  <c r="N533" i="27"/>
  <c r="N532" i="27"/>
  <c r="N531" i="27"/>
  <c r="P530" i="27"/>
  <c r="R530" i="27" s="1"/>
  <c r="N530" i="27"/>
  <c r="N529" i="27"/>
  <c r="P528" i="27"/>
  <c r="R528" i="27" s="1"/>
  <c r="N528" i="27"/>
  <c r="N527" i="27"/>
  <c r="N526" i="27"/>
  <c r="N525" i="27"/>
  <c r="N524" i="27"/>
  <c r="N523" i="27"/>
  <c r="N522" i="27"/>
  <c r="N521" i="27"/>
  <c r="N520" i="27"/>
  <c r="N519" i="27"/>
  <c r="N518" i="27"/>
  <c r="N517" i="27"/>
  <c r="N516" i="27"/>
  <c r="N515" i="27"/>
  <c r="N514" i="27"/>
  <c r="N513" i="27"/>
  <c r="N512" i="27"/>
  <c r="N511" i="27"/>
  <c r="N510" i="27"/>
  <c r="N509" i="27"/>
  <c r="Q506" i="27"/>
  <c r="O506" i="27"/>
  <c r="M506" i="27"/>
  <c r="L506" i="27"/>
  <c r="K506" i="27"/>
  <c r="P504" i="27"/>
  <c r="R504" i="27"/>
  <c r="N504" i="27"/>
  <c r="R503" i="27"/>
  <c r="N503" i="27"/>
  <c r="S503" i="27" s="1"/>
  <c r="R502" i="27"/>
  <c r="N502" i="27"/>
  <c r="S502" i="27" s="1"/>
  <c r="R501" i="27"/>
  <c r="N501" i="27"/>
  <c r="S501" i="27" s="1"/>
  <c r="R500" i="27"/>
  <c r="S500" i="27" s="1"/>
  <c r="N500" i="27"/>
  <c r="R499" i="27"/>
  <c r="N499" i="27"/>
  <c r="R498" i="27"/>
  <c r="N498" i="27"/>
  <c r="S498" i="27"/>
  <c r="R497" i="27"/>
  <c r="N497" i="27"/>
  <c r="S497" i="27" s="1"/>
  <c r="R496" i="27"/>
  <c r="N496" i="27"/>
  <c r="R495" i="27"/>
  <c r="N495" i="27"/>
  <c r="S495" i="27" s="1"/>
  <c r="R494" i="27"/>
  <c r="N494" i="27"/>
  <c r="S494" i="27"/>
  <c r="S493" i="27"/>
  <c r="R493" i="27"/>
  <c r="N493" i="27"/>
  <c r="R492" i="27"/>
  <c r="S492" i="27" s="1"/>
  <c r="N492" i="27"/>
  <c r="R491" i="27"/>
  <c r="N491" i="27"/>
  <c r="S491" i="27" s="1"/>
  <c r="R490" i="27"/>
  <c r="N490" i="27"/>
  <c r="S490" i="27"/>
  <c r="S489" i="27"/>
  <c r="R489" i="27"/>
  <c r="N489" i="27"/>
  <c r="R488" i="27"/>
  <c r="S488" i="27" s="1"/>
  <c r="N488" i="27"/>
  <c r="R487" i="27"/>
  <c r="N487" i="27"/>
  <c r="S487" i="27" s="1"/>
  <c r="R486" i="27"/>
  <c r="N486" i="27"/>
  <c r="S486" i="27"/>
  <c r="S485" i="27"/>
  <c r="R485" i="27"/>
  <c r="N485" i="27"/>
  <c r="R484" i="27"/>
  <c r="S484" i="27" s="1"/>
  <c r="N484" i="27"/>
  <c r="R483" i="27"/>
  <c r="N483" i="27"/>
  <c r="S483" i="27" s="1"/>
  <c r="R482" i="27"/>
  <c r="N482" i="27"/>
  <c r="S482" i="27"/>
  <c r="S481" i="27"/>
  <c r="R481" i="27"/>
  <c r="N481" i="27"/>
  <c r="R480" i="27"/>
  <c r="S480" i="27" s="1"/>
  <c r="N480" i="27"/>
  <c r="R479" i="27"/>
  <c r="N479" i="27"/>
  <c r="S479" i="27" s="1"/>
  <c r="R478" i="27"/>
  <c r="N478" i="27"/>
  <c r="S478" i="27"/>
  <c r="S477" i="27"/>
  <c r="R477" i="27"/>
  <c r="N477" i="27"/>
  <c r="R476" i="27"/>
  <c r="S476" i="27" s="1"/>
  <c r="N476" i="27"/>
  <c r="R475" i="27"/>
  <c r="N475" i="27"/>
  <c r="S475" i="27" s="1"/>
  <c r="R474" i="27"/>
  <c r="N474" i="27"/>
  <c r="S474" i="27"/>
  <c r="S473" i="27"/>
  <c r="R473" i="27"/>
  <c r="N473" i="27"/>
  <c r="R472" i="27"/>
  <c r="S472" i="27" s="1"/>
  <c r="N472" i="27"/>
  <c r="R471" i="27"/>
  <c r="N471" i="27"/>
  <c r="S471" i="27" s="1"/>
  <c r="R470" i="27"/>
  <c r="N470" i="27"/>
  <c r="S470" i="27"/>
  <c r="S469" i="27"/>
  <c r="R469" i="27"/>
  <c r="N469" i="27"/>
  <c r="R468" i="27"/>
  <c r="S468" i="27" s="1"/>
  <c r="N468" i="27"/>
  <c r="R467" i="27"/>
  <c r="N467" i="27"/>
  <c r="S467" i="27" s="1"/>
  <c r="R466" i="27"/>
  <c r="N466" i="27"/>
  <c r="S466" i="27"/>
  <c r="S465" i="27"/>
  <c r="R465" i="27"/>
  <c r="N465" i="27"/>
  <c r="R464" i="27"/>
  <c r="S464" i="27" s="1"/>
  <c r="N464" i="27"/>
  <c r="R463" i="27"/>
  <c r="N463" i="27"/>
  <c r="S463" i="27" s="1"/>
  <c r="R462" i="27"/>
  <c r="N462" i="27"/>
  <c r="S462" i="27"/>
  <c r="S461" i="27"/>
  <c r="R461" i="27"/>
  <c r="N461" i="27"/>
  <c r="R460" i="27"/>
  <c r="S460" i="27" s="1"/>
  <c r="N460" i="27"/>
  <c r="R459" i="27"/>
  <c r="N459" i="27"/>
  <c r="S459" i="27" s="1"/>
  <c r="R458" i="27"/>
  <c r="N458" i="27"/>
  <c r="S458" i="27"/>
  <c r="S457" i="27"/>
  <c r="R457" i="27"/>
  <c r="N457" i="27"/>
  <c r="R456" i="27"/>
  <c r="S456" i="27" s="1"/>
  <c r="N456" i="27"/>
  <c r="R455" i="27"/>
  <c r="N455" i="27"/>
  <c r="S455" i="27" s="1"/>
  <c r="R454" i="27"/>
  <c r="N454" i="27"/>
  <c r="S454" i="27"/>
  <c r="S453" i="27"/>
  <c r="R453" i="27"/>
  <c r="N453" i="27"/>
  <c r="R452" i="27"/>
  <c r="S452" i="27" s="1"/>
  <c r="N452" i="27"/>
  <c r="R451" i="27"/>
  <c r="N451" i="27"/>
  <c r="S451" i="27" s="1"/>
  <c r="R450" i="27"/>
  <c r="N450" i="27"/>
  <c r="S450" i="27"/>
  <c r="S449" i="27"/>
  <c r="R449" i="27"/>
  <c r="N449" i="27"/>
  <c r="R448" i="27"/>
  <c r="S448" i="27" s="1"/>
  <c r="N448" i="27"/>
  <c r="R447" i="27"/>
  <c r="N447" i="27"/>
  <c r="S447" i="27" s="1"/>
  <c r="R446" i="27"/>
  <c r="N446" i="27"/>
  <c r="S446" i="27"/>
  <c r="S445" i="27"/>
  <c r="R445" i="27"/>
  <c r="N445" i="27"/>
  <c r="R444" i="27"/>
  <c r="S444" i="27" s="1"/>
  <c r="N444" i="27"/>
  <c r="R443" i="27"/>
  <c r="N443" i="27"/>
  <c r="S443" i="27" s="1"/>
  <c r="R442" i="27"/>
  <c r="N442" i="27"/>
  <c r="S442" i="27"/>
  <c r="S441" i="27"/>
  <c r="R441" i="27"/>
  <c r="N441" i="27"/>
  <c r="R440" i="27"/>
  <c r="S440" i="27" s="1"/>
  <c r="N440" i="27"/>
  <c r="R439" i="27"/>
  <c r="N439" i="27"/>
  <c r="S439" i="27" s="1"/>
  <c r="R438" i="27"/>
  <c r="N438" i="27"/>
  <c r="S438" i="27"/>
  <c r="S437" i="27"/>
  <c r="R437" i="27"/>
  <c r="N437" i="27"/>
  <c r="R436" i="27"/>
  <c r="S436" i="27" s="1"/>
  <c r="N436" i="27"/>
  <c r="R435" i="27"/>
  <c r="N435" i="27"/>
  <c r="S435" i="27" s="1"/>
  <c r="R434" i="27"/>
  <c r="N434" i="27"/>
  <c r="S434" i="27"/>
  <c r="S433" i="27"/>
  <c r="R433" i="27"/>
  <c r="N433" i="27"/>
  <c r="R432" i="27"/>
  <c r="S432" i="27" s="1"/>
  <c r="N432" i="27"/>
  <c r="R431" i="27"/>
  <c r="N431" i="27"/>
  <c r="S431" i="27" s="1"/>
  <c r="R430" i="27"/>
  <c r="N430" i="27"/>
  <c r="S430" i="27"/>
  <c r="S429" i="27"/>
  <c r="R429" i="27"/>
  <c r="N429" i="27"/>
  <c r="R428" i="27"/>
  <c r="S428" i="27" s="1"/>
  <c r="N428" i="27"/>
  <c r="R427" i="27"/>
  <c r="N427" i="27"/>
  <c r="S427" i="27" s="1"/>
  <c r="R426" i="27"/>
  <c r="N426" i="27"/>
  <c r="S426" i="27"/>
  <c r="S425" i="27"/>
  <c r="R425" i="27"/>
  <c r="N425" i="27"/>
  <c r="R424" i="27"/>
  <c r="S424" i="27" s="1"/>
  <c r="N424" i="27"/>
  <c r="R423" i="27"/>
  <c r="N423" i="27"/>
  <c r="S423" i="27" s="1"/>
  <c r="R422" i="27"/>
  <c r="N422" i="27"/>
  <c r="S422" i="27"/>
  <c r="S421" i="27"/>
  <c r="R421" i="27"/>
  <c r="N421" i="27"/>
  <c r="R420" i="27"/>
  <c r="S420" i="27" s="1"/>
  <c r="N420" i="27"/>
  <c r="R419" i="27"/>
  <c r="N419" i="27"/>
  <c r="S419" i="27" s="1"/>
  <c r="R418" i="27"/>
  <c r="N418" i="27"/>
  <c r="S418" i="27"/>
  <c r="S417" i="27"/>
  <c r="R417" i="27"/>
  <c r="N417" i="27"/>
  <c r="R416" i="27"/>
  <c r="S416" i="27" s="1"/>
  <c r="N416" i="27"/>
  <c r="R415" i="27"/>
  <c r="N415" i="27"/>
  <c r="S415" i="27" s="1"/>
  <c r="R414" i="27"/>
  <c r="N414" i="27"/>
  <c r="S414" i="27"/>
  <c r="S413" i="27"/>
  <c r="R413" i="27"/>
  <c r="N413" i="27"/>
  <c r="R412" i="27"/>
  <c r="S412" i="27" s="1"/>
  <c r="N412" i="27"/>
  <c r="R411" i="27"/>
  <c r="N411" i="27"/>
  <c r="S411" i="27" s="1"/>
  <c r="R410" i="27"/>
  <c r="N410" i="27"/>
  <c r="S410" i="27"/>
  <c r="S409" i="27"/>
  <c r="R409" i="27"/>
  <c r="N409" i="27"/>
  <c r="R408" i="27"/>
  <c r="S408" i="27" s="1"/>
  <c r="N408" i="27"/>
  <c r="R407" i="27"/>
  <c r="N407" i="27"/>
  <c r="S407" i="27" s="1"/>
  <c r="R406" i="27"/>
  <c r="N406" i="27"/>
  <c r="S406" i="27"/>
  <c r="S405" i="27"/>
  <c r="R405" i="27"/>
  <c r="N405" i="27"/>
  <c r="R404" i="27"/>
  <c r="S404" i="27" s="1"/>
  <c r="N404" i="27"/>
  <c r="R403" i="27"/>
  <c r="N403" i="27"/>
  <c r="S403" i="27" s="1"/>
  <c r="R402" i="27"/>
  <c r="N402" i="27"/>
  <c r="S402" i="27"/>
  <c r="S401" i="27"/>
  <c r="R401" i="27"/>
  <c r="N401" i="27"/>
  <c r="R400" i="27"/>
  <c r="S400" i="27" s="1"/>
  <c r="N400" i="27"/>
  <c r="R399" i="27"/>
  <c r="N399" i="27"/>
  <c r="S399" i="27" s="1"/>
  <c r="R398" i="27"/>
  <c r="N398" i="27"/>
  <c r="S398" i="27"/>
  <c r="S397" i="27"/>
  <c r="R397" i="27"/>
  <c r="N397" i="27"/>
  <c r="R396" i="27"/>
  <c r="S396" i="27" s="1"/>
  <c r="N396" i="27"/>
  <c r="R395" i="27"/>
  <c r="N395" i="27"/>
  <c r="S395" i="27" s="1"/>
  <c r="R394" i="27"/>
  <c r="N394" i="27"/>
  <c r="S394" i="27"/>
  <c r="S393" i="27"/>
  <c r="R393" i="27"/>
  <c r="N393" i="27"/>
  <c r="R392" i="27"/>
  <c r="S392" i="27" s="1"/>
  <c r="N392" i="27"/>
  <c r="R391" i="27"/>
  <c r="N391" i="27"/>
  <c r="S391" i="27" s="1"/>
  <c r="R390" i="27"/>
  <c r="N390" i="27"/>
  <c r="S390" i="27"/>
  <c r="S389" i="27"/>
  <c r="R389" i="27"/>
  <c r="N389" i="27"/>
  <c r="R388" i="27"/>
  <c r="S388" i="27" s="1"/>
  <c r="N388" i="27"/>
  <c r="R387" i="27"/>
  <c r="N387" i="27"/>
  <c r="S387" i="27" s="1"/>
  <c r="R386" i="27"/>
  <c r="N386" i="27"/>
  <c r="S386" i="27"/>
  <c r="S385" i="27"/>
  <c r="R385" i="27"/>
  <c r="N385" i="27"/>
  <c r="R384" i="27"/>
  <c r="S384" i="27" s="1"/>
  <c r="N384" i="27"/>
  <c r="R383" i="27"/>
  <c r="N383" i="27"/>
  <c r="S383" i="27" s="1"/>
  <c r="R382" i="27"/>
  <c r="N382" i="27"/>
  <c r="S382" i="27"/>
  <c r="S381" i="27"/>
  <c r="R381" i="27"/>
  <c r="N381" i="27"/>
  <c r="R380" i="27"/>
  <c r="S380" i="27" s="1"/>
  <c r="N380" i="27"/>
  <c r="R379" i="27"/>
  <c r="N379" i="27"/>
  <c r="S379" i="27" s="1"/>
  <c r="R378" i="27"/>
  <c r="N378" i="27"/>
  <c r="S378" i="27"/>
  <c r="S377" i="27"/>
  <c r="R377" i="27"/>
  <c r="N377" i="27"/>
  <c r="R376" i="27"/>
  <c r="S376" i="27" s="1"/>
  <c r="N376" i="27"/>
  <c r="R375" i="27"/>
  <c r="N375" i="27"/>
  <c r="S375" i="27" s="1"/>
  <c r="R374" i="27"/>
  <c r="N374" i="27"/>
  <c r="S374" i="27"/>
  <c r="S373" i="27"/>
  <c r="R373" i="27"/>
  <c r="N373" i="27"/>
  <c r="R372" i="27"/>
  <c r="S372" i="27" s="1"/>
  <c r="N372" i="27"/>
  <c r="R371" i="27"/>
  <c r="N371" i="27"/>
  <c r="S371" i="27" s="1"/>
  <c r="R370" i="27"/>
  <c r="N370" i="27"/>
  <c r="S370" i="27"/>
  <c r="S369" i="27"/>
  <c r="R369" i="27"/>
  <c r="N369" i="27"/>
  <c r="R368" i="27"/>
  <c r="S368" i="27" s="1"/>
  <c r="N368" i="27"/>
  <c r="R367" i="27"/>
  <c r="N367" i="27"/>
  <c r="S367" i="27" s="1"/>
  <c r="R366" i="27"/>
  <c r="N366" i="27"/>
  <c r="S366" i="27"/>
  <c r="S365" i="27"/>
  <c r="R365" i="27"/>
  <c r="N365" i="27"/>
  <c r="R364" i="27"/>
  <c r="S364" i="27" s="1"/>
  <c r="N364" i="27"/>
  <c r="R363" i="27"/>
  <c r="N363" i="27"/>
  <c r="S363" i="27" s="1"/>
  <c r="R362" i="27"/>
  <c r="N362" i="27"/>
  <c r="S362" i="27"/>
  <c r="S361" i="27"/>
  <c r="R361" i="27"/>
  <c r="N361" i="27"/>
  <c r="R360" i="27"/>
  <c r="S360" i="27" s="1"/>
  <c r="N360" i="27"/>
  <c r="R359" i="27"/>
  <c r="N359" i="27"/>
  <c r="S359" i="27" s="1"/>
  <c r="R358" i="27"/>
  <c r="N358" i="27"/>
  <c r="S358" i="27"/>
  <c r="S357" i="27"/>
  <c r="R357" i="27"/>
  <c r="N357" i="27"/>
  <c r="S353" i="27"/>
  <c r="R353" i="27"/>
  <c r="Q353" i="27"/>
  <c r="P353" i="27"/>
  <c r="O353" i="27"/>
  <c r="N353" i="27"/>
  <c r="M353" i="27"/>
  <c r="L353" i="27"/>
  <c r="K353" i="27"/>
  <c r="Q340" i="27"/>
  <c r="O340" i="27"/>
  <c r="N340" i="27"/>
  <c r="M340" i="27"/>
  <c r="L340" i="27"/>
  <c r="K340" i="27"/>
  <c r="P339" i="27"/>
  <c r="R339" i="27" s="1"/>
  <c r="N339" i="27"/>
  <c r="P338" i="27"/>
  <c r="R338" i="27" s="1"/>
  <c r="N338" i="27"/>
  <c r="P337" i="27"/>
  <c r="R337" i="27"/>
  <c r="N337" i="27"/>
  <c r="P336" i="27"/>
  <c r="R336" i="27"/>
  <c r="N336" i="27"/>
  <c r="S336" i="27" s="1"/>
  <c r="P335" i="27"/>
  <c r="R335" i="27" s="1"/>
  <c r="N335" i="27"/>
  <c r="P334" i="27"/>
  <c r="R334" i="27" s="1"/>
  <c r="N334" i="27"/>
  <c r="P333" i="27"/>
  <c r="R333" i="27"/>
  <c r="N333" i="27"/>
  <c r="P332" i="27"/>
  <c r="R332" i="27"/>
  <c r="N332" i="27"/>
  <c r="S332" i="27" s="1"/>
  <c r="P331" i="27"/>
  <c r="R331" i="27" s="1"/>
  <c r="N331" i="27"/>
  <c r="P330" i="27"/>
  <c r="R330" i="27" s="1"/>
  <c r="N330" i="27"/>
  <c r="P329" i="27"/>
  <c r="R329" i="27"/>
  <c r="N329" i="27"/>
  <c r="P328" i="27"/>
  <c r="R328" i="27"/>
  <c r="N328" i="27"/>
  <c r="S328" i="27" s="1"/>
  <c r="P327" i="27"/>
  <c r="R327" i="27" s="1"/>
  <c r="N327" i="27"/>
  <c r="P326" i="27"/>
  <c r="R326" i="27" s="1"/>
  <c r="N326" i="27"/>
  <c r="P325" i="27"/>
  <c r="R325" i="27"/>
  <c r="N325" i="27"/>
  <c r="P324" i="27"/>
  <c r="R324" i="27"/>
  <c r="N324" i="27"/>
  <c r="S324" i="27" s="1"/>
  <c r="P323" i="27"/>
  <c r="R323" i="27" s="1"/>
  <c r="N323" i="27"/>
  <c r="Q320" i="27"/>
  <c r="O320" i="27"/>
  <c r="M320" i="27"/>
  <c r="L320" i="27"/>
  <c r="K320" i="27"/>
  <c r="N319" i="27"/>
  <c r="P319" i="27" s="1"/>
  <c r="R319" i="27" s="1"/>
  <c r="S319" i="27"/>
  <c r="S318" i="27"/>
  <c r="N318" i="27"/>
  <c r="P318" i="27"/>
  <c r="R318" i="27"/>
  <c r="N317" i="27"/>
  <c r="N316" i="27"/>
  <c r="P316" i="27"/>
  <c r="R316" i="27"/>
  <c r="S316" i="27" s="1"/>
  <c r="N315" i="27"/>
  <c r="P315" i="27" s="1"/>
  <c r="R315" i="27" s="1"/>
  <c r="S315" i="27"/>
  <c r="S314" i="27"/>
  <c r="N314" i="27"/>
  <c r="P314" i="27"/>
  <c r="R314" i="27"/>
  <c r="N313" i="27"/>
  <c r="N312" i="27"/>
  <c r="P312" i="27"/>
  <c r="R312" i="27"/>
  <c r="S312" i="27" s="1"/>
  <c r="N311" i="27"/>
  <c r="P311" i="27" s="1"/>
  <c r="R311" i="27" s="1"/>
  <c r="S311" i="27"/>
  <c r="S310" i="27"/>
  <c r="N310" i="27"/>
  <c r="P310" i="27"/>
  <c r="R310" i="27"/>
  <c r="N309" i="27"/>
  <c r="N308" i="27"/>
  <c r="P308" i="27"/>
  <c r="R308" i="27"/>
  <c r="S308" i="27" s="1"/>
  <c r="N307" i="27"/>
  <c r="P307" i="27" s="1"/>
  <c r="R307" i="27" s="1"/>
  <c r="S307" i="27"/>
  <c r="S306" i="27"/>
  <c r="N306" i="27"/>
  <c r="P306" i="27"/>
  <c r="R306" i="27"/>
  <c r="N305" i="27"/>
  <c r="N304" i="27"/>
  <c r="P304" i="27"/>
  <c r="R304" i="27"/>
  <c r="S304" i="27" s="1"/>
  <c r="N303" i="27"/>
  <c r="P303" i="27" s="1"/>
  <c r="R303" i="27" s="1"/>
  <c r="S303" i="27"/>
  <c r="S302" i="27"/>
  <c r="N302" i="27"/>
  <c r="P302" i="27"/>
  <c r="R302" i="27"/>
  <c r="N301" i="27"/>
  <c r="N300" i="27"/>
  <c r="P300" i="27"/>
  <c r="R300" i="27"/>
  <c r="S300" i="27" s="1"/>
  <c r="N299" i="27"/>
  <c r="P299" i="27" s="1"/>
  <c r="R299" i="27" s="1"/>
  <c r="S299" i="27"/>
  <c r="S298" i="27"/>
  <c r="N298" i="27"/>
  <c r="P298" i="27"/>
  <c r="R298" i="27"/>
  <c r="N297" i="27"/>
  <c r="N296" i="27"/>
  <c r="P296" i="27"/>
  <c r="R296" i="27"/>
  <c r="S296" i="27" s="1"/>
  <c r="N295" i="27"/>
  <c r="P295" i="27" s="1"/>
  <c r="R295" i="27" s="1"/>
  <c r="S295" i="27"/>
  <c r="S294" i="27"/>
  <c r="N294" i="27"/>
  <c r="P294" i="27"/>
  <c r="R294" i="27"/>
  <c r="N293" i="27"/>
  <c r="N292" i="27"/>
  <c r="P292" i="27"/>
  <c r="R292" i="27"/>
  <c r="S292" i="27" s="1"/>
  <c r="N291" i="27"/>
  <c r="P291" i="27" s="1"/>
  <c r="R291" i="27" s="1"/>
  <c r="S291" i="27"/>
  <c r="S290" i="27"/>
  <c r="N290" i="27"/>
  <c r="P290" i="27"/>
  <c r="R290" i="27"/>
  <c r="N289" i="27"/>
  <c r="N288" i="27"/>
  <c r="P288" i="27"/>
  <c r="R288" i="27"/>
  <c r="S288" i="27" s="1"/>
  <c r="N287" i="27"/>
  <c r="P287" i="27" s="1"/>
  <c r="R287" i="27" s="1"/>
  <c r="S287" i="27"/>
  <c r="S286" i="27"/>
  <c r="N286" i="27"/>
  <c r="P286" i="27"/>
  <c r="R286" i="27"/>
  <c r="N285" i="27"/>
  <c r="N284" i="27"/>
  <c r="P284" i="27"/>
  <c r="R284" i="27"/>
  <c r="S284" i="27" s="1"/>
  <c r="N283" i="27"/>
  <c r="P283" i="27" s="1"/>
  <c r="O281" i="27"/>
  <c r="M281" i="27"/>
  <c r="L281" i="27"/>
  <c r="K281" i="27"/>
  <c r="N280" i="27"/>
  <c r="N279" i="27"/>
  <c r="P279" i="27" s="1"/>
  <c r="R279" i="27" s="1"/>
  <c r="N278" i="27"/>
  <c r="N277" i="27"/>
  <c r="P277" i="27" s="1"/>
  <c r="R277" i="27" s="1"/>
  <c r="N276" i="27"/>
  <c r="N275" i="27"/>
  <c r="P275" i="27"/>
  <c r="Q273" i="27"/>
  <c r="O273" i="27"/>
  <c r="M273" i="27"/>
  <c r="L273" i="27"/>
  <c r="K273" i="27"/>
  <c r="N272" i="27"/>
  <c r="Q270" i="27"/>
  <c r="O270" i="27"/>
  <c r="M270" i="27"/>
  <c r="L270" i="27"/>
  <c r="K270" i="27"/>
  <c r="N269" i="27"/>
  <c r="N268" i="27"/>
  <c r="Q266" i="27"/>
  <c r="O266" i="27"/>
  <c r="O321" i="27" s="1"/>
  <c r="O354" i="27" s="1"/>
  <c r="O591" i="27" s="1"/>
  <c r="M266" i="27"/>
  <c r="M321" i="27"/>
  <c r="M354" i="27"/>
  <c r="L266" i="27"/>
  <c r="K266" i="27"/>
  <c r="N265" i="27"/>
  <c r="P265" i="27" s="1"/>
  <c r="R265" i="27" s="1"/>
  <c r="S265" i="27"/>
  <c r="R264" i="27"/>
  <c r="N264" i="27"/>
  <c r="P264" i="27"/>
  <c r="N263" i="27"/>
  <c r="P263" i="27" s="1"/>
  <c r="R263" i="27" s="1"/>
  <c r="S263" i="27"/>
  <c r="R262" i="27"/>
  <c r="N262" i="27"/>
  <c r="P262" i="27"/>
  <c r="Q260" i="27"/>
  <c r="O260" i="27"/>
  <c r="M260" i="27"/>
  <c r="L260" i="27"/>
  <c r="K260" i="27"/>
  <c r="N259" i="27"/>
  <c r="P259" i="27"/>
  <c r="R259" i="27"/>
  <c r="S259" i="27" s="1"/>
  <c r="N258" i="27"/>
  <c r="P258" i="27" s="1"/>
  <c r="R258" i="27" s="1"/>
  <c r="N257" i="27"/>
  <c r="P257" i="27"/>
  <c r="R257" i="27" s="1"/>
  <c r="N256" i="27"/>
  <c r="N255" i="27"/>
  <c r="P255" i="27"/>
  <c r="R255" i="27"/>
  <c r="N254" i="27"/>
  <c r="P254" i="27"/>
  <c r="R254" i="27"/>
  <c r="N253" i="27"/>
  <c r="P253" i="27" s="1"/>
  <c r="R253" i="27" s="1"/>
  <c r="N252" i="27"/>
  <c r="P252" i="27"/>
  <c r="Q250" i="27"/>
  <c r="O250" i="27"/>
  <c r="M250" i="27"/>
  <c r="L250" i="27"/>
  <c r="L321" i="27" s="1"/>
  <c r="L354" i="27" s="1"/>
  <c r="L591" i="27" s="1"/>
  <c r="K250" i="27"/>
  <c r="P249" i="27"/>
  <c r="R249" i="27" s="1"/>
  <c r="N249" i="27"/>
  <c r="N248" i="27"/>
  <c r="Q240" i="27"/>
  <c r="O240" i="27"/>
  <c r="M240" i="27"/>
  <c r="L240" i="27"/>
  <c r="K240" i="27"/>
  <c r="N238" i="27"/>
  <c r="P238" i="27"/>
  <c r="R238" i="27"/>
  <c r="S238" i="27"/>
  <c r="N237" i="27"/>
  <c r="P237" i="27"/>
  <c r="R237" i="27"/>
  <c r="S237" i="27"/>
  <c r="N236" i="27"/>
  <c r="P236" i="27"/>
  <c r="R236" i="27"/>
  <c r="S236" i="27"/>
  <c r="N235" i="27"/>
  <c r="P235" i="27"/>
  <c r="R234" i="27"/>
  <c r="S234" i="27"/>
  <c r="N234" i="27"/>
  <c r="R233" i="27"/>
  <c r="N233" i="27"/>
  <c r="S233" i="27"/>
  <c r="R232" i="27"/>
  <c r="N232" i="27"/>
  <c r="S232" i="27"/>
  <c r="S231" i="27"/>
  <c r="R231" i="27"/>
  <c r="N231" i="27"/>
  <c r="R230" i="27"/>
  <c r="S230" i="27" s="1"/>
  <c r="N230" i="27"/>
  <c r="R229" i="27"/>
  <c r="N229" i="27"/>
  <c r="N240" i="27"/>
  <c r="Q226" i="27"/>
  <c r="P226" i="27"/>
  <c r="O226" i="27"/>
  <c r="M226" i="27"/>
  <c r="L226" i="27"/>
  <c r="K226" i="27"/>
  <c r="R225" i="27"/>
  <c r="N225" i="27"/>
  <c r="S225" i="27" s="1"/>
  <c r="R224" i="27"/>
  <c r="N224" i="27"/>
  <c r="S224" i="27" s="1"/>
  <c r="R223" i="27"/>
  <c r="N223" i="27"/>
  <c r="S223" i="27" s="1"/>
  <c r="R222" i="27"/>
  <c r="N222" i="27"/>
  <c r="R221" i="27"/>
  <c r="N221" i="27"/>
  <c r="S221" i="27" s="1"/>
  <c r="R220" i="27"/>
  <c r="N220" i="27"/>
  <c r="R219" i="27"/>
  <c r="N219" i="27"/>
  <c r="Q215" i="27"/>
  <c r="Q216" i="27"/>
  <c r="Q242" i="27" s="1"/>
  <c r="O215" i="27"/>
  <c r="O216" i="27"/>
  <c r="O242" i="27"/>
  <c r="M215" i="27"/>
  <c r="M216" i="27"/>
  <c r="M242" i="27"/>
  <c r="L215" i="27"/>
  <c r="L216" i="27" s="1"/>
  <c r="L242" i="27" s="1"/>
  <c r="K215" i="27"/>
  <c r="K216" i="27"/>
  <c r="K242" i="27" s="1"/>
  <c r="N214" i="27"/>
  <c r="R213" i="27"/>
  <c r="N213" i="27"/>
  <c r="S213" i="27" s="1"/>
  <c r="R212" i="27"/>
  <c r="N212" i="27"/>
  <c r="R211" i="27"/>
  <c r="N211" i="27"/>
  <c r="N215" i="27"/>
  <c r="N216" i="27" s="1"/>
  <c r="Q204" i="27"/>
  <c r="O204" i="27"/>
  <c r="M204" i="27"/>
  <c r="L204" i="27"/>
  <c r="K204" i="27"/>
  <c r="N203" i="27"/>
  <c r="N202" i="27"/>
  <c r="P202" i="27"/>
  <c r="R202" i="27" s="1"/>
  <c r="N201" i="27"/>
  <c r="N200" i="27"/>
  <c r="P200" i="27"/>
  <c r="R200" i="27" s="1"/>
  <c r="N199" i="27"/>
  <c r="N198" i="27"/>
  <c r="P198" i="27"/>
  <c r="R198" i="27" s="1"/>
  <c r="N197" i="27"/>
  <c r="N196" i="27"/>
  <c r="P196" i="27"/>
  <c r="R196" i="27" s="1"/>
  <c r="N195" i="27"/>
  <c r="N194" i="27"/>
  <c r="P194" i="27"/>
  <c r="R194" i="27" s="1"/>
  <c r="N193" i="27"/>
  <c r="N192" i="27"/>
  <c r="P192" i="27"/>
  <c r="Q189" i="27"/>
  <c r="P189" i="27"/>
  <c r="O189" i="27"/>
  <c r="M189" i="27"/>
  <c r="L189" i="27"/>
  <c r="K189" i="27"/>
  <c r="R188" i="27"/>
  <c r="N188" i="27"/>
  <c r="S188" i="27" s="1"/>
  <c r="R187" i="27"/>
  <c r="N187" i="27"/>
  <c r="R186" i="27"/>
  <c r="N186" i="27"/>
  <c r="S186" i="27" s="1"/>
  <c r="R185" i="27"/>
  <c r="S185" i="27" s="1"/>
  <c r="N185" i="27"/>
  <c r="R184" i="27"/>
  <c r="N184" i="27"/>
  <c r="S184" i="27" s="1"/>
  <c r="R183" i="27"/>
  <c r="N183" i="27"/>
  <c r="R182" i="27"/>
  <c r="N182" i="27"/>
  <c r="Q179" i="27"/>
  <c r="Q206" i="27" s="1"/>
  <c r="Q178" i="27"/>
  <c r="O178" i="27"/>
  <c r="O179" i="27" s="1"/>
  <c r="O206" i="27" s="1"/>
  <c r="N178" i="27"/>
  <c r="N179" i="27" s="1"/>
  <c r="M178" i="27"/>
  <c r="M179" i="27" s="1"/>
  <c r="L178" i="27"/>
  <c r="L179" i="27"/>
  <c r="L206" i="27" s="1"/>
  <c r="K178" i="27"/>
  <c r="K179" i="27"/>
  <c r="K206" i="27"/>
  <c r="N177" i="27"/>
  <c r="P177" i="27"/>
  <c r="R177" i="27"/>
  <c r="S177" i="27" s="1"/>
  <c r="N176" i="27"/>
  <c r="P176" i="27" s="1"/>
  <c r="R176" i="27" s="1"/>
  <c r="S176" i="27"/>
  <c r="S175" i="27"/>
  <c r="N175" i="27"/>
  <c r="P175" i="27"/>
  <c r="R175" i="27"/>
  <c r="N174" i="27"/>
  <c r="P174" i="27" s="1"/>
  <c r="R174" i="27" s="1"/>
  <c r="S174" i="27"/>
  <c r="N173" i="27"/>
  <c r="P173" i="27"/>
  <c r="R173" i="27"/>
  <c r="S173" i="27" s="1"/>
  <c r="N172" i="27"/>
  <c r="P172" i="27" s="1"/>
  <c r="R172" i="27" s="1"/>
  <c r="S172" i="27"/>
  <c r="S171" i="27"/>
  <c r="N171" i="27"/>
  <c r="P171" i="27"/>
  <c r="R171" i="27"/>
  <c r="N170" i="27"/>
  <c r="P170" i="27" s="1"/>
  <c r="R170" i="27" s="1"/>
  <c r="S170" i="27"/>
  <c r="N169" i="27"/>
  <c r="P169" i="27" s="1"/>
  <c r="Q162" i="27"/>
  <c r="O162" i="27"/>
  <c r="M162" i="27"/>
  <c r="L162" i="27"/>
  <c r="K162" i="27"/>
  <c r="P161" i="27"/>
  <c r="R161" i="27"/>
  <c r="N161" i="27"/>
  <c r="R160" i="27"/>
  <c r="N160" i="27"/>
  <c r="S160" i="27" s="1"/>
  <c r="R159" i="27"/>
  <c r="S159" i="27" s="1"/>
  <c r="N159" i="27"/>
  <c r="R158" i="27"/>
  <c r="N158" i="27"/>
  <c r="Q155" i="27"/>
  <c r="O155" i="27"/>
  <c r="M155" i="27"/>
  <c r="L155" i="27"/>
  <c r="K155" i="27"/>
  <c r="N154" i="27"/>
  <c r="P154" i="27" s="1"/>
  <c r="R154" i="27" s="1"/>
  <c r="S154" i="27" s="1"/>
  <c r="N153" i="27"/>
  <c r="N152" i="27"/>
  <c r="P152" i="27" s="1"/>
  <c r="R152" i="27"/>
  <c r="N151" i="27"/>
  <c r="P151" i="27" s="1"/>
  <c r="R151" i="27"/>
  <c r="S151" i="27" s="1"/>
  <c r="S150" i="27"/>
  <c r="N150" i="27"/>
  <c r="P150" i="27" s="1"/>
  <c r="R150" i="27" s="1"/>
  <c r="N149" i="27"/>
  <c r="N148" i="27"/>
  <c r="N147" i="27"/>
  <c r="S147" i="27" s="1"/>
  <c r="P147" i="27"/>
  <c r="R147" i="27" s="1"/>
  <c r="N146" i="27"/>
  <c r="N145" i="27"/>
  <c r="S145" i="27" s="1"/>
  <c r="P145" i="27"/>
  <c r="R145" i="27" s="1"/>
  <c r="N144" i="27"/>
  <c r="N143" i="27"/>
  <c r="P143" i="27"/>
  <c r="R143" i="27" s="1"/>
  <c r="N142" i="27"/>
  <c r="N141" i="27"/>
  <c r="P141" i="27"/>
  <c r="R141" i="27" s="1"/>
  <c r="N140" i="27"/>
  <c r="N139" i="27"/>
  <c r="S139" i="27" s="1"/>
  <c r="P139" i="27"/>
  <c r="R139" i="27" s="1"/>
  <c r="N138" i="27"/>
  <c r="N137" i="27"/>
  <c r="S137" i="27" s="1"/>
  <c r="P137" i="27"/>
  <c r="R137" i="27" s="1"/>
  <c r="N136" i="27"/>
  <c r="N135" i="27"/>
  <c r="P135" i="27"/>
  <c r="R135" i="27" s="1"/>
  <c r="N134" i="27"/>
  <c r="N133" i="27"/>
  <c r="P133" i="27"/>
  <c r="R133" i="27" s="1"/>
  <c r="N132" i="27"/>
  <c r="N131" i="27"/>
  <c r="S131" i="27" s="1"/>
  <c r="P131" i="27"/>
  <c r="R131" i="27" s="1"/>
  <c r="N130" i="27"/>
  <c r="P130" i="27"/>
  <c r="Q125" i="27"/>
  <c r="P125" i="27"/>
  <c r="O125" i="27"/>
  <c r="M125" i="27"/>
  <c r="L125" i="27"/>
  <c r="K125" i="27"/>
  <c r="R124" i="27"/>
  <c r="N124" i="27"/>
  <c r="S124" i="27"/>
  <c r="R123" i="27"/>
  <c r="S123" i="27" s="1"/>
  <c r="N123" i="27"/>
  <c r="R122" i="27"/>
  <c r="N122" i="27"/>
  <c r="R121" i="27"/>
  <c r="N121" i="27"/>
  <c r="S121" i="27" s="1"/>
  <c r="R120" i="27"/>
  <c r="N120" i="27"/>
  <c r="S120" i="27"/>
  <c r="R119" i="27"/>
  <c r="S119" i="27" s="1"/>
  <c r="N119" i="27"/>
  <c r="R118" i="27"/>
  <c r="S118" i="27" s="1"/>
  <c r="N118" i="27"/>
  <c r="R117" i="27"/>
  <c r="N117" i="27"/>
  <c r="Q114" i="27"/>
  <c r="P114" i="27"/>
  <c r="O114" i="27"/>
  <c r="M114" i="27"/>
  <c r="L114" i="27"/>
  <c r="K114" i="27"/>
  <c r="R113" i="27"/>
  <c r="S113" i="27"/>
  <c r="N113" i="27"/>
  <c r="R112" i="27"/>
  <c r="N112" i="27"/>
  <c r="S112" i="27"/>
  <c r="R111" i="27"/>
  <c r="N111" i="27"/>
  <c r="S111" i="27"/>
  <c r="S110" i="27"/>
  <c r="R110" i="27"/>
  <c r="N110" i="27"/>
  <c r="R109" i="27"/>
  <c r="S109" i="27"/>
  <c r="N109" i="27"/>
  <c r="R108" i="27"/>
  <c r="N108" i="27"/>
  <c r="S108" i="27"/>
  <c r="R107" i="27"/>
  <c r="N107" i="27"/>
  <c r="S107" i="27"/>
  <c r="S106" i="27"/>
  <c r="R106" i="27"/>
  <c r="N106" i="27"/>
  <c r="Q103" i="27"/>
  <c r="P103" i="27"/>
  <c r="O103" i="27"/>
  <c r="M103" i="27"/>
  <c r="L103" i="27"/>
  <c r="K103" i="27"/>
  <c r="R102" i="27"/>
  <c r="N102" i="27"/>
  <c r="S102" i="27" s="1"/>
  <c r="R101" i="27"/>
  <c r="R103" i="27" s="1"/>
  <c r="N101" i="27"/>
  <c r="R100" i="27"/>
  <c r="N100" i="27"/>
  <c r="S100" i="27" s="1"/>
  <c r="R99" i="27"/>
  <c r="N99" i="27"/>
  <c r="S99" i="27"/>
  <c r="R98" i="27"/>
  <c r="N98" i="27"/>
  <c r="S98" i="27" s="1"/>
  <c r="R97" i="27"/>
  <c r="N97" i="27"/>
  <c r="R96" i="27"/>
  <c r="N96" i="27"/>
  <c r="Q93" i="27"/>
  <c r="P93" i="27"/>
  <c r="O93" i="27"/>
  <c r="M93" i="27"/>
  <c r="L93" i="27"/>
  <c r="K93" i="27"/>
  <c r="R92" i="27"/>
  <c r="N92" i="27"/>
  <c r="S92" i="27"/>
  <c r="R91" i="27"/>
  <c r="S91" i="27" s="1"/>
  <c r="N91" i="27"/>
  <c r="R90" i="27"/>
  <c r="S90" i="27" s="1"/>
  <c r="N90" i="27"/>
  <c r="R89" i="27"/>
  <c r="N89" i="27"/>
  <c r="S89" i="27" s="1"/>
  <c r="R88" i="27"/>
  <c r="N88" i="27"/>
  <c r="S88" i="27"/>
  <c r="R87" i="27"/>
  <c r="S87" i="27" s="1"/>
  <c r="N87" i="27"/>
  <c r="R86" i="27"/>
  <c r="S86" i="27" s="1"/>
  <c r="N86" i="27"/>
  <c r="R85" i="27"/>
  <c r="N85" i="27"/>
  <c r="R84" i="27"/>
  <c r="N84" i="27"/>
  <c r="S84" i="27"/>
  <c r="R83" i="27"/>
  <c r="R93" i="27" s="1"/>
  <c r="N83" i="27"/>
  <c r="R82" i="27"/>
  <c r="S82" i="27" s="1"/>
  <c r="N82" i="27"/>
  <c r="Q79" i="27"/>
  <c r="Q127" i="27"/>
  <c r="P79" i="27"/>
  <c r="O79" i="27"/>
  <c r="O127" i="27" s="1"/>
  <c r="M79" i="27"/>
  <c r="M127" i="27" s="1"/>
  <c r="M164" i="27" s="1"/>
  <c r="L79" i="27"/>
  <c r="K79" i="27"/>
  <c r="R78" i="27"/>
  <c r="S78" i="27" s="1"/>
  <c r="N78" i="27"/>
  <c r="R77" i="27"/>
  <c r="N77" i="27"/>
  <c r="S77" i="27" s="1"/>
  <c r="R76" i="27"/>
  <c r="N76" i="27"/>
  <c r="S76" i="27"/>
  <c r="R75" i="27"/>
  <c r="N75" i="27"/>
  <c r="S75" i="27" s="1"/>
  <c r="R74" i="27"/>
  <c r="S74" i="27" s="1"/>
  <c r="N74" i="27"/>
  <c r="R73" i="27"/>
  <c r="N73" i="27"/>
  <c r="R72" i="27"/>
  <c r="N72" i="27"/>
  <c r="S72" i="27"/>
  <c r="R71" i="27"/>
  <c r="S71" i="27" s="1"/>
  <c r="N71" i="27"/>
  <c r="R70" i="27"/>
  <c r="S70" i="27" s="1"/>
  <c r="N70" i="27"/>
  <c r="Q65" i="27"/>
  <c r="P65" i="27"/>
  <c r="O65" i="27"/>
  <c r="M65" i="27"/>
  <c r="L65" i="27"/>
  <c r="K65" i="27"/>
  <c r="R64" i="27"/>
  <c r="N64" i="27"/>
  <c r="R63" i="27"/>
  <c r="R65" i="27" s="1"/>
  <c r="N63" i="27"/>
  <c r="S63" i="27" s="1"/>
  <c r="N65" i="27"/>
  <c r="Q61" i="27"/>
  <c r="O61" i="27"/>
  <c r="M61" i="27"/>
  <c r="L61" i="27"/>
  <c r="K61" i="27"/>
  <c r="N60" i="27"/>
  <c r="S60" i="27" s="1"/>
  <c r="P60" i="27"/>
  <c r="R60" i="27" s="1"/>
  <c r="N59" i="27"/>
  <c r="N61" i="27" s="1"/>
  <c r="P59" i="27"/>
  <c r="Q56" i="27"/>
  <c r="Q66" i="27" s="1"/>
  <c r="Q164" i="27" s="1"/>
  <c r="O56" i="27"/>
  <c r="O66" i="27" s="1"/>
  <c r="M56" i="27"/>
  <c r="M66" i="27"/>
  <c r="L56" i="27"/>
  <c r="L66" i="27" s="1"/>
  <c r="L164" i="27" s="1"/>
  <c r="K56" i="27"/>
  <c r="K66" i="27"/>
  <c r="N55" i="27"/>
  <c r="N54" i="27"/>
  <c r="N53" i="27"/>
  <c r="N52" i="27"/>
  <c r="N51" i="27"/>
  <c r="N50" i="27"/>
  <c r="N49" i="27"/>
  <c r="N48" i="27"/>
  <c r="N47" i="27"/>
  <c r="N46" i="27"/>
  <c r="N45" i="27"/>
  <c r="N44" i="27"/>
  <c r="N43" i="27"/>
  <c r="N42" i="27"/>
  <c r="N41" i="27"/>
  <c r="N40" i="27"/>
  <c r="Q33" i="27"/>
  <c r="P33" i="27"/>
  <c r="O33" i="27"/>
  <c r="M33" i="27"/>
  <c r="L33" i="27"/>
  <c r="K33" i="27"/>
  <c r="R32" i="27"/>
  <c r="N32" i="27"/>
  <c r="N33" i="27" s="1"/>
  <c r="Q29" i="27"/>
  <c r="P29" i="27"/>
  <c r="O29" i="27"/>
  <c r="M29" i="27"/>
  <c r="L29" i="27"/>
  <c r="K29" i="27"/>
  <c r="R28" i="27"/>
  <c r="N28" i="27"/>
  <c r="N29" i="27" s="1"/>
  <c r="Q25" i="27"/>
  <c r="P25" i="27"/>
  <c r="O25" i="27"/>
  <c r="M25" i="27"/>
  <c r="L25" i="27"/>
  <c r="K25" i="27"/>
  <c r="R24" i="27"/>
  <c r="S24" i="27"/>
  <c r="N24" i="27"/>
  <c r="R23" i="27"/>
  <c r="R25" i="27"/>
  <c r="N23" i="27"/>
  <c r="Q20" i="27"/>
  <c r="P20" i="27"/>
  <c r="O20" i="27"/>
  <c r="M20" i="27"/>
  <c r="M35" i="27" s="1"/>
  <c r="L20" i="27"/>
  <c r="K20" i="27"/>
  <c r="R19" i="27"/>
  <c r="R20" i="27"/>
  <c r="N19" i="27"/>
  <c r="Q16" i="27"/>
  <c r="P16" i="27"/>
  <c r="P35" i="27" s="1"/>
  <c r="O16" i="27"/>
  <c r="O35" i="27" s="1"/>
  <c r="M16" i="27"/>
  <c r="L16" i="27"/>
  <c r="L35" i="27" s="1"/>
  <c r="K16" i="27"/>
  <c r="K35" i="27"/>
  <c r="G18" i="12" s="1"/>
  <c r="R15" i="27"/>
  <c r="S15" i="27" s="1"/>
  <c r="N15" i="27"/>
  <c r="R14" i="27"/>
  <c r="N14" i="27"/>
  <c r="S14" i="27" s="1"/>
  <c r="R13" i="27"/>
  <c r="R16" i="27" s="1"/>
  <c r="N13" i="27"/>
  <c r="S13" i="27" s="1"/>
  <c r="S16" i="27" s="1"/>
  <c r="F26" i="11"/>
  <c r="AQ26" i="11" s="1"/>
  <c r="F25" i="11"/>
  <c r="F22" i="11"/>
  <c r="AE22" i="11" s="1"/>
  <c r="F21" i="11"/>
  <c r="N21" i="11" s="1"/>
  <c r="O21" i="11" s="1"/>
  <c r="F18" i="11"/>
  <c r="F16" i="11"/>
  <c r="BH16" i="11" s="1"/>
  <c r="F15" i="11"/>
  <c r="F14" i="11"/>
  <c r="F11" i="11"/>
  <c r="AZ11" i="11" s="1"/>
  <c r="F10" i="11"/>
  <c r="F12" i="11"/>
  <c r="F7" i="11"/>
  <c r="G18" i="11"/>
  <c r="G11" i="11"/>
  <c r="G10" i="11"/>
  <c r="G12" i="11"/>
  <c r="G7" i="11"/>
  <c r="E9" i="17"/>
  <c r="G33" i="14"/>
  <c r="G31" i="14"/>
  <c r="G30" i="14"/>
  <c r="G29" i="14"/>
  <c r="G27" i="14"/>
  <c r="G26" i="14"/>
  <c r="G25" i="14"/>
  <c r="G21" i="14"/>
  <c r="G20" i="14"/>
  <c r="G17" i="14"/>
  <c r="G16" i="14"/>
  <c r="G9" i="14"/>
  <c r="G8" i="14"/>
  <c r="G7" i="14"/>
  <c r="G6" i="14"/>
  <c r="G5" i="14"/>
  <c r="F35" i="14"/>
  <c r="AH35" i="14" s="1"/>
  <c r="F34" i="14"/>
  <c r="AQ34" i="14" s="1"/>
  <c r="F33" i="14"/>
  <c r="F31" i="14"/>
  <c r="AQ31" i="14" s="1"/>
  <c r="F30" i="14"/>
  <c r="AE30" i="14" s="1"/>
  <c r="F29" i="14"/>
  <c r="T29" i="14" s="1"/>
  <c r="F26" i="14"/>
  <c r="F25" i="14"/>
  <c r="AE25" i="14" s="1"/>
  <c r="F22" i="14"/>
  <c r="F21" i="14"/>
  <c r="AQ21" i="14" s="1"/>
  <c r="F20" i="14"/>
  <c r="F18" i="14"/>
  <c r="AE18" i="14" s="1"/>
  <c r="F17" i="14"/>
  <c r="AQ17" i="14" s="1"/>
  <c r="F16" i="14"/>
  <c r="AB16" i="14" s="1"/>
  <c r="F12" i="14"/>
  <c r="Q12" i="14" s="1"/>
  <c r="F9" i="14"/>
  <c r="AQ9" i="14" s="1"/>
  <c r="F8" i="14"/>
  <c r="AB8" i="14" s="1"/>
  <c r="F7" i="14"/>
  <c r="AN7" i="14" s="1"/>
  <c r="F6" i="14"/>
  <c r="AN6" i="14" s="1"/>
  <c r="F5" i="14"/>
  <c r="AN5" i="14" s="1"/>
  <c r="O29" i="3"/>
  <c r="P29" i="3" s="1"/>
  <c r="O28" i="3"/>
  <c r="P28" i="3" s="1"/>
  <c r="O22" i="3"/>
  <c r="O21" i="3"/>
  <c r="M29" i="3"/>
  <c r="M28" i="3"/>
  <c r="A25" i="3"/>
  <c r="A26" i="3" s="1"/>
  <c r="J22" i="3"/>
  <c r="J21" i="3"/>
  <c r="J20" i="3"/>
  <c r="I109" i="3"/>
  <c r="L109" i="3" s="1"/>
  <c r="I106" i="3"/>
  <c r="L106" i="3" s="1"/>
  <c r="I105" i="3"/>
  <c r="L105" i="3" s="1"/>
  <c r="I79" i="3"/>
  <c r="I78" i="3"/>
  <c r="J78" i="3" s="1"/>
  <c r="I77" i="3"/>
  <c r="J77" i="3" s="1"/>
  <c r="I70" i="3"/>
  <c r="L70" i="3" s="1"/>
  <c r="I69" i="3"/>
  <c r="J69" i="3" s="1"/>
  <c r="F7" i="3"/>
  <c r="G103" i="3"/>
  <c r="G102" i="3"/>
  <c r="G99" i="3"/>
  <c r="G98" i="3"/>
  <c r="G95" i="3"/>
  <c r="G94" i="3"/>
  <c r="G91" i="3"/>
  <c r="G90" i="3"/>
  <c r="G87" i="3"/>
  <c r="G86" i="3"/>
  <c r="G83" i="3"/>
  <c r="G82" i="3"/>
  <c r="G76" i="3"/>
  <c r="G75" i="3"/>
  <c r="G74" i="3"/>
  <c r="G72" i="3"/>
  <c r="G68" i="3"/>
  <c r="G67" i="3"/>
  <c r="G64" i="3"/>
  <c r="G63" i="3"/>
  <c r="G61" i="3"/>
  <c r="G60" i="3"/>
  <c r="G57" i="3"/>
  <c r="G53" i="3"/>
  <c r="G52" i="3"/>
  <c r="G51" i="3"/>
  <c r="G50" i="3"/>
  <c r="G49" i="3"/>
  <c r="G48" i="3"/>
  <c r="G46" i="3"/>
  <c r="G45" i="3"/>
  <c r="G44" i="3"/>
  <c r="G43" i="3"/>
  <c r="G39" i="3"/>
  <c r="G38" i="3"/>
  <c r="G37" i="3"/>
  <c r="G36" i="3"/>
  <c r="G35" i="3"/>
  <c r="G29" i="3"/>
  <c r="J29" i="3" s="1"/>
  <c r="G28" i="3"/>
  <c r="J28" i="3" s="1"/>
  <c r="G26" i="3"/>
  <c r="G25" i="3"/>
  <c r="G24" i="3"/>
  <c r="J24" i="3" s="1"/>
  <c r="G19" i="3"/>
  <c r="G18" i="3"/>
  <c r="G17" i="3"/>
  <c r="G16" i="3"/>
  <c r="G15" i="3"/>
  <c r="G14" i="3"/>
  <c r="G13" i="3"/>
  <c r="G12" i="3"/>
  <c r="G11" i="3"/>
  <c r="G9" i="3"/>
  <c r="G8" i="3"/>
  <c r="G7" i="3"/>
  <c r="F109" i="3"/>
  <c r="F106" i="3"/>
  <c r="AH106" i="3" s="1"/>
  <c r="F103" i="3"/>
  <c r="AB103" i="3" s="1"/>
  <c r="F102" i="3"/>
  <c r="H102" i="3" s="1"/>
  <c r="I102" i="3" s="1"/>
  <c r="F99" i="3"/>
  <c r="F98" i="3"/>
  <c r="Q98" i="3" s="1"/>
  <c r="F95" i="3"/>
  <c r="K95" i="3" s="1"/>
  <c r="F94" i="3"/>
  <c r="N94" i="3" s="1"/>
  <c r="F91" i="3"/>
  <c r="H91" i="3" s="1"/>
  <c r="I91" i="3" s="1"/>
  <c r="F90" i="3"/>
  <c r="F87" i="3"/>
  <c r="F86" i="3"/>
  <c r="AH86" i="3" s="1"/>
  <c r="F83" i="3"/>
  <c r="AQ83" i="3" s="1"/>
  <c r="F82" i="3"/>
  <c r="K82" i="3" s="1"/>
  <c r="F77" i="3"/>
  <c r="Q77" i="3" s="1"/>
  <c r="F76" i="3"/>
  <c r="F75" i="3"/>
  <c r="N75" i="3" s="1"/>
  <c r="F74" i="3"/>
  <c r="F72" i="3"/>
  <c r="N72" i="3" s="1"/>
  <c r="F70" i="3"/>
  <c r="F69" i="3"/>
  <c r="F68" i="3"/>
  <c r="F67" i="3"/>
  <c r="F64" i="3"/>
  <c r="F63" i="3"/>
  <c r="AH63" i="3" s="1"/>
  <c r="F61" i="3"/>
  <c r="F57" i="3"/>
  <c r="F53" i="3"/>
  <c r="F52" i="3"/>
  <c r="F51" i="3"/>
  <c r="F50" i="3"/>
  <c r="F49" i="3"/>
  <c r="F48" i="3"/>
  <c r="F46" i="3"/>
  <c r="F45" i="3"/>
  <c r="F44" i="3"/>
  <c r="N44" i="3" s="1"/>
  <c r="F43" i="3"/>
  <c r="F39" i="3"/>
  <c r="F38" i="3"/>
  <c r="F37" i="3"/>
  <c r="F36" i="3"/>
  <c r="F35" i="3"/>
  <c r="F34" i="3"/>
  <c r="F29" i="3"/>
  <c r="F28" i="3"/>
  <c r="Q28" i="3" s="1"/>
  <c r="F26" i="3"/>
  <c r="F25" i="3"/>
  <c r="F24" i="3"/>
  <c r="AQ24" i="3" s="1"/>
  <c r="F22" i="3"/>
  <c r="F21" i="3"/>
  <c r="F20" i="3"/>
  <c r="F19" i="3"/>
  <c r="F18" i="3"/>
  <c r="F17" i="3"/>
  <c r="F16" i="3"/>
  <c r="F15" i="3"/>
  <c r="F14" i="3"/>
  <c r="F13" i="3"/>
  <c r="F12" i="3"/>
  <c r="F11" i="3"/>
  <c r="F9" i="3"/>
  <c r="F8" i="3"/>
  <c r="Q887" i="26"/>
  <c r="P887" i="26"/>
  <c r="O887" i="26"/>
  <c r="M887" i="26"/>
  <c r="L887" i="26"/>
  <c r="K887" i="26"/>
  <c r="R886" i="26"/>
  <c r="N886" i="26"/>
  <c r="S886" i="26" s="1"/>
  <c r="R885" i="26"/>
  <c r="N885" i="26"/>
  <c r="S885" i="26" s="1"/>
  <c r="R884" i="26"/>
  <c r="N884" i="26"/>
  <c r="S884" i="26"/>
  <c r="R883" i="26"/>
  <c r="N883" i="26"/>
  <c r="S883" i="26"/>
  <c r="R882" i="26"/>
  <c r="N882" i="26"/>
  <c r="R881" i="26"/>
  <c r="N881" i="26"/>
  <c r="S881" i="26" s="1"/>
  <c r="R880" i="26"/>
  <c r="N880" i="26"/>
  <c r="S880" i="26"/>
  <c r="R879" i="26"/>
  <c r="N879" i="26"/>
  <c r="Q876" i="26"/>
  <c r="P876" i="26"/>
  <c r="O876" i="26"/>
  <c r="M876" i="26"/>
  <c r="L876" i="26"/>
  <c r="K876" i="26"/>
  <c r="R875" i="26"/>
  <c r="N875" i="26"/>
  <c r="S875" i="26"/>
  <c r="R874" i="26"/>
  <c r="N874" i="26"/>
  <c r="S874" i="26"/>
  <c r="R873" i="26"/>
  <c r="N873" i="26"/>
  <c r="S873" i="26" s="1"/>
  <c r="R872" i="26"/>
  <c r="R876" i="26"/>
  <c r="N872" i="26"/>
  <c r="Q869" i="26"/>
  <c r="P869" i="26"/>
  <c r="O869" i="26"/>
  <c r="M869" i="26"/>
  <c r="L869" i="26"/>
  <c r="K869" i="26"/>
  <c r="R868" i="26"/>
  <c r="S868" i="26" s="1"/>
  <c r="N868" i="26"/>
  <c r="R867" i="26"/>
  <c r="N867" i="26"/>
  <c r="S867" i="26" s="1"/>
  <c r="R866" i="26"/>
  <c r="N866" i="26"/>
  <c r="S866" i="26"/>
  <c r="R865" i="26"/>
  <c r="N865" i="26"/>
  <c r="S865" i="26"/>
  <c r="R864" i="26"/>
  <c r="S864" i="26" s="1"/>
  <c r="N864" i="26"/>
  <c r="R863" i="26"/>
  <c r="N863" i="26"/>
  <c r="S863" i="26" s="1"/>
  <c r="R862" i="26"/>
  <c r="N862" i="26"/>
  <c r="S862" i="26"/>
  <c r="R861" i="26"/>
  <c r="N861" i="26"/>
  <c r="S861" i="26"/>
  <c r="R860" i="26"/>
  <c r="S860" i="26" s="1"/>
  <c r="N860" i="26"/>
  <c r="R859" i="26"/>
  <c r="N859" i="26"/>
  <c r="S859" i="26" s="1"/>
  <c r="R858" i="26"/>
  <c r="N858" i="26"/>
  <c r="S858" i="26"/>
  <c r="R857" i="26"/>
  <c r="N857" i="26"/>
  <c r="S857" i="26"/>
  <c r="R856" i="26"/>
  <c r="S856" i="26" s="1"/>
  <c r="N856" i="26"/>
  <c r="R855" i="26"/>
  <c r="N855" i="26"/>
  <c r="S855" i="26" s="1"/>
  <c r="R854" i="26"/>
  <c r="N854" i="26"/>
  <c r="S854" i="26"/>
  <c r="R853" i="26"/>
  <c r="N853" i="26"/>
  <c r="S853" i="26"/>
  <c r="R852" i="26"/>
  <c r="S852" i="26" s="1"/>
  <c r="N852" i="26"/>
  <c r="R851" i="26"/>
  <c r="N851" i="26"/>
  <c r="S851" i="26" s="1"/>
  <c r="R850" i="26"/>
  <c r="N850" i="26"/>
  <c r="S850" i="26"/>
  <c r="R849" i="26"/>
  <c r="N849" i="26"/>
  <c r="S849" i="26"/>
  <c r="R848" i="26"/>
  <c r="N848" i="26"/>
  <c r="Q845" i="26"/>
  <c r="Q889" i="26"/>
  <c r="P845" i="26"/>
  <c r="P889" i="26" s="1"/>
  <c r="O845" i="26"/>
  <c r="O889" i="26"/>
  <c r="M845" i="26"/>
  <c r="M889" i="26" s="1"/>
  <c r="L845" i="26"/>
  <c r="L889" i="26"/>
  <c r="K845" i="26"/>
  <c r="K889" i="26" s="1"/>
  <c r="R844" i="26"/>
  <c r="N844" i="26"/>
  <c r="S844" i="26" s="1"/>
  <c r="R843" i="26"/>
  <c r="N843" i="26"/>
  <c r="S843" i="26"/>
  <c r="R842" i="26"/>
  <c r="N842" i="26"/>
  <c r="S842" i="26"/>
  <c r="R841" i="26"/>
  <c r="S841" i="26" s="1"/>
  <c r="N841" i="26"/>
  <c r="R840" i="26"/>
  <c r="R845" i="26"/>
  <c r="N840" i="26"/>
  <c r="Q832" i="26"/>
  <c r="P832" i="26"/>
  <c r="O832" i="26"/>
  <c r="M832" i="26"/>
  <c r="L832" i="26"/>
  <c r="K832" i="26"/>
  <c r="R831" i="26"/>
  <c r="N831" i="26"/>
  <c r="S831" i="26"/>
  <c r="R830" i="26"/>
  <c r="N830" i="26"/>
  <c r="S830" i="26" s="1"/>
  <c r="R829" i="26"/>
  <c r="N829" i="26"/>
  <c r="S829" i="26" s="1"/>
  <c r="R828" i="26"/>
  <c r="N828" i="26"/>
  <c r="S828" i="26"/>
  <c r="R827" i="26"/>
  <c r="N827" i="26"/>
  <c r="S827" i="26"/>
  <c r="R826" i="26"/>
  <c r="S826" i="26" s="1"/>
  <c r="N826" i="26"/>
  <c r="R825" i="26"/>
  <c r="N825" i="26"/>
  <c r="S825" i="26" s="1"/>
  <c r="R824" i="26"/>
  <c r="N824" i="26"/>
  <c r="S824" i="26"/>
  <c r="R823" i="26"/>
  <c r="N823" i="26"/>
  <c r="S823" i="26"/>
  <c r="R822" i="26"/>
  <c r="R832" i="26" s="1"/>
  <c r="N822" i="26"/>
  <c r="Q819" i="26"/>
  <c r="Q833" i="26"/>
  <c r="P819" i="26"/>
  <c r="P833" i="26" s="1"/>
  <c r="O819" i="26"/>
  <c r="O833" i="26"/>
  <c r="M819" i="26"/>
  <c r="M833" i="26" s="1"/>
  <c r="L819" i="26"/>
  <c r="L833" i="26"/>
  <c r="K819" i="26"/>
  <c r="R818" i="26"/>
  <c r="N818" i="26"/>
  <c r="S818" i="26" s="1"/>
  <c r="R817" i="26"/>
  <c r="N817" i="26"/>
  <c r="S817" i="26"/>
  <c r="R816" i="26"/>
  <c r="N816" i="26"/>
  <c r="S816" i="26"/>
  <c r="R815" i="26"/>
  <c r="N815" i="26"/>
  <c r="S815" i="26" s="1"/>
  <c r="R814" i="26"/>
  <c r="N814" i="26"/>
  <c r="S814" i="26" s="1"/>
  <c r="R813" i="26"/>
  <c r="N813" i="26"/>
  <c r="S813" i="26"/>
  <c r="R812" i="26"/>
  <c r="N812" i="26"/>
  <c r="S812" i="26"/>
  <c r="R811" i="26"/>
  <c r="N811" i="26"/>
  <c r="R810" i="26"/>
  <c r="N810" i="26"/>
  <c r="S810" i="26" s="1"/>
  <c r="R809" i="26"/>
  <c r="N809" i="26"/>
  <c r="S809" i="26"/>
  <c r="R808" i="26"/>
  <c r="N808" i="26"/>
  <c r="S808" i="26"/>
  <c r="R807" i="26"/>
  <c r="N807" i="26"/>
  <c r="S807" i="26" s="1"/>
  <c r="R806" i="26"/>
  <c r="R819" i="26" s="1"/>
  <c r="R833" i="26" s="1"/>
  <c r="N806" i="26"/>
  <c r="S806" i="26" s="1"/>
  <c r="R805" i="26"/>
  <c r="N805" i="26"/>
  <c r="S805" i="26"/>
  <c r="R804" i="26"/>
  <c r="N804" i="26"/>
  <c r="Q799" i="26"/>
  <c r="Q800" i="26"/>
  <c r="P799" i="26"/>
  <c r="P800" i="26"/>
  <c r="O799" i="26"/>
  <c r="O800" i="26" s="1"/>
  <c r="M799" i="26"/>
  <c r="M800" i="26"/>
  <c r="L799" i="26"/>
  <c r="L800" i="26" s="1"/>
  <c r="K799" i="26"/>
  <c r="K800" i="26"/>
  <c r="R798" i="26"/>
  <c r="N798" i="26"/>
  <c r="S798" i="26"/>
  <c r="R797" i="26"/>
  <c r="R799" i="26" s="1"/>
  <c r="R800" i="26" s="1"/>
  <c r="N797" i="26"/>
  <c r="Q792" i="26"/>
  <c r="P792" i="26"/>
  <c r="O792" i="26"/>
  <c r="M792" i="26"/>
  <c r="L792" i="26"/>
  <c r="K792" i="26"/>
  <c r="R791" i="26"/>
  <c r="R792" i="26"/>
  <c r="N791" i="26"/>
  <c r="Q789" i="26"/>
  <c r="P789" i="26"/>
  <c r="O789" i="26"/>
  <c r="M789" i="26"/>
  <c r="L789" i="26"/>
  <c r="K789" i="26"/>
  <c r="R788" i="26"/>
  <c r="N788" i="26"/>
  <c r="S788" i="26" s="1"/>
  <c r="R787" i="26"/>
  <c r="R789" i="26"/>
  <c r="N787" i="26"/>
  <c r="Q784" i="26"/>
  <c r="Q793" i="26" s="1"/>
  <c r="Q835" i="26" s="1"/>
  <c r="P784" i="26"/>
  <c r="P793" i="26"/>
  <c r="O784" i="26"/>
  <c r="O793" i="26" s="1"/>
  <c r="M784" i="26"/>
  <c r="M793" i="26"/>
  <c r="L784" i="26"/>
  <c r="L793" i="26" s="1"/>
  <c r="K784" i="26"/>
  <c r="K793" i="26"/>
  <c r="R783" i="26"/>
  <c r="N783" i="26"/>
  <c r="S783" i="26"/>
  <c r="R782" i="26"/>
  <c r="N782" i="26"/>
  <c r="S782" i="26" s="1"/>
  <c r="R781" i="26"/>
  <c r="N781" i="26"/>
  <c r="S781" i="26" s="1"/>
  <c r="R780" i="26"/>
  <c r="N780" i="26"/>
  <c r="S780" i="26"/>
  <c r="R779" i="26"/>
  <c r="N779" i="26"/>
  <c r="S779" i="26"/>
  <c r="R778" i="26"/>
  <c r="N778" i="26"/>
  <c r="R777" i="26"/>
  <c r="N777" i="26"/>
  <c r="S777" i="26" s="1"/>
  <c r="R776" i="26"/>
  <c r="N776" i="26"/>
  <c r="S776" i="26"/>
  <c r="R775" i="26"/>
  <c r="N775" i="26"/>
  <c r="S775" i="26"/>
  <c r="R774" i="26"/>
  <c r="N774" i="26"/>
  <c r="S774" i="26" s="1"/>
  <c r="R773" i="26"/>
  <c r="N773" i="26"/>
  <c r="S773" i="26" s="1"/>
  <c r="R772" i="26"/>
  <c r="N772" i="26"/>
  <c r="S772" i="26"/>
  <c r="R771" i="26"/>
  <c r="N771" i="26"/>
  <c r="S771" i="26"/>
  <c r="R770" i="26"/>
  <c r="N770" i="26"/>
  <c r="R769" i="26"/>
  <c r="N769" i="26"/>
  <c r="S769" i="26" s="1"/>
  <c r="R768" i="26"/>
  <c r="N768" i="26"/>
  <c r="S768" i="26"/>
  <c r="R767" i="26"/>
  <c r="N767" i="26"/>
  <c r="S767" i="26"/>
  <c r="R766" i="26"/>
  <c r="N766" i="26"/>
  <c r="S766" i="26" s="1"/>
  <c r="R765" i="26"/>
  <c r="N765" i="26"/>
  <c r="S765" i="26" s="1"/>
  <c r="R764" i="26"/>
  <c r="N764" i="26"/>
  <c r="S764" i="26"/>
  <c r="R763" i="26"/>
  <c r="N763" i="26"/>
  <c r="S763" i="26"/>
  <c r="R762" i="26"/>
  <c r="R784" i="26" s="1"/>
  <c r="R793" i="26" s="1"/>
  <c r="N762" i="26"/>
  <c r="R761" i="26"/>
  <c r="N761" i="26"/>
  <c r="Q756" i="26"/>
  <c r="P756" i="26"/>
  <c r="P757" i="26" s="1"/>
  <c r="O756" i="26"/>
  <c r="M756" i="26"/>
  <c r="L756" i="26"/>
  <c r="K756" i="26"/>
  <c r="K757" i="26" s="1"/>
  <c r="R754" i="26"/>
  <c r="N754" i="26"/>
  <c r="S754" i="26"/>
  <c r="R753" i="26"/>
  <c r="S753" i="26" s="1"/>
  <c r="N753" i="26"/>
  <c r="R752" i="26"/>
  <c r="N752" i="26"/>
  <c r="S752" i="26" s="1"/>
  <c r="R751" i="26"/>
  <c r="N751" i="26"/>
  <c r="S751" i="26"/>
  <c r="R750" i="26"/>
  <c r="N750" i="26"/>
  <c r="S750" i="26"/>
  <c r="R749" i="26"/>
  <c r="S749" i="26" s="1"/>
  <c r="N749" i="26"/>
  <c r="R748" i="26"/>
  <c r="N748" i="26"/>
  <c r="S748" i="26" s="1"/>
  <c r="R747" i="26"/>
  <c r="N747" i="26"/>
  <c r="S747" i="26"/>
  <c r="R746" i="26"/>
  <c r="N746" i="26"/>
  <c r="S746" i="26"/>
  <c r="R745" i="26"/>
  <c r="S745" i="26" s="1"/>
  <c r="N745" i="26"/>
  <c r="R744" i="26"/>
  <c r="N744" i="26"/>
  <c r="S744" i="26" s="1"/>
  <c r="R743" i="26"/>
  <c r="N743" i="26"/>
  <c r="S743" i="26"/>
  <c r="R742" i="26"/>
  <c r="N742" i="26"/>
  <c r="S742" i="26"/>
  <c r="R741" i="26"/>
  <c r="S741" i="26" s="1"/>
  <c r="N741" i="26"/>
  <c r="R740" i="26"/>
  <c r="N740" i="26"/>
  <c r="S740" i="26" s="1"/>
  <c r="R739" i="26"/>
  <c r="N739" i="26"/>
  <c r="S739" i="26"/>
  <c r="R738" i="26"/>
  <c r="N738" i="26"/>
  <c r="S738" i="26"/>
  <c r="R737" i="26"/>
  <c r="S737" i="26" s="1"/>
  <c r="N737" i="26"/>
  <c r="R736" i="26"/>
  <c r="N736" i="26"/>
  <c r="Q733" i="26"/>
  <c r="Q757" i="26"/>
  <c r="P733" i="26"/>
  <c r="O733" i="26"/>
  <c r="O757" i="26" s="1"/>
  <c r="O835" i="26" s="1"/>
  <c r="M733" i="26"/>
  <c r="M757" i="26"/>
  <c r="L733" i="26"/>
  <c r="L757" i="26"/>
  <c r="L835" i="26"/>
  <c r="K733" i="26"/>
  <c r="R731" i="26"/>
  <c r="S731" i="26" s="1"/>
  <c r="N731" i="26"/>
  <c r="R730" i="26"/>
  <c r="N730" i="26"/>
  <c r="S730" i="26" s="1"/>
  <c r="R729" i="26"/>
  <c r="N729" i="26"/>
  <c r="S729" i="26"/>
  <c r="R728" i="26"/>
  <c r="N728" i="26"/>
  <c r="S728" i="26"/>
  <c r="R727" i="26"/>
  <c r="S727" i="26" s="1"/>
  <c r="N727" i="26"/>
  <c r="R726" i="26"/>
  <c r="N726" i="26"/>
  <c r="S726" i="26" s="1"/>
  <c r="R725" i="26"/>
  <c r="N725" i="26"/>
  <c r="S725" i="26"/>
  <c r="R724" i="26"/>
  <c r="N724" i="26"/>
  <c r="S724" i="26"/>
  <c r="R723" i="26"/>
  <c r="S723" i="26" s="1"/>
  <c r="N723" i="26"/>
  <c r="R722" i="26"/>
  <c r="N722" i="26"/>
  <c r="S722" i="26" s="1"/>
  <c r="R721" i="26"/>
  <c r="N721" i="26"/>
  <c r="S721" i="26"/>
  <c r="R720" i="26"/>
  <c r="N720" i="26"/>
  <c r="S720" i="26"/>
  <c r="R719" i="26"/>
  <c r="S719" i="26" s="1"/>
  <c r="N719" i="26"/>
  <c r="R718" i="26"/>
  <c r="N718" i="26"/>
  <c r="S718" i="26" s="1"/>
  <c r="R717" i="26"/>
  <c r="N717" i="26"/>
  <c r="S717" i="26"/>
  <c r="R716" i="26"/>
  <c r="N716" i="26"/>
  <c r="S716" i="26"/>
  <c r="R715" i="26"/>
  <c r="S715" i="26" s="1"/>
  <c r="N715" i="26"/>
  <c r="R714" i="26"/>
  <c r="N714" i="26"/>
  <c r="S714" i="26" s="1"/>
  <c r="R713" i="26"/>
  <c r="N713" i="26"/>
  <c r="S713" i="26"/>
  <c r="R712" i="26"/>
  <c r="N712" i="26"/>
  <c r="S712" i="26"/>
  <c r="R711" i="26"/>
  <c r="S711" i="26" s="1"/>
  <c r="N711" i="26"/>
  <c r="R710" i="26"/>
  <c r="N710" i="26"/>
  <c r="S710" i="26" s="1"/>
  <c r="R709" i="26"/>
  <c r="N709" i="26"/>
  <c r="S709" i="26"/>
  <c r="R708" i="26"/>
  <c r="N708" i="26"/>
  <c r="S708" i="26"/>
  <c r="R707" i="26"/>
  <c r="S707" i="26" s="1"/>
  <c r="N707" i="26"/>
  <c r="R706" i="26"/>
  <c r="N706" i="26"/>
  <c r="S706" i="26" s="1"/>
  <c r="R705" i="26"/>
  <c r="N705" i="26"/>
  <c r="S705" i="26"/>
  <c r="R704" i="26"/>
  <c r="N704" i="26"/>
  <c r="S704" i="26"/>
  <c r="R703" i="26"/>
  <c r="S703" i="26" s="1"/>
  <c r="N703" i="26"/>
  <c r="R702" i="26"/>
  <c r="N702" i="26"/>
  <c r="S702" i="26" s="1"/>
  <c r="R701" i="26"/>
  <c r="N701" i="26"/>
  <c r="S701" i="26"/>
  <c r="R700" i="26"/>
  <c r="N700" i="26"/>
  <c r="S700" i="26"/>
  <c r="R699" i="26"/>
  <c r="N699" i="26"/>
  <c r="S699" i="26" s="1"/>
  <c r="R698" i="26"/>
  <c r="N698" i="26"/>
  <c r="S698" i="26" s="1"/>
  <c r="R697" i="26"/>
  <c r="N697" i="26"/>
  <c r="S697" i="26"/>
  <c r="R696" i="26"/>
  <c r="N696" i="26"/>
  <c r="S696" i="26"/>
  <c r="R695" i="26"/>
  <c r="N695" i="26"/>
  <c r="R694" i="26"/>
  <c r="N694" i="26"/>
  <c r="S694" i="26" s="1"/>
  <c r="R693" i="26"/>
  <c r="N693" i="26"/>
  <c r="S693" i="26"/>
  <c r="R692" i="26"/>
  <c r="N692" i="26"/>
  <c r="S692" i="26"/>
  <c r="R691" i="26"/>
  <c r="N691" i="26"/>
  <c r="S691" i="26" s="1"/>
  <c r="R690" i="26"/>
  <c r="N690" i="26"/>
  <c r="S690" i="26" s="1"/>
  <c r="R689" i="26"/>
  <c r="N689" i="26"/>
  <c r="S689" i="26"/>
  <c r="R688" i="26"/>
  <c r="N688" i="26"/>
  <c r="S688" i="26"/>
  <c r="R687" i="26"/>
  <c r="N687" i="26"/>
  <c r="R686" i="26"/>
  <c r="N686" i="26"/>
  <c r="S686" i="26" s="1"/>
  <c r="R685" i="26"/>
  <c r="N685" i="26"/>
  <c r="S685" i="26"/>
  <c r="R684" i="26"/>
  <c r="N684" i="26"/>
  <c r="S684" i="26"/>
  <c r="R683" i="26"/>
  <c r="S683" i="26" s="1"/>
  <c r="N683" i="26"/>
  <c r="R682" i="26"/>
  <c r="N682" i="26"/>
  <c r="Q674" i="26"/>
  <c r="P674" i="26"/>
  <c r="O674" i="26"/>
  <c r="M674" i="26"/>
  <c r="M676" i="26" s="1"/>
  <c r="L674" i="26"/>
  <c r="L676" i="26" s="1"/>
  <c r="K674" i="26"/>
  <c r="R673" i="26"/>
  <c r="N673" i="26"/>
  <c r="S673" i="26"/>
  <c r="R672" i="26"/>
  <c r="N672" i="26"/>
  <c r="S672" i="26"/>
  <c r="R671" i="26"/>
  <c r="S671" i="26" s="1"/>
  <c r="N671" i="26"/>
  <c r="R670" i="26"/>
  <c r="N670" i="26"/>
  <c r="S670" i="26" s="1"/>
  <c r="R669" i="26"/>
  <c r="N669" i="26"/>
  <c r="S669" i="26"/>
  <c r="R668" i="26"/>
  <c r="N668" i="26"/>
  <c r="S668" i="26"/>
  <c r="R667" i="26"/>
  <c r="S667" i="26" s="1"/>
  <c r="N667" i="26"/>
  <c r="R666" i="26"/>
  <c r="N666" i="26"/>
  <c r="S666" i="26" s="1"/>
  <c r="R665" i="26"/>
  <c r="N665" i="26"/>
  <c r="S665" i="26"/>
  <c r="R664" i="26"/>
  <c r="N664" i="26"/>
  <c r="S664" i="26"/>
  <c r="R663" i="26"/>
  <c r="S663" i="26" s="1"/>
  <c r="N663" i="26"/>
  <c r="R662" i="26"/>
  <c r="N662" i="26"/>
  <c r="Q659" i="26"/>
  <c r="P659" i="26"/>
  <c r="P676" i="26" s="1"/>
  <c r="O659" i="26"/>
  <c r="M659" i="26"/>
  <c r="L659" i="26"/>
  <c r="K659" i="26"/>
  <c r="K676" i="26" s="1"/>
  <c r="R658" i="26"/>
  <c r="S658" i="26" s="1"/>
  <c r="N658" i="26"/>
  <c r="R657" i="26"/>
  <c r="N657" i="26"/>
  <c r="S657" i="26" s="1"/>
  <c r="R656" i="26"/>
  <c r="N656" i="26"/>
  <c r="S656" i="26"/>
  <c r="R655" i="26"/>
  <c r="N655" i="26"/>
  <c r="S655" i="26"/>
  <c r="R654" i="26"/>
  <c r="R659" i="26" s="1"/>
  <c r="N654" i="26"/>
  <c r="Q651" i="26"/>
  <c r="Q676" i="26"/>
  <c r="P651" i="26"/>
  <c r="O651" i="26"/>
  <c r="O676" i="26"/>
  <c r="M651" i="26"/>
  <c r="L651" i="26"/>
  <c r="K651" i="26"/>
  <c r="R650" i="26"/>
  <c r="N650" i="26"/>
  <c r="S650" i="26" s="1"/>
  <c r="R649" i="26"/>
  <c r="N649" i="26"/>
  <c r="S649" i="26"/>
  <c r="R648" i="26"/>
  <c r="N648" i="26"/>
  <c r="S648" i="26"/>
  <c r="R647" i="26"/>
  <c r="S647" i="26" s="1"/>
  <c r="N647" i="26"/>
  <c r="R646" i="26"/>
  <c r="N646" i="26"/>
  <c r="S646" i="26" s="1"/>
  <c r="R645" i="26"/>
  <c r="N645" i="26"/>
  <c r="S645" i="26"/>
  <c r="R644" i="26"/>
  <c r="N644" i="26"/>
  <c r="S644" i="26"/>
  <c r="R643" i="26"/>
  <c r="S643" i="26" s="1"/>
  <c r="N643" i="26"/>
  <c r="R642" i="26"/>
  <c r="N642" i="26"/>
  <c r="S642" i="26" s="1"/>
  <c r="R641" i="26"/>
  <c r="N641" i="26"/>
  <c r="S641" i="26"/>
  <c r="R640" i="26"/>
  <c r="N640" i="26"/>
  <c r="S640" i="26"/>
  <c r="R639" i="26"/>
  <c r="S639" i="26" s="1"/>
  <c r="N639" i="26"/>
  <c r="R638" i="26"/>
  <c r="N638" i="26"/>
  <c r="S638" i="26" s="1"/>
  <c r="R637" i="26"/>
  <c r="N637" i="26"/>
  <c r="S637" i="26"/>
  <c r="R636" i="26"/>
  <c r="N636" i="26"/>
  <c r="S636" i="26"/>
  <c r="R635" i="26"/>
  <c r="S635" i="26" s="1"/>
  <c r="N635" i="26"/>
  <c r="R634" i="26"/>
  <c r="N634" i="26"/>
  <c r="S634" i="26" s="1"/>
  <c r="R633" i="26"/>
  <c r="N633" i="26"/>
  <c r="S633" i="26"/>
  <c r="R632" i="26"/>
  <c r="N632" i="26"/>
  <c r="S632" i="26"/>
  <c r="R631" i="26"/>
  <c r="S631" i="26" s="1"/>
  <c r="N631" i="26"/>
  <c r="R630" i="26"/>
  <c r="N630" i="26"/>
  <c r="S630" i="26" s="1"/>
  <c r="R629" i="26"/>
  <c r="N629" i="26"/>
  <c r="S629" i="26"/>
  <c r="R628" i="26"/>
  <c r="N628" i="26"/>
  <c r="S628" i="26"/>
  <c r="R627" i="26"/>
  <c r="S627" i="26" s="1"/>
  <c r="N627" i="26"/>
  <c r="R626" i="26"/>
  <c r="N626" i="26"/>
  <c r="S626" i="26" s="1"/>
  <c r="R625" i="26"/>
  <c r="N625" i="26"/>
  <c r="S625" i="26"/>
  <c r="R624" i="26"/>
  <c r="N624" i="26"/>
  <c r="S624" i="26"/>
  <c r="R623" i="26"/>
  <c r="S623" i="26" s="1"/>
  <c r="N623" i="26"/>
  <c r="R622" i="26"/>
  <c r="N622" i="26"/>
  <c r="S622" i="26" s="1"/>
  <c r="R621" i="26"/>
  <c r="N621" i="26"/>
  <c r="S621" i="26"/>
  <c r="R620" i="26"/>
  <c r="N620" i="26"/>
  <c r="S620" i="26"/>
  <c r="R619" i="26"/>
  <c r="N619" i="26"/>
  <c r="Q612" i="26"/>
  <c r="Q614" i="26" s="1"/>
  <c r="P612" i="26"/>
  <c r="O612" i="26"/>
  <c r="M612" i="26"/>
  <c r="L612" i="26"/>
  <c r="K612" i="26"/>
  <c r="R611" i="26"/>
  <c r="N611" i="26"/>
  <c r="S611" i="26"/>
  <c r="R610" i="26"/>
  <c r="N610" i="26"/>
  <c r="S610" i="26"/>
  <c r="R609" i="26"/>
  <c r="S609" i="26" s="1"/>
  <c r="N609" i="26"/>
  <c r="R608" i="26"/>
  <c r="N608" i="26"/>
  <c r="S608" i="26" s="1"/>
  <c r="R607" i="26"/>
  <c r="N607" i="26"/>
  <c r="S607" i="26"/>
  <c r="R606" i="26"/>
  <c r="N606" i="26"/>
  <c r="S606" i="26"/>
  <c r="R605" i="26"/>
  <c r="S605" i="26" s="1"/>
  <c r="N605" i="26"/>
  <c r="R604" i="26"/>
  <c r="N604" i="26"/>
  <c r="S604" i="26" s="1"/>
  <c r="R603" i="26"/>
  <c r="N603" i="26"/>
  <c r="S603" i="26"/>
  <c r="R602" i="26"/>
  <c r="N602" i="26"/>
  <c r="S602" i="26"/>
  <c r="R601" i="26"/>
  <c r="S601" i="26" s="1"/>
  <c r="N601" i="26"/>
  <c r="R600" i="26"/>
  <c r="N600" i="26"/>
  <c r="S600" i="26" s="1"/>
  <c r="R599" i="26"/>
  <c r="N599" i="26"/>
  <c r="S599" i="26"/>
  <c r="R598" i="26"/>
  <c r="N598" i="26"/>
  <c r="S598" i="26"/>
  <c r="R597" i="26"/>
  <c r="S597" i="26" s="1"/>
  <c r="N597" i="26"/>
  <c r="R596" i="26"/>
  <c r="N596" i="26"/>
  <c r="S596" i="26" s="1"/>
  <c r="R595" i="26"/>
  <c r="N595" i="26"/>
  <c r="S595" i="26"/>
  <c r="R594" i="26"/>
  <c r="N594" i="26"/>
  <c r="S594" i="26"/>
  <c r="R593" i="26"/>
  <c r="S593" i="26" s="1"/>
  <c r="N593" i="26"/>
  <c r="R592" i="26"/>
  <c r="N592" i="26"/>
  <c r="S592" i="26" s="1"/>
  <c r="R591" i="26"/>
  <c r="N591" i="26"/>
  <c r="S591" i="26"/>
  <c r="R590" i="26"/>
  <c r="N590" i="26"/>
  <c r="S590" i="26"/>
  <c r="R589" i="26"/>
  <c r="S589" i="26" s="1"/>
  <c r="N589" i="26"/>
  <c r="R588" i="26"/>
  <c r="N588" i="26"/>
  <c r="R587" i="26"/>
  <c r="N587" i="26"/>
  <c r="S587" i="26"/>
  <c r="R586" i="26"/>
  <c r="N586" i="26"/>
  <c r="S586" i="26"/>
  <c r="R585" i="26"/>
  <c r="S585" i="26" s="1"/>
  <c r="N585" i="26"/>
  <c r="R584" i="26"/>
  <c r="N584" i="26"/>
  <c r="Q580" i="26"/>
  <c r="Q581" i="26"/>
  <c r="P580" i="26"/>
  <c r="P581" i="26"/>
  <c r="P614" i="26"/>
  <c r="O580" i="26"/>
  <c r="O581" i="26" s="1"/>
  <c r="O614" i="26" s="1"/>
  <c r="M580" i="26"/>
  <c r="M581" i="26"/>
  <c r="M614" i="26" s="1"/>
  <c r="L580" i="26"/>
  <c r="L581" i="26"/>
  <c r="L614" i="26"/>
  <c r="K580" i="26"/>
  <c r="K581" i="26"/>
  <c r="K614" i="26"/>
  <c r="R579" i="26"/>
  <c r="N579" i="26"/>
  <c r="S579" i="26" s="1"/>
  <c r="R578" i="26"/>
  <c r="N578" i="26"/>
  <c r="S578" i="26" s="1"/>
  <c r="R577" i="26"/>
  <c r="N577" i="26"/>
  <c r="S577" i="26"/>
  <c r="R576" i="26"/>
  <c r="N576" i="26"/>
  <c r="S576" i="26"/>
  <c r="R575" i="26"/>
  <c r="N575" i="26"/>
  <c r="R574" i="26"/>
  <c r="N574" i="26"/>
  <c r="S574" i="26" s="1"/>
  <c r="R573" i="26"/>
  <c r="N573" i="26"/>
  <c r="Q566" i="26"/>
  <c r="P566" i="26"/>
  <c r="O566" i="26"/>
  <c r="M566" i="26"/>
  <c r="L566" i="26"/>
  <c r="K566" i="26"/>
  <c r="R565" i="26"/>
  <c r="N565" i="26"/>
  <c r="S565" i="26"/>
  <c r="R564" i="26"/>
  <c r="R566" i="26" s="1"/>
  <c r="N564" i="26"/>
  <c r="Q561" i="26"/>
  <c r="P561" i="26"/>
  <c r="O561" i="26"/>
  <c r="M561" i="26"/>
  <c r="L561" i="26"/>
  <c r="K561" i="26"/>
  <c r="R560" i="26"/>
  <c r="N560" i="26"/>
  <c r="S560" i="26"/>
  <c r="R559" i="26"/>
  <c r="N559" i="26"/>
  <c r="R558" i="26"/>
  <c r="N558" i="26"/>
  <c r="S558" i="26" s="1"/>
  <c r="R557" i="26"/>
  <c r="N557" i="26"/>
  <c r="S557" i="26"/>
  <c r="R556" i="26"/>
  <c r="N556" i="26"/>
  <c r="S556" i="26"/>
  <c r="R555" i="26"/>
  <c r="N555" i="26"/>
  <c r="S555" i="26" s="1"/>
  <c r="R554" i="26"/>
  <c r="N554" i="26"/>
  <c r="S554" i="26" s="1"/>
  <c r="R553" i="26"/>
  <c r="N553" i="26"/>
  <c r="S553" i="26"/>
  <c r="R552" i="26"/>
  <c r="N552" i="26"/>
  <c r="S552" i="26"/>
  <c r="R551" i="26"/>
  <c r="N551" i="26"/>
  <c r="R550" i="26"/>
  <c r="N550" i="26"/>
  <c r="S550" i="26" s="1"/>
  <c r="R549" i="26"/>
  <c r="N549" i="26"/>
  <c r="S549" i="26"/>
  <c r="R548" i="26"/>
  <c r="N548" i="26"/>
  <c r="S548" i="26"/>
  <c r="R547" i="26"/>
  <c r="N547" i="26"/>
  <c r="S547" i="26" s="1"/>
  <c r="R546" i="26"/>
  <c r="N546" i="26"/>
  <c r="S546" i="26" s="1"/>
  <c r="R545" i="26"/>
  <c r="N545" i="26"/>
  <c r="S545" i="26"/>
  <c r="R544" i="26"/>
  <c r="N544" i="26"/>
  <c r="S544" i="26"/>
  <c r="R543" i="26"/>
  <c r="N543" i="26"/>
  <c r="R542" i="26"/>
  <c r="N542" i="26"/>
  <c r="S542" i="26" s="1"/>
  <c r="R541" i="26"/>
  <c r="N541" i="26"/>
  <c r="S541" i="26"/>
  <c r="R540" i="26"/>
  <c r="N540" i="26"/>
  <c r="S540" i="26"/>
  <c r="R539" i="26"/>
  <c r="N539" i="26"/>
  <c r="S539" i="26" s="1"/>
  <c r="R538" i="26"/>
  <c r="N538" i="26"/>
  <c r="S538" i="26" s="1"/>
  <c r="R537" i="26"/>
  <c r="N537" i="26"/>
  <c r="S537" i="26"/>
  <c r="R536" i="26"/>
  <c r="N536" i="26"/>
  <c r="S536" i="26"/>
  <c r="R535" i="26"/>
  <c r="N535" i="26"/>
  <c r="R534" i="26"/>
  <c r="N534" i="26"/>
  <c r="S534" i="26" s="1"/>
  <c r="R533" i="26"/>
  <c r="N533" i="26"/>
  <c r="S533" i="26"/>
  <c r="R532" i="26"/>
  <c r="N532" i="26"/>
  <c r="S532" i="26"/>
  <c r="R531" i="26"/>
  <c r="N531" i="26"/>
  <c r="S531" i="26" s="1"/>
  <c r="R530" i="26"/>
  <c r="N530" i="26"/>
  <c r="S530" i="26" s="1"/>
  <c r="R529" i="26"/>
  <c r="N529" i="26"/>
  <c r="S529" i="26"/>
  <c r="R528" i="26"/>
  <c r="N528" i="26"/>
  <c r="S528" i="26"/>
  <c r="R527" i="26"/>
  <c r="N527" i="26"/>
  <c r="R526" i="26"/>
  <c r="N526" i="26"/>
  <c r="S526" i="26" s="1"/>
  <c r="R525" i="26"/>
  <c r="N525" i="26"/>
  <c r="S525" i="26"/>
  <c r="R524" i="26"/>
  <c r="N524" i="26"/>
  <c r="S524" i="26"/>
  <c r="R523" i="26"/>
  <c r="N523" i="26"/>
  <c r="S523" i="26" s="1"/>
  <c r="R522" i="26"/>
  <c r="N522" i="26"/>
  <c r="S522" i="26" s="1"/>
  <c r="R521" i="26"/>
  <c r="N521" i="26"/>
  <c r="S521" i="26"/>
  <c r="R520" i="26"/>
  <c r="N520" i="26"/>
  <c r="S520" i="26"/>
  <c r="R519" i="26"/>
  <c r="N519" i="26"/>
  <c r="R518" i="26"/>
  <c r="N518" i="26"/>
  <c r="S518" i="26" s="1"/>
  <c r="R517" i="26"/>
  <c r="N517" i="26"/>
  <c r="S517" i="26"/>
  <c r="R516" i="26"/>
  <c r="N516" i="26"/>
  <c r="S516" i="26"/>
  <c r="R515" i="26"/>
  <c r="N515" i="26"/>
  <c r="S515" i="26" s="1"/>
  <c r="R514" i="26"/>
  <c r="N514" i="26"/>
  <c r="S514" i="26" s="1"/>
  <c r="R513" i="26"/>
  <c r="N513" i="26"/>
  <c r="S513" i="26"/>
  <c r="R512" i="26"/>
  <c r="N512" i="26"/>
  <c r="S512" i="26"/>
  <c r="R511" i="26"/>
  <c r="N511" i="26"/>
  <c r="R510" i="26"/>
  <c r="N510" i="26"/>
  <c r="S510" i="26" s="1"/>
  <c r="R509" i="26"/>
  <c r="N509" i="26"/>
  <c r="S509" i="26"/>
  <c r="R508" i="26"/>
  <c r="N508" i="26"/>
  <c r="S508" i="26"/>
  <c r="R507" i="26"/>
  <c r="N507" i="26"/>
  <c r="S507" i="26" s="1"/>
  <c r="R506" i="26"/>
  <c r="N506" i="26"/>
  <c r="S506" i="26" s="1"/>
  <c r="R505" i="26"/>
  <c r="N505" i="26"/>
  <c r="S505" i="26"/>
  <c r="R504" i="26"/>
  <c r="N504" i="26"/>
  <c r="S504" i="26"/>
  <c r="R503" i="26"/>
  <c r="N503" i="26"/>
  <c r="R502" i="26"/>
  <c r="N502" i="26"/>
  <c r="S502" i="26" s="1"/>
  <c r="R501" i="26"/>
  <c r="N501" i="26"/>
  <c r="S501" i="26"/>
  <c r="R500" i="26"/>
  <c r="N500" i="26"/>
  <c r="S500" i="26"/>
  <c r="R499" i="26"/>
  <c r="N499" i="26"/>
  <c r="S499" i="26" s="1"/>
  <c r="R498" i="26"/>
  <c r="N498" i="26"/>
  <c r="S498" i="26" s="1"/>
  <c r="R497" i="26"/>
  <c r="N497" i="26"/>
  <c r="S497" i="26"/>
  <c r="R496" i="26"/>
  <c r="N496" i="26"/>
  <c r="S496" i="26"/>
  <c r="R495" i="26"/>
  <c r="N495" i="26"/>
  <c r="R494" i="26"/>
  <c r="N494" i="26"/>
  <c r="S494" i="26" s="1"/>
  <c r="R493" i="26"/>
  <c r="N493" i="26"/>
  <c r="S493" i="26"/>
  <c r="R492" i="26"/>
  <c r="N492" i="26"/>
  <c r="Q489" i="26"/>
  <c r="P489" i="26"/>
  <c r="O489" i="26"/>
  <c r="M489" i="26"/>
  <c r="L489" i="26"/>
  <c r="K489" i="26"/>
  <c r="N488" i="26"/>
  <c r="S488" i="26"/>
  <c r="R487" i="26"/>
  <c r="N487" i="26"/>
  <c r="S487" i="26" s="1"/>
  <c r="R486" i="26"/>
  <c r="N486" i="26"/>
  <c r="S486" i="26" s="1"/>
  <c r="R485" i="26"/>
  <c r="N485" i="26"/>
  <c r="S485" i="26"/>
  <c r="R484" i="26"/>
  <c r="N484" i="26"/>
  <c r="S484" i="26"/>
  <c r="R483" i="26"/>
  <c r="N483" i="26"/>
  <c r="S483" i="26" s="1"/>
  <c r="R482" i="26"/>
  <c r="N482" i="26"/>
  <c r="S482" i="26" s="1"/>
  <c r="R481" i="26"/>
  <c r="N481" i="26"/>
  <c r="S481" i="26"/>
  <c r="R480" i="26"/>
  <c r="N480" i="26"/>
  <c r="S480" i="26"/>
  <c r="R479" i="26"/>
  <c r="N479" i="26"/>
  <c r="S479" i="26" s="1"/>
  <c r="R478" i="26"/>
  <c r="N478" i="26"/>
  <c r="S478" i="26" s="1"/>
  <c r="R477" i="26"/>
  <c r="N477" i="26"/>
  <c r="S477" i="26"/>
  <c r="R476" i="26"/>
  <c r="N476" i="26"/>
  <c r="S476" i="26"/>
  <c r="R475" i="26"/>
  <c r="N475" i="26"/>
  <c r="S475" i="26" s="1"/>
  <c r="R474" i="26"/>
  <c r="N474" i="26"/>
  <c r="S474" i="26" s="1"/>
  <c r="R473" i="26"/>
  <c r="N473" i="26"/>
  <c r="S473" i="26"/>
  <c r="R472" i="26"/>
  <c r="N472" i="26"/>
  <c r="S472" i="26"/>
  <c r="R471" i="26"/>
  <c r="N471" i="26"/>
  <c r="S471" i="26" s="1"/>
  <c r="R470" i="26"/>
  <c r="N470" i="26"/>
  <c r="S470" i="26" s="1"/>
  <c r="R469" i="26"/>
  <c r="N469" i="26"/>
  <c r="S469" i="26"/>
  <c r="R468" i="26"/>
  <c r="N468" i="26"/>
  <c r="S468" i="26"/>
  <c r="R467" i="26"/>
  <c r="N467" i="26"/>
  <c r="S467" i="26" s="1"/>
  <c r="R466" i="26"/>
  <c r="N466" i="26"/>
  <c r="S466" i="26" s="1"/>
  <c r="R465" i="26"/>
  <c r="N465" i="26"/>
  <c r="S465" i="26"/>
  <c r="R464" i="26"/>
  <c r="N464" i="26"/>
  <c r="S464" i="26"/>
  <c r="R463" i="26"/>
  <c r="N463" i="26"/>
  <c r="S463" i="26" s="1"/>
  <c r="R462" i="26"/>
  <c r="N462" i="26"/>
  <c r="S462" i="26" s="1"/>
  <c r="R461" i="26"/>
  <c r="N461" i="26"/>
  <c r="S461" i="26"/>
  <c r="R460" i="26"/>
  <c r="N460" i="26"/>
  <c r="S460" i="26"/>
  <c r="R459" i="26"/>
  <c r="N459" i="26"/>
  <c r="S459" i="26" s="1"/>
  <c r="R458" i="26"/>
  <c r="N458" i="26"/>
  <c r="S458" i="26" s="1"/>
  <c r="R457" i="26"/>
  <c r="N457" i="26"/>
  <c r="S457" i="26"/>
  <c r="R456" i="26"/>
  <c r="N456" i="26"/>
  <c r="S456" i="26"/>
  <c r="R455" i="26"/>
  <c r="N455" i="26"/>
  <c r="S455" i="26" s="1"/>
  <c r="R454" i="26"/>
  <c r="N454" i="26"/>
  <c r="S454" i="26" s="1"/>
  <c r="R453" i="26"/>
  <c r="N453" i="26"/>
  <c r="S453" i="26"/>
  <c r="R452" i="26"/>
  <c r="N452" i="26"/>
  <c r="S452" i="26"/>
  <c r="R451" i="26"/>
  <c r="N451" i="26"/>
  <c r="S451" i="26" s="1"/>
  <c r="R450" i="26"/>
  <c r="N450" i="26"/>
  <c r="S450" i="26" s="1"/>
  <c r="R449" i="26"/>
  <c r="N449" i="26"/>
  <c r="S449" i="26"/>
  <c r="R448" i="26"/>
  <c r="N448" i="26"/>
  <c r="S448" i="26"/>
  <c r="R447" i="26"/>
  <c r="N447" i="26"/>
  <c r="S447" i="26" s="1"/>
  <c r="R446" i="26"/>
  <c r="N446" i="26"/>
  <c r="S446" i="26" s="1"/>
  <c r="R445" i="26"/>
  <c r="N445" i="26"/>
  <c r="S445" i="26"/>
  <c r="R444" i="26"/>
  <c r="N444" i="26"/>
  <c r="S444" i="26"/>
  <c r="R443" i="26"/>
  <c r="N443" i="26"/>
  <c r="S443" i="26" s="1"/>
  <c r="R442" i="26"/>
  <c r="N442" i="26"/>
  <c r="S442" i="26" s="1"/>
  <c r="R441" i="26"/>
  <c r="N441" i="26"/>
  <c r="S441" i="26"/>
  <c r="R440" i="26"/>
  <c r="N440" i="26"/>
  <c r="S440" i="26"/>
  <c r="R439" i="26"/>
  <c r="N439" i="26"/>
  <c r="S439" i="26" s="1"/>
  <c r="R438" i="26"/>
  <c r="N438" i="26"/>
  <c r="S438" i="26" s="1"/>
  <c r="R437" i="26"/>
  <c r="N437" i="26"/>
  <c r="S437" i="26"/>
  <c r="R436" i="26"/>
  <c r="N436" i="26"/>
  <c r="S436" i="26"/>
  <c r="R435" i="26"/>
  <c r="N435" i="26"/>
  <c r="S435" i="26" s="1"/>
  <c r="R434" i="26"/>
  <c r="N434" i="26"/>
  <c r="S434" i="26" s="1"/>
  <c r="R433" i="26"/>
  <c r="N433" i="26"/>
  <c r="S433" i="26"/>
  <c r="R432" i="26"/>
  <c r="N432" i="26"/>
  <c r="S432" i="26"/>
  <c r="R431" i="26"/>
  <c r="N431" i="26"/>
  <c r="S431" i="26" s="1"/>
  <c r="R430" i="26"/>
  <c r="N430" i="26"/>
  <c r="S430" i="26" s="1"/>
  <c r="R429" i="26"/>
  <c r="N429" i="26"/>
  <c r="S429" i="26"/>
  <c r="R428" i="26"/>
  <c r="N428" i="26"/>
  <c r="S428" i="26"/>
  <c r="R427" i="26"/>
  <c r="N427" i="26"/>
  <c r="S427" i="26" s="1"/>
  <c r="R426" i="26"/>
  <c r="N426" i="26"/>
  <c r="S426" i="26" s="1"/>
  <c r="R425" i="26"/>
  <c r="N425" i="26"/>
  <c r="S425" i="26"/>
  <c r="R424" i="26"/>
  <c r="N424" i="26"/>
  <c r="S424" i="26"/>
  <c r="R423" i="26"/>
  <c r="N423" i="26"/>
  <c r="S423" i="26" s="1"/>
  <c r="R422" i="26"/>
  <c r="N422" i="26"/>
  <c r="S422" i="26" s="1"/>
  <c r="R421" i="26"/>
  <c r="N421" i="26"/>
  <c r="S421" i="26"/>
  <c r="R420" i="26"/>
  <c r="N420" i="26"/>
  <c r="S420" i="26"/>
  <c r="R419" i="26"/>
  <c r="S419" i="26" s="1"/>
  <c r="N419" i="26"/>
  <c r="R418" i="26"/>
  <c r="N418" i="26"/>
  <c r="S418" i="26" s="1"/>
  <c r="R417" i="26"/>
  <c r="N417" i="26"/>
  <c r="S417" i="26"/>
  <c r="R416" i="26"/>
  <c r="N416" i="26"/>
  <c r="S416" i="26"/>
  <c r="R415" i="26"/>
  <c r="S415" i="26" s="1"/>
  <c r="N415" i="26"/>
  <c r="R414" i="26"/>
  <c r="N414" i="26"/>
  <c r="S414" i="26" s="1"/>
  <c r="R413" i="26"/>
  <c r="N413" i="26"/>
  <c r="S413" i="26"/>
  <c r="R412" i="26"/>
  <c r="N412" i="26"/>
  <c r="S412" i="26"/>
  <c r="R411" i="26"/>
  <c r="S411" i="26" s="1"/>
  <c r="N411" i="26"/>
  <c r="R410" i="26"/>
  <c r="N410" i="26"/>
  <c r="S410" i="26" s="1"/>
  <c r="R409" i="26"/>
  <c r="N409" i="26"/>
  <c r="S409" i="26"/>
  <c r="R408" i="26"/>
  <c r="N408" i="26"/>
  <c r="S408" i="26"/>
  <c r="R407" i="26"/>
  <c r="N407" i="26"/>
  <c r="S407" i="26" s="1"/>
  <c r="R406" i="26"/>
  <c r="N406" i="26"/>
  <c r="S406" i="26" s="1"/>
  <c r="R405" i="26"/>
  <c r="N405" i="26"/>
  <c r="S405" i="26"/>
  <c r="R404" i="26"/>
  <c r="N404" i="26"/>
  <c r="S404" i="26"/>
  <c r="R403" i="26"/>
  <c r="S403" i="26" s="1"/>
  <c r="N403" i="26"/>
  <c r="R402" i="26"/>
  <c r="N402" i="26"/>
  <c r="S402" i="26" s="1"/>
  <c r="R401" i="26"/>
  <c r="N401" i="26"/>
  <c r="S401" i="26"/>
  <c r="R400" i="26"/>
  <c r="N400" i="26"/>
  <c r="S400" i="26"/>
  <c r="R399" i="26"/>
  <c r="S399" i="26" s="1"/>
  <c r="N399" i="26"/>
  <c r="R398" i="26"/>
  <c r="N398" i="26"/>
  <c r="S398" i="26" s="1"/>
  <c r="R397" i="26"/>
  <c r="N397" i="26"/>
  <c r="S397" i="26"/>
  <c r="R396" i="26"/>
  <c r="N396" i="26"/>
  <c r="S396" i="26"/>
  <c r="R395" i="26"/>
  <c r="S395" i="26" s="1"/>
  <c r="N395" i="26"/>
  <c r="R394" i="26"/>
  <c r="N394" i="26"/>
  <c r="S394" i="26" s="1"/>
  <c r="R393" i="26"/>
  <c r="N393" i="26"/>
  <c r="S393" i="26"/>
  <c r="R392" i="26"/>
  <c r="N392" i="26"/>
  <c r="S392" i="26"/>
  <c r="R391" i="26"/>
  <c r="S391" i="26" s="1"/>
  <c r="N391" i="26"/>
  <c r="R390" i="26"/>
  <c r="N390" i="26"/>
  <c r="S390" i="26" s="1"/>
  <c r="R389" i="26"/>
  <c r="N389" i="26"/>
  <c r="S389" i="26"/>
  <c r="R388" i="26"/>
  <c r="N388" i="26"/>
  <c r="S388" i="26"/>
  <c r="R387" i="26"/>
  <c r="N387" i="26"/>
  <c r="S387" i="26" s="1"/>
  <c r="R386" i="26"/>
  <c r="N386" i="26"/>
  <c r="S386" i="26" s="1"/>
  <c r="R385" i="26"/>
  <c r="N385" i="26"/>
  <c r="S385" i="26"/>
  <c r="R384" i="26"/>
  <c r="N384" i="26"/>
  <c r="S384" i="26"/>
  <c r="R383" i="26"/>
  <c r="N383" i="26"/>
  <c r="S383" i="26" s="1"/>
  <c r="R382" i="26"/>
  <c r="N382" i="26"/>
  <c r="S382" i="26" s="1"/>
  <c r="R381" i="26"/>
  <c r="N381" i="26"/>
  <c r="S381" i="26"/>
  <c r="R380" i="26"/>
  <c r="N380" i="26"/>
  <c r="S380" i="26"/>
  <c r="R379" i="26"/>
  <c r="N379" i="26"/>
  <c r="S379" i="26" s="1"/>
  <c r="R378" i="26"/>
  <c r="N378" i="26"/>
  <c r="S378" i="26" s="1"/>
  <c r="R377" i="26"/>
  <c r="N377" i="26"/>
  <c r="S377" i="26"/>
  <c r="R376" i="26"/>
  <c r="N376" i="26"/>
  <c r="S376" i="26"/>
  <c r="R375" i="26"/>
  <c r="N375" i="26"/>
  <c r="S375" i="26" s="1"/>
  <c r="R374" i="26"/>
  <c r="N374" i="26"/>
  <c r="S374" i="26" s="1"/>
  <c r="R373" i="26"/>
  <c r="N373" i="26"/>
  <c r="S373" i="26"/>
  <c r="R372" i="26"/>
  <c r="N372" i="26"/>
  <c r="S372" i="26"/>
  <c r="R371" i="26"/>
  <c r="N371" i="26"/>
  <c r="S371" i="26" s="1"/>
  <c r="R370" i="26"/>
  <c r="N370" i="26"/>
  <c r="S370" i="26" s="1"/>
  <c r="R369" i="26"/>
  <c r="N369" i="26"/>
  <c r="S369" i="26"/>
  <c r="R368" i="26"/>
  <c r="N368" i="26"/>
  <c r="S368" i="26"/>
  <c r="R367" i="26"/>
  <c r="N367" i="26"/>
  <c r="S367" i="26" s="1"/>
  <c r="R366" i="26"/>
  <c r="N366" i="26"/>
  <c r="S366" i="26" s="1"/>
  <c r="R365" i="26"/>
  <c r="N365" i="26"/>
  <c r="S365" i="26"/>
  <c r="R364" i="26"/>
  <c r="N364" i="26"/>
  <c r="S364" i="26"/>
  <c r="R363" i="26"/>
  <c r="N363" i="26"/>
  <c r="S363" i="26" s="1"/>
  <c r="R362" i="26"/>
  <c r="N362" i="26"/>
  <c r="S362" i="26" s="1"/>
  <c r="R361" i="26"/>
  <c r="N361" i="26"/>
  <c r="S361" i="26"/>
  <c r="R360" i="26"/>
  <c r="N360" i="26"/>
  <c r="S360" i="26"/>
  <c r="R359" i="26"/>
  <c r="N359" i="26"/>
  <c r="S359" i="26" s="1"/>
  <c r="R358" i="26"/>
  <c r="N358" i="26"/>
  <c r="S358" i="26" s="1"/>
  <c r="R357" i="26"/>
  <c r="N357" i="26"/>
  <c r="S357" i="26"/>
  <c r="R356" i="26"/>
  <c r="N356" i="26"/>
  <c r="S356" i="26"/>
  <c r="R355" i="26"/>
  <c r="N355" i="26"/>
  <c r="S355" i="26" s="1"/>
  <c r="R354" i="26"/>
  <c r="N354" i="26"/>
  <c r="S354" i="26" s="1"/>
  <c r="R353" i="26"/>
  <c r="N353" i="26"/>
  <c r="S353" i="26"/>
  <c r="R352" i="26"/>
  <c r="N352" i="26"/>
  <c r="S352" i="26"/>
  <c r="R351" i="26"/>
  <c r="N351" i="26"/>
  <c r="S351" i="26" s="1"/>
  <c r="R350" i="26"/>
  <c r="N350" i="26"/>
  <c r="S350" i="26" s="1"/>
  <c r="R349" i="26"/>
  <c r="N349" i="26"/>
  <c r="S349" i="26"/>
  <c r="R348" i="26"/>
  <c r="N348" i="26"/>
  <c r="S348" i="26"/>
  <c r="R347" i="26"/>
  <c r="N347" i="26"/>
  <c r="S347" i="26" s="1"/>
  <c r="R346" i="26"/>
  <c r="N346" i="26"/>
  <c r="S346" i="26" s="1"/>
  <c r="R345" i="26"/>
  <c r="N345" i="26"/>
  <c r="S345" i="26"/>
  <c r="R344" i="26"/>
  <c r="N344" i="26"/>
  <c r="S344" i="26"/>
  <c r="R343" i="26"/>
  <c r="N343" i="26"/>
  <c r="S343" i="26" s="1"/>
  <c r="R342" i="26"/>
  <c r="N342" i="26"/>
  <c r="R341" i="26"/>
  <c r="N341" i="26"/>
  <c r="Q337" i="26"/>
  <c r="O337" i="26"/>
  <c r="M337" i="26"/>
  <c r="L337" i="26"/>
  <c r="K337" i="26"/>
  <c r="P336" i="26"/>
  <c r="R336" i="26"/>
  <c r="N336" i="26"/>
  <c r="S336" i="26" s="1"/>
  <c r="P335" i="26"/>
  <c r="R335" i="26"/>
  <c r="N335" i="26"/>
  <c r="S335" i="26" s="1"/>
  <c r="P334" i="26"/>
  <c r="R334" i="26"/>
  <c r="N334" i="26"/>
  <c r="S334" i="26" s="1"/>
  <c r="P333" i="26"/>
  <c r="R333" i="26"/>
  <c r="N333" i="26"/>
  <c r="S333" i="26" s="1"/>
  <c r="P332" i="26"/>
  <c r="R332" i="26"/>
  <c r="N332" i="26"/>
  <c r="S332" i="26" s="1"/>
  <c r="P331" i="26"/>
  <c r="R331" i="26"/>
  <c r="N331" i="26"/>
  <c r="S331" i="26" s="1"/>
  <c r="P330" i="26"/>
  <c r="R330" i="26"/>
  <c r="N330" i="26"/>
  <c r="S330" i="26" s="1"/>
  <c r="P329" i="26"/>
  <c r="R329" i="26"/>
  <c r="N329" i="26"/>
  <c r="S329" i="26" s="1"/>
  <c r="P328" i="26"/>
  <c r="R328" i="26"/>
  <c r="N328" i="26"/>
  <c r="S328" i="26" s="1"/>
  <c r="P327" i="26"/>
  <c r="R327" i="26"/>
  <c r="N327" i="26"/>
  <c r="S327" i="26" s="1"/>
  <c r="P326" i="26"/>
  <c r="R326" i="26"/>
  <c r="N326" i="26"/>
  <c r="S326" i="26" s="1"/>
  <c r="P325" i="26"/>
  <c r="R325" i="26"/>
  <c r="N325" i="26"/>
  <c r="S325" i="26" s="1"/>
  <c r="P324" i="26"/>
  <c r="R324" i="26"/>
  <c r="N324" i="26"/>
  <c r="S324" i="26" s="1"/>
  <c r="P323" i="26"/>
  <c r="R323" i="26"/>
  <c r="N323" i="26"/>
  <c r="S323" i="26" s="1"/>
  <c r="P322" i="26"/>
  <c r="R322" i="26"/>
  <c r="N322" i="26"/>
  <c r="S322" i="26" s="1"/>
  <c r="P321" i="26"/>
  <c r="R321" i="26"/>
  <c r="N321" i="26"/>
  <c r="S321" i="26" s="1"/>
  <c r="P320" i="26"/>
  <c r="N320" i="26"/>
  <c r="Q317" i="26"/>
  <c r="O317" i="26"/>
  <c r="M317" i="26"/>
  <c r="L317" i="26"/>
  <c r="K317" i="26"/>
  <c r="P316" i="26"/>
  <c r="R316" i="26"/>
  <c r="N316" i="26"/>
  <c r="S316" i="26"/>
  <c r="P315" i="26"/>
  <c r="R315" i="26"/>
  <c r="N315" i="26"/>
  <c r="S315" i="26"/>
  <c r="P314" i="26"/>
  <c r="R314" i="26"/>
  <c r="N314" i="26"/>
  <c r="S314" i="26"/>
  <c r="P313" i="26"/>
  <c r="R313" i="26"/>
  <c r="N313" i="26"/>
  <c r="S313" i="26"/>
  <c r="P312" i="26"/>
  <c r="R312" i="26"/>
  <c r="N312" i="26"/>
  <c r="S312" i="26"/>
  <c r="P311" i="26"/>
  <c r="R311" i="26"/>
  <c r="N311" i="26"/>
  <c r="S311" i="26"/>
  <c r="P310" i="26"/>
  <c r="R310" i="26"/>
  <c r="N310" i="26"/>
  <c r="S310" i="26"/>
  <c r="P309" i="26"/>
  <c r="R309" i="26"/>
  <c r="N309" i="26"/>
  <c r="S309" i="26"/>
  <c r="P308" i="26"/>
  <c r="R308" i="26"/>
  <c r="N308" i="26"/>
  <c r="S308" i="26"/>
  <c r="P307" i="26"/>
  <c r="R307" i="26"/>
  <c r="N307" i="26"/>
  <c r="S307" i="26"/>
  <c r="P306" i="26"/>
  <c r="R306" i="26"/>
  <c r="N306" i="26"/>
  <c r="S306" i="26"/>
  <c r="P305" i="26"/>
  <c r="R305" i="26"/>
  <c r="N305" i="26"/>
  <c r="S305" i="26"/>
  <c r="P304" i="26"/>
  <c r="R304" i="26"/>
  <c r="N304" i="26"/>
  <c r="S304" i="26"/>
  <c r="P303" i="26"/>
  <c r="R303" i="26"/>
  <c r="N303" i="26"/>
  <c r="S303" i="26"/>
  <c r="P302" i="26"/>
  <c r="R302" i="26"/>
  <c r="N302" i="26"/>
  <c r="S302" i="26"/>
  <c r="P301" i="26"/>
  <c r="R301" i="26"/>
  <c r="N301" i="26"/>
  <c r="S301" i="26"/>
  <c r="P300" i="26"/>
  <c r="R300" i="26"/>
  <c r="N300" i="26"/>
  <c r="S300" i="26"/>
  <c r="P299" i="26"/>
  <c r="R299" i="26"/>
  <c r="N299" i="26"/>
  <c r="S299" i="26"/>
  <c r="P298" i="26"/>
  <c r="R298" i="26"/>
  <c r="N298" i="26"/>
  <c r="S298" i="26"/>
  <c r="P297" i="26"/>
  <c r="R297" i="26"/>
  <c r="N297" i="26"/>
  <c r="S297" i="26"/>
  <c r="P296" i="26"/>
  <c r="R296" i="26"/>
  <c r="N296" i="26"/>
  <c r="S296" i="26"/>
  <c r="P295" i="26"/>
  <c r="R295" i="26"/>
  <c r="N295" i="26"/>
  <c r="S295" i="26"/>
  <c r="P294" i="26"/>
  <c r="R294" i="26"/>
  <c r="N294" i="26"/>
  <c r="S294" i="26"/>
  <c r="P293" i="26"/>
  <c r="R293" i="26"/>
  <c r="N293" i="26"/>
  <c r="S293" i="26"/>
  <c r="P292" i="26"/>
  <c r="R292" i="26"/>
  <c r="N292" i="26"/>
  <c r="S292" i="26"/>
  <c r="P291" i="26"/>
  <c r="R291" i="26"/>
  <c r="N291" i="26"/>
  <c r="S291" i="26"/>
  <c r="P290" i="26"/>
  <c r="R290" i="26" s="1"/>
  <c r="S290" i="26" s="1"/>
  <c r="N290" i="26"/>
  <c r="P289" i="26"/>
  <c r="R289" i="26" s="1"/>
  <c r="N289" i="26"/>
  <c r="S289" i="26"/>
  <c r="P288" i="26"/>
  <c r="R288" i="26" s="1"/>
  <c r="N288" i="26"/>
  <c r="S288" i="26"/>
  <c r="P287" i="26"/>
  <c r="R287" i="26" s="1"/>
  <c r="S287" i="26" s="1"/>
  <c r="N287" i="26"/>
  <c r="P286" i="26"/>
  <c r="R286" i="26" s="1"/>
  <c r="S286" i="26" s="1"/>
  <c r="N286" i="26"/>
  <c r="P285" i="26"/>
  <c r="R285" i="26" s="1"/>
  <c r="N285" i="26"/>
  <c r="S285" i="26"/>
  <c r="P284" i="26"/>
  <c r="R284" i="26" s="1"/>
  <c r="N284" i="26"/>
  <c r="S284" i="26"/>
  <c r="P283" i="26"/>
  <c r="R283" i="26" s="1"/>
  <c r="N283" i="26"/>
  <c r="P282" i="26"/>
  <c r="R282" i="26" s="1"/>
  <c r="S282" i="26" s="1"/>
  <c r="N282" i="26"/>
  <c r="P281" i="26"/>
  <c r="R281" i="26" s="1"/>
  <c r="N281" i="26"/>
  <c r="S281" i="26"/>
  <c r="P280" i="26"/>
  <c r="N280" i="26"/>
  <c r="O278" i="26"/>
  <c r="M278" i="26"/>
  <c r="L278" i="26"/>
  <c r="K278" i="26"/>
  <c r="P277" i="26"/>
  <c r="R277" i="26"/>
  <c r="N277" i="26"/>
  <c r="P276" i="26"/>
  <c r="R276" i="26"/>
  <c r="N276" i="26"/>
  <c r="S276" i="26" s="1"/>
  <c r="P275" i="26"/>
  <c r="R275" i="26"/>
  <c r="N275" i="26"/>
  <c r="S275" i="26" s="1"/>
  <c r="P274" i="26"/>
  <c r="N274" i="26"/>
  <c r="P273" i="26"/>
  <c r="R273" i="26"/>
  <c r="N273" i="26"/>
  <c r="P272" i="26"/>
  <c r="N272" i="26"/>
  <c r="Q270" i="26"/>
  <c r="O270" i="26"/>
  <c r="M270" i="26"/>
  <c r="L270" i="26"/>
  <c r="K270" i="26"/>
  <c r="P269" i="26"/>
  <c r="N269" i="26"/>
  <c r="Q267" i="26"/>
  <c r="O267" i="26"/>
  <c r="M267" i="26"/>
  <c r="L267" i="26"/>
  <c r="K267" i="26"/>
  <c r="P266" i="26"/>
  <c r="R266" i="26" s="1"/>
  <c r="S266" i="26" s="1"/>
  <c r="S267" i="26" s="1"/>
  <c r="N266" i="26"/>
  <c r="P265" i="26"/>
  <c r="N265" i="26"/>
  <c r="Q263" i="26"/>
  <c r="O263" i="26"/>
  <c r="M263" i="26"/>
  <c r="L263" i="26"/>
  <c r="K263" i="26"/>
  <c r="P262" i="26"/>
  <c r="R262" i="26" s="1"/>
  <c r="N262" i="26"/>
  <c r="S262" i="26"/>
  <c r="P261" i="26"/>
  <c r="R261" i="26" s="1"/>
  <c r="N261" i="26"/>
  <c r="S261" i="26"/>
  <c r="P260" i="26"/>
  <c r="R260" i="26" s="1"/>
  <c r="N260" i="26"/>
  <c r="P259" i="26"/>
  <c r="N259" i="26"/>
  <c r="Q257" i="26"/>
  <c r="O257" i="26"/>
  <c r="M257" i="26"/>
  <c r="L257" i="26"/>
  <c r="K257" i="26"/>
  <c r="P256" i="26"/>
  <c r="R256" i="26"/>
  <c r="S256" i="26" s="1"/>
  <c r="N256" i="26"/>
  <c r="P255" i="26"/>
  <c r="R255" i="26"/>
  <c r="S255" i="26" s="1"/>
  <c r="N255" i="26"/>
  <c r="P254" i="26"/>
  <c r="R254" i="26" s="1"/>
  <c r="S254" i="26" s="1"/>
  <c r="N254" i="26"/>
  <c r="P253" i="26"/>
  <c r="R253" i="26"/>
  <c r="S253" i="26" s="1"/>
  <c r="N253" i="26"/>
  <c r="P252" i="26"/>
  <c r="R252" i="26"/>
  <c r="S252" i="26" s="1"/>
  <c r="N252" i="26"/>
  <c r="P251" i="26"/>
  <c r="R251" i="26"/>
  <c r="N251" i="26"/>
  <c r="S251" i="26" s="1"/>
  <c r="P250" i="26"/>
  <c r="N250" i="26"/>
  <c r="P249" i="26"/>
  <c r="N249" i="26"/>
  <c r="S249" i="26" s="1"/>
  <c r="Q247" i="26"/>
  <c r="O247" i="26"/>
  <c r="O318" i="26" s="1"/>
  <c r="O338" i="26" s="1"/>
  <c r="O568" i="26" s="1"/>
  <c r="M247" i="26"/>
  <c r="L247" i="26"/>
  <c r="K247" i="26"/>
  <c r="P246" i="26"/>
  <c r="R246" i="26" s="1"/>
  <c r="N246" i="26"/>
  <c r="P245" i="26"/>
  <c r="N245" i="26"/>
  <c r="Q237" i="26"/>
  <c r="P237" i="26"/>
  <c r="P239" i="26" s="1"/>
  <c r="O237" i="26"/>
  <c r="M237" i="26"/>
  <c r="L237" i="26"/>
  <c r="K237" i="26"/>
  <c r="R236" i="26"/>
  <c r="N236" i="26"/>
  <c r="S236" i="26"/>
  <c r="R235" i="26"/>
  <c r="N235" i="26"/>
  <c r="S235" i="26" s="1"/>
  <c r="R234" i="26"/>
  <c r="N234" i="26"/>
  <c r="R233" i="26"/>
  <c r="N233" i="26"/>
  <c r="S233" i="26"/>
  <c r="R232" i="26"/>
  <c r="N232" i="26"/>
  <c r="S232" i="26"/>
  <c r="R231" i="26"/>
  <c r="N231" i="26"/>
  <c r="R230" i="26"/>
  <c r="N230" i="26"/>
  <c r="S230" i="26" s="1"/>
  <c r="R229" i="26"/>
  <c r="N229" i="26"/>
  <c r="S229" i="26"/>
  <c r="R228" i="26"/>
  <c r="N228" i="26"/>
  <c r="S228" i="26"/>
  <c r="R227" i="26"/>
  <c r="N227" i="26"/>
  <c r="Q224" i="26"/>
  <c r="Q239" i="26" s="1"/>
  <c r="P224" i="26"/>
  <c r="O224" i="26"/>
  <c r="M224" i="26"/>
  <c r="L224" i="26"/>
  <c r="L239" i="26" s="1"/>
  <c r="K224" i="26"/>
  <c r="R223" i="26"/>
  <c r="N223" i="26"/>
  <c r="S223" i="26"/>
  <c r="R222" i="26"/>
  <c r="N222" i="26"/>
  <c r="S222" i="26" s="1"/>
  <c r="R221" i="26"/>
  <c r="N221" i="26"/>
  <c r="R220" i="26"/>
  <c r="N220" i="26"/>
  <c r="S220" i="26"/>
  <c r="R219" i="26"/>
  <c r="N219" i="26"/>
  <c r="S219" i="26"/>
  <c r="R218" i="26"/>
  <c r="S218" i="26" s="1"/>
  <c r="N218" i="26"/>
  <c r="R217" i="26"/>
  <c r="N217" i="26"/>
  <c r="Q213" i="26"/>
  <c r="Q214" i="26"/>
  <c r="P213" i="26"/>
  <c r="P214" i="26"/>
  <c r="O213" i="26"/>
  <c r="O214" i="26" s="1"/>
  <c r="O239" i="26" s="1"/>
  <c r="M213" i="26"/>
  <c r="M214" i="26"/>
  <c r="M239" i="26" s="1"/>
  <c r="L213" i="26"/>
  <c r="L214" i="26"/>
  <c r="K213" i="26"/>
  <c r="K214" i="26" s="1"/>
  <c r="K239" i="26" s="1"/>
  <c r="R212" i="26"/>
  <c r="N212" i="26"/>
  <c r="S212" i="26" s="1"/>
  <c r="R211" i="26"/>
  <c r="N211" i="26"/>
  <c r="R210" i="26"/>
  <c r="N210" i="26"/>
  <c r="S210" i="26"/>
  <c r="R209" i="26"/>
  <c r="N209" i="26"/>
  <c r="S209" i="26"/>
  <c r="R208" i="26"/>
  <c r="R213" i="26" s="1"/>
  <c r="R214" i="26" s="1"/>
  <c r="N208" i="26"/>
  <c r="Q201" i="26"/>
  <c r="P201" i="26"/>
  <c r="O201" i="26"/>
  <c r="M201" i="26"/>
  <c r="L201" i="26"/>
  <c r="K201" i="26"/>
  <c r="R200" i="26"/>
  <c r="N200" i="26"/>
  <c r="S200" i="26" s="1"/>
  <c r="R199" i="26"/>
  <c r="N199" i="26"/>
  <c r="S199" i="26" s="1"/>
  <c r="R198" i="26"/>
  <c r="N198" i="26"/>
  <c r="S198" i="26"/>
  <c r="R197" i="26"/>
  <c r="S197" i="26" s="1"/>
  <c r="N197" i="26"/>
  <c r="R196" i="26"/>
  <c r="N196" i="26"/>
  <c r="S196" i="26" s="1"/>
  <c r="R195" i="26"/>
  <c r="N195" i="26"/>
  <c r="S195" i="26"/>
  <c r="R194" i="26"/>
  <c r="N194" i="26"/>
  <c r="S194" i="26"/>
  <c r="R193" i="26"/>
  <c r="N193" i="26"/>
  <c r="S193" i="26" s="1"/>
  <c r="R192" i="26"/>
  <c r="N192" i="26"/>
  <c r="S192" i="26" s="1"/>
  <c r="R191" i="26"/>
  <c r="N191" i="26"/>
  <c r="R190" i="26"/>
  <c r="N190" i="26"/>
  <c r="S190" i="26"/>
  <c r="R189" i="26"/>
  <c r="N189" i="26"/>
  <c r="Q186" i="26"/>
  <c r="P186" i="26"/>
  <c r="P203" i="26" s="1"/>
  <c r="O186" i="26"/>
  <c r="M186" i="26"/>
  <c r="L186" i="26"/>
  <c r="L203" i="26" s="1"/>
  <c r="K186" i="26"/>
  <c r="K203" i="26" s="1"/>
  <c r="R185" i="26"/>
  <c r="N185" i="26"/>
  <c r="S185" i="26"/>
  <c r="R184" i="26"/>
  <c r="S184" i="26" s="1"/>
  <c r="N184" i="26"/>
  <c r="R183" i="26"/>
  <c r="N183" i="26"/>
  <c r="S183" i="26" s="1"/>
  <c r="R182" i="26"/>
  <c r="N182" i="26"/>
  <c r="S182" i="26"/>
  <c r="R181" i="26"/>
  <c r="N181" i="26"/>
  <c r="S181" i="26"/>
  <c r="R180" i="26"/>
  <c r="S180" i="26" s="1"/>
  <c r="N180" i="26"/>
  <c r="R179" i="26"/>
  <c r="N179" i="26"/>
  <c r="Q175" i="26"/>
  <c r="Q176" i="26"/>
  <c r="Q203" i="26" s="1"/>
  <c r="P175" i="26"/>
  <c r="P176" i="26"/>
  <c r="O175" i="26"/>
  <c r="O176" i="26" s="1"/>
  <c r="O203" i="26" s="1"/>
  <c r="M175" i="26"/>
  <c r="M176" i="26"/>
  <c r="M203" i="26" s="1"/>
  <c r="L175" i="26"/>
  <c r="L176" i="26"/>
  <c r="K175" i="26"/>
  <c r="K176" i="26"/>
  <c r="R174" i="26"/>
  <c r="S174" i="26" s="1"/>
  <c r="N174" i="26"/>
  <c r="R173" i="26"/>
  <c r="N173" i="26"/>
  <c r="R172" i="26"/>
  <c r="N172" i="26"/>
  <c r="S172" i="26"/>
  <c r="R171" i="26"/>
  <c r="N171" i="26"/>
  <c r="S171" i="26"/>
  <c r="R170" i="26"/>
  <c r="S170" i="26" s="1"/>
  <c r="N170" i="26"/>
  <c r="R169" i="26"/>
  <c r="N169" i="26"/>
  <c r="S169" i="26" s="1"/>
  <c r="R168" i="26"/>
  <c r="N168" i="26"/>
  <c r="S168" i="26"/>
  <c r="R167" i="26"/>
  <c r="N167" i="26"/>
  <c r="S167" i="26"/>
  <c r="R166" i="26"/>
  <c r="N166" i="26"/>
  <c r="Q159" i="26"/>
  <c r="P159" i="26"/>
  <c r="O159" i="26"/>
  <c r="M159" i="26"/>
  <c r="L159" i="26"/>
  <c r="K159" i="26"/>
  <c r="R158" i="26"/>
  <c r="R159" i="26"/>
  <c r="N158" i="26"/>
  <c r="Q155" i="26"/>
  <c r="P155" i="26"/>
  <c r="O155" i="26"/>
  <c r="M155" i="26"/>
  <c r="L155" i="26"/>
  <c r="K155" i="26"/>
  <c r="R154" i="26"/>
  <c r="S154" i="26" s="1"/>
  <c r="N154" i="26"/>
  <c r="R153" i="26"/>
  <c r="N153" i="26"/>
  <c r="S153" i="26" s="1"/>
  <c r="R152" i="26"/>
  <c r="N152" i="26"/>
  <c r="S152" i="26"/>
  <c r="R151" i="26"/>
  <c r="N151" i="26"/>
  <c r="S151" i="26"/>
  <c r="R150" i="26"/>
  <c r="S150" i="26" s="1"/>
  <c r="N150" i="26"/>
  <c r="R149" i="26"/>
  <c r="N149" i="26"/>
  <c r="S149" i="26" s="1"/>
  <c r="R148" i="26"/>
  <c r="N148" i="26"/>
  <c r="S148" i="26"/>
  <c r="R147" i="26"/>
  <c r="N147" i="26"/>
  <c r="S147" i="26"/>
  <c r="R146" i="26"/>
  <c r="S146" i="26" s="1"/>
  <c r="N146" i="26"/>
  <c r="R145" i="26"/>
  <c r="N145" i="26"/>
  <c r="S145" i="26" s="1"/>
  <c r="R144" i="26"/>
  <c r="N144" i="26"/>
  <c r="S144" i="26"/>
  <c r="R143" i="26"/>
  <c r="N143" i="26"/>
  <c r="S143" i="26"/>
  <c r="R142" i="26"/>
  <c r="S142" i="26" s="1"/>
  <c r="N142" i="26"/>
  <c r="R141" i="26"/>
  <c r="N141" i="26"/>
  <c r="S141" i="26" s="1"/>
  <c r="R140" i="26"/>
  <c r="N140" i="26"/>
  <c r="S140" i="26"/>
  <c r="R139" i="26"/>
  <c r="N139" i="26"/>
  <c r="S139" i="26"/>
  <c r="R138" i="26"/>
  <c r="S138" i="26" s="1"/>
  <c r="N138" i="26"/>
  <c r="R137" i="26"/>
  <c r="N137" i="26"/>
  <c r="S137" i="26" s="1"/>
  <c r="R136" i="26"/>
  <c r="N136" i="26"/>
  <c r="S136" i="26"/>
  <c r="R135" i="26"/>
  <c r="N135" i="26"/>
  <c r="S135" i="26"/>
  <c r="R134" i="26"/>
  <c r="S134" i="26" s="1"/>
  <c r="N134" i="26"/>
  <c r="R133" i="26"/>
  <c r="N133" i="26"/>
  <c r="R132" i="26"/>
  <c r="N132" i="26"/>
  <c r="S132" i="26"/>
  <c r="R131" i="26"/>
  <c r="N131" i="26"/>
  <c r="S131" i="26"/>
  <c r="R130" i="26"/>
  <c r="N130" i="26"/>
  <c r="Q125" i="26"/>
  <c r="P125" i="26"/>
  <c r="O125" i="26"/>
  <c r="M125" i="26"/>
  <c r="L125" i="26"/>
  <c r="K125" i="26"/>
  <c r="R124" i="26"/>
  <c r="N124" i="26"/>
  <c r="S124" i="26"/>
  <c r="R123" i="26"/>
  <c r="S123" i="26" s="1"/>
  <c r="N123" i="26"/>
  <c r="R122" i="26"/>
  <c r="N122" i="26"/>
  <c r="S122" i="26" s="1"/>
  <c r="R121" i="26"/>
  <c r="N121" i="26"/>
  <c r="S121" i="26"/>
  <c r="R120" i="26"/>
  <c r="N120" i="26"/>
  <c r="S120" i="26"/>
  <c r="R119" i="26"/>
  <c r="N119" i="26"/>
  <c r="R118" i="26"/>
  <c r="N118" i="26"/>
  <c r="S118" i="26" s="1"/>
  <c r="R117" i="26"/>
  <c r="N117" i="26"/>
  <c r="S117" i="26" s="1"/>
  <c r="Q114" i="26"/>
  <c r="P114" i="26"/>
  <c r="O114" i="26"/>
  <c r="M114" i="26"/>
  <c r="M127" i="26" s="1"/>
  <c r="L114" i="26"/>
  <c r="K114" i="26"/>
  <c r="R113" i="26"/>
  <c r="N113" i="26"/>
  <c r="S113" i="26" s="1"/>
  <c r="R112" i="26"/>
  <c r="N112" i="26"/>
  <c r="S112" i="26"/>
  <c r="R111" i="26"/>
  <c r="N111" i="26"/>
  <c r="S111" i="26"/>
  <c r="R110" i="26"/>
  <c r="S110" i="26" s="1"/>
  <c r="N110" i="26"/>
  <c r="R109" i="26"/>
  <c r="N109" i="26"/>
  <c r="R108" i="26"/>
  <c r="N108" i="26"/>
  <c r="S108" i="26"/>
  <c r="R107" i="26"/>
  <c r="N107" i="26"/>
  <c r="S107" i="26"/>
  <c r="R106" i="26"/>
  <c r="N106" i="26"/>
  <c r="Q103" i="26"/>
  <c r="P103" i="26"/>
  <c r="P127" i="26" s="1"/>
  <c r="P161" i="26" s="1"/>
  <c r="O103" i="26"/>
  <c r="M103" i="26"/>
  <c r="L103" i="26"/>
  <c r="K103" i="26"/>
  <c r="K127" i="26" s="1"/>
  <c r="R102" i="26"/>
  <c r="N102" i="26"/>
  <c r="S102" i="26"/>
  <c r="R101" i="26"/>
  <c r="S101" i="26" s="1"/>
  <c r="S103" i="26" s="1"/>
  <c r="N101" i="26"/>
  <c r="R100" i="26"/>
  <c r="N100" i="26"/>
  <c r="S100" i="26" s="1"/>
  <c r="R99" i="26"/>
  <c r="N99" i="26"/>
  <c r="S99" i="26"/>
  <c r="R98" i="26"/>
  <c r="N98" i="26"/>
  <c r="S98" i="26"/>
  <c r="R97" i="26"/>
  <c r="S97" i="26" s="1"/>
  <c r="N97" i="26"/>
  <c r="R96" i="26"/>
  <c r="N96" i="26"/>
  <c r="Q93" i="26"/>
  <c r="P93" i="26"/>
  <c r="O93" i="26"/>
  <c r="O127" i="26" s="1"/>
  <c r="M93" i="26"/>
  <c r="L93" i="26"/>
  <c r="K93" i="26"/>
  <c r="R92" i="26"/>
  <c r="S92" i="26" s="1"/>
  <c r="N92" i="26"/>
  <c r="R91" i="26"/>
  <c r="N91" i="26"/>
  <c r="S91" i="26" s="1"/>
  <c r="R90" i="26"/>
  <c r="N90" i="26"/>
  <c r="S90" i="26"/>
  <c r="R89" i="26"/>
  <c r="N89" i="26"/>
  <c r="S89" i="26"/>
  <c r="R88" i="26"/>
  <c r="S88" i="26" s="1"/>
  <c r="N88" i="26"/>
  <c r="R87" i="26"/>
  <c r="N87" i="26"/>
  <c r="S87" i="26" s="1"/>
  <c r="R86" i="26"/>
  <c r="N86" i="26"/>
  <c r="S86" i="26"/>
  <c r="R85" i="26"/>
  <c r="N85" i="26"/>
  <c r="S85" i="26"/>
  <c r="R84" i="26"/>
  <c r="N84" i="26"/>
  <c r="R83" i="26"/>
  <c r="N83" i="26"/>
  <c r="S83" i="26" s="1"/>
  <c r="R82" i="26"/>
  <c r="N82" i="26"/>
  <c r="Q79" i="26"/>
  <c r="Q127" i="26"/>
  <c r="P79" i="26"/>
  <c r="O79" i="26"/>
  <c r="M79" i="26"/>
  <c r="L79" i="26"/>
  <c r="L127" i="26"/>
  <c r="K79" i="26"/>
  <c r="R78" i="26"/>
  <c r="N78" i="26"/>
  <c r="S78" i="26"/>
  <c r="R77" i="26"/>
  <c r="S77" i="26" s="1"/>
  <c r="N77" i="26"/>
  <c r="R76" i="26"/>
  <c r="N76" i="26"/>
  <c r="S76" i="26" s="1"/>
  <c r="S79" i="26" s="1"/>
  <c r="R75" i="26"/>
  <c r="N75" i="26"/>
  <c r="S75" i="26"/>
  <c r="R74" i="26"/>
  <c r="N74" i="26"/>
  <c r="S74" i="26"/>
  <c r="R73" i="26"/>
  <c r="S73" i="26" s="1"/>
  <c r="N73" i="26"/>
  <c r="R72" i="26"/>
  <c r="N72" i="26"/>
  <c r="S72" i="26" s="1"/>
  <c r="R71" i="26"/>
  <c r="N71" i="26"/>
  <c r="S71" i="26"/>
  <c r="R70" i="26"/>
  <c r="N70" i="26"/>
  <c r="S70" i="26" s="1"/>
  <c r="Q65" i="26"/>
  <c r="P65" i="26"/>
  <c r="O65" i="26"/>
  <c r="M65" i="26"/>
  <c r="M66" i="26" s="1"/>
  <c r="M161" i="26" s="1"/>
  <c r="L65" i="26"/>
  <c r="K65" i="26"/>
  <c r="R64" i="26"/>
  <c r="N64" i="26"/>
  <c r="S64" i="26" s="1"/>
  <c r="R63" i="26"/>
  <c r="R65" i="26"/>
  <c r="N63" i="26"/>
  <c r="Q61" i="26"/>
  <c r="O61" i="26"/>
  <c r="M61" i="26"/>
  <c r="L61" i="26"/>
  <c r="L66" i="26" s="1"/>
  <c r="L161" i="26" s="1"/>
  <c r="K61" i="26"/>
  <c r="P60" i="26"/>
  <c r="R60" i="26"/>
  <c r="N60" i="26"/>
  <c r="S60" i="26" s="1"/>
  <c r="P59" i="26"/>
  <c r="N59" i="26"/>
  <c r="Q56" i="26"/>
  <c r="Q66" i="26" s="1"/>
  <c r="Q161" i="26" s="1"/>
  <c r="O56" i="26"/>
  <c r="O66" i="26"/>
  <c r="O161" i="26" s="1"/>
  <c r="M56" i="26"/>
  <c r="L56" i="26"/>
  <c r="K56" i="26"/>
  <c r="K66" i="26" s="1"/>
  <c r="P55" i="26"/>
  <c r="R55" i="26"/>
  <c r="S55" i="26" s="1"/>
  <c r="N55" i="26"/>
  <c r="P54" i="26"/>
  <c r="R54" i="26"/>
  <c r="S54" i="26" s="1"/>
  <c r="N54" i="26"/>
  <c r="P53" i="26"/>
  <c r="R53" i="26"/>
  <c r="S53" i="26" s="1"/>
  <c r="N53" i="26"/>
  <c r="P52" i="26"/>
  <c r="R52" i="26"/>
  <c r="S52" i="26" s="1"/>
  <c r="N52" i="26"/>
  <c r="P51" i="26"/>
  <c r="R51" i="26"/>
  <c r="S51" i="26" s="1"/>
  <c r="N51" i="26"/>
  <c r="P50" i="26"/>
  <c r="R50" i="26"/>
  <c r="S50" i="26" s="1"/>
  <c r="N50" i="26"/>
  <c r="P49" i="26"/>
  <c r="R49" i="26"/>
  <c r="S49" i="26" s="1"/>
  <c r="N49" i="26"/>
  <c r="P48" i="26"/>
  <c r="R48" i="26"/>
  <c r="S48" i="26" s="1"/>
  <c r="N48" i="26"/>
  <c r="P47" i="26"/>
  <c r="R47" i="26"/>
  <c r="S47" i="26" s="1"/>
  <c r="N47" i="26"/>
  <c r="P46" i="26"/>
  <c r="R46" i="26"/>
  <c r="S46" i="26" s="1"/>
  <c r="N46" i="26"/>
  <c r="P45" i="26"/>
  <c r="R45" i="26"/>
  <c r="S45" i="26" s="1"/>
  <c r="N45" i="26"/>
  <c r="P44" i="26"/>
  <c r="R44" i="26"/>
  <c r="S44" i="26" s="1"/>
  <c r="N44" i="26"/>
  <c r="P43" i="26"/>
  <c r="R43" i="26"/>
  <c r="S43" i="26" s="1"/>
  <c r="N43" i="26"/>
  <c r="P42" i="26"/>
  <c r="R42" i="26"/>
  <c r="S42" i="26" s="1"/>
  <c r="N42" i="26"/>
  <c r="P41" i="26"/>
  <c r="R41" i="26"/>
  <c r="N41" i="26"/>
  <c r="P40" i="26"/>
  <c r="N40" i="26"/>
  <c r="Q33" i="26"/>
  <c r="P33" i="26"/>
  <c r="O33" i="26"/>
  <c r="M33" i="26"/>
  <c r="L33" i="26"/>
  <c r="K33" i="26"/>
  <c r="R32" i="26"/>
  <c r="R33" i="26"/>
  <c r="N32" i="26"/>
  <c r="Q29" i="26"/>
  <c r="P29" i="26"/>
  <c r="O29" i="26"/>
  <c r="O35" i="26" s="1"/>
  <c r="M29" i="26"/>
  <c r="L29" i="26"/>
  <c r="K29" i="26"/>
  <c r="R28" i="26"/>
  <c r="R29" i="26" s="1"/>
  <c r="N28" i="26"/>
  <c r="Q25" i="26"/>
  <c r="P25" i="26"/>
  <c r="O25" i="26"/>
  <c r="M25" i="26"/>
  <c r="L25" i="26"/>
  <c r="K25" i="26"/>
  <c r="R24" i="26"/>
  <c r="N24" i="26"/>
  <c r="S24" i="26"/>
  <c r="R23" i="26"/>
  <c r="N23" i="26"/>
  <c r="Q20" i="26"/>
  <c r="P20" i="26"/>
  <c r="P35" i="26" s="1"/>
  <c r="O20" i="26"/>
  <c r="M20" i="26"/>
  <c r="L20" i="26"/>
  <c r="K20" i="26"/>
  <c r="K35" i="26" s="1"/>
  <c r="R19" i="26"/>
  <c r="R20" i="26"/>
  <c r="N19" i="26"/>
  <c r="Q16" i="26"/>
  <c r="Q35" i="26" s="1"/>
  <c r="P16" i="26"/>
  <c r="O16" i="26"/>
  <c r="M16" i="26"/>
  <c r="M35" i="26" s="1"/>
  <c r="L16" i="26"/>
  <c r="L35" i="26"/>
  <c r="K16" i="26"/>
  <c r="R15" i="26"/>
  <c r="N15" i="26"/>
  <c r="S15" i="26"/>
  <c r="R14" i="26"/>
  <c r="S14" i="26" s="1"/>
  <c r="N14" i="26"/>
  <c r="R13" i="26"/>
  <c r="N13" i="26"/>
  <c r="A17" i="14"/>
  <c r="A18" i="14" s="1"/>
  <c r="A19" i="14" s="1"/>
  <c r="A20" i="14" s="1"/>
  <c r="A21" i="14" s="1"/>
  <c r="A22" i="14" s="1"/>
  <c r="A23" i="14" s="1"/>
  <c r="A38" i="9"/>
  <c r="A39" i="9" s="1"/>
  <c r="A40" i="9" s="1"/>
  <c r="A41" i="9" s="1"/>
  <c r="A42" i="9" s="1"/>
  <c r="A43" i="9" s="1"/>
  <c r="A44" i="9" s="1"/>
  <c r="A33" i="9"/>
  <c r="A34" i="9" s="1"/>
  <c r="A35" i="9" s="1"/>
  <c r="A11" i="9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135" i="10"/>
  <c r="A136" i="10" s="1"/>
  <c r="A137" i="10" s="1"/>
  <c r="A138" i="10" s="1"/>
  <c r="A139" i="10" s="1"/>
  <c r="A140" i="10" s="1"/>
  <c r="A141" i="10" s="1"/>
  <c r="A142" i="10" s="1"/>
  <c r="A143" i="10" s="1"/>
  <c r="A119" i="10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15" i="10"/>
  <c r="A109" i="10"/>
  <c r="A84" i="10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61" i="10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2" i="15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41" i="15"/>
  <c r="A42" i="15" s="1"/>
  <c r="A43" i="15" s="1"/>
  <c r="A46" i="15" s="1"/>
  <c r="E43" i="16"/>
  <c r="E44" i="16" s="1"/>
  <c r="A14" i="16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6" i="16"/>
  <c r="A7" i="16"/>
  <c r="A8" i="16" s="1"/>
  <c r="A9" i="16" s="1"/>
  <c r="A10" i="16" s="1"/>
  <c r="A11" i="16" s="1"/>
  <c r="A311" i="13"/>
  <c r="A241" i="13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92" i="13"/>
  <c r="A93" i="13" s="1"/>
  <c r="A94" i="13" s="1"/>
  <c r="A95" i="13" s="1"/>
  <c r="A96" i="13" s="1"/>
  <c r="A146" i="13" s="1"/>
  <c r="A97" i="13" s="1"/>
  <c r="A98" i="13" s="1"/>
  <c r="A99" i="13" s="1"/>
  <c r="A100" i="13" s="1"/>
  <c r="A101" i="13" s="1"/>
  <c r="A102" i="13" s="1"/>
  <c r="A103" i="13" s="1"/>
  <c r="A105" i="13" s="1"/>
  <c r="A147" i="13" s="1"/>
  <c r="A106" i="13" s="1"/>
  <c r="A107" i="13" s="1"/>
  <c r="A108" i="13" s="1"/>
  <c r="A109" i="13" s="1"/>
  <c r="A110" i="13" s="1"/>
  <c r="A137" i="13" s="1"/>
  <c r="A111" i="13" s="1"/>
  <c r="A112" i="13" s="1"/>
  <c r="A113" i="13" s="1"/>
  <c r="A104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48" i="13" s="1"/>
  <c r="A149" i="13" s="1"/>
  <c r="A138" i="13" s="1"/>
  <c r="A139" i="13" s="1"/>
  <c r="A140" i="13" s="1"/>
  <c r="A141" i="13" s="1"/>
  <c r="A150" i="13" s="1"/>
  <c r="A142" i="13" s="1"/>
  <c r="A143" i="13" s="1"/>
  <c r="A144" i="13" s="1"/>
  <c r="A145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74" i="13"/>
  <c r="A75" i="13" s="1"/>
  <c r="A76" i="13" s="1"/>
  <c r="A77" i="13" s="1"/>
  <c r="A86" i="13" s="1"/>
  <c r="A78" i="13" s="1"/>
  <c r="A79" i="13" s="1"/>
  <c r="A80" i="13" s="1"/>
  <c r="A81" i="13" s="1"/>
  <c r="A82" i="13" s="1"/>
  <c r="A83" i="13" s="1"/>
  <c r="A84" i="13" s="1"/>
  <c r="A85" i="13" s="1"/>
  <c r="A87" i="13" s="1"/>
  <c r="A88" i="13" s="1"/>
  <c r="A89" i="13" s="1"/>
  <c r="A36" i="13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11" i="11"/>
  <c r="A12" i="11" s="1"/>
  <c r="A13" i="11" s="1"/>
  <c r="A14" i="11"/>
  <c r="A15" i="11" s="1"/>
  <c r="A16" i="11" s="1"/>
  <c r="A6" i="11"/>
  <c r="A7" i="11" s="1"/>
  <c r="A8" i="11" s="1"/>
  <c r="A26" i="14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6" i="14"/>
  <c r="A7" i="14" s="1"/>
  <c r="A8" i="14" s="1"/>
  <c r="A9" i="14" s="1"/>
  <c r="A10" i="14" s="1"/>
  <c r="A11" i="14" s="1"/>
  <c r="A12" i="14" s="1"/>
  <c r="A13" i="14" s="1"/>
  <c r="A83" i="3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73" i="3"/>
  <c r="A74" i="3" s="1"/>
  <c r="A75" i="3" s="1"/>
  <c r="A76" i="3" s="1"/>
  <c r="A77" i="3" s="1"/>
  <c r="A78" i="3" s="1"/>
  <c r="A79" i="3" s="1"/>
  <c r="A64" i="3"/>
  <c r="A65" i="3" s="1"/>
  <c r="A66" i="3" s="1"/>
  <c r="A67" i="3" s="1"/>
  <c r="A68" i="3" s="1"/>
  <c r="A69" i="3" s="1"/>
  <c r="A70" i="3" s="1"/>
  <c r="A56" i="3"/>
  <c r="A57" i="3" s="1"/>
  <c r="A58" i="3" s="1"/>
  <c r="A59" i="3" s="1"/>
  <c r="A60" i="3" s="1"/>
  <c r="A61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H11" i="11"/>
  <c r="AB11" i="11"/>
  <c r="W11" i="11"/>
  <c r="AB10" i="11"/>
  <c r="Q10" i="11"/>
  <c r="N6" i="16"/>
  <c r="O6" i="16" s="1"/>
  <c r="I45" i="13"/>
  <c r="I38" i="13"/>
  <c r="N11" i="11"/>
  <c r="I5" i="14"/>
  <c r="J5" i="14" s="1"/>
  <c r="AH37" i="3"/>
  <c r="AB43" i="3"/>
  <c r="I6" i="11"/>
  <c r="L6" i="11" s="1"/>
  <c r="M6" i="11" s="1"/>
  <c r="H7" i="11"/>
  <c r="I7" i="11" s="1"/>
  <c r="AH7" i="11"/>
  <c r="AE7" i="11"/>
  <c r="AB7" i="11"/>
  <c r="I10" i="11"/>
  <c r="L10" i="11" s="1"/>
  <c r="AE10" i="11"/>
  <c r="I11" i="11"/>
  <c r="L11" i="11" s="1"/>
  <c r="AE35" i="14"/>
  <c r="AB34" i="14"/>
  <c r="AH33" i="14"/>
  <c r="AE33" i="14"/>
  <c r="AB33" i="14"/>
  <c r="AB31" i="14"/>
  <c r="AB29" i="14"/>
  <c r="AQ26" i="14"/>
  <c r="AH26" i="14"/>
  <c r="AE26" i="14"/>
  <c r="AB26" i="14"/>
  <c r="AH25" i="14"/>
  <c r="AB21" i="14"/>
  <c r="AQ20" i="14"/>
  <c r="AH20" i="14"/>
  <c r="AE20" i="14"/>
  <c r="AB20" i="14"/>
  <c r="AH18" i="14"/>
  <c r="AE16" i="14"/>
  <c r="AB26" i="11"/>
  <c r="AC26" i="11" s="1"/>
  <c r="AD26" i="11" s="1"/>
  <c r="AQ25" i="11"/>
  <c r="AE18" i="11"/>
  <c r="AB18" i="11"/>
  <c r="AQ16" i="11"/>
  <c r="AB16" i="11"/>
  <c r="W14" i="11"/>
  <c r="AH14" i="11"/>
  <c r="AE14" i="11"/>
  <c r="AB14" i="11"/>
  <c r="I7" i="3"/>
  <c r="N10" i="16"/>
  <c r="O10" i="16"/>
  <c r="I37" i="13"/>
  <c r="I41" i="13"/>
  <c r="I49" i="13"/>
  <c r="I42" i="13"/>
  <c r="I46" i="13"/>
  <c r="I50" i="13"/>
  <c r="I144" i="13"/>
  <c r="I36" i="13"/>
  <c r="I40" i="13"/>
  <c r="I44" i="13"/>
  <c r="I48" i="13"/>
  <c r="I52" i="13"/>
  <c r="I35" i="13"/>
  <c r="I39" i="13"/>
  <c r="I43" i="13"/>
  <c r="I47" i="13"/>
  <c r="I51" i="13"/>
  <c r="K5" i="16"/>
  <c r="L5" i="16" s="1"/>
  <c r="P47" i="27"/>
  <c r="R47" i="27" s="1"/>
  <c r="S47" i="27" s="1"/>
  <c r="P55" i="27"/>
  <c r="R55" i="27"/>
  <c r="S55" i="27" s="1"/>
  <c r="R162" i="27"/>
  <c r="N56" i="27"/>
  <c r="N66" i="27"/>
  <c r="P40" i="27"/>
  <c r="P44" i="27"/>
  <c r="R44" i="27" s="1"/>
  <c r="S44" i="27" s="1"/>
  <c r="P48" i="27"/>
  <c r="R48" i="27"/>
  <c r="S48" i="27" s="1"/>
  <c r="P52" i="27"/>
  <c r="R52" i="27" s="1"/>
  <c r="S52" i="27"/>
  <c r="S117" i="27"/>
  <c r="P162" i="27"/>
  <c r="N189" i="27"/>
  <c r="P240" i="27"/>
  <c r="R235" i="27"/>
  <c r="S235" i="27" s="1"/>
  <c r="N16" i="27"/>
  <c r="Q35" i="27"/>
  <c r="R29" i="27"/>
  <c r="R35" i="27" s="1"/>
  <c r="S28" i="27"/>
  <c r="S29" i="27"/>
  <c r="P41" i="27"/>
  <c r="R41" i="27"/>
  <c r="S41" i="27" s="1"/>
  <c r="P45" i="27"/>
  <c r="R45" i="27" s="1"/>
  <c r="S45" i="27" s="1"/>
  <c r="S56" i="27" s="1"/>
  <c r="P49" i="27"/>
  <c r="R49" i="27"/>
  <c r="S49" i="27" s="1"/>
  <c r="P53" i="27"/>
  <c r="R53" i="27" s="1"/>
  <c r="S53" i="27" s="1"/>
  <c r="L127" i="27"/>
  <c r="S114" i="27"/>
  <c r="R114" i="27"/>
  <c r="R169" i="27"/>
  <c r="P178" i="27"/>
  <c r="P179" i="27" s="1"/>
  <c r="R189" i="27"/>
  <c r="S182" i="27"/>
  <c r="P43" i="27"/>
  <c r="R43" i="27"/>
  <c r="S43" i="27" s="1"/>
  <c r="P51" i="27"/>
  <c r="R51" i="27"/>
  <c r="S51" i="27" s="1"/>
  <c r="N20" i="27"/>
  <c r="S19" i="27"/>
  <c r="S20" i="27"/>
  <c r="S23" i="27"/>
  <c r="S25" i="27" s="1"/>
  <c r="N25" i="27"/>
  <c r="N35" i="27" s="1"/>
  <c r="R33" i="27"/>
  <c r="S32" i="27"/>
  <c r="S33" i="27" s="1"/>
  <c r="P42" i="27"/>
  <c r="R42" i="27" s="1"/>
  <c r="S42" i="27" s="1"/>
  <c r="P46" i="27"/>
  <c r="R46" i="27"/>
  <c r="S46" i="27" s="1"/>
  <c r="P50" i="27"/>
  <c r="R50" i="27" s="1"/>
  <c r="S50" i="27"/>
  <c r="P54" i="27"/>
  <c r="R54" i="27"/>
  <c r="S54" i="27" s="1"/>
  <c r="R59" i="27"/>
  <c r="S59" i="27" s="1"/>
  <c r="P61" i="27"/>
  <c r="R130" i="27"/>
  <c r="S130" i="27" s="1"/>
  <c r="R192" i="27"/>
  <c r="N273" i="27"/>
  <c r="P272" i="27"/>
  <c r="P510" i="27"/>
  <c r="R510" i="27"/>
  <c r="S510" i="27" s="1"/>
  <c r="P518" i="27"/>
  <c r="R518" i="27"/>
  <c r="S518" i="27" s="1"/>
  <c r="S526" i="27"/>
  <c r="P526" i="27"/>
  <c r="R526" i="27"/>
  <c r="P535" i="27"/>
  <c r="R535" i="27"/>
  <c r="S535" i="27" s="1"/>
  <c r="P543" i="27"/>
  <c r="R543" i="27" s="1"/>
  <c r="S543" i="27"/>
  <c r="P551" i="27"/>
  <c r="R551" i="27"/>
  <c r="S551" i="27" s="1"/>
  <c r="P559" i="27"/>
  <c r="R559" i="27" s="1"/>
  <c r="S559" i="27" s="1"/>
  <c r="S871" i="27"/>
  <c r="N892" i="27"/>
  <c r="N114" i="27"/>
  <c r="S211" i="27"/>
  <c r="P214" i="27"/>
  <c r="N250" i="27"/>
  <c r="K321" i="27"/>
  <c r="K354" i="27"/>
  <c r="K591" i="27" s="1"/>
  <c r="S254" i="27"/>
  <c r="S258" i="27"/>
  <c r="R283" i="27"/>
  <c r="R340" i="27"/>
  <c r="S323" i="27"/>
  <c r="R506" i="27"/>
  <c r="S496" i="27"/>
  <c r="P506" i="27"/>
  <c r="P511" i="27"/>
  <c r="R511" i="27"/>
  <c r="S511" i="27" s="1"/>
  <c r="P515" i="27"/>
  <c r="R515" i="27"/>
  <c r="S515" i="27" s="1"/>
  <c r="P519" i="27"/>
  <c r="R519" i="27"/>
  <c r="S519" i="27" s="1"/>
  <c r="S523" i="27"/>
  <c r="P523" i="27"/>
  <c r="R523" i="27"/>
  <c r="P527" i="27"/>
  <c r="R527" i="27"/>
  <c r="S527" i="27" s="1"/>
  <c r="R596" i="27"/>
  <c r="P514" i="27"/>
  <c r="R514" i="27"/>
  <c r="S514" i="27" s="1"/>
  <c r="P522" i="27"/>
  <c r="R522" i="27"/>
  <c r="S522" i="27" s="1"/>
  <c r="P531" i="27"/>
  <c r="R531" i="27"/>
  <c r="S531" i="27" s="1"/>
  <c r="P539" i="27"/>
  <c r="R539" i="27" s="1"/>
  <c r="S539" i="27" s="1"/>
  <c r="P547" i="27"/>
  <c r="R547" i="27"/>
  <c r="S547" i="27" s="1"/>
  <c r="P555" i="27"/>
  <c r="R555" i="27" s="1"/>
  <c r="S555" i="27"/>
  <c r="P623" i="27"/>
  <c r="R623" i="27"/>
  <c r="S623" i="27" s="1"/>
  <c r="S229" i="27"/>
  <c r="S240" i="27" s="1"/>
  <c r="P248" i="27"/>
  <c r="P512" i="27"/>
  <c r="R512" i="27"/>
  <c r="S512" i="27" s="1"/>
  <c r="P516" i="27"/>
  <c r="R516" i="27"/>
  <c r="S516" i="27" s="1"/>
  <c r="P520" i="27"/>
  <c r="R520" i="27"/>
  <c r="S520" i="27" s="1"/>
  <c r="S524" i="27"/>
  <c r="P524" i="27"/>
  <c r="R524" i="27"/>
  <c r="P533" i="27"/>
  <c r="R533" i="27"/>
  <c r="S533" i="27" s="1"/>
  <c r="P537" i="27"/>
  <c r="R537" i="27" s="1"/>
  <c r="S537" i="27"/>
  <c r="P541" i="27"/>
  <c r="R541" i="27"/>
  <c r="S541" i="27" s="1"/>
  <c r="P545" i="27"/>
  <c r="R545" i="27" s="1"/>
  <c r="S545" i="27" s="1"/>
  <c r="P549" i="27"/>
  <c r="R549" i="27"/>
  <c r="S549" i="27" s="1"/>
  <c r="P553" i="27"/>
  <c r="R553" i="27" s="1"/>
  <c r="S553" i="27" s="1"/>
  <c r="P557" i="27"/>
  <c r="R557" i="27"/>
  <c r="S557" i="27" s="1"/>
  <c r="R252" i="27"/>
  <c r="R266" i="27"/>
  <c r="S262" i="27"/>
  <c r="S249" i="27"/>
  <c r="S253" i="27"/>
  <c r="S255" i="27"/>
  <c r="P266" i="27"/>
  <c r="R275" i="27"/>
  <c r="P340" i="27"/>
  <c r="P509" i="27"/>
  <c r="P513" i="27"/>
  <c r="P517" i="27"/>
  <c r="R517" i="27" s="1"/>
  <c r="S517" i="27" s="1"/>
  <c r="P521" i="27"/>
  <c r="R521" i="27" s="1"/>
  <c r="S521" i="27"/>
  <c r="P525" i="27"/>
  <c r="R525" i="27" s="1"/>
  <c r="S525" i="27" s="1"/>
  <c r="S530" i="27"/>
  <c r="P619" i="27"/>
  <c r="R619" i="27" s="1"/>
  <c r="S619" i="27" s="1"/>
  <c r="P645" i="27"/>
  <c r="R645" i="27" s="1"/>
  <c r="S645" i="27" s="1"/>
  <c r="P649" i="27"/>
  <c r="R649" i="27" s="1"/>
  <c r="S649" i="27" s="1"/>
  <c r="P653" i="27"/>
  <c r="R653" i="27" s="1"/>
  <c r="S653" i="27" s="1"/>
  <c r="P657" i="27"/>
  <c r="R657" i="27" s="1"/>
  <c r="S657" i="27" s="1"/>
  <c r="P661" i="27"/>
  <c r="R661" i="27" s="1"/>
  <c r="S661" i="27" s="1"/>
  <c r="P665" i="27"/>
  <c r="R665" i="27" s="1"/>
  <c r="S665" i="27" s="1"/>
  <c r="P669" i="27"/>
  <c r="R669" i="27" s="1"/>
  <c r="S669" i="27"/>
  <c r="P673" i="27"/>
  <c r="R673" i="27" s="1"/>
  <c r="S673" i="27" s="1"/>
  <c r="P690" i="27"/>
  <c r="R690" i="27" s="1"/>
  <c r="S690" i="27" s="1"/>
  <c r="N697" i="27"/>
  <c r="P532" i="27"/>
  <c r="R532" i="27" s="1"/>
  <c r="S532" i="27" s="1"/>
  <c r="P534" i="27"/>
  <c r="R534" i="27"/>
  <c r="S534" i="27" s="1"/>
  <c r="P536" i="27"/>
  <c r="R536" i="27" s="1"/>
  <c r="S536" i="27"/>
  <c r="P538" i="27"/>
  <c r="R538" i="27"/>
  <c r="S538" i="27" s="1"/>
  <c r="P540" i="27"/>
  <c r="R540" i="27" s="1"/>
  <c r="S540" i="27" s="1"/>
  <c r="P542" i="27"/>
  <c r="R542" i="27"/>
  <c r="S542" i="27" s="1"/>
  <c r="P544" i="27"/>
  <c r="R544" i="27" s="1"/>
  <c r="S544" i="27" s="1"/>
  <c r="P546" i="27"/>
  <c r="R546" i="27"/>
  <c r="S546" i="27" s="1"/>
  <c r="P548" i="27"/>
  <c r="R548" i="27" s="1"/>
  <c r="S548" i="27" s="1"/>
  <c r="P550" i="27"/>
  <c r="R550" i="27"/>
  <c r="S550" i="27" s="1"/>
  <c r="P552" i="27"/>
  <c r="R552" i="27" s="1"/>
  <c r="S552" i="27"/>
  <c r="P554" i="27"/>
  <c r="R554" i="27"/>
  <c r="S554" i="27" s="1"/>
  <c r="P556" i="27"/>
  <c r="R556" i="27" s="1"/>
  <c r="S556" i="27" s="1"/>
  <c r="P558" i="27"/>
  <c r="R558" i="27"/>
  <c r="S558" i="27" s="1"/>
  <c r="R587" i="27"/>
  <c r="S528" i="27"/>
  <c r="P529" i="27"/>
  <c r="R529" i="27" s="1"/>
  <c r="S529" i="27" s="1"/>
  <c r="S581" i="27"/>
  <c r="S598" i="27"/>
  <c r="S600" i="27"/>
  <c r="S602" i="27"/>
  <c r="S627" i="27"/>
  <c r="P627" i="27"/>
  <c r="R627" i="27"/>
  <c r="S560" i="27"/>
  <c r="S561" i="27"/>
  <c r="S562" i="27"/>
  <c r="S564" i="27"/>
  <c r="S565" i="27"/>
  <c r="S566" i="27"/>
  <c r="S568" i="27"/>
  <c r="S569" i="27"/>
  <c r="S570" i="27"/>
  <c r="S571" i="27"/>
  <c r="S572" i="27"/>
  <c r="S574" i="27"/>
  <c r="S575" i="27"/>
  <c r="S576" i="27"/>
  <c r="S577" i="27"/>
  <c r="N635" i="27"/>
  <c r="S630" i="27"/>
  <c r="S634" i="27"/>
  <c r="P646" i="27"/>
  <c r="R646" i="27" s="1"/>
  <c r="S646" i="27"/>
  <c r="P650" i="27"/>
  <c r="R650" i="27" s="1"/>
  <c r="S650" i="27" s="1"/>
  <c r="P654" i="27"/>
  <c r="R654" i="27" s="1"/>
  <c r="S654" i="27" s="1"/>
  <c r="P658" i="27"/>
  <c r="R658" i="27" s="1"/>
  <c r="S658" i="27" s="1"/>
  <c r="P662" i="27"/>
  <c r="R662" i="27" s="1"/>
  <c r="S662" i="27" s="1"/>
  <c r="P666" i="27"/>
  <c r="R666" i="27" s="1"/>
  <c r="S666" i="27" s="1"/>
  <c r="P670" i="27"/>
  <c r="R670" i="27" s="1"/>
  <c r="S670" i="27" s="1"/>
  <c r="K699" i="27"/>
  <c r="R807" i="27"/>
  <c r="R816" i="27" s="1"/>
  <c r="S786" i="27"/>
  <c r="N812" i="27"/>
  <c r="S811" i="27"/>
  <c r="S812" i="27" s="1"/>
  <c r="P607" i="27"/>
  <c r="P618" i="27"/>
  <c r="R618" i="27"/>
  <c r="S618" i="27" s="1"/>
  <c r="S621" i="27"/>
  <c r="P622" i="27"/>
  <c r="R622" i="27"/>
  <c r="S622" i="27" s="1"/>
  <c r="S625" i="27"/>
  <c r="P626" i="27"/>
  <c r="R626" i="27"/>
  <c r="S626" i="27" s="1"/>
  <c r="S629" i="27"/>
  <c r="S633" i="27"/>
  <c r="P647" i="27"/>
  <c r="R647" i="27" s="1"/>
  <c r="S655" i="27"/>
  <c r="P663" i="27"/>
  <c r="R663" i="27" s="1"/>
  <c r="S671" i="27"/>
  <c r="S678" i="27"/>
  <c r="P733" i="27"/>
  <c r="R733" i="27" s="1"/>
  <c r="S733" i="27" s="1"/>
  <c r="P856" i="27"/>
  <c r="R854" i="27"/>
  <c r="R856" i="27" s="1"/>
  <c r="S620" i="27"/>
  <c r="S624" i="27"/>
  <c r="S628" i="27"/>
  <c r="S632" i="27"/>
  <c r="P642" i="27"/>
  <c r="P644" i="27"/>
  <c r="R644" i="27" s="1"/>
  <c r="S644" i="27" s="1"/>
  <c r="P648" i="27"/>
  <c r="R648" i="27" s="1"/>
  <c r="S648" i="27"/>
  <c r="P652" i="27"/>
  <c r="R652" i="27" s="1"/>
  <c r="S652" i="27" s="1"/>
  <c r="P656" i="27"/>
  <c r="R656" i="27" s="1"/>
  <c r="S656" i="27" s="1"/>
  <c r="P660" i="27"/>
  <c r="R660" i="27" s="1"/>
  <c r="S660" i="27" s="1"/>
  <c r="P664" i="27"/>
  <c r="R664" i="27" s="1"/>
  <c r="S664" i="27"/>
  <c r="P668" i="27"/>
  <c r="R668" i="27" s="1"/>
  <c r="S668" i="27" s="1"/>
  <c r="P672" i="27"/>
  <c r="R672" i="27" s="1"/>
  <c r="S672" i="27" s="1"/>
  <c r="R685" i="27"/>
  <c r="P694" i="27"/>
  <c r="R694" i="27"/>
  <c r="S694" i="27" s="1"/>
  <c r="R724" i="27"/>
  <c r="P730" i="27"/>
  <c r="R730" i="27" s="1"/>
  <c r="S730" i="27"/>
  <c r="N779" i="27"/>
  <c r="S759" i="27"/>
  <c r="P775" i="27"/>
  <c r="S691" i="27"/>
  <c r="S695" i="27"/>
  <c r="S725" i="27"/>
  <c r="P734" i="27"/>
  <c r="R734" i="27"/>
  <c r="S734" i="27" s="1"/>
  <c r="P737" i="27"/>
  <c r="R737" i="27" s="1"/>
  <c r="S737" i="27"/>
  <c r="P776" i="27"/>
  <c r="R776" i="27"/>
  <c r="S776" i="27" s="1"/>
  <c r="N815" i="27"/>
  <c r="S814" i="27"/>
  <c r="S815" i="27" s="1"/>
  <c r="P838" i="27"/>
  <c r="R838" i="27" s="1"/>
  <c r="S838" i="27" s="1"/>
  <c r="N899" i="27"/>
  <c r="S895" i="27"/>
  <c r="N910" i="27"/>
  <c r="P738" i="27"/>
  <c r="R738" i="27" s="1"/>
  <c r="S738" i="27" s="1"/>
  <c r="P741" i="27"/>
  <c r="R741" i="27"/>
  <c r="S741" i="27" s="1"/>
  <c r="P745" i="27"/>
  <c r="R745" i="27" s="1"/>
  <c r="S745" i="27"/>
  <c r="P749" i="27"/>
  <c r="R749" i="27"/>
  <c r="S749" i="27" s="1"/>
  <c r="P753" i="27"/>
  <c r="R753" i="27" s="1"/>
  <c r="S753" i="27" s="1"/>
  <c r="S766" i="27"/>
  <c r="R822" i="27"/>
  <c r="R823" i="27" s="1"/>
  <c r="S839" i="27"/>
  <c r="L912" i="27"/>
  <c r="S872" i="27"/>
  <c r="P909" i="27"/>
  <c r="R909" i="27" s="1"/>
  <c r="S909" i="27" s="1"/>
  <c r="N756" i="27"/>
  <c r="N780" i="27" s="1"/>
  <c r="S708" i="27"/>
  <c r="S716" i="27"/>
  <c r="P726" i="27"/>
  <c r="R726" i="27" s="1"/>
  <c r="S726" i="27" s="1"/>
  <c r="P729" i="27"/>
  <c r="R729" i="27"/>
  <c r="S729" i="27" s="1"/>
  <c r="P742" i="27"/>
  <c r="R742" i="27" s="1"/>
  <c r="S742" i="27" s="1"/>
  <c r="P746" i="27"/>
  <c r="R746" i="27"/>
  <c r="S746" i="27" s="1"/>
  <c r="P750" i="27"/>
  <c r="R750" i="27" s="1"/>
  <c r="S750" i="27" s="1"/>
  <c r="P754" i="27"/>
  <c r="R754" i="27"/>
  <c r="S754" i="27" s="1"/>
  <c r="S792" i="27"/>
  <c r="N807" i="27"/>
  <c r="N816" i="27"/>
  <c r="S864" i="27"/>
  <c r="S868" i="27" s="1"/>
  <c r="N868" i="27"/>
  <c r="N912" i="27" s="1"/>
  <c r="R892" i="27"/>
  <c r="S881" i="27"/>
  <c r="S784" i="27"/>
  <c r="S800" i="27"/>
  <c r="L816" i="27"/>
  <c r="L859" i="27" s="1"/>
  <c r="L914" i="27" s="1"/>
  <c r="P816" i="27"/>
  <c r="N842" i="27"/>
  <c r="S880" i="27"/>
  <c r="S902" i="27"/>
  <c r="P908" i="27"/>
  <c r="R908" i="27" s="1"/>
  <c r="S770" i="27"/>
  <c r="S796" i="27"/>
  <c r="S833" i="27"/>
  <c r="P841" i="27"/>
  <c r="O857" i="27"/>
  <c r="O859" i="27" s="1"/>
  <c r="S845" i="27"/>
  <c r="S854" i="27"/>
  <c r="N856" i="27"/>
  <c r="S876" i="27"/>
  <c r="S896" i="27"/>
  <c r="W16" i="11"/>
  <c r="W22" i="11"/>
  <c r="T14" i="11"/>
  <c r="Q14" i="11"/>
  <c r="N18" i="11"/>
  <c r="Q18" i="11"/>
  <c r="N14" i="11"/>
  <c r="O14" i="11" s="1"/>
  <c r="I12" i="11"/>
  <c r="J12" i="11" s="1"/>
  <c r="H18" i="11"/>
  <c r="I18" i="11" s="1"/>
  <c r="J18" i="11" s="1"/>
  <c r="K18" i="11"/>
  <c r="AH13" i="14"/>
  <c r="I6" i="14"/>
  <c r="AE13" i="14"/>
  <c r="AE12" i="14"/>
  <c r="W12" i="14"/>
  <c r="Q16" i="14"/>
  <c r="N18" i="14"/>
  <c r="N20" i="14"/>
  <c r="W20" i="14"/>
  <c r="T20" i="14"/>
  <c r="Q20" i="14"/>
  <c r="W21" i="14"/>
  <c r="N26" i="14"/>
  <c r="Q26" i="14"/>
  <c r="N29" i="14"/>
  <c r="N30" i="14"/>
  <c r="W31" i="14"/>
  <c r="W33" i="14"/>
  <c r="T33" i="14"/>
  <c r="Q33" i="14"/>
  <c r="W34" i="14"/>
  <c r="I7" i="14"/>
  <c r="H20" i="14"/>
  <c r="I20" i="14" s="1"/>
  <c r="K20" i="14"/>
  <c r="H26" i="14"/>
  <c r="I26" i="14" s="1"/>
  <c r="K26" i="14"/>
  <c r="K33" i="14"/>
  <c r="T69" i="3"/>
  <c r="I9" i="3"/>
  <c r="L9" i="3" s="1"/>
  <c r="I11" i="3"/>
  <c r="I12" i="3"/>
  <c r="I13" i="3"/>
  <c r="L13" i="3" s="1"/>
  <c r="I14" i="3"/>
  <c r="I15" i="3"/>
  <c r="I16" i="3"/>
  <c r="L16" i="3" s="1"/>
  <c r="M16" i="3" s="1"/>
  <c r="I17" i="3"/>
  <c r="Q18" i="3"/>
  <c r="I18" i="3"/>
  <c r="L18" i="3" s="1"/>
  <c r="M18" i="3" s="1"/>
  <c r="I19" i="3"/>
  <c r="I25" i="3"/>
  <c r="L25" i="3" s="1"/>
  <c r="M25" i="3" s="1"/>
  <c r="I26" i="3"/>
  <c r="L26" i="3" s="1"/>
  <c r="M26" i="3" s="1"/>
  <c r="I34" i="3"/>
  <c r="L34" i="3" s="1"/>
  <c r="M34" i="3" s="1"/>
  <c r="I35" i="3"/>
  <c r="I36" i="3"/>
  <c r="I37" i="3"/>
  <c r="L37" i="3" s="1"/>
  <c r="M37" i="3" s="1"/>
  <c r="I38" i="3"/>
  <c r="I39" i="3"/>
  <c r="I41" i="3"/>
  <c r="L41" i="3" s="1"/>
  <c r="I43" i="3"/>
  <c r="L43" i="3" s="1"/>
  <c r="M43" i="3" s="1"/>
  <c r="I45" i="3"/>
  <c r="I46" i="3"/>
  <c r="I48" i="3"/>
  <c r="I49" i="3"/>
  <c r="N50" i="3"/>
  <c r="I50" i="3"/>
  <c r="I51" i="3"/>
  <c r="L51" i="3" s="1"/>
  <c r="M51" i="3" s="1"/>
  <c r="I52" i="3"/>
  <c r="L52" i="3" s="1"/>
  <c r="M52" i="3" s="1"/>
  <c r="I53" i="3"/>
  <c r="I57" i="3"/>
  <c r="L57" i="3" s="1"/>
  <c r="M57" i="3" s="1"/>
  <c r="I58" i="3"/>
  <c r="L58" i="3" s="1"/>
  <c r="I61" i="3"/>
  <c r="L61" i="3" s="1"/>
  <c r="M61" i="3" s="1"/>
  <c r="I64" i="3"/>
  <c r="I67" i="3"/>
  <c r="I74" i="3"/>
  <c r="L74" i="3" s="1"/>
  <c r="I76" i="3"/>
  <c r="L76" i="3" s="1"/>
  <c r="M76" i="3" s="1"/>
  <c r="N83" i="3"/>
  <c r="H90" i="3"/>
  <c r="I90" i="3" s="1"/>
  <c r="N16" i="26"/>
  <c r="S13" i="26"/>
  <c r="S16" i="26"/>
  <c r="N20" i="26"/>
  <c r="S19" i="26"/>
  <c r="S20" i="26" s="1"/>
  <c r="N25" i="26"/>
  <c r="N29" i="26"/>
  <c r="S28" i="26"/>
  <c r="S29" i="26" s="1"/>
  <c r="N33" i="26"/>
  <c r="S32" i="26"/>
  <c r="S33" i="26"/>
  <c r="P56" i="26"/>
  <c r="P66" i="26" s="1"/>
  <c r="R40" i="26"/>
  <c r="N61" i="26"/>
  <c r="P61" i="26"/>
  <c r="R59" i="26"/>
  <c r="S59" i="26" s="1"/>
  <c r="S63" i="26"/>
  <c r="S65" i="26" s="1"/>
  <c r="N79" i="26"/>
  <c r="S82" i="26"/>
  <c r="N103" i="26"/>
  <c r="S96" i="26"/>
  <c r="S106" i="26"/>
  <c r="S130" i="26"/>
  <c r="N159" i="26"/>
  <c r="S158" i="26"/>
  <c r="S159" i="26"/>
  <c r="N186" i="26"/>
  <c r="S189" i="26"/>
  <c r="N213" i="26"/>
  <c r="N214" i="26" s="1"/>
  <c r="S208" i="26"/>
  <c r="S217" i="26"/>
  <c r="N237" i="26"/>
  <c r="S227" i="26"/>
  <c r="N247" i="26"/>
  <c r="P247" i="26"/>
  <c r="R245" i="26"/>
  <c r="N257" i="26"/>
  <c r="N318" i="26" s="1"/>
  <c r="N338" i="26" s="1"/>
  <c r="R249" i="26"/>
  <c r="N263" i="26"/>
  <c r="P263" i="26"/>
  <c r="R259" i="26"/>
  <c r="N267" i="26"/>
  <c r="P267" i="26"/>
  <c r="R265" i="26"/>
  <c r="S265" i="26" s="1"/>
  <c r="N270" i="26"/>
  <c r="P270" i="26"/>
  <c r="R269" i="26"/>
  <c r="N278" i="26"/>
  <c r="R272" i="26"/>
  <c r="S272" i="26" s="1"/>
  <c r="N317" i="26"/>
  <c r="P317" i="26"/>
  <c r="R280" i="26"/>
  <c r="N337" i="26"/>
  <c r="P337" i="26"/>
  <c r="R320" i="26"/>
  <c r="S320" i="26" s="1"/>
  <c r="S341" i="26"/>
  <c r="N561" i="26"/>
  <c r="S492" i="26"/>
  <c r="N566" i="26"/>
  <c r="S564" i="26"/>
  <c r="S566" i="26" s="1"/>
  <c r="N580" i="26"/>
  <c r="N581" i="26" s="1"/>
  <c r="S573" i="26"/>
  <c r="S584" i="26"/>
  <c r="N651" i="26"/>
  <c r="S619" i="26"/>
  <c r="S651" i="26"/>
  <c r="S676" i="26" s="1"/>
  <c r="N659" i="26"/>
  <c r="S654" i="26"/>
  <c r="S659" i="26" s="1"/>
  <c r="N674" i="26"/>
  <c r="S662" i="26"/>
  <c r="S674" i="26"/>
  <c r="N733" i="26"/>
  <c r="S682" i="26"/>
  <c r="N756" i="26"/>
  <c r="S736" i="26"/>
  <c r="S756" i="26"/>
  <c r="N784" i="26"/>
  <c r="S761" i="26"/>
  <c r="N789" i="26"/>
  <c r="N793" i="26" s="1"/>
  <c r="S787" i="26"/>
  <c r="S789" i="26"/>
  <c r="N792" i="26"/>
  <c r="S791" i="26"/>
  <c r="S792" i="26" s="1"/>
  <c r="N799" i="26"/>
  <c r="N800" i="26" s="1"/>
  <c r="S797" i="26"/>
  <c r="S799" i="26" s="1"/>
  <c r="S800" i="26" s="1"/>
  <c r="N819" i="26"/>
  <c r="S804" i="26"/>
  <c r="N832" i="26"/>
  <c r="N833" i="26" s="1"/>
  <c r="S822" i="26"/>
  <c r="S832" i="26"/>
  <c r="N845" i="26"/>
  <c r="S840" i="26"/>
  <c r="S845" i="26" s="1"/>
  <c r="N869" i="26"/>
  <c r="S848" i="26"/>
  <c r="S869" i="26"/>
  <c r="N876" i="26"/>
  <c r="S872" i="26"/>
  <c r="S876" i="26" s="1"/>
  <c r="N887" i="26"/>
  <c r="S879" i="26"/>
  <c r="A34" i="3"/>
  <c r="A35" i="3" s="1"/>
  <c r="A36" i="3" s="1"/>
  <c r="A37" i="3" s="1"/>
  <c r="A38" i="3" s="1"/>
  <c r="A39" i="3" s="1"/>
  <c r="A40" i="3" s="1"/>
  <c r="A41" i="3" s="1"/>
  <c r="A29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E17" i="12"/>
  <c r="H114" i="3"/>
  <c r="C119" i="17"/>
  <c r="K119" i="17" s="1"/>
  <c r="R607" i="27"/>
  <c r="R40" i="27"/>
  <c r="P56" i="27"/>
  <c r="P66" i="27" s="1"/>
  <c r="R775" i="27"/>
  <c r="R642" i="27"/>
  <c r="S596" i="27"/>
  <c r="S283" i="27"/>
  <c r="R214" i="27"/>
  <c r="P215" i="27"/>
  <c r="P216" i="27" s="1"/>
  <c r="P242" i="27" s="1"/>
  <c r="R272" i="27"/>
  <c r="P273" i="27"/>
  <c r="S192" i="27"/>
  <c r="N857" i="27"/>
  <c r="S899" i="27"/>
  <c r="R509" i="27"/>
  <c r="S509" i="27" s="1"/>
  <c r="R61" i="27"/>
  <c r="S61" i="27"/>
  <c r="S169" i="27"/>
  <c r="S178" i="27"/>
  <c r="S179" i="27" s="1"/>
  <c r="R178" i="27"/>
  <c r="R179" i="27" s="1"/>
  <c r="P910" i="27"/>
  <c r="P912" i="27" s="1"/>
  <c r="S685" i="27"/>
  <c r="S275" i="27"/>
  <c r="R248" i="27"/>
  <c r="P250" i="27"/>
  <c r="R240" i="27"/>
  <c r="I8" i="3"/>
  <c r="L8" i="3" s="1"/>
  <c r="M8" i="3" s="1"/>
  <c r="N757" i="26"/>
  <c r="N835" i="26" s="1"/>
  <c r="S337" i="26"/>
  <c r="S280" i="26"/>
  <c r="R270" i="26"/>
  <c r="S269" i="26"/>
  <c r="S270" i="26" s="1"/>
  <c r="S259" i="26"/>
  <c r="S245" i="26"/>
  <c r="R61" i="26"/>
  <c r="S61" i="26"/>
  <c r="N35" i="26"/>
  <c r="E56" i="16"/>
  <c r="R250" i="27"/>
  <c r="S248" i="27"/>
  <c r="S250" i="27" s="1"/>
  <c r="S40" i="27"/>
  <c r="S607" i="27"/>
  <c r="R273" i="27"/>
  <c r="S272" i="27"/>
  <c r="S273" i="27" s="1"/>
  <c r="R910" i="27"/>
  <c r="R912" i="27" s="1"/>
  <c r="S908" i="27"/>
  <c r="S910" i="27"/>
  <c r="S214" i="27"/>
  <c r="R215" i="27"/>
  <c r="R216" i="27" s="1"/>
  <c r="S775" i="27"/>
  <c r="I35" i="17"/>
  <c r="H35" i="17"/>
  <c r="G35" i="17"/>
  <c r="J19" i="17"/>
  <c r="J23" i="17"/>
  <c r="I19" i="17"/>
  <c r="I23" i="17"/>
  <c r="H19" i="17"/>
  <c r="H23" i="17"/>
  <c r="G19" i="17"/>
  <c r="G23" i="17"/>
  <c r="E48" i="23"/>
  <c r="E47" i="23"/>
  <c r="E46" i="23"/>
  <c r="E49" i="23" s="1"/>
  <c r="E45" i="23"/>
  <c r="G45" i="23"/>
  <c r="E44" i="23"/>
  <c r="E33" i="20"/>
  <c r="E34" i="20" s="1"/>
  <c r="E32" i="20"/>
  <c r="E31" i="20"/>
  <c r="E30" i="20"/>
  <c r="E27" i="20"/>
  <c r="E36" i="20" s="1"/>
  <c r="E25" i="20"/>
  <c r="E24" i="20"/>
  <c r="E21" i="20"/>
  <c r="E20" i="20"/>
  <c r="E19" i="20"/>
  <c r="E18" i="20"/>
  <c r="E17" i="20"/>
  <c r="E16" i="20"/>
  <c r="E15" i="20"/>
  <c r="E14" i="20"/>
  <c r="E22" i="20" s="1"/>
  <c r="E10" i="20"/>
  <c r="E9" i="20"/>
  <c r="E8" i="20"/>
  <c r="E7" i="20"/>
  <c r="E6" i="20"/>
  <c r="E5" i="20"/>
  <c r="E4" i="20"/>
  <c r="E3" i="20"/>
  <c r="E2" i="20"/>
  <c r="E11" i="20" s="1"/>
  <c r="E28" i="23"/>
  <c r="E27" i="23"/>
  <c r="E26" i="23"/>
  <c r="E25" i="23"/>
  <c r="E24" i="23"/>
  <c r="E29" i="23" s="1"/>
  <c r="E23" i="23"/>
  <c r="E22" i="23"/>
  <c r="E21" i="23"/>
  <c r="F9" i="23"/>
  <c r="G9" i="23" s="1"/>
  <c r="E17" i="23"/>
  <c r="E16" i="23"/>
  <c r="E15" i="23"/>
  <c r="E14" i="23"/>
  <c r="E13" i="23"/>
  <c r="E12" i="23"/>
  <c r="E11" i="23"/>
  <c r="E10" i="23"/>
  <c r="E9" i="23"/>
  <c r="N68" i="23"/>
  <c r="A58" i="23"/>
  <c r="D55" i="23"/>
  <c r="D54" i="23"/>
  <c r="D52" i="23"/>
  <c r="D51" i="23"/>
  <c r="D28" i="23"/>
  <c r="D36" i="23" s="1"/>
  <c r="D27" i="23"/>
  <c r="D40" i="23" s="1"/>
  <c r="D26" i="23"/>
  <c r="D35" i="23" s="1"/>
  <c r="D25" i="23"/>
  <c r="D39" i="23" s="1"/>
  <c r="D24" i="23"/>
  <c r="D34" i="23" s="1"/>
  <c r="D23" i="23"/>
  <c r="D38" i="23" s="1"/>
  <c r="D22" i="23"/>
  <c r="D33" i="23" s="1"/>
  <c r="D21" i="23"/>
  <c r="D32" i="23" s="1"/>
  <c r="D17" i="23"/>
  <c r="D16" i="23"/>
  <c r="D15" i="23"/>
  <c r="D14" i="23"/>
  <c r="D13" i="23"/>
  <c r="D12" i="23"/>
  <c r="D11" i="23"/>
  <c r="D10" i="23"/>
  <c r="D9" i="23"/>
  <c r="E18" i="23"/>
  <c r="N68" i="21"/>
  <c r="D53" i="22"/>
  <c r="D54" i="22"/>
  <c r="D51" i="22"/>
  <c r="D50" i="22"/>
  <c r="E47" i="22"/>
  <c r="E46" i="22"/>
  <c r="E45" i="22"/>
  <c r="E48" i="22" s="1"/>
  <c r="E44" i="22"/>
  <c r="E43" i="22"/>
  <c r="E28" i="22"/>
  <c r="E27" i="22"/>
  <c r="E26" i="22"/>
  <c r="E25" i="22"/>
  <c r="E24" i="22"/>
  <c r="E23" i="22"/>
  <c r="E29" i="22" s="1"/>
  <c r="E22" i="22"/>
  <c r="E21" i="22"/>
  <c r="F9" i="22"/>
  <c r="M2" i="20"/>
  <c r="M11" i="20" s="1"/>
  <c r="E17" i="22"/>
  <c r="E16" i="22"/>
  <c r="E15" i="22"/>
  <c r="E14" i="22"/>
  <c r="E13" i="22"/>
  <c r="E12" i="22"/>
  <c r="E11" i="22"/>
  <c r="E10" i="22"/>
  <c r="E9" i="22"/>
  <c r="I33" i="20"/>
  <c r="I32" i="20"/>
  <c r="I31" i="20"/>
  <c r="I34" i="20" s="1"/>
  <c r="I36" i="20" s="1"/>
  <c r="I30" i="20"/>
  <c r="I25" i="20"/>
  <c r="I27" i="20"/>
  <c r="I24" i="20"/>
  <c r="I10" i="20"/>
  <c r="I9" i="20"/>
  <c r="I8" i="20"/>
  <c r="I7" i="20"/>
  <c r="I6" i="20"/>
  <c r="I5" i="20"/>
  <c r="I4" i="20"/>
  <c r="I3" i="20"/>
  <c r="I2" i="20"/>
  <c r="K11" i="20"/>
  <c r="N67" i="22"/>
  <c r="A57" i="22"/>
  <c r="G44" i="22"/>
  <c r="D28" i="22"/>
  <c r="D38" i="22" s="1"/>
  <c r="D27" i="22"/>
  <c r="D37" i="22" s="1"/>
  <c r="D26" i="22"/>
  <c r="D36" i="22" s="1"/>
  <c r="D25" i="22"/>
  <c r="D35" i="22" s="1"/>
  <c r="D24" i="22"/>
  <c r="D34" i="22" s="1"/>
  <c r="D23" i="22"/>
  <c r="D22" i="22"/>
  <c r="D32" i="22"/>
  <c r="D21" i="22"/>
  <c r="D31" i="22"/>
  <c r="D17" i="22"/>
  <c r="D16" i="22"/>
  <c r="D15" i="22"/>
  <c r="D14" i="22"/>
  <c r="D13" i="22"/>
  <c r="D12" i="22"/>
  <c r="D11" i="22"/>
  <c r="D10" i="22"/>
  <c r="D9" i="22"/>
  <c r="M25" i="20"/>
  <c r="K34" i="20"/>
  <c r="K36" i="20"/>
  <c r="C34" i="20"/>
  <c r="C36" i="20"/>
  <c r="G34" i="20"/>
  <c r="G36" i="20"/>
  <c r="M10" i="20"/>
  <c r="M9" i="20"/>
  <c r="M8" i="20"/>
  <c r="M7" i="20"/>
  <c r="M6" i="20"/>
  <c r="M5" i="20"/>
  <c r="M4" i="20"/>
  <c r="M3" i="20"/>
  <c r="L11" i="20"/>
  <c r="A58" i="21"/>
  <c r="D53" i="21"/>
  <c r="D52" i="21"/>
  <c r="D51" i="21"/>
  <c r="D54" i="21"/>
  <c r="D50" i="21"/>
  <c r="E44" i="21"/>
  <c r="G44" i="21" s="1"/>
  <c r="E43" i="21"/>
  <c r="E28" i="21"/>
  <c r="E27" i="21"/>
  <c r="E26" i="21"/>
  <c r="E25" i="21"/>
  <c r="E24" i="21"/>
  <c r="E23" i="21"/>
  <c r="E22" i="21"/>
  <c r="E21" i="21"/>
  <c r="E29" i="21" s="1"/>
  <c r="D28" i="21"/>
  <c r="D37" i="21"/>
  <c r="D27" i="21"/>
  <c r="D36" i="21"/>
  <c r="D26" i="21"/>
  <c r="D35" i="21"/>
  <c r="D25" i="21"/>
  <c r="D34" i="21"/>
  <c r="D24" i="21"/>
  <c r="D33" i="21"/>
  <c r="D23" i="21"/>
  <c r="D39" i="21"/>
  <c r="D22" i="21"/>
  <c r="D32" i="21"/>
  <c r="D21" i="21"/>
  <c r="D31" i="21"/>
  <c r="F9" i="21"/>
  <c r="E17" i="21"/>
  <c r="E16" i="21"/>
  <c r="E15" i="21"/>
  <c r="E14" i="21"/>
  <c r="E13" i="21"/>
  <c r="E12" i="21"/>
  <c r="E11" i="21"/>
  <c r="E10" i="21"/>
  <c r="E9" i="21"/>
  <c r="E18" i="21" s="1"/>
  <c r="D17" i="21"/>
  <c r="D16" i="21"/>
  <c r="D15" i="21"/>
  <c r="D14" i="21"/>
  <c r="D13" i="21"/>
  <c r="D12" i="21"/>
  <c r="D11" i="21"/>
  <c r="D10" i="21"/>
  <c r="D9" i="21"/>
  <c r="I11" i="20"/>
  <c r="E18" i="22"/>
  <c r="G9" i="22"/>
  <c r="E48" i="21"/>
  <c r="C11" i="20"/>
  <c r="K22" i="20"/>
  <c r="G22" i="20"/>
  <c r="C22" i="20"/>
  <c r="G11" i="20"/>
  <c r="Q163" i="17"/>
  <c r="Q167" i="17" s="1"/>
  <c r="M179" i="17"/>
  <c r="O179" i="17"/>
  <c r="Q179" i="17"/>
  <c r="K156" i="17"/>
  <c r="K157" i="17"/>
  <c r="K160" i="17"/>
  <c r="K161" i="17"/>
  <c r="K163" i="17" s="1"/>
  <c r="I179" i="17"/>
  <c r="H179" i="17"/>
  <c r="G179" i="17"/>
  <c r="S177" i="17"/>
  <c r="K177" i="17"/>
  <c r="S176" i="17"/>
  <c r="K176" i="17"/>
  <c r="S175" i="17"/>
  <c r="K175" i="17"/>
  <c r="S174" i="17"/>
  <c r="K174" i="17"/>
  <c r="S173" i="17"/>
  <c r="S179" i="17" s="1"/>
  <c r="K173" i="17"/>
  <c r="S172" i="17"/>
  <c r="K172" i="17"/>
  <c r="U171" i="17"/>
  <c r="U179" i="17" s="1"/>
  <c r="S171" i="17"/>
  <c r="K171" i="17"/>
  <c r="S170" i="17"/>
  <c r="E179" i="17"/>
  <c r="K170" i="17"/>
  <c r="U165" i="17"/>
  <c r="S165" i="17"/>
  <c r="K165" i="17"/>
  <c r="O163" i="17"/>
  <c r="O167" i="17"/>
  <c r="M163" i="17"/>
  <c r="M167" i="17"/>
  <c r="M181" i="17" s="1"/>
  <c r="J163" i="17"/>
  <c r="J167" i="17"/>
  <c r="I163" i="17"/>
  <c r="I167" i="17"/>
  <c r="H163" i="17"/>
  <c r="H167" i="17"/>
  <c r="G163" i="17"/>
  <c r="G167" i="17"/>
  <c r="U161" i="17"/>
  <c r="S161" i="17"/>
  <c r="S160" i="17"/>
  <c r="S159" i="17"/>
  <c r="K159" i="17"/>
  <c r="S158" i="17"/>
  <c r="K158" i="17"/>
  <c r="S157" i="17"/>
  <c r="S156" i="17"/>
  <c r="S155" i="17"/>
  <c r="K155" i="17"/>
  <c r="S154" i="17"/>
  <c r="S163" i="17" s="1"/>
  <c r="S167" i="17" s="1"/>
  <c r="S181" i="17" s="1"/>
  <c r="E163" i="17"/>
  <c r="E167" i="17"/>
  <c r="K154" i="17"/>
  <c r="U153" i="17"/>
  <c r="U163" i="17" s="1"/>
  <c r="U167" i="17" s="1"/>
  <c r="U181" i="17" s="1"/>
  <c r="S153" i="17"/>
  <c r="K153" i="17"/>
  <c r="C97" i="17"/>
  <c r="G97" i="17" s="1"/>
  <c r="G111" i="17"/>
  <c r="H111" i="17"/>
  <c r="I111" i="17"/>
  <c r="K97" i="17"/>
  <c r="C58" i="17" s="1"/>
  <c r="K58" i="17" s="1"/>
  <c r="C21" i="17" s="1"/>
  <c r="K21" i="17" s="1"/>
  <c r="K179" i="17"/>
  <c r="U154" i="17"/>
  <c r="U155" i="17"/>
  <c r="U156" i="17"/>
  <c r="U157" i="17"/>
  <c r="U170" i="17"/>
  <c r="U172" i="17"/>
  <c r="U173" i="17"/>
  <c r="U174" i="17"/>
  <c r="U175" i="17"/>
  <c r="U176" i="17"/>
  <c r="C179" i="17"/>
  <c r="U158" i="17"/>
  <c r="U159" i="17"/>
  <c r="U160" i="17"/>
  <c r="C163" i="17"/>
  <c r="C181" i="17" s="1"/>
  <c r="U177" i="17"/>
  <c r="C167" i="17"/>
  <c r="I145" i="17"/>
  <c r="H145" i="17"/>
  <c r="G145" i="17"/>
  <c r="J129" i="17"/>
  <c r="J133" i="17"/>
  <c r="I129" i="17"/>
  <c r="I133" i="17" s="1"/>
  <c r="H129" i="17"/>
  <c r="H133" i="17"/>
  <c r="G129" i="17"/>
  <c r="G133" i="17" s="1"/>
  <c r="G95" i="17"/>
  <c r="G99" i="17" s="1"/>
  <c r="G56" i="17"/>
  <c r="G60" i="17" s="1"/>
  <c r="H56" i="17"/>
  <c r="H60" i="17" s="1"/>
  <c r="I56" i="17"/>
  <c r="I60" i="17" s="1"/>
  <c r="J56" i="17"/>
  <c r="J60" i="17" s="1"/>
  <c r="G72" i="17"/>
  <c r="H72" i="17"/>
  <c r="I72" i="17"/>
  <c r="C77" i="17"/>
  <c r="K77" i="17"/>
  <c r="J95" i="17"/>
  <c r="J99" i="17"/>
  <c r="I95" i="17"/>
  <c r="I99" i="17"/>
  <c r="H95" i="17"/>
  <c r="H99" i="17"/>
  <c r="E55" i="16"/>
  <c r="F56" i="16" s="1"/>
  <c r="E14" i="17" s="1"/>
  <c r="AY315" i="13"/>
  <c r="A7" i="13"/>
  <c r="A10" i="13"/>
  <c r="A11" i="13" s="1"/>
  <c r="A12" i="13" s="1"/>
  <c r="A13" i="13" s="1"/>
  <c r="A14" i="13" s="1"/>
  <c r="A15" i="13" s="1"/>
  <c r="A16" i="13" s="1"/>
  <c r="A19" i="13"/>
  <c r="A20" i="13" s="1"/>
  <c r="A21" i="13" s="1"/>
  <c r="A24" i="13"/>
  <c r="A29" i="13"/>
  <c r="A30" i="13" s="1"/>
  <c r="A31" i="13" s="1"/>
  <c r="A32" i="13" s="1"/>
  <c r="A33" i="13" s="1"/>
  <c r="BC3" i="16"/>
  <c r="AZ3" i="16"/>
  <c r="T16" i="11"/>
  <c r="U16" i="11"/>
  <c r="BH3" i="11"/>
  <c r="BG3" i="11"/>
  <c r="F8" i="9"/>
  <c r="F6" i="9"/>
  <c r="AD6" i="9" s="1"/>
  <c r="A6" i="9"/>
  <c r="A7" i="9" s="1"/>
  <c r="A8" i="9" s="1"/>
  <c r="BC4" i="9"/>
  <c r="AG56" i="10"/>
  <c r="AH56" i="10" s="1"/>
  <c r="AG48" i="10"/>
  <c r="AH48" i="10" s="1"/>
  <c r="AG52" i="10"/>
  <c r="AH52" i="10" s="1"/>
  <c r="AG57" i="10"/>
  <c r="AH57" i="10" s="1"/>
  <c r="AG51" i="10"/>
  <c r="AH51" i="10" s="1"/>
  <c r="AG49" i="10"/>
  <c r="AH49" i="10" s="1"/>
  <c r="BC3" i="9"/>
  <c r="BF6" i="3"/>
  <c r="BE6" i="3"/>
  <c r="I52" i="7"/>
  <c r="I53" i="7" s="1"/>
  <c r="I51" i="7"/>
  <c r="BE5" i="3"/>
  <c r="J49" i="7"/>
  <c r="J50" i="7" s="1"/>
  <c r="M55" i="7"/>
  <c r="N33" i="7"/>
  <c r="N24" i="7"/>
  <c r="M56" i="7" s="1"/>
  <c r="M57" i="7" s="1"/>
  <c r="N35" i="7"/>
  <c r="N32" i="7"/>
  <c r="N31" i="7"/>
  <c r="N41" i="7"/>
  <c r="N40" i="7"/>
  <c r="N39" i="7"/>
  <c r="N38" i="7"/>
  <c r="N37" i="7"/>
  <c r="N36" i="7"/>
  <c r="N43" i="7"/>
  <c r="N42" i="7"/>
  <c r="N30" i="7"/>
  <c r="N29" i="7"/>
  <c r="N28" i="7"/>
  <c r="N27" i="7"/>
  <c r="N47" i="7"/>
  <c r="N46" i="7"/>
  <c r="N45" i="7"/>
  <c r="N44" i="7"/>
  <c r="N25" i="7"/>
  <c r="N23" i="7"/>
  <c r="N22" i="7"/>
  <c r="N21" i="7"/>
  <c r="N20" i="7"/>
  <c r="N19" i="7"/>
  <c r="N18" i="7"/>
  <c r="N17" i="7"/>
  <c r="N16" i="7"/>
  <c r="N15" i="7"/>
  <c r="N14" i="7"/>
  <c r="N13" i="7"/>
  <c r="I48" i="7"/>
  <c r="J48" i="7" s="1"/>
  <c r="I49" i="7"/>
  <c r="I50" i="7"/>
  <c r="AS8" i="9" l="1"/>
  <c r="AV8" i="9"/>
  <c r="AS10" i="9"/>
  <c r="AV10" i="9"/>
  <c r="AS12" i="9"/>
  <c r="AV12" i="9"/>
  <c r="AM13" i="9"/>
  <c r="AV13" i="9"/>
  <c r="AM14" i="9"/>
  <c r="AV14" i="9"/>
  <c r="AM15" i="9"/>
  <c r="AV15" i="9"/>
  <c r="AS17" i="9"/>
  <c r="AV17" i="9"/>
  <c r="AM18" i="9"/>
  <c r="AV18" i="9"/>
  <c r="AM19" i="9"/>
  <c r="AV19" i="9"/>
  <c r="AS26" i="9"/>
  <c r="AV26" i="9"/>
  <c r="AM41" i="15"/>
  <c r="AV41" i="15"/>
  <c r="AM40" i="15"/>
  <c r="AV40" i="15"/>
  <c r="AM35" i="15"/>
  <c r="AV35" i="15"/>
  <c r="AM34" i="15"/>
  <c r="AV34" i="15"/>
  <c r="AM32" i="15"/>
  <c r="AV32" i="15"/>
  <c r="AM31" i="15"/>
  <c r="AV31" i="15"/>
  <c r="AM30" i="15"/>
  <c r="AV30" i="15"/>
  <c r="AM29" i="15"/>
  <c r="AV29" i="15"/>
  <c r="AM28" i="15"/>
  <c r="AV28" i="15"/>
  <c r="AM27" i="15"/>
  <c r="AV27" i="15"/>
  <c r="AM26" i="15"/>
  <c r="AV26" i="15"/>
  <c r="AM25" i="15"/>
  <c r="AV25" i="15"/>
  <c r="AM24" i="15"/>
  <c r="AV24" i="15"/>
  <c r="AM23" i="15"/>
  <c r="AV23" i="15"/>
  <c r="AM22" i="15"/>
  <c r="AV22" i="15"/>
  <c r="AM21" i="15"/>
  <c r="AV21" i="15"/>
  <c r="AM20" i="15"/>
  <c r="AV20" i="15"/>
  <c r="AM19" i="15"/>
  <c r="AV19" i="15"/>
  <c r="AM18" i="15"/>
  <c r="AV18" i="15"/>
  <c r="AM17" i="15"/>
  <c r="AV17" i="15"/>
  <c r="AM16" i="15"/>
  <c r="AV16" i="15"/>
  <c r="AM15" i="15"/>
  <c r="AV15" i="15"/>
  <c r="AM14" i="15"/>
  <c r="AV14" i="15"/>
  <c r="AM13" i="15"/>
  <c r="AV13" i="15"/>
  <c r="AM12" i="15"/>
  <c r="AV12" i="15"/>
  <c r="AM11" i="15"/>
  <c r="AV11" i="15"/>
  <c r="AM10" i="15"/>
  <c r="AV10" i="15"/>
  <c r="AM9" i="15"/>
  <c r="AV9" i="15"/>
  <c r="AM8" i="15"/>
  <c r="AV8" i="15"/>
  <c r="AM7" i="15"/>
  <c r="AV7" i="15"/>
  <c r="AM6" i="15"/>
  <c r="AV6" i="15"/>
  <c r="AM5" i="15"/>
  <c r="AV5" i="15"/>
  <c r="AQ12" i="11"/>
  <c r="AZ12" i="11"/>
  <c r="T10" i="11"/>
  <c r="AZ10" i="11"/>
  <c r="W15" i="11"/>
  <c r="AZ15" i="11"/>
  <c r="AS16" i="9"/>
  <c r="AM16" i="9"/>
  <c r="AS20" i="9"/>
  <c r="AM20" i="9"/>
  <c r="AS21" i="9"/>
  <c r="AM21" i="9"/>
  <c r="AS22" i="9"/>
  <c r="AM22" i="9"/>
  <c r="AS23" i="9"/>
  <c r="AM23" i="9"/>
  <c r="AS24" i="9"/>
  <c r="AM24" i="9"/>
  <c r="AS25" i="9"/>
  <c r="AM25" i="9"/>
  <c r="AS27" i="9"/>
  <c r="AM27" i="9"/>
  <c r="AS28" i="9"/>
  <c r="AM28" i="9"/>
  <c r="AS30" i="9"/>
  <c r="AM30" i="9"/>
  <c r="AS105" i="10"/>
  <c r="AV105" i="10"/>
  <c r="AM75" i="10"/>
  <c r="AM27" i="10"/>
  <c r="AS115" i="10"/>
  <c r="AS114" i="10"/>
  <c r="AS101" i="10"/>
  <c r="AS98" i="10"/>
  <c r="AS97" i="10"/>
  <c r="AS96" i="10"/>
  <c r="AS94" i="10"/>
  <c r="AS92" i="10"/>
  <c r="AS91" i="10"/>
  <c r="AS88" i="10"/>
  <c r="AS86" i="10"/>
  <c r="AS85" i="10"/>
  <c r="AS73" i="10"/>
  <c r="AS69" i="10"/>
  <c r="AS67" i="10"/>
  <c r="AS65" i="10"/>
  <c r="AS64" i="10"/>
  <c r="AS63" i="10"/>
  <c r="AS62" i="10"/>
  <c r="AS61" i="10"/>
  <c r="AS26" i="10"/>
  <c r="AS25" i="10"/>
  <c r="AS22" i="10"/>
  <c r="AS21" i="10"/>
  <c r="AS18" i="10"/>
  <c r="AS16" i="10"/>
  <c r="AS15" i="10"/>
  <c r="AS14" i="10"/>
  <c r="AS12" i="10"/>
  <c r="AS9" i="10"/>
  <c r="AM30" i="10"/>
  <c r="AM31" i="10"/>
  <c r="AM32" i="10"/>
  <c r="AM33" i="10"/>
  <c r="AM34" i="10"/>
  <c r="AM35" i="10"/>
  <c r="AS37" i="10"/>
  <c r="AS38" i="10"/>
  <c r="AS39" i="10"/>
  <c r="AS40" i="10"/>
  <c r="AS41" i="10"/>
  <c r="AS42" i="10"/>
  <c r="AV42" i="10"/>
  <c r="AS43" i="10"/>
  <c r="AV43" i="10"/>
  <c r="AS44" i="10"/>
  <c r="AV44" i="10"/>
  <c r="AS45" i="10"/>
  <c r="AV45" i="10"/>
  <c r="AS46" i="10"/>
  <c r="AV46" i="10"/>
  <c r="AS47" i="10"/>
  <c r="AV47" i="10"/>
  <c r="AS48" i="10"/>
  <c r="AV48" i="10"/>
  <c r="AS49" i="10"/>
  <c r="AV49" i="10"/>
  <c r="AS50" i="10"/>
  <c r="AV50" i="10"/>
  <c r="AS51" i="10"/>
  <c r="AV51" i="10"/>
  <c r="AS52" i="10"/>
  <c r="AV52" i="10"/>
  <c r="AS53" i="10"/>
  <c r="AV53" i="10"/>
  <c r="AS54" i="10"/>
  <c r="AV54" i="10"/>
  <c r="AS55" i="10"/>
  <c r="AV55" i="10"/>
  <c r="AS56" i="10"/>
  <c r="AV56" i="10"/>
  <c r="AS57" i="10"/>
  <c r="AV57" i="10"/>
  <c r="AM76" i="10"/>
  <c r="AS77" i="10"/>
  <c r="AV77" i="10"/>
  <c r="AS78" i="10"/>
  <c r="AV78" i="10"/>
  <c r="AM28" i="10"/>
  <c r="AM29" i="10"/>
  <c r="AS79" i="10"/>
  <c r="AV79" i="10"/>
  <c r="AS36" i="15"/>
  <c r="AM36" i="15"/>
  <c r="AS37" i="15"/>
  <c r="AM37" i="15"/>
  <c r="AN37" i="15" s="1"/>
  <c r="AO37" i="15" s="1"/>
  <c r="AS5" i="16"/>
  <c r="AM5" i="16"/>
  <c r="AS6" i="16"/>
  <c r="AM6" i="16"/>
  <c r="AS7" i="16"/>
  <c r="AM7" i="16"/>
  <c r="AS8" i="16"/>
  <c r="AM8" i="16"/>
  <c r="AS9" i="16"/>
  <c r="AM9" i="16"/>
  <c r="AS10" i="16"/>
  <c r="AM10" i="16"/>
  <c r="AS11" i="16"/>
  <c r="AM11" i="16"/>
  <c r="AM183" i="13"/>
  <c r="AM182" i="13"/>
  <c r="AM181" i="13"/>
  <c r="AM180" i="13"/>
  <c r="AM179" i="13"/>
  <c r="AM178" i="13"/>
  <c r="AM177" i="13"/>
  <c r="AM176" i="13"/>
  <c r="AM175" i="13"/>
  <c r="AM174" i="13"/>
  <c r="AM57" i="13"/>
  <c r="AM56" i="13"/>
  <c r="AM55" i="13"/>
  <c r="AM54" i="13"/>
  <c r="AM53" i="13"/>
  <c r="AM19" i="13"/>
  <c r="AM20" i="13"/>
  <c r="AM21" i="13"/>
  <c r="AM23" i="13"/>
  <c r="AM24" i="13"/>
  <c r="AM28" i="13"/>
  <c r="AM29" i="13"/>
  <c r="AM30" i="13"/>
  <c r="AM31" i="13"/>
  <c r="AM32" i="13"/>
  <c r="AM33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S58" i="13"/>
  <c r="AS59" i="13"/>
  <c r="AM73" i="13"/>
  <c r="AM74" i="13"/>
  <c r="AM75" i="13"/>
  <c r="AM79" i="13"/>
  <c r="AM83" i="13"/>
  <c r="AM84" i="13"/>
  <c r="AM85" i="13"/>
  <c r="AM86" i="13"/>
  <c r="AM91" i="13"/>
  <c r="AM92" i="13"/>
  <c r="AM93" i="13"/>
  <c r="AM94" i="13"/>
  <c r="AM96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9" i="13"/>
  <c r="AM150" i="13"/>
  <c r="AM151" i="13"/>
  <c r="AM152" i="13"/>
  <c r="AM153" i="13"/>
  <c r="AM154" i="13"/>
  <c r="AM164" i="13"/>
  <c r="AM169" i="13"/>
  <c r="AM170" i="13"/>
  <c r="AM171" i="13"/>
  <c r="AM184" i="13"/>
  <c r="AM185" i="13"/>
  <c r="AM188" i="13"/>
  <c r="AM192" i="13"/>
  <c r="AM193" i="13"/>
  <c r="AM118" i="13"/>
  <c r="AT11" i="11"/>
  <c r="AN11" i="11"/>
  <c r="AW11" i="11"/>
  <c r="AW29" i="11" s="1"/>
  <c r="AT22" i="14"/>
  <c r="AN22" i="14"/>
  <c r="AW22" i="14"/>
  <c r="AT13" i="14"/>
  <c r="AN13" i="14"/>
  <c r="AW13" i="14"/>
  <c r="AW40" i="14" s="1"/>
  <c r="AQ13" i="14"/>
  <c r="AT8" i="3"/>
  <c r="AN8" i="3"/>
  <c r="AT9" i="3"/>
  <c r="AN9" i="3"/>
  <c r="AT11" i="3"/>
  <c r="AN11" i="3"/>
  <c r="AT12" i="3"/>
  <c r="AN12" i="3"/>
  <c r="AT13" i="3"/>
  <c r="AN13" i="3"/>
  <c r="AT14" i="3"/>
  <c r="AN14" i="3"/>
  <c r="AT15" i="3"/>
  <c r="AN15" i="3"/>
  <c r="AT16" i="3"/>
  <c r="AN16" i="3"/>
  <c r="AT17" i="3"/>
  <c r="AN17" i="3"/>
  <c r="AT18" i="3"/>
  <c r="AN18" i="3"/>
  <c r="AT19" i="3"/>
  <c r="AN19" i="3"/>
  <c r="AT20" i="3"/>
  <c r="AN20" i="3"/>
  <c r="AT21" i="3"/>
  <c r="AN21" i="3"/>
  <c r="AT22" i="3"/>
  <c r="AN22" i="3"/>
  <c r="AN25" i="3"/>
  <c r="AT25" i="3"/>
  <c r="AN26" i="3"/>
  <c r="AT26" i="3"/>
  <c r="AN34" i="3"/>
  <c r="AT34" i="3"/>
  <c r="AN35" i="3"/>
  <c r="AT35" i="3"/>
  <c r="AN36" i="3"/>
  <c r="AT36" i="3"/>
  <c r="AN37" i="3"/>
  <c r="AT37" i="3"/>
  <c r="AN38" i="3"/>
  <c r="AT38" i="3"/>
  <c r="AN39" i="3"/>
  <c r="AT39" i="3"/>
  <c r="AN43" i="3"/>
  <c r="AT43" i="3"/>
  <c r="AN45" i="3"/>
  <c r="AT45" i="3"/>
  <c r="AN46" i="3"/>
  <c r="AT46" i="3"/>
  <c r="AN48" i="3"/>
  <c r="AT48" i="3"/>
  <c r="AN49" i="3"/>
  <c r="AT49" i="3"/>
  <c r="AN50" i="3"/>
  <c r="AT50" i="3"/>
  <c r="AN51" i="3"/>
  <c r="AT51" i="3"/>
  <c r="AN52" i="3"/>
  <c r="AT52" i="3"/>
  <c r="AN53" i="3"/>
  <c r="AT53" i="3"/>
  <c r="AN57" i="3"/>
  <c r="AT57" i="3"/>
  <c r="AN61" i="3"/>
  <c r="AT61" i="3"/>
  <c r="AN64" i="3"/>
  <c r="AT64" i="3"/>
  <c r="AN67" i="3"/>
  <c r="AT67" i="3"/>
  <c r="AN69" i="3"/>
  <c r="AT69" i="3"/>
  <c r="AN70" i="3"/>
  <c r="AT70" i="3"/>
  <c r="AN74" i="3"/>
  <c r="AT74" i="3"/>
  <c r="AN76" i="3"/>
  <c r="AT76" i="3"/>
  <c r="AN109" i="3"/>
  <c r="AT109" i="3"/>
  <c r="AT7" i="3"/>
  <c r="AN7" i="3"/>
  <c r="AA41" i="3"/>
  <c r="AA40" i="3"/>
  <c r="AA46" i="3"/>
  <c r="AA47" i="3"/>
  <c r="AA56" i="3"/>
  <c r="AA59" i="3"/>
  <c r="AA58" i="3"/>
  <c r="AA60" i="3"/>
  <c r="G66" i="3"/>
  <c r="G65" i="3"/>
  <c r="AN78" i="3"/>
  <c r="AT78" i="3"/>
  <c r="G55" i="3"/>
  <c r="AI49" i="10"/>
  <c r="AI56" i="10"/>
  <c r="AM105" i="10"/>
  <c r="AM36" i="10"/>
  <c r="AS36" i="10"/>
  <c r="AM37" i="10"/>
  <c r="AM38" i="10"/>
  <c r="AM39" i="10"/>
  <c r="AM40" i="10"/>
  <c r="AM41" i="10"/>
  <c r="AM42" i="10"/>
  <c r="AM43" i="10"/>
  <c r="AM44" i="10"/>
  <c r="AN44" i="10" s="1"/>
  <c r="AO44" i="10" s="1"/>
  <c r="AM45" i="10"/>
  <c r="AN45" i="10" s="1"/>
  <c r="AO45" i="10" s="1"/>
  <c r="AM46" i="10"/>
  <c r="AM47" i="10"/>
  <c r="AM48" i="10"/>
  <c r="AN48" i="10" s="1"/>
  <c r="AO48" i="10" s="1"/>
  <c r="AM49" i="10"/>
  <c r="AN49" i="10" s="1"/>
  <c r="AO49" i="10" s="1"/>
  <c r="AM50" i="10"/>
  <c r="AM51" i="10"/>
  <c r="AN51" i="10" s="1"/>
  <c r="AO51" i="10" s="1"/>
  <c r="AM52" i="10"/>
  <c r="AN52" i="10" s="1"/>
  <c r="AO52" i="10" s="1"/>
  <c r="AM53" i="10"/>
  <c r="AM54" i="10"/>
  <c r="AM55" i="10"/>
  <c r="AM56" i="10"/>
  <c r="AN56" i="10" s="1"/>
  <c r="AO56" i="10" s="1"/>
  <c r="AM57" i="10"/>
  <c r="AN57" i="10" s="1"/>
  <c r="AO57" i="10" s="1"/>
  <c r="AM77" i="10"/>
  <c r="AM78" i="10"/>
  <c r="AN78" i="10" s="1"/>
  <c r="AO78" i="10" s="1"/>
  <c r="AM79" i="10"/>
  <c r="AN79" i="10" s="1"/>
  <c r="AO79" i="10" s="1"/>
  <c r="AS12" i="13"/>
  <c r="AM12" i="13"/>
  <c r="AS89" i="13"/>
  <c r="AM89" i="13"/>
  <c r="AS213" i="13"/>
  <c r="AM213" i="13"/>
  <c r="AS206" i="13"/>
  <c r="AM206" i="13"/>
  <c r="AS226" i="13"/>
  <c r="AM226" i="13"/>
  <c r="AS7" i="13"/>
  <c r="AM7" i="13"/>
  <c r="AS13" i="13"/>
  <c r="AM13" i="13"/>
  <c r="AS14" i="13"/>
  <c r="AM14" i="13"/>
  <c r="AS15" i="13"/>
  <c r="AM15" i="13"/>
  <c r="AS16" i="13"/>
  <c r="AM16" i="13"/>
  <c r="AS18" i="13"/>
  <c r="AM18" i="13"/>
  <c r="AS26" i="13"/>
  <c r="AM26" i="13"/>
  <c r="AS35" i="13"/>
  <c r="AM35" i="13"/>
  <c r="AS36" i="13"/>
  <c r="AM36" i="13"/>
  <c r="AM58" i="13"/>
  <c r="AM59" i="13"/>
  <c r="AS60" i="13"/>
  <c r="AM60" i="13"/>
  <c r="AS61" i="13"/>
  <c r="AM61" i="13"/>
  <c r="AS62" i="13"/>
  <c r="AM62" i="13"/>
  <c r="AS63" i="13"/>
  <c r="AM63" i="13"/>
  <c r="AS64" i="13"/>
  <c r="AM64" i="13"/>
  <c r="AS65" i="13"/>
  <c r="AM65" i="13"/>
  <c r="AS66" i="13"/>
  <c r="AM66" i="13"/>
  <c r="AS67" i="13"/>
  <c r="AM67" i="13"/>
  <c r="AS68" i="13"/>
  <c r="AM68" i="13"/>
  <c r="AS69" i="13"/>
  <c r="AM69" i="13"/>
  <c r="AS70" i="13"/>
  <c r="AM70" i="13"/>
  <c r="AS71" i="13"/>
  <c r="AM71" i="13"/>
  <c r="AS194" i="13"/>
  <c r="AM194" i="13"/>
  <c r="AS196" i="13"/>
  <c r="AM196" i="13"/>
  <c r="AS197" i="13"/>
  <c r="AM197" i="13"/>
  <c r="AS198" i="13"/>
  <c r="AM198" i="13"/>
  <c r="AS200" i="13"/>
  <c r="AM200" i="13"/>
  <c r="AS201" i="13"/>
  <c r="AM201" i="13"/>
  <c r="AS202" i="13"/>
  <c r="AM202" i="13"/>
  <c r="AS204" i="13"/>
  <c r="AM204" i="13"/>
  <c r="AS207" i="13"/>
  <c r="AM207" i="13"/>
  <c r="AS208" i="13"/>
  <c r="AM208" i="13"/>
  <c r="AS209" i="13"/>
  <c r="AM209" i="13"/>
  <c r="AS211" i="13"/>
  <c r="AM211" i="13"/>
  <c r="AS212" i="13"/>
  <c r="AM212" i="13"/>
  <c r="AS215" i="13"/>
  <c r="AM215" i="13"/>
  <c r="AS216" i="13"/>
  <c r="AM216" i="13"/>
  <c r="AS217" i="13"/>
  <c r="AM217" i="13"/>
  <c r="AS218" i="13"/>
  <c r="AM218" i="13"/>
  <c r="AS219" i="13"/>
  <c r="AM219" i="13"/>
  <c r="AS220" i="13"/>
  <c r="AM220" i="13"/>
  <c r="AS221" i="13"/>
  <c r="AM221" i="13"/>
  <c r="AS222" i="13"/>
  <c r="AM222" i="13"/>
  <c r="AS223" i="13"/>
  <c r="AM223" i="13"/>
  <c r="AS224" i="13"/>
  <c r="AM224" i="13"/>
  <c r="AS227" i="13"/>
  <c r="AM227" i="13"/>
  <c r="AS228" i="13"/>
  <c r="AM228" i="13"/>
  <c r="AS229" i="13"/>
  <c r="AM229" i="13"/>
  <c r="AS230" i="13"/>
  <c r="AM230" i="13"/>
  <c r="AS231" i="13"/>
  <c r="AM231" i="13"/>
  <c r="AS232" i="13"/>
  <c r="AM232" i="13"/>
  <c r="AS233" i="13"/>
  <c r="AM233" i="13"/>
  <c r="AS234" i="13"/>
  <c r="AM234" i="13"/>
  <c r="AS235" i="13"/>
  <c r="AM235" i="13"/>
  <c r="AS236" i="13"/>
  <c r="AM236" i="13"/>
  <c r="AS237" i="13"/>
  <c r="AM237" i="13"/>
  <c r="AS238" i="13"/>
  <c r="AM238" i="13"/>
  <c r="AS310" i="13"/>
  <c r="AM310" i="13"/>
  <c r="AS311" i="13"/>
  <c r="AM311" i="13"/>
  <c r="AS6" i="13"/>
  <c r="AM6" i="13"/>
  <c r="AS183" i="13"/>
  <c r="AS182" i="13"/>
  <c r="AS181" i="13"/>
  <c r="AS180" i="13"/>
  <c r="AS179" i="13"/>
  <c r="AS178" i="13"/>
  <c r="AS177" i="13"/>
  <c r="AS176" i="13"/>
  <c r="AS175" i="13"/>
  <c r="AS174" i="13"/>
  <c r="AS53" i="13"/>
  <c r="AS5" i="15"/>
  <c r="AS13" i="9"/>
  <c r="AS14" i="9"/>
  <c r="AS15" i="9"/>
  <c r="AS18" i="9"/>
  <c r="AS19" i="9"/>
  <c r="AS75" i="10"/>
  <c r="AS27" i="10"/>
  <c r="AS30" i="10"/>
  <c r="AS31" i="10"/>
  <c r="AS32" i="10"/>
  <c r="AS33" i="10"/>
  <c r="AS34" i="10"/>
  <c r="AS35" i="10"/>
  <c r="AS76" i="10"/>
  <c r="AS28" i="10"/>
  <c r="AS29" i="10"/>
  <c r="Z89" i="10"/>
  <c r="AA28" i="15"/>
  <c r="AM65" i="15"/>
  <c r="Y66" i="15"/>
  <c r="AJ37" i="15"/>
  <c r="AK37" i="15" s="1"/>
  <c r="AS57" i="13"/>
  <c r="AS56" i="13"/>
  <c r="AS55" i="13"/>
  <c r="AS54" i="13"/>
  <c r="AS19" i="13"/>
  <c r="AS20" i="13"/>
  <c r="AS21" i="13"/>
  <c r="AS23" i="13"/>
  <c r="AS24" i="13"/>
  <c r="AS28" i="13"/>
  <c r="AS29" i="13"/>
  <c r="AS30" i="13"/>
  <c r="AS31" i="13"/>
  <c r="AS32" i="13"/>
  <c r="AS33" i="13"/>
  <c r="AS37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73" i="13"/>
  <c r="AS74" i="13"/>
  <c r="AS75" i="13"/>
  <c r="AS79" i="13"/>
  <c r="AS83" i="13"/>
  <c r="AS84" i="13"/>
  <c r="AS85" i="13"/>
  <c r="AS86" i="13"/>
  <c r="AS91" i="13"/>
  <c r="AS92" i="13"/>
  <c r="AS93" i="13"/>
  <c r="AS94" i="13"/>
  <c r="AS96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9" i="13"/>
  <c r="AS150" i="13"/>
  <c r="AS151" i="13"/>
  <c r="AS152" i="13"/>
  <c r="AS153" i="13"/>
  <c r="AS154" i="13"/>
  <c r="AS164" i="13"/>
  <c r="AS169" i="13"/>
  <c r="AS170" i="13"/>
  <c r="AS171" i="13"/>
  <c r="AS184" i="13"/>
  <c r="AS185" i="13"/>
  <c r="AS188" i="13"/>
  <c r="AS192" i="13"/>
  <c r="AS193" i="13"/>
  <c r="AP311" i="13"/>
  <c r="AS118" i="13"/>
  <c r="Z155" i="13"/>
  <c r="Z162" i="13"/>
  <c r="Z88" i="13"/>
  <c r="Z255" i="13"/>
  <c r="Z267" i="13"/>
  <c r="Z283" i="13"/>
  <c r="Z291" i="13"/>
  <c r="AB13" i="14"/>
  <c r="AA8" i="14"/>
  <c r="Q12" i="3"/>
  <c r="BF26" i="3"/>
  <c r="N34" i="3"/>
  <c r="N37" i="3"/>
  <c r="W43" i="3"/>
  <c r="Q46" i="3"/>
  <c r="AE50" i="3"/>
  <c r="N51" i="3"/>
  <c r="Q74" i="3"/>
  <c r="AH109" i="3"/>
  <c r="AM111" i="3"/>
  <c r="F10" i="3"/>
  <c r="N10" i="3" s="1"/>
  <c r="E115" i="3"/>
  <c r="AU111" i="3"/>
  <c r="AV111" i="3" s="1"/>
  <c r="AS111" i="3"/>
  <c r="V83" i="13"/>
  <c r="Z167" i="13"/>
  <c r="Z87" i="13"/>
  <c r="Z172" i="13"/>
  <c r="Z251" i="13"/>
  <c r="Z263" i="13"/>
  <c r="Z279" i="13"/>
  <c r="Z295" i="13"/>
  <c r="F79" i="3"/>
  <c r="G104" i="3"/>
  <c r="H24" i="3"/>
  <c r="G41" i="3"/>
  <c r="N95" i="3"/>
  <c r="J12" i="3"/>
  <c r="G10" i="3"/>
  <c r="BF24" i="3"/>
  <c r="J106" i="3"/>
  <c r="N43" i="3"/>
  <c r="F96" i="3"/>
  <c r="T96" i="3" s="1"/>
  <c r="T24" i="3"/>
  <c r="U24" i="3" s="1"/>
  <c r="V24" i="3" s="1"/>
  <c r="F58" i="3"/>
  <c r="F65" i="3"/>
  <c r="Q65" i="3" s="1"/>
  <c r="G56" i="3"/>
  <c r="G88" i="3"/>
  <c r="H100" i="3"/>
  <c r="I100" i="3" s="1"/>
  <c r="AE100" i="3"/>
  <c r="AQ104" i="3"/>
  <c r="T104" i="3"/>
  <c r="F92" i="3"/>
  <c r="G84" i="3"/>
  <c r="G100" i="3"/>
  <c r="L77" i="3"/>
  <c r="M41" i="3"/>
  <c r="AE75" i="3"/>
  <c r="AH12" i="3"/>
  <c r="F41" i="3"/>
  <c r="F55" i="3"/>
  <c r="G58" i="3"/>
  <c r="Q86" i="3"/>
  <c r="W102" i="3"/>
  <c r="AH75" i="3"/>
  <c r="F47" i="3"/>
  <c r="AH47" i="3" s="1"/>
  <c r="F56" i="3"/>
  <c r="W56" i="3" s="1"/>
  <c r="F73" i="3"/>
  <c r="Q73" i="3" s="1"/>
  <c r="AA34" i="3"/>
  <c r="BI3" i="11"/>
  <c r="N22" i="11"/>
  <c r="O22" i="11" s="1"/>
  <c r="AB22" i="11"/>
  <c r="Q22" i="11"/>
  <c r="I54" i="21"/>
  <c r="N54" i="21" s="1"/>
  <c r="N63" i="21" s="1"/>
  <c r="L30" i="20"/>
  <c r="M30" i="20" s="1"/>
  <c r="S35" i="26"/>
  <c r="M914" i="27"/>
  <c r="K181" i="17"/>
  <c r="K167" i="17"/>
  <c r="C85" i="17"/>
  <c r="K85" i="17" s="1"/>
  <c r="U119" i="17"/>
  <c r="S119" i="17"/>
  <c r="S66" i="27"/>
  <c r="S85" i="27"/>
  <c r="N93" i="27"/>
  <c r="P276" i="27"/>
  <c r="N281" i="27"/>
  <c r="P289" i="27"/>
  <c r="R289" i="27" s="1"/>
  <c r="S289" i="27"/>
  <c r="P297" i="27"/>
  <c r="R297" i="27" s="1"/>
  <c r="S297" i="27"/>
  <c r="P305" i="27"/>
  <c r="R305" i="27" s="1"/>
  <c r="S305" i="27"/>
  <c r="P313" i="27"/>
  <c r="R313" i="27" s="1"/>
  <c r="S313" i="27"/>
  <c r="P563" i="27"/>
  <c r="R563" i="27" s="1"/>
  <c r="N578" i="27"/>
  <c r="S563" i="27"/>
  <c r="X16" i="11"/>
  <c r="R337" i="26"/>
  <c r="N889" i="26"/>
  <c r="N125" i="26"/>
  <c r="S856" i="27"/>
  <c r="R513" i="27"/>
  <c r="S513" i="27" s="1"/>
  <c r="P578" i="27"/>
  <c r="R16" i="26"/>
  <c r="R56" i="26"/>
  <c r="R66" i="26" s="1"/>
  <c r="S41" i="26"/>
  <c r="K161" i="26"/>
  <c r="S119" i="26"/>
  <c r="S125" i="26" s="1"/>
  <c r="R125" i="26"/>
  <c r="S133" i="26"/>
  <c r="N155" i="26"/>
  <c r="R186" i="26"/>
  <c r="S179" i="26"/>
  <c r="S186" i="26" s="1"/>
  <c r="S221" i="26"/>
  <c r="N224" i="26"/>
  <c r="N239" i="26" s="1"/>
  <c r="S260" i="26"/>
  <c r="S263" i="26" s="1"/>
  <c r="R263" i="26"/>
  <c r="S283" i="26"/>
  <c r="R317" i="26"/>
  <c r="S35" i="27"/>
  <c r="S197" i="27"/>
  <c r="P197" i="27"/>
  <c r="R197" i="27" s="1"/>
  <c r="V6" i="9"/>
  <c r="S642" i="27"/>
  <c r="R267" i="26"/>
  <c r="S733" i="26"/>
  <c r="S757" i="26" s="1"/>
  <c r="S114" i="26"/>
  <c r="S724" i="27"/>
  <c r="R79" i="27"/>
  <c r="O891" i="26"/>
  <c r="N56" i="26"/>
  <c r="S40" i="26"/>
  <c r="S56" i="26" s="1"/>
  <c r="S66" i="26" s="1"/>
  <c r="N65" i="26"/>
  <c r="N93" i="26"/>
  <c r="N127" i="26" s="1"/>
  <c r="S109" i="26"/>
  <c r="N114" i="26"/>
  <c r="R155" i="26"/>
  <c r="S166" i="26"/>
  <c r="S175" i="26" s="1"/>
  <c r="S176" i="26" s="1"/>
  <c r="N175" i="26"/>
  <c r="N176" i="26" s="1"/>
  <c r="S342" i="26"/>
  <c r="S489" i="26" s="1"/>
  <c r="N489" i="26"/>
  <c r="N568" i="26" s="1"/>
  <c r="S252" i="27"/>
  <c r="S191" i="26"/>
  <c r="N201" i="26"/>
  <c r="R247" i="26"/>
  <c r="S246" i="26"/>
  <c r="S247" i="26" s="1"/>
  <c r="S96" i="27"/>
  <c r="N103" i="27"/>
  <c r="S219" i="27"/>
  <c r="R226" i="27"/>
  <c r="R242" i="27" s="1"/>
  <c r="P256" i="27"/>
  <c r="N260" i="27"/>
  <c r="P280" i="27"/>
  <c r="R280" i="27" s="1"/>
  <c r="S280" i="27" s="1"/>
  <c r="G9" i="21"/>
  <c r="R578" i="27"/>
  <c r="R56" i="27"/>
  <c r="R66" i="27" s="1"/>
  <c r="S317" i="26"/>
  <c r="S819" i="26"/>
  <c r="S833" i="26" s="1"/>
  <c r="N676" i="26"/>
  <c r="S224" i="26"/>
  <c r="S201" i="26"/>
  <c r="S155" i="26"/>
  <c r="R25" i="26"/>
  <c r="S23" i="26"/>
  <c r="S25" i="26" s="1"/>
  <c r="R79" i="26"/>
  <c r="S84" i="26"/>
  <c r="S93" i="26" s="1"/>
  <c r="S127" i="26" s="1"/>
  <c r="R93" i="26"/>
  <c r="R103" i="26"/>
  <c r="R114" i="26"/>
  <c r="R250" i="26"/>
  <c r="R257" i="26" s="1"/>
  <c r="P257" i="26"/>
  <c r="R274" i="26"/>
  <c r="R278" i="26" s="1"/>
  <c r="P278" i="26"/>
  <c r="S588" i="26"/>
  <c r="S612" i="26" s="1"/>
  <c r="N612" i="26"/>
  <c r="N614" i="26" s="1"/>
  <c r="S122" i="27"/>
  <c r="S125" i="27" s="1"/>
  <c r="R125" i="27"/>
  <c r="P132" i="27"/>
  <c r="R132" i="27" s="1"/>
  <c r="S132" i="27"/>
  <c r="N155" i="27"/>
  <c r="P140" i="27"/>
  <c r="R140" i="27" s="1"/>
  <c r="S140" i="27" s="1"/>
  <c r="P148" i="27"/>
  <c r="R148" i="27" s="1"/>
  <c r="S148" i="27"/>
  <c r="P153" i="27"/>
  <c r="R153" i="27" s="1"/>
  <c r="S153" i="27" s="1"/>
  <c r="P643" i="27"/>
  <c r="N674" i="27"/>
  <c r="N699" i="27" s="1"/>
  <c r="S647" i="27"/>
  <c r="P651" i="27"/>
  <c r="R651" i="27" s="1"/>
  <c r="S651" i="27" s="1"/>
  <c r="P659" i="27"/>
  <c r="R659" i="27" s="1"/>
  <c r="S659" i="27" s="1"/>
  <c r="S663" i="27"/>
  <c r="P667" i="27"/>
  <c r="R667" i="27" s="1"/>
  <c r="S667" i="27" s="1"/>
  <c r="S677" i="27"/>
  <c r="S682" i="27" s="1"/>
  <c r="N682" i="27"/>
  <c r="P735" i="27"/>
  <c r="R735" i="27" s="1"/>
  <c r="S735" i="27"/>
  <c r="S587" i="27"/>
  <c r="M318" i="26"/>
  <c r="M338" i="26" s="1"/>
  <c r="M568" i="26" s="1"/>
  <c r="R561" i="26"/>
  <c r="R887" i="26"/>
  <c r="N79" i="27"/>
  <c r="S73" i="27"/>
  <c r="S79" i="27" s="1"/>
  <c r="S135" i="27"/>
  <c r="P138" i="27"/>
  <c r="R138" i="27" s="1"/>
  <c r="S138" i="27" s="1"/>
  <c r="S143" i="27"/>
  <c r="P146" i="27"/>
  <c r="R146" i="27" s="1"/>
  <c r="S146" i="27"/>
  <c r="P149" i="27"/>
  <c r="R149" i="27" s="1"/>
  <c r="S149" i="27"/>
  <c r="S158" i="27"/>
  <c r="N162" i="27"/>
  <c r="P195" i="27"/>
  <c r="R195" i="27" s="1"/>
  <c r="S195" i="27" s="1"/>
  <c r="P203" i="27"/>
  <c r="R203" i="27" s="1"/>
  <c r="S203" i="27" s="1"/>
  <c r="N204" i="27"/>
  <c r="N206" i="27" s="1"/>
  <c r="P588" i="27"/>
  <c r="N589" i="27"/>
  <c r="P751" i="27"/>
  <c r="R751" i="27" s="1"/>
  <c r="S751" i="27"/>
  <c r="V16" i="9"/>
  <c r="AA16" i="9"/>
  <c r="P16" i="9"/>
  <c r="S20" i="9"/>
  <c r="AA20" i="9"/>
  <c r="V20" i="9"/>
  <c r="AD28" i="9"/>
  <c r="S28" i="9"/>
  <c r="T28" i="9" s="1"/>
  <c r="U28" i="9" s="1"/>
  <c r="AG28" i="9"/>
  <c r="AA28" i="9"/>
  <c r="R175" i="26"/>
  <c r="R176" i="26" s="1"/>
  <c r="R224" i="26"/>
  <c r="R239" i="26" s="1"/>
  <c r="R237" i="26"/>
  <c r="L318" i="26"/>
  <c r="L338" i="26" s="1"/>
  <c r="L568" i="26" s="1"/>
  <c r="L891" i="26" s="1"/>
  <c r="S274" i="26"/>
  <c r="R612" i="26"/>
  <c r="R674" i="26"/>
  <c r="P835" i="26"/>
  <c r="R869" i="26"/>
  <c r="R889" i="26" s="1"/>
  <c r="K164" i="27"/>
  <c r="K914" i="27" s="1"/>
  <c r="S64" i="27"/>
  <c r="S65" i="27" s="1"/>
  <c r="K127" i="27"/>
  <c r="P127" i="27"/>
  <c r="S97" i="27"/>
  <c r="S133" i="27"/>
  <c r="P136" i="27"/>
  <c r="R136" i="27" s="1"/>
  <c r="S136" i="27"/>
  <c r="S141" i="27"/>
  <c r="P144" i="27"/>
  <c r="R144" i="27" s="1"/>
  <c r="S144" i="27"/>
  <c r="P193" i="27"/>
  <c r="P201" i="27"/>
  <c r="R201" i="27" s="1"/>
  <c r="S201" i="27" s="1"/>
  <c r="P269" i="27"/>
  <c r="R269" i="27" s="1"/>
  <c r="S269" i="27"/>
  <c r="P278" i="27"/>
  <c r="R278" i="27" s="1"/>
  <c r="S278" i="27" s="1"/>
  <c r="P285" i="27"/>
  <c r="P293" i="27"/>
  <c r="R293" i="27" s="1"/>
  <c r="S293" i="27"/>
  <c r="P301" i="27"/>
  <c r="R301" i="27" s="1"/>
  <c r="S301" i="27"/>
  <c r="P309" i="27"/>
  <c r="R309" i="27" s="1"/>
  <c r="S309" i="27"/>
  <c r="P317" i="27"/>
  <c r="R317" i="27" s="1"/>
  <c r="S317" i="27"/>
  <c r="S499" i="27"/>
  <c r="S506" i="27" s="1"/>
  <c r="N506" i="27"/>
  <c r="P610" i="27"/>
  <c r="P740" i="27"/>
  <c r="R740" i="27" s="1"/>
  <c r="S740" i="27" s="1"/>
  <c r="S173" i="26"/>
  <c r="R201" i="26"/>
  <c r="S211" i="26"/>
  <c r="S213" i="26" s="1"/>
  <c r="S214" i="26" s="1"/>
  <c r="S231" i="26"/>
  <c r="S234" i="26"/>
  <c r="K318" i="26"/>
  <c r="K338" i="26" s="1"/>
  <c r="K568" i="26" s="1"/>
  <c r="Q318" i="26"/>
  <c r="Q338" i="26" s="1"/>
  <c r="Q568" i="26" s="1"/>
  <c r="Q891" i="26" s="1"/>
  <c r="S273" i="26"/>
  <c r="S278" i="26" s="1"/>
  <c r="S277" i="26"/>
  <c r="R489" i="26"/>
  <c r="S495" i="26"/>
  <c r="S503" i="26"/>
  <c r="S511" i="26"/>
  <c r="S519" i="26"/>
  <c r="S527" i="26"/>
  <c r="S535" i="26"/>
  <c r="S543" i="26"/>
  <c r="S551" i="26"/>
  <c r="S559" i="26"/>
  <c r="S575" i="26"/>
  <c r="S580" i="26" s="1"/>
  <c r="S581" i="26" s="1"/>
  <c r="R580" i="26"/>
  <c r="R581" i="26" s="1"/>
  <c r="R614" i="26" s="1"/>
  <c r="R651" i="26"/>
  <c r="R676" i="26" s="1"/>
  <c r="R733" i="26"/>
  <c r="S687" i="26"/>
  <c r="S695" i="26"/>
  <c r="M835" i="26"/>
  <c r="M891" i="26" s="1"/>
  <c r="R756" i="26"/>
  <c r="S762" i="26"/>
  <c r="S784" i="26" s="1"/>
  <c r="S793" i="26" s="1"/>
  <c r="S770" i="26"/>
  <c r="S778" i="26"/>
  <c r="S811" i="26"/>
  <c r="K833" i="26"/>
  <c r="K835" i="26" s="1"/>
  <c r="S882" i="26"/>
  <c r="S887" i="26" s="1"/>
  <c r="S889" i="26" s="1"/>
  <c r="O164" i="27"/>
  <c r="O914" i="27" s="1"/>
  <c r="S83" i="27"/>
  <c r="S101" i="27"/>
  <c r="N125" i="27"/>
  <c r="P134" i="27"/>
  <c r="R134" i="27" s="1"/>
  <c r="S134" i="27" s="1"/>
  <c r="P142" i="27"/>
  <c r="R142" i="27" s="1"/>
  <c r="S142" i="27"/>
  <c r="S199" i="27"/>
  <c r="P199" i="27"/>
  <c r="R199" i="27" s="1"/>
  <c r="P597" i="27"/>
  <c r="P689" i="27"/>
  <c r="V24" i="9"/>
  <c r="AK11" i="11"/>
  <c r="Q321" i="27"/>
  <c r="Q354" i="27" s="1"/>
  <c r="Q591" i="27" s="1"/>
  <c r="Q914" i="27" s="1"/>
  <c r="M591" i="27"/>
  <c r="S327" i="27"/>
  <c r="S331" i="27"/>
  <c r="S335" i="27"/>
  <c r="S339" i="27"/>
  <c r="P611" i="27"/>
  <c r="R611" i="27" s="1"/>
  <c r="S611" i="27"/>
  <c r="S614" i="27"/>
  <c r="P727" i="27"/>
  <c r="S732" i="27"/>
  <c r="P736" i="27"/>
  <c r="R736" i="27" s="1"/>
  <c r="S736" i="27"/>
  <c r="M859" i="27"/>
  <c r="AJ5" i="16"/>
  <c r="V5" i="16"/>
  <c r="AJ9" i="16"/>
  <c r="J14" i="16"/>
  <c r="P14" i="16"/>
  <c r="AP14" i="16"/>
  <c r="AP19" i="16"/>
  <c r="AG19" i="16"/>
  <c r="P19" i="16"/>
  <c r="AA19" i="16"/>
  <c r="M19" i="16"/>
  <c r="V19" i="16"/>
  <c r="J19" i="16"/>
  <c r="S19" i="16"/>
  <c r="AP39" i="16"/>
  <c r="S39" i="16"/>
  <c r="V39" i="16"/>
  <c r="AG39" i="16"/>
  <c r="AA39" i="16"/>
  <c r="F210" i="13"/>
  <c r="Z210" i="13"/>
  <c r="S152" i="27"/>
  <c r="M206" i="27"/>
  <c r="S194" i="27"/>
  <c r="S196" i="27"/>
  <c r="S198" i="27"/>
  <c r="S200" i="27"/>
  <c r="S202" i="27"/>
  <c r="S220" i="27"/>
  <c r="N226" i="27"/>
  <c r="N242" i="27" s="1"/>
  <c r="S257" i="27"/>
  <c r="N266" i="27"/>
  <c r="N321" i="27" s="1"/>
  <c r="N354" i="27" s="1"/>
  <c r="N591" i="27" s="1"/>
  <c r="S277" i="27"/>
  <c r="S279" i="27"/>
  <c r="N320" i="27"/>
  <c r="S326" i="27"/>
  <c r="S330" i="27"/>
  <c r="S334" i="27"/>
  <c r="S338" i="27"/>
  <c r="P615" i="27"/>
  <c r="R615" i="27" s="1"/>
  <c r="S615" i="27"/>
  <c r="P728" i="27"/>
  <c r="R728" i="27" s="1"/>
  <c r="S728" i="27" s="1"/>
  <c r="S739" i="27"/>
  <c r="S747" i="27"/>
  <c r="P773" i="27"/>
  <c r="S777" i="27"/>
  <c r="S798" i="27"/>
  <c r="S840" i="27"/>
  <c r="P840" i="27"/>
  <c r="R840" i="27" s="1"/>
  <c r="R842" i="27" s="1"/>
  <c r="R857" i="27" s="1"/>
  <c r="AD39" i="16"/>
  <c r="K33" i="16"/>
  <c r="V9" i="16"/>
  <c r="G19" i="16"/>
  <c r="H19" i="16" s="1"/>
  <c r="I19" i="16" s="1"/>
  <c r="AA9" i="16"/>
  <c r="AP29" i="16"/>
  <c r="M29" i="16"/>
  <c r="AG29" i="16"/>
  <c r="G29" i="16"/>
  <c r="H29" i="16" s="1"/>
  <c r="AD29" i="16"/>
  <c r="AA29" i="16"/>
  <c r="S161" i="27"/>
  <c r="S183" i="27"/>
  <c r="S187" i="27"/>
  <c r="S212" i="27"/>
  <c r="S215" i="27" s="1"/>
  <c r="S216" i="27" s="1"/>
  <c r="S222" i="27"/>
  <c r="S264" i="27"/>
  <c r="S266" i="27" s="1"/>
  <c r="N270" i="27"/>
  <c r="P268" i="27"/>
  <c r="S325" i="27"/>
  <c r="S340" i="27" s="1"/>
  <c r="S329" i="27"/>
  <c r="S333" i="27"/>
  <c r="S337" i="27"/>
  <c r="S504" i="27"/>
  <c r="S696" i="27"/>
  <c r="S731" i="27"/>
  <c r="P743" i="27"/>
  <c r="R743" i="27" s="1"/>
  <c r="S743" i="27" s="1"/>
  <c r="K780" i="27"/>
  <c r="K859" i="27" s="1"/>
  <c r="S790" i="27"/>
  <c r="S807" i="27" s="1"/>
  <c r="S816" i="27" s="1"/>
  <c r="N822" i="27"/>
  <c r="N823" i="27" s="1"/>
  <c r="N859" i="27" s="1"/>
  <c r="S821" i="27"/>
  <c r="S822" i="27" s="1"/>
  <c r="S823" i="27" s="1"/>
  <c r="S832" i="27"/>
  <c r="S873" i="27"/>
  <c r="S892" i="27" s="1"/>
  <c r="S912" i="27" s="1"/>
  <c r="S883" i="27"/>
  <c r="M9" i="16"/>
  <c r="AG38" i="9"/>
  <c r="P38" i="9"/>
  <c r="AT40" i="14"/>
  <c r="D62" i="32" s="1"/>
  <c r="Q62" i="32" s="1"/>
  <c r="Z148" i="13"/>
  <c r="N110" i="33"/>
  <c r="Z168" i="13"/>
  <c r="N122" i="33"/>
  <c r="AJ72" i="10"/>
  <c r="AS72" i="10"/>
  <c r="V72" i="10"/>
  <c r="AS68" i="10"/>
  <c r="AG68" i="10"/>
  <c r="AD68" i="10"/>
  <c r="V68" i="10"/>
  <c r="AP68" i="10"/>
  <c r="AA68" i="10"/>
  <c r="S61" i="15"/>
  <c r="V61" i="15"/>
  <c r="AS43" i="15"/>
  <c r="AJ43" i="15"/>
  <c r="AG111" i="10"/>
  <c r="AA111" i="10"/>
  <c r="AD128" i="10"/>
  <c r="AP128" i="10"/>
  <c r="AE37" i="14"/>
  <c r="AF37" i="14" s="1"/>
  <c r="AH37" i="14"/>
  <c r="AJ100" i="10"/>
  <c r="AS100" i="10"/>
  <c r="S744" i="27"/>
  <c r="S752" i="27"/>
  <c r="Q780" i="27"/>
  <c r="Q859" i="27" s="1"/>
  <c r="AG23" i="16"/>
  <c r="AD23" i="16"/>
  <c r="S23" i="16"/>
  <c r="G23" i="16"/>
  <c r="H23" i="16" s="1"/>
  <c r="I23" i="16" s="1"/>
  <c r="V23" i="16"/>
  <c r="AG30" i="16"/>
  <c r="M30" i="16"/>
  <c r="S30" i="16"/>
  <c r="P35" i="16"/>
  <c r="AA35" i="16"/>
  <c r="V35" i="16"/>
  <c r="G35" i="16"/>
  <c r="H35" i="16" s="1"/>
  <c r="I35" i="16" s="1"/>
  <c r="F82" i="13"/>
  <c r="Z82" i="13"/>
  <c r="Z7" i="9"/>
  <c r="N243" i="33"/>
  <c r="S601" i="27"/>
  <c r="S706" i="27"/>
  <c r="S711" i="27"/>
  <c r="S768" i="27"/>
  <c r="S791" i="27"/>
  <c r="S806" i="27"/>
  <c r="S829" i="27"/>
  <c r="S837" i="27"/>
  <c r="S884" i="27"/>
  <c r="M23" i="16"/>
  <c r="AP35" i="16"/>
  <c r="S8" i="16"/>
  <c r="AA8" i="16"/>
  <c r="AD8" i="16"/>
  <c r="M8" i="16"/>
  <c r="J13" i="16"/>
  <c r="V13" i="16"/>
  <c r="AG13" i="16"/>
  <c r="M13" i="16"/>
  <c r="P13" i="16"/>
  <c r="AP25" i="16"/>
  <c r="AD25" i="16"/>
  <c r="G25" i="16"/>
  <c r="H25" i="16" s="1"/>
  <c r="I25" i="16" s="1"/>
  <c r="AG25" i="16"/>
  <c r="S25" i="16"/>
  <c r="AA25" i="16"/>
  <c r="AP61" i="15"/>
  <c r="F11" i="13"/>
  <c r="Z11" i="13"/>
  <c r="F163" i="13"/>
  <c r="AV163" i="13" s="1"/>
  <c r="N119" i="33"/>
  <c r="Z163" i="13"/>
  <c r="F166" i="13"/>
  <c r="AV166" i="13" s="1"/>
  <c r="N121" i="33"/>
  <c r="AJ74" i="10"/>
  <c r="AS74" i="10"/>
  <c r="AP74" i="10"/>
  <c r="AP12" i="15"/>
  <c r="AS12" i="15"/>
  <c r="AJ12" i="15"/>
  <c r="M12" i="15"/>
  <c r="F265" i="13"/>
  <c r="Z265" i="13"/>
  <c r="F281" i="13"/>
  <c r="Z281" i="13"/>
  <c r="F297" i="13"/>
  <c r="Z297" i="13"/>
  <c r="F20" i="11"/>
  <c r="AE20" i="11" s="1"/>
  <c r="AA20" i="11"/>
  <c r="F24" i="11"/>
  <c r="AA24" i="11"/>
  <c r="AS17" i="10"/>
  <c r="AD17" i="10"/>
  <c r="AJ13" i="10"/>
  <c r="AS13" i="10"/>
  <c r="V60" i="15"/>
  <c r="AG60" i="15"/>
  <c r="M60" i="15"/>
  <c r="N60" i="15" s="1"/>
  <c r="J42" i="15"/>
  <c r="K42" i="15" s="1"/>
  <c r="L42" i="15" s="1"/>
  <c r="AJ42" i="15"/>
  <c r="AS42" i="15"/>
  <c r="S42" i="15"/>
  <c r="AP27" i="15"/>
  <c r="AS27" i="15"/>
  <c r="AJ27" i="15"/>
  <c r="M27" i="15"/>
  <c r="AA27" i="15"/>
  <c r="AD27" i="15"/>
  <c r="P27" i="15"/>
  <c r="AP25" i="15"/>
  <c r="AJ25" i="15"/>
  <c r="AS25" i="15"/>
  <c r="AP23" i="15"/>
  <c r="AS23" i="15"/>
  <c r="AJ23" i="15"/>
  <c r="AG23" i="15"/>
  <c r="S21" i="15"/>
  <c r="AJ21" i="15"/>
  <c r="AS21" i="15"/>
  <c r="AP19" i="15"/>
  <c r="AS19" i="15"/>
  <c r="AJ19" i="15"/>
  <c r="V19" i="15"/>
  <c r="AJ17" i="15"/>
  <c r="AS17" i="15"/>
  <c r="AP15" i="15"/>
  <c r="AS15" i="15"/>
  <c r="AJ15" i="15"/>
  <c r="AD15" i="15"/>
  <c r="AP13" i="15"/>
  <c r="AJ13" i="15"/>
  <c r="AS13" i="15"/>
  <c r="AP10" i="15"/>
  <c r="AJ10" i="15"/>
  <c r="AS10" i="15"/>
  <c r="J10" i="15"/>
  <c r="AD10" i="15"/>
  <c r="M10" i="15"/>
  <c r="P10" i="15"/>
  <c r="V10" i="15"/>
  <c r="AD62" i="15"/>
  <c r="AG62" i="15"/>
  <c r="S55" i="15"/>
  <c r="AD55" i="15"/>
  <c r="E7" i="12"/>
  <c r="E18" i="12" s="1"/>
  <c r="D19" i="12"/>
  <c r="F26" i="16"/>
  <c r="AP42" i="15"/>
  <c r="AP17" i="10"/>
  <c r="AD9" i="10"/>
  <c r="AA64" i="10"/>
  <c r="AA21" i="10"/>
  <c r="AA9" i="10"/>
  <c r="AD85" i="10"/>
  <c r="AA17" i="10"/>
  <c r="AD25" i="10"/>
  <c r="F77" i="13"/>
  <c r="AV77" i="13" s="1"/>
  <c r="N49" i="33"/>
  <c r="Z55" i="15"/>
  <c r="F142" i="10"/>
  <c r="AD142" i="10" s="1"/>
  <c r="Z142" i="10"/>
  <c r="Z189" i="13"/>
  <c r="Z242" i="13"/>
  <c r="Z246" i="13"/>
  <c r="Z250" i="13"/>
  <c r="Z254" i="13"/>
  <c r="Z258" i="13"/>
  <c r="Z262" i="13"/>
  <c r="Z266" i="13"/>
  <c r="Z270" i="13"/>
  <c r="Z274" i="13"/>
  <c r="Z278" i="13"/>
  <c r="Z282" i="13"/>
  <c r="Z286" i="13"/>
  <c r="Z290" i="13"/>
  <c r="Z294" i="13"/>
  <c r="Z298" i="13"/>
  <c r="AA14" i="11"/>
  <c r="AA26" i="14"/>
  <c r="AA30" i="14"/>
  <c r="AA34" i="14"/>
  <c r="AA44" i="3"/>
  <c r="AA94" i="3"/>
  <c r="F99" i="13"/>
  <c r="AV99" i="13" s="1"/>
  <c r="N62" i="33"/>
  <c r="AG10" i="15"/>
  <c r="AD60" i="15"/>
  <c r="AD25" i="15"/>
  <c r="AA42" i="15"/>
  <c r="V17" i="10"/>
  <c r="AS103" i="10"/>
  <c r="AA103" i="10"/>
  <c r="AS83" i="10"/>
  <c r="AD83" i="10"/>
  <c r="AG83" i="10"/>
  <c r="S83" i="10"/>
  <c r="AS70" i="10"/>
  <c r="AA70" i="10"/>
  <c r="Z54" i="15"/>
  <c r="J37" i="16"/>
  <c r="F22" i="16"/>
  <c r="G22" i="16" s="1"/>
  <c r="H22" i="16" s="1"/>
  <c r="I22" i="16" s="1"/>
  <c r="F38" i="16"/>
  <c r="AP25" i="10"/>
  <c r="AG64" i="10"/>
  <c r="AG9" i="10"/>
  <c r="AP85" i="10"/>
  <c r="F122" i="10"/>
  <c r="Z122" i="10"/>
  <c r="F135" i="10"/>
  <c r="AG135" i="10" s="1"/>
  <c r="Z135" i="10"/>
  <c r="AG27" i="15"/>
  <c r="AA10" i="15"/>
  <c r="V27" i="15"/>
  <c r="AS90" i="10"/>
  <c r="J90" i="10"/>
  <c r="K90" i="10" s="1"/>
  <c r="L90" i="10" s="1"/>
  <c r="P85" i="10"/>
  <c r="AJ84" i="10"/>
  <c r="AS84" i="10"/>
  <c r="AG84" i="10"/>
  <c r="V84" i="10"/>
  <c r="AS66" i="10"/>
  <c r="AG66" i="10"/>
  <c r="AJ60" i="10"/>
  <c r="AS60" i="10"/>
  <c r="AJ23" i="10"/>
  <c r="AS23" i="10"/>
  <c r="AJ19" i="10"/>
  <c r="AS19" i="10"/>
  <c r="V19" i="10"/>
  <c r="AJ11" i="10"/>
  <c r="AS11" i="10"/>
  <c r="S33" i="9"/>
  <c r="AA33" i="9"/>
  <c r="J56" i="15"/>
  <c r="P56" i="15"/>
  <c r="AP36" i="15"/>
  <c r="AJ36" i="15"/>
  <c r="AP28" i="15"/>
  <c r="AS28" i="15"/>
  <c r="AJ28" i="15"/>
  <c r="V28" i="15"/>
  <c r="F158" i="13"/>
  <c r="AV158" i="13" s="1"/>
  <c r="N118" i="33"/>
  <c r="Z191" i="13"/>
  <c r="N140" i="33"/>
  <c r="AJ99" i="10"/>
  <c r="AS99" i="10"/>
  <c r="AJ24" i="10"/>
  <c r="AS24" i="10"/>
  <c r="AJ20" i="10"/>
  <c r="AS20" i="10"/>
  <c r="AJ8" i="10"/>
  <c r="AS8" i="10"/>
  <c r="AP40" i="15"/>
  <c r="AS40" i="15"/>
  <c r="AJ40" i="15"/>
  <c r="AP34" i="15"/>
  <c r="AJ34" i="15"/>
  <c r="AS34" i="15"/>
  <c r="AP31" i="15"/>
  <c r="AS31" i="15"/>
  <c r="AJ31" i="15"/>
  <c r="AA7" i="15"/>
  <c r="AS7" i="15"/>
  <c r="AJ7" i="15"/>
  <c r="P33" i="15"/>
  <c r="AJ33" i="15"/>
  <c r="AS33" i="15"/>
  <c r="AP29" i="15"/>
  <c r="AJ29" i="15"/>
  <c r="AS29" i="15"/>
  <c r="AP26" i="15"/>
  <c r="AJ26" i="15"/>
  <c r="AS26" i="15"/>
  <c r="AP24" i="15"/>
  <c r="AS24" i="15"/>
  <c r="AJ24" i="15"/>
  <c r="AP22" i="15"/>
  <c r="AJ22" i="15"/>
  <c r="AS22" i="15"/>
  <c r="AP20" i="15"/>
  <c r="AS20" i="15"/>
  <c r="AJ20" i="15"/>
  <c r="AD18" i="15"/>
  <c r="AJ18" i="15"/>
  <c r="AS18" i="15"/>
  <c r="AP16" i="15"/>
  <c r="AS16" i="15"/>
  <c r="AJ16" i="15"/>
  <c r="AP14" i="15"/>
  <c r="AJ14" i="15"/>
  <c r="AS14" i="15"/>
  <c r="P11" i="15"/>
  <c r="AS11" i="15"/>
  <c r="AJ11" i="15"/>
  <c r="P5" i="15"/>
  <c r="AJ5" i="15"/>
  <c r="F81" i="13"/>
  <c r="AV81" i="13" s="1"/>
  <c r="N51" i="33"/>
  <c r="F157" i="13"/>
  <c r="AV157" i="13" s="1"/>
  <c r="N117" i="33"/>
  <c r="F173" i="13"/>
  <c r="AV173" i="13" s="1"/>
  <c r="N126" i="33"/>
  <c r="Z5" i="9"/>
  <c r="AA65" i="3"/>
  <c r="AA77" i="3"/>
  <c r="Z206" i="13"/>
  <c r="Z199" i="13"/>
  <c r="V114" i="10"/>
  <c r="V88" i="10"/>
  <c r="V69" i="10"/>
  <c r="V28" i="10"/>
  <c r="W28" i="10" s="1"/>
  <c r="X28" i="10" s="1"/>
  <c r="AJ93" i="10"/>
  <c r="AS93" i="10"/>
  <c r="AJ71" i="10"/>
  <c r="AS71" i="10"/>
  <c r="S67" i="10"/>
  <c r="AJ10" i="10"/>
  <c r="AS10" i="10"/>
  <c r="AP41" i="15"/>
  <c r="AJ41" i="15"/>
  <c r="AS41" i="15"/>
  <c r="AP35" i="15"/>
  <c r="AS35" i="15"/>
  <c r="AJ35" i="15"/>
  <c r="AP32" i="15"/>
  <c r="AS32" i="15"/>
  <c r="AJ32" i="15"/>
  <c r="AP30" i="15"/>
  <c r="AJ30" i="15"/>
  <c r="AS30" i="15"/>
  <c r="S9" i="15"/>
  <c r="AJ9" i="15"/>
  <c r="AS9" i="15"/>
  <c r="AP8" i="15"/>
  <c r="AS8" i="15"/>
  <c r="AJ8" i="15"/>
  <c r="AP6" i="15"/>
  <c r="AJ6" i="15"/>
  <c r="AS6" i="15"/>
  <c r="F48" i="15"/>
  <c r="N178" i="33"/>
  <c r="AD8" i="9"/>
  <c r="AJ8" i="9"/>
  <c r="V10" i="9"/>
  <c r="AJ10" i="9"/>
  <c r="AA12" i="9"/>
  <c r="AJ12" i="9"/>
  <c r="AP13" i="9"/>
  <c r="AJ13" i="9"/>
  <c r="AP14" i="9"/>
  <c r="AJ14" i="9"/>
  <c r="AP15" i="9"/>
  <c r="AJ15" i="9"/>
  <c r="AP16" i="9"/>
  <c r="AJ16" i="9"/>
  <c r="AA17" i="9"/>
  <c r="AJ17" i="9"/>
  <c r="AP18" i="9"/>
  <c r="AJ18" i="9"/>
  <c r="AP19" i="9"/>
  <c r="AJ19" i="9"/>
  <c r="AP20" i="9"/>
  <c r="AJ20" i="9"/>
  <c r="AP21" i="9"/>
  <c r="AJ21" i="9"/>
  <c r="AP22" i="9"/>
  <c r="AJ22" i="9"/>
  <c r="AP23" i="9"/>
  <c r="AJ23" i="9"/>
  <c r="AP24" i="9"/>
  <c r="AJ24" i="9"/>
  <c r="AP25" i="9"/>
  <c r="AJ25" i="9"/>
  <c r="AP26" i="9"/>
  <c r="AJ26" i="9"/>
  <c r="AP27" i="9"/>
  <c r="AJ27" i="9"/>
  <c r="AP28" i="9"/>
  <c r="AJ28" i="9"/>
  <c r="AP30" i="9"/>
  <c r="AJ30" i="9"/>
  <c r="Y50" i="9"/>
  <c r="Z41" i="9"/>
  <c r="Z42" i="9"/>
  <c r="Z62" i="15"/>
  <c r="Z59" i="15"/>
  <c r="AP105" i="10"/>
  <c r="AJ105" i="10"/>
  <c r="AA89" i="10"/>
  <c r="AJ89" i="10"/>
  <c r="AA95" i="10"/>
  <c r="AJ95" i="10"/>
  <c r="AD102" i="10"/>
  <c r="AJ102" i="10"/>
  <c r="AP75" i="10"/>
  <c r="AJ75" i="10"/>
  <c r="AP27" i="10"/>
  <c r="AJ27" i="10"/>
  <c r="J115" i="10"/>
  <c r="AJ115" i="10"/>
  <c r="J114" i="10"/>
  <c r="K114" i="10" s="1"/>
  <c r="AJ114" i="10"/>
  <c r="S103" i="10"/>
  <c r="T103" i="10" s="1"/>
  <c r="U103" i="10" s="1"/>
  <c r="AJ103" i="10"/>
  <c r="S101" i="10"/>
  <c r="T101" i="10" s="1"/>
  <c r="U101" i="10" s="1"/>
  <c r="AJ101" i="10"/>
  <c r="S98" i="10"/>
  <c r="AJ98" i="10"/>
  <c r="P97" i="10"/>
  <c r="Q97" i="10" s="1"/>
  <c r="R97" i="10" s="1"/>
  <c r="AJ97" i="10"/>
  <c r="S96" i="10"/>
  <c r="AJ96" i="10"/>
  <c r="S94" i="10"/>
  <c r="AJ94" i="10"/>
  <c r="S92" i="10"/>
  <c r="AJ92" i="10"/>
  <c r="M91" i="10"/>
  <c r="AJ91" i="10"/>
  <c r="P90" i="10"/>
  <c r="AJ90" i="10"/>
  <c r="P88" i="10"/>
  <c r="AJ88" i="10"/>
  <c r="S86" i="10"/>
  <c r="AJ86" i="10"/>
  <c r="J85" i="10"/>
  <c r="AJ85" i="10"/>
  <c r="J83" i="10"/>
  <c r="AJ83" i="10"/>
  <c r="AG73" i="10"/>
  <c r="AJ73" i="10"/>
  <c r="S70" i="10"/>
  <c r="AJ70" i="10"/>
  <c r="P69" i="10"/>
  <c r="Q69" i="10" s="1"/>
  <c r="R69" i="10" s="1"/>
  <c r="AJ69" i="10"/>
  <c r="S68" i="10"/>
  <c r="AJ68" i="10"/>
  <c r="P67" i="10"/>
  <c r="Q67" i="10" s="1"/>
  <c r="R67" i="10" s="1"/>
  <c r="AJ67" i="10"/>
  <c r="M66" i="10"/>
  <c r="N66" i="10" s="1"/>
  <c r="O66" i="10" s="1"/>
  <c r="AJ66" i="10"/>
  <c r="J65" i="10"/>
  <c r="K65" i="10" s="1"/>
  <c r="L65" i="10" s="1"/>
  <c r="AJ65" i="10"/>
  <c r="S64" i="10"/>
  <c r="AJ64" i="10"/>
  <c r="AG63" i="10"/>
  <c r="AJ63" i="10"/>
  <c r="J62" i="10"/>
  <c r="K62" i="10" s="1"/>
  <c r="L62" i="10" s="1"/>
  <c r="AJ62" i="10"/>
  <c r="J61" i="10"/>
  <c r="K61" i="10" s="1"/>
  <c r="L61" i="10" s="1"/>
  <c r="AJ61" i="10"/>
  <c r="V26" i="10"/>
  <c r="AJ26" i="10"/>
  <c r="P25" i="10"/>
  <c r="AJ25" i="10"/>
  <c r="AP22" i="10"/>
  <c r="AJ22" i="10"/>
  <c r="P21" i="10"/>
  <c r="AJ21" i="10"/>
  <c r="AP18" i="10"/>
  <c r="AJ18" i="10"/>
  <c r="M17" i="10"/>
  <c r="AJ17" i="10"/>
  <c r="P16" i="10"/>
  <c r="AJ16" i="10"/>
  <c r="M15" i="10"/>
  <c r="AJ15" i="10"/>
  <c r="S14" i="10"/>
  <c r="AJ14" i="10"/>
  <c r="P12" i="10"/>
  <c r="AJ12" i="10"/>
  <c r="J9" i="10"/>
  <c r="K9" i="10" s="1"/>
  <c r="L9" i="10" s="1"/>
  <c r="AJ9" i="10"/>
  <c r="AP30" i="10"/>
  <c r="AJ30" i="10"/>
  <c r="AP31" i="10"/>
  <c r="AJ31" i="10"/>
  <c r="AP32" i="10"/>
  <c r="AJ32" i="10"/>
  <c r="AP33" i="10"/>
  <c r="AJ33" i="10"/>
  <c r="AP34" i="10"/>
  <c r="AJ34" i="10"/>
  <c r="AP35" i="10"/>
  <c r="AJ35" i="10"/>
  <c r="AP36" i="10"/>
  <c r="AJ36" i="10"/>
  <c r="AP37" i="10"/>
  <c r="AJ37" i="10"/>
  <c r="AP38" i="10"/>
  <c r="AJ38" i="10"/>
  <c r="AP39" i="10"/>
  <c r="AJ39" i="10"/>
  <c r="AP40" i="10"/>
  <c r="AJ40" i="10"/>
  <c r="AP41" i="10"/>
  <c r="AJ41" i="10"/>
  <c r="AP42" i="10"/>
  <c r="AJ42" i="10"/>
  <c r="AP43" i="10"/>
  <c r="AJ43" i="10"/>
  <c r="AP44" i="10"/>
  <c r="AQ44" i="10" s="1"/>
  <c r="AJ44" i="10"/>
  <c r="AK44" i="10" s="1"/>
  <c r="AL44" i="10" s="1"/>
  <c r="AP45" i="10"/>
  <c r="AJ45" i="10"/>
  <c r="AK45" i="10" s="1"/>
  <c r="AL45" i="10" s="1"/>
  <c r="AP46" i="10"/>
  <c r="AJ46" i="10"/>
  <c r="AP47" i="10"/>
  <c r="AJ47" i="10"/>
  <c r="AP48" i="10"/>
  <c r="AQ48" i="10" s="1"/>
  <c r="AJ48" i="10"/>
  <c r="AK48" i="10" s="1"/>
  <c r="AL48" i="10" s="1"/>
  <c r="AP49" i="10"/>
  <c r="AJ49" i="10"/>
  <c r="AK49" i="10" s="1"/>
  <c r="AL49" i="10" s="1"/>
  <c r="AP50" i="10"/>
  <c r="AJ50" i="10"/>
  <c r="AP51" i="10"/>
  <c r="AJ51" i="10"/>
  <c r="AK51" i="10" s="1"/>
  <c r="AL51" i="10" s="1"/>
  <c r="AP52" i="10"/>
  <c r="AQ52" i="10" s="1"/>
  <c r="AT52" i="10" s="1"/>
  <c r="AU52" i="10" s="1"/>
  <c r="AJ52" i="10"/>
  <c r="AK52" i="10" s="1"/>
  <c r="AL52" i="10" s="1"/>
  <c r="AP53" i="10"/>
  <c r="AJ53" i="10"/>
  <c r="AP54" i="10"/>
  <c r="AJ54" i="10"/>
  <c r="AP55" i="10"/>
  <c r="AJ55" i="10"/>
  <c r="AP56" i="10"/>
  <c r="AQ56" i="10" s="1"/>
  <c r="AT56" i="10" s="1"/>
  <c r="AU56" i="10" s="1"/>
  <c r="AJ56" i="10"/>
  <c r="AK56" i="10" s="1"/>
  <c r="AL56" i="10" s="1"/>
  <c r="AP57" i="10"/>
  <c r="AQ57" i="10" s="1"/>
  <c r="AT57" i="10" s="1"/>
  <c r="AU57" i="10" s="1"/>
  <c r="AJ57" i="10"/>
  <c r="AK57" i="10" s="1"/>
  <c r="AL57" i="10" s="1"/>
  <c r="AP76" i="10"/>
  <c r="AJ76" i="10"/>
  <c r="AP77" i="10"/>
  <c r="AJ77" i="10"/>
  <c r="AP78" i="10"/>
  <c r="AQ78" i="10" s="1"/>
  <c r="AT78" i="10" s="1"/>
  <c r="AU78" i="10" s="1"/>
  <c r="AJ78" i="10"/>
  <c r="AK78" i="10" s="1"/>
  <c r="AL78" i="10" s="1"/>
  <c r="AP28" i="10"/>
  <c r="AJ28" i="10"/>
  <c r="AP29" i="10"/>
  <c r="AJ29" i="10"/>
  <c r="Z87" i="10"/>
  <c r="Z118" i="10"/>
  <c r="Z126" i="10"/>
  <c r="AP6" i="16"/>
  <c r="AJ6" i="16"/>
  <c r="AP7" i="16"/>
  <c r="AJ7" i="16"/>
  <c r="AP8" i="16"/>
  <c r="AJ8" i="16"/>
  <c r="AP10" i="16"/>
  <c r="AJ10" i="16"/>
  <c r="AP11" i="16"/>
  <c r="AJ11" i="16"/>
  <c r="Y43" i="16"/>
  <c r="AP11" i="13"/>
  <c r="AS11" i="13"/>
  <c r="AD78" i="13"/>
  <c r="AS78" i="13"/>
  <c r="AP76" i="13"/>
  <c r="AS76" i="13"/>
  <c r="AJ81" i="13"/>
  <c r="AP82" i="13"/>
  <c r="AS82" i="13"/>
  <c r="J155" i="13"/>
  <c r="AS155" i="13"/>
  <c r="AP156" i="13"/>
  <c r="AS156" i="13"/>
  <c r="AJ163" i="13"/>
  <c r="G161" i="13"/>
  <c r="H161" i="13" s="1"/>
  <c r="I161" i="13" s="1"/>
  <c r="AS161" i="13"/>
  <c r="AA162" i="13"/>
  <c r="AS162" i="13"/>
  <c r="AJ166" i="13"/>
  <c r="G167" i="13"/>
  <c r="H167" i="13" s="1"/>
  <c r="I167" i="13" s="1"/>
  <c r="AS167" i="13"/>
  <c r="AA173" i="13"/>
  <c r="AD172" i="13"/>
  <c r="AS172" i="13"/>
  <c r="S210" i="13"/>
  <c r="T210" i="13" s="1"/>
  <c r="AS210" i="13"/>
  <c r="AA88" i="13"/>
  <c r="AS88" i="13"/>
  <c r="AG214" i="13"/>
  <c r="AS214" i="13"/>
  <c r="AG240" i="13"/>
  <c r="AS240" i="13"/>
  <c r="AP243" i="13"/>
  <c r="AS243" i="13"/>
  <c r="V244" i="13"/>
  <c r="AS244" i="13"/>
  <c r="P247" i="13"/>
  <c r="AS247" i="13"/>
  <c r="AD248" i="13"/>
  <c r="AS248" i="13"/>
  <c r="AP252" i="13"/>
  <c r="AS252" i="13"/>
  <c r="AP253" i="13"/>
  <c r="AS253" i="13"/>
  <c r="J255" i="13"/>
  <c r="AS255" i="13"/>
  <c r="AP256" i="13"/>
  <c r="AS256" i="13"/>
  <c r="AP257" i="13"/>
  <c r="AS257" i="13"/>
  <c r="AP259" i="13"/>
  <c r="AS259" i="13"/>
  <c r="AA260" i="13"/>
  <c r="AS260" i="13"/>
  <c r="AP261" i="13"/>
  <c r="AS261" i="13"/>
  <c r="AA264" i="13"/>
  <c r="AS264" i="13"/>
  <c r="AD265" i="13"/>
  <c r="AS265" i="13"/>
  <c r="AP267" i="13"/>
  <c r="AS267" i="13"/>
  <c r="AP269" i="13"/>
  <c r="AS269" i="13"/>
  <c r="P272" i="13"/>
  <c r="AS272" i="13"/>
  <c r="M273" i="13"/>
  <c r="AS273" i="13"/>
  <c r="V276" i="13"/>
  <c r="AS276" i="13"/>
  <c r="J277" i="13"/>
  <c r="AS277" i="13"/>
  <c r="M280" i="13"/>
  <c r="AS280" i="13"/>
  <c r="AD281" i="13"/>
  <c r="AS281" i="13"/>
  <c r="V283" i="13"/>
  <c r="AS283" i="13"/>
  <c r="P284" i="13"/>
  <c r="AS284" i="13"/>
  <c r="P285" i="13"/>
  <c r="AS285" i="13"/>
  <c r="AD288" i="13"/>
  <c r="AS288" i="13"/>
  <c r="S289" i="13"/>
  <c r="AS289" i="13"/>
  <c r="AP291" i="13"/>
  <c r="AS291" i="13"/>
  <c r="AP292" i="13"/>
  <c r="AS292" i="13"/>
  <c r="S296" i="13"/>
  <c r="T296" i="13" s="1"/>
  <c r="U296" i="13" s="1"/>
  <c r="AS296" i="13"/>
  <c r="AG297" i="13"/>
  <c r="AS297" i="13"/>
  <c r="AD300" i="13"/>
  <c r="AS300" i="13"/>
  <c r="AD301" i="13"/>
  <c r="AS301" i="13"/>
  <c r="AP303" i="13"/>
  <c r="AS303" i="13"/>
  <c r="AA304" i="13"/>
  <c r="AB304" i="13" s="1"/>
  <c r="AS304" i="13"/>
  <c r="AA306" i="13"/>
  <c r="AB306" i="13" s="1"/>
  <c r="AS306" i="13"/>
  <c r="AA307" i="13"/>
  <c r="AB307" i="13" s="1"/>
  <c r="AC307" i="13" s="1"/>
  <c r="AS307" i="13"/>
  <c r="AD308" i="13"/>
  <c r="AS308" i="13"/>
  <c r="AP159" i="13"/>
  <c r="AS159" i="13"/>
  <c r="M165" i="13"/>
  <c r="AS165" i="13"/>
  <c r="AD95" i="13"/>
  <c r="AS95" i="13"/>
  <c r="M190" i="13"/>
  <c r="N190" i="13" s="1"/>
  <c r="AS190" i="13"/>
  <c r="AA187" i="13"/>
  <c r="AS187" i="13"/>
  <c r="AA205" i="13"/>
  <c r="AS205" i="13"/>
  <c r="AG183" i="13"/>
  <c r="M181" i="13"/>
  <c r="V180" i="13"/>
  <c r="V178" i="13"/>
  <c r="AP177" i="13"/>
  <c r="AG176" i="13"/>
  <c r="M175" i="13"/>
  <c r="AD174" i="13"/>
  <c r="AJ55" i="13"/>
  <c r="AJ23" i="13"/>
  <c r="AJ31" i="13"/>
  <c r="AJ33" i="13"/>
  <c r="AJ41" i="13"/>
  <c r="AJ42" i="13"/>
  <c r="AJ43" i="13"/>
  <c r="AJ46" i="13"/>
  <c r="AJ47" i="13"/>
  <c r="AJ48" i="13"/>
  <c r="AJ50" i="13"/>
  <c r="AJ51" i="13"/>
  <c r="AJ52" i="13"/>
  <c r="AJ73" i="13"/>
  <c r="AJ74" i="13"/>
  <c r="AJ79" i="13"/>
  <c r="AJ84" i="13"/>
  <c r="AJ85" i="13"/>
  <c r="AJ86" i="13"/>
  <c r="AJ91" i="13"/>
  <c r="AJ92" i="13"/>
  <c r="AJ96" i="13"/>
  <c r="AJ102" i="13"/>
  <c r="AJ104" i="13"/>
  <c r="AJ107" i="13"/>
  <c r="AJ110" i="13"/>
  <c r="AJ111" i="13"/>
  <c r="AJ112" i="13"/>
  <c r="AJ114" i="13"/>
  <c r="AJ116" i="13"/>
  <c r="AJ119" i="13"/>
  <c r="AJ121" i="13"/>
  <c r="AJ123" i="13"/>
  <c r="AJ126" i="13"/>
  <c r="AJ127" i="13"/>
  <c r="AJ131" i="13"/>
  <c r="AJ134" i="13"/>
  <c r="AJ135" i="13"/>
  <c r="AJ136" i="13"/>
  <c r="AJ137" i="13"/>
  <c r="AJ138" i="13"/>
  <c r="AJ139" i="13"/>
  <c r="AJ141" i="13"/>
  <c r="AJ142" i="13"/>
  <c r="AJ146" i="13"/>
  <c r="AJ150" i="13"/>
  <c r="AJ154" i="13"/>
  <c r="AJ171" i="13"/>
  <c r="AJ118" i="13"/>
  <c r="AJ12" i="13"/>
  <c r="AJ77" i="13"/>
  <c r="AP89" i="13"/>
  <c r="AJ89" i="13"/>
  <c r="AP213" i="13"/>
  <c r="AJ213" i="13"/>
  <c r="AA99" i="13"/>
  <c r="AJ99" i="13"/>
  <c r="AP206" i="13"/>
  <c r="AJ206" i="13"/>
  <c r="AP226" i="13"/>
  <c r="AJ226" i="13"/>
  <c r="AP57" i="13"/>
  <c r="AJ57" i="13"/>
  <c r="AP56" i="13"/>
  <c r="AJ56" i="13"/>
  <c r="AP54" i="13"/>
  <c r="AJ54" i="13"/>
  <c r="AP53" i="13"/>
  <c r="AJ53" i="13"/>
  <c r="AJ7" i="13"/>
  <c r="AP13" i="13"/>
  <c r="AJ13" i="13"/>
  <c r="AJ14" i="13"/>
  <c r="AD15" i="13"/>
  <c r="AE15" i="13" s="1"/>
  <c r="AJ15" i="13"/>
  <c r="AP16" i="13"/>
  <c r="AJ16" i="13"/>
  <c r="AJ18" i="13"/>
  <c r="AP19" i="13"/>
  <c r="AJ19" i="13"/>
  <c r="AA20" i="13"/>
  <c r="AJ20" i="13"/>
  <c r="AP21" i="13"/>
  <c r="AJ21" i="13"/>
  <c r="V24" i="13"/>
  <c r="AJ24" i="13"/>
  <c r="AJ26" i="13"/>
  <c r="AP28" i="13"/>
  <c r="AJ28" i="13"/>
  <c r="AP29" i="13"/>
  <c r="AJ29" i="13"/>
  <c r="AP30" i="13"/>
  <c r="AJ30" i="13"/>
  <c r="AP32" i="13"/>
  <c r="AJ32" i="13"/>
  <c r="AJ35" i="13"/>
  <c r="AJ36" i="13"/>
  <c r="AP37" i="13"/>
  <c r="AJ37" i="13"/>
  <c r="AJ38" i="13"/>
  <c r="AJ39" i="13"/>
  <c r="AP40" i="13"/>
  <c r="AJ40" i="13"/>
  <c r="AG44" i="13"/>
  <c r="AJ44" i="13"/>
  <c r="AP45" i="13"/>
  <c r="AJ45" i="13"/>
  <c r="AP49" i="13"/>
  <c r="AJ49" i="13"/>
  <c r="AJ58" i="13"/>
  <c r="AJ59" i="13"/>
  <c r="AJ60" i="13"/>
  <c r="AJ61" i="13"/>
  <c r="AP62" i="13"/>
  <c r="AJ62" i="13"/>
  <c r="AJ63" i="13"/>
  <c r="AJ64" i="13"/>
  <c r="AJ65" i="13"/>
  <c r="AP66" i="13"/>
  <c r="AJ66" i="13"/>
  <c r="AJ67" i="13"/>
  <c r="AJ68" i="13"/>
  <c r="AJ69" i="13"/>
  <c r="AP70" i="13"/>
  <c r="AJ70" i="13"/>
  <c r="AP71" i="13"/>
  <c r="AJ71" i="13"/>
  <c r="AP75" i="13"/>
  <c r="AJ75" i="13"/>
  <c r="AP83" i="13"/>
  <c r="AJ83" i="13"/>
  <c r="AD93" i="13"/>
  <c r="AJ93" i="13"/>
  <c r="AP94" i="13"/>
  <c r="AJ94" i="13"/>
  <c r="AP101" i="13"/>
  <c r="AJ101" i="13"/>
  <c r="AP103" i="13"/>
  <c r="AJ103" i="13"/>
  <c r="AP105" i="13"/>
  <c r="AJ105" i="13"/>
  <c r="AP106" i="13"/>
  <c r="AJ106" i="13"/>
  <c r="AG108" i="13"/>
  <c r="AJ108" i="13"/>
  <c r="AP109" i="13"/>
  <c r="AJ109" i="13"/>
  <c r="AP113" i="13"/>
  <c r="AJ113" i="13"/>
  <c r="AP115" i="13"/>
  <c r="AJ115" i="13"/>
  <c r="V117" i="13"/>
  <c r="AJ117" i="13"/>
  <c r="AP120" i="13"/>
  <c r="AJ120" i="13"/>
  <c r="AP122" i="13"/>
  <c r="AJ122" i="13"/>
  <c r="M124" i="13"/>
  <c r="AJ124" i="13"/>
  <c r="S125" i="13"/>
  <c r="AJ125" i="13"/>
  <c r="AA128" i="13"/>
  <c r="AJ128" i="13"/>
  <c r="AA129" i="13"/>
  <c r="AJ129" i="13"/>
  <c r="AP130" i="13"/>
  <c r="AJ130" i="13"/>
  <c r="AP132" i="13"/>
  <c r="AJ132" i="13"/>
  <c r="AG133" i="13"/>
  <c r="AJ133" i="13"/>
  <c r="AP140" i="13"/>
  <c r="AJ140" i="13"/>
  <c r="AP143" i="13"/>
  <c r="AJ143" i="13"/>
  <c r="AD144" i="13"/>
  <c r="AJ144" i="13"/>
  <c r="AP145" i="13"/>
  <c r="AJ145" i="13"/>
  <c r="AP147" i="13"/>
  <c r="AJ147" i="13"/>
  <c r="AP149" i="13"/>
  <c r="AJ149" i="13"/>
  <c r="AP151" i="13"/>
  <c r="AJ151" i="13"/>
  <c r="AP152" i="13"/>
  <c r="AJ152" i="13"/>
  <c r="AG153" i="13"/>
  <c r="AJ153" i="13"/>
  <c r="AP164" i="13"/>
  <c r="AJ164" i="13"/>
  <c r="AG169" i="13"/>
  <c r="AJ169" i="13"/>
  <c r="AP170" i="13"/>
  <c r="AJ170" i="13"/>
  <c r="AP184" i="13"/>
  <c r="AJ184" i="13"/>
  <c r="AG185" i="13"/>
  <c r="AJ185" i="13"/>
  <c r="AP188" i="13"/>
  <c r="AJ188" i="13"/>
  <c r="AP192" i="13"/>
  <c r="AJ192" i="13"/>
  <c r="AP193" i="13"/>
  <c r="AJ193" i="13"/>
  <c r="AJ194" i="13"/>
  <c r="AP196" i="13"/>
  <c r="AJ196" i="13"/>
  <c r="AP197" i="13"/>
  <c r="AJ197" i="13"/>
  <c r="AJ198" i="13"/>
  <c r="AP200" i="13"/>
  <c r="AJ200" i="13"/>
  <c r="AP201" i="13"/>
  <c r="AJ201" i="13"/>
  <c r="AP202" i="13"/>
  <c r="AJ202" i="13"/>
  <c r="AJ204" i="13"/>
  <c r="AP207" i="13"/>
  <c r="AJ207" i="13"/>
  <c r="AP208" i="13"/>
  <c r="AJ208" i="13"/>
  <c r="AJ209" i="13"/>
  <c r="AJ211" i="13"/>
  <c r="V212" i="13"/>
  <c r="AJ212" i="13"/>
  <c r="AJ215" i="13"/>
  <c r="AP216" i="13"/>
  <c r="AJ216" i="13"/>
  <c r="AP217" i="13"/>
  <c r="AJ217" i="13"/>
  <c r="AP218" i="13"/>
  <c r="AJ218" i="13"/>
  <c r="AP219" i="13"/>
  <c r="AJ219" i="13"/>
  <c r="AP220" i="13"/>
  <c r="AJ220" i="13"/>
  <c r="AP221" i="13"/>
  <c r="AJ221" i="13"/>
  <c r="AP222" i="13"/>
  <c r="AJ222" i="13"/>
  <c r="AP223" i="13"/>
  <c r="AJ223" i="13"/>
  <c r="AP224" i="13"/>
  <c r="AJ224" i="13"/>
  <c r="AP227" i="13"/>
  <c r="AJ227" i="13"/>
  <c r="AP228" i="13"/>
  <c r="AJ228" i="13"/>
  <c r="AJ229" i="13"/>
  <c r="AP230" i="13"/>
  <c r="AJ230" i="13"/>
  <c r="AP231" i="13"/>
  <c r="AJ231" i="13"/>
  <c r="AJ232" i="13"/>
  <c r="AJ233" i="13"/>
  <c r="AP234" i="13"/>
  <c r="AJ234" i="13"/>
  <c r="AP235" i="13"/>
  <c r="AJ235" i="13"/>
  <c r="AP236" i="13"/>
  <c r="AJ236" i="13"/>
  <c r="AP237" i="13"/>
  <c r="AJ237" i="13"/>
  <c r="AP238" i="13"/>
  <c r="AJ238" i="13"/>
  <c r="AP310" i="13"/>
  <c r="AJ310" i="13"/>
  <c r="AJ311" i="13"/>
  <c r="AP6" i="13"/>
  <c r="AJ6" i="13"/>
  <c r="Z271" i="13"/>
  <c r="F271" i="13"/>
  <c r="Z287" i="13"/>
  <c r="F287" i="13"/>
  <c r="AS287" i="13" s="1"/>
  <c r="Z241" i="13"/>
  <c r="Z245" i="13"/>
  <c r="Z249" i="13"/>
  <c r="Z253" i="13"/>
  <c r="Z257" i="13"/>
  <c r="Z261" i="13"/>
  <c r="Z269" i="13"/>
  <c r="Z277" i="13"/>
  <c r="Z285" i="13"/>
  <c r="Z293" i="13"/>
  <c r="Z301" i="13"/>
  <c r="Z97" i="13"/>
  <c r="F97" i="13"/>
  <c r="AV97" i="13" s="1"/>
  <c r="L77" i="13"/>
  <c r="AQ5" i="14"/>
  <c r="AK5" i="14"/>
  <c r="AQ6" i="14"/>
  <c r="AK6" i="14"/>
  <c r="AQ7" i="14"/>
  <c r="AK7" i="14"/>
  <c r="AQ22" i="14"/>
  <c r="AK22" i="14"/>
  <c r="AK13" i="14"/>
  <c r="AA17" i="14"/>
  <c r="AA21" i="14"/>
  <c r="AH22" i="3"/>
  <c r="AK22" i="3"/>
  <c r="AE8" i="3"/>
  <c r="AK8" i="3"/>
  <c r="AK9" i="3"/>
  <c r="W11" i="3"/>
  <c r="AK11" i="3"/>
  <c r="N12" i="3"/>
  <c r="AK12" i="3"/>
  <c r="AK13" i="3"/>
  <c r="W14" i="3"/>
  <c r="AK14" i="3"/>
  <c r="AB15" i="3"/>
  <c r="AK15" i="3"/>
  <c r="N16" i="3"/>
  <c r="O16" i="3" s="1"/>
  <c r="P16" i="3" s="1"/>
  <c r="AK16" i="3"/>
  <c r="AH17" i="3"/>
  <c r="AK17" i="3"/>
  <c r="W18" i="3"/>
  <c r="AK18" i="3"/>
  <c r="N19" i="3"/>
  <c r="AK19" i="3"/>
  <c r="K20" i="3"/>
  <c r="K114" i="3" s="1"/>
  <c r="AK20" i="3"/>
  <c r="AH21" i="3"/>
  <c r="AK21" i="3"/>
  <c r="Q25" i="3"/>
  <c r="AK25" i="3"/>
  <c r="AQ26" i="3"/>
  <c r="AK26" i="3"/>
  <c r="AB34" i="3"/>
  <c r="AK34" i="3"/>
  <c r="AK35" i="3"/>
  <c r="AE36" i="3"/>
  <c r="AK36" i="3"/>
  <c r="AQ37" i="3"/>
  <c r="AK37" i="3"/>
  <c r="AE38" i="3"/>
  <c r="AK38" i="3"/>
  <c r="AK39" i="3"/>
  <c r="T43" i="3"/>
  <c r="AK43" i="3"/>
  <c r="AH45" i="3"/>
  <c r="AK45" i="3"/>
  <c r="N46" i="3"/>
  <c r="AK46" i="3"/>
  <c r="T48" i="3"/>
  <c r="AK48" i="3"/>
  <c r="W49" i="3"/>
  <c r="AK49" i="3"/>
  <c r="Q50" i="3"/>
  <c r="AK50" i="3"/>
  <c r="AB51" i="3"/>
  <c r="AK51" i="3"/>
  <c r="Q52" i="3"/>
  <c r="AK52" i="3"/>
  <c r="AE53" i="3"/>
  <c r="AK53" i="3"/>
  <c r="AK57" i="3"/>
  <c r="N58" i="3"/>
  <c r="AK58" i="3"/>
  <c r="AB61" i="3"/>
  <c r="AK61" i="3"/>
  <c r="AH64" i="3"/>
  <c r="AK64" i="3"/>
  <c r="AE67" i="3"/>
  <c r="AK67" i="3"/>
  <c r="AE69" i="3"/>
  <c r="AK69" i="3"/>
  <c r="AK70" i="3"/>
  <c r="AH74" i="3"/>
  <c r="AK74" i="3"/>
  <c r="AE76" i="3"/>
  <c r="AK76" i="3"/>
  <c r="AH79" i="3"/>
  <c r="AK79" i="3"/>
  <c r="AK109" i="3"/>
  <c r="W7" i="3"/>
  <c r="AK7" i="3"/>
  <c r="AH78" i="3"/>
  <c r="AK78" i="3"/>
  <c r="C3" i="28"/>
  <c r="AA83" i="3"/>
  <c r="AA87" i="3"/>
  <c r="AA91" i="3"/>
  <c r="AA95" i="3"/>
  <c r="AA61" i="15"/>
  <c r="AA33" i="15"/>
  <c r="V58" i="15"/>
  <c r="I17" i="15"/>
  <c r="I27" i="15"/>
  <c r="AG34" i="15"/>
  <c r="AG14" i="15"/>
  <c r="AG6" i="15"/>
  <c r="AD33" i="15"/>
  <c r="AD22" i="15"/>
  <c r="AA58" i="15"/>
  <c r="AA36" i="15"/>
  <c r="AA26" i="15"/>
  <c r="AA6" i="15"/>
  <c r="V34" i="15"/>
  <c r="V6" i="15"/>
  <c r="S33" i="15"/>
  <c r="S6" i="15"/>
  <c r="I12" i="15"/>
  <c r="I28" i="15"/>
  <c r="AP33" i="15"/>
  <c r="AG33" i="15"/>
  <c r="AD42" i="15"/>
  <c r="AD30" i="15"/>
  <c r="AD8" i="15"/>
  <c r="AA56" i="15"/>
  <c r="AA30" i="15"/>
  <c r="AA14" i="15"/>
  <c r="V33" i="15"/>
  <c r="M33" i="15"/>
  <c r="S29" i="15"/>
  <c r="M6" i="15"/>
  <c r="I12" i="9"/>
  <c r="J34" i="9"/>
  <c r="P15" i="9"/>
  <c r="P34" i="9"/>
  <c r="M14" i="9"/>
  <c r="N14" i="9" s="1"/>
  <c r="O14" i="9" s="1"/>
  <c r="AP33" i="9"/>
  <c r="AP6" i="9"/>
  <c r="P33" i="9"/>
  <c r="K33" i="9"/>
  <c r="L33" i="9" s="1"/>
  <c r="M38" i="9"/>
  <c r="AG18" i="9"/>
  <c r="M10" i="9"/>
  <c r="AA26" i="9"/>
  <c r="AG23" i="9"/>
  <c r="S40" i="9"/>
  <c r="T40" i="9" s="1"/>
  <c r="U40" i="9" s="1"/>
  <c r="V40" i="9"/>
  <c r="AA40" i="9"/>
  <c r="AD40" i="9"/>
  <c r="V21" i="9"/>
  <c r="AA38" i="9"/>
  <c r="AD38" i="9"/>
  <c r="G38" i="9"/>
  <c r="H38" i="9" s="1"/>
  <c r="I38" i="9" s="1"/>
  <c r="Z38" i="9"/>
  <c r="P6" i="9"/>
  <c r="AA34" i="9"/>
  <c r="V34" i="9"/>
  <c r="P13" i="9"/>
  <c r="J38" i="9"/>
  <c r="S38" i="9"/>
  <c r="AG34" i="9"/>
  <c r="AD18" i="9"/>
  <c r="F11" i="9"/>
  <c r="AD11" i="9" s="1"/>
  <c r="Z6" i="9"/>
  <c r="Z34" i="9"/>
  <c r="Z39" i="9"/>
  <c r="Z43" i="9"/>
  <c r="F5" i="9"/>
  <c r="V5" i="9" s="1"/>
  <c r="E50" i="9"/>
  <c r="V18" i="9"/>
  <c r="V38" i="9"/>
  <c r="AP38" i="9"/>
  <c r="S34" i="9"/>
  <c r="S30" i="9"/>
  <c r="T30" i="9" s="1"/>
  <c r="U30" i="9" s="1"/>
  <c r="F35" i="9"/>
  <c r="S35" i="9" s="1"/>
  <c r="Z40" i="9"/>
  <c r="Z44" i="9"/>
  <c r="Z29" i="9"/>
  <c r="AG41" i="9"/>
  <c r="AP41" i="9"/>
  <c r="S41" i="9"/>
  <c r="T41" i="9" s="1"/>
  <c r="U41" i="9" s="1"/>
  <c r="AD41" i="9"/>
  <c r="V41" i="9"/>
  <c r="AA41" i="9"/>
  <c r="AP37" i="9"/>
  <c r="AA37" i="9"/>
  <c r="AD37" i="9"/>
  <c r="S37" i="9"/>
  <c r="V37" i="9"/>
  <c r="J37" i="9"/>
  <c r="M37" i="9"/>
  <c r="P37" i="9"/>
  <c r="G37" i="9"/>
  <c r="H37" i="9" s="1"/>
  <c r="I37" i="9" s="1"/>
  <c r="AG37" i="9"/>
  <c r="E54" i="9"/>
  <c r="K10" i="9"/>
  <c r="L10" i="9" s="1"/>
  <c r="V26" i="9"/>
  <c r="V30" i="9"/>
  <c r="V14" i="9"/>
  <c r="S26" i="9"/>
  <c r="T26" i="9" s="1"/>
  <c r="M18" i="9"/>
  <c r="N18" i="9" s="1"/>
  <c r="O18" i="9" s="1"/>
  <c r="AA10" i="9"/>
  <c r="S10" i="9"/>
  <c r="AG26" i="9"/>
  <c r="AG30" i="9"/>
  <c r="AA18" i="9"/>
  <c r="G10" i="28"/>
  <c r="V8" i="9"/>
  <c r="E61" i="9"/>
  <c r="F15" i="22" s="1"/>
  <c r="G15" i="22" s="1"/>
  <c r="E59" i="9"/>
  <c r="E62" i="9"/>
  <c r="F15" i="23" s="1"/>
  <c r="G15" i="23" s="1"/>
  <c r="E63" i="9"/>
  <c r="F64" i="9" s="1"/>
  <c r="V15" i="9"/>
  <c r="AG40" i="9"/>
  <c r="AG22" i="9"/>
  <c r="M15" i="9"/>
  <c r="N15" i="9" s="1"/>
  <c r="Q15" i="9" s="1"/>
  <c r="AD26" i="9"/>
  <c r="AG10" i="9"/>
  <c r="AD33" i="9"/>
  <c r="AA30" i="9"/>
  <c r="AD30" i="9"/>
  <c r="AD22" i="9"/>
  <c r="F32" i="9"/>
  <c r="J32" i="9" s="1"/>
  <c r="V33" i="9"/>
  <c r="AG5" i="9"/>
  <c r="F7" i="9"/>
  <c r="AV7" i="9" s="1"/>
  <c r="AV50" i="9" s="1"/>
  <c r="D31" i="32" s="1"/>
  <c r="E60" i="9"/>
  <c r="C127" i="17" s="1"/>
  <c r="S15" i="9"/>
  <c r="S18" i="9"/>
  <c r="V22" i="9"/>
  <c r="P18" i="9"/>
  <c r="S22" i="9"/>
  <c r="P22" i="9"/>
  <c r="Q22" i="9" s="1"/>
  <c r="AD14" i="9"/>
  <c r="AG33" i="9"/>
  <c r="AA22" i="9"/>
  <c r="AA19" i="9"/>
  <c r="F29" i="9"/>
  <c r="AD29" i="9" s="1"/>
  <c r="I30" i="15"/>
  <c r="Z51" i="15"/>
  <c r="AG55" i="15"/>
  <c r="AD23" i="15"/>
  <c r="AA23" i="15"/>
  <c r="P58" i="15"/>
  <c r="S56" i="15"/>
  <c r="G56" i="15"/>
  <c r="H56" i="15" s="1"/>
  <c r="I56" i="15" s="1"/>
  <c r="P42" i="15"/>
  <c r="J33" i="15"/>
  <c r="K33" i="15" s="1"/>
  <c r="L33" i="15" s="1"/>
  <c r="S25" i="15"/>
  <c r="K25" i="15"/>
  <c r="L25" i="15" s="1"/>
  <c r="J6" i="15"/>
  <c r="K6" i="15" s="1"/>
  <c r="I21" i="15"/>
  <c r="I26" i="15"/>
  <c r="AG25" i="15"/>
  <c r="AA62" i="15"/>
  <c r="AA19" i="15"/>
  <c r="V62" i="15"/>
  <c r="V24" i="15"/>
  <c r="M58" i="15"/>
  <c r="P25" i="15"/>
  <c r="P23" i="15"/>
  <c r="E66" i="15"/>
  <c r="I22" i="15"/>
  <c r="I41" i="15"/>
  <c r="AP58" i="15"/>
  <c r="Y69" i="15"/>
  <c r="AG58" i="15"/>
  <c r="AG24" i="15"/>
  <c r="AG19" i="15"/>
  <c r="AD58" i="15"/>
  <c r="AD19" i="15"/>
  <c r="V23" i="15"/>
  <c r="S62" i="15"/>
  <c r="T62" i="15" s="1"/>
  <c r="G58" i="15"/>
  <c r="H58" i="15" s="1"/>
  <c r="M56" i="15"/>
  <c r="M55" i="15"/>
  <c r="P52" i="15"/>
  <c r="M25" i="15"/>
  <c r="M24" i="15"/>
  <c r="M23" i="15"/>
  <c r="P19" i="15"/>
  <c r="P7" i="15"/>
  <c r="P6" i="15"/>
  <c r="L48" i="15"/>
  <c r="J57" i="15"/>
  <c r="M57" i="15"/>
  <c r="S57" i="15"/>
  <c r="V57" i="15"/>
  <c r="AG57" i="15"/>
  <c r="AP57" i="15"/>
  <c r="G57" i="15"/>
  <c r="H57" i="15" s="1"/>
  <c r="I57" i="15" s="1"/>
  <c r="AA57" i="15"/>
  <c r="V53" i="15"/>
  <c r="AP53" i="15"/>
  <c r="AP51" i="15"/>
  <c r="Z53" i="15"/>
  <c r="Z57" i="15"/>
  <c r="AG51" i="15"/>
  <c r="AD51" i="15"/>
  <c r="V51" i="15"/>
  <c r="V11" i="15"/>
  <c r="S15" i="15"/>
  <c r="I16" i="15"/>
  <c r="Z46" i="15"/>
  <c r="AG41" i="15"/>
  <c r="AG15" i="15"/>
  <c r="AD26" i="15"/>
  <c r="AA41" i="15"/>
  <c r="J58" i="15"/>
  <c r="M52" i="15"/>
  <c r="M51" i="15"/>
  <c r="F46" i="15"/>
  <c r="M40" i="15"/>
  <c r="N40" i="15" s="1"/>
  <c r="S36" i="15"/>
  <c r="P31" i="15"/>
  <c r="P30" i="15"/>
  <c r="N27" i="15"/>
  <c r="Q27" i="15" s="1"/>
  <c r="R27" i="15" s="1"/>
  <c r="M20" i="15"/>
  <c r="M19" i="15"/>
  <c r="P15" i="15"/>
  <c r="P14" i="15"/>
  <c r="Z48" i="15"/>
  <c r="G8" i="28"/>
  <c r="AG31" i="15"/>
  <c r="AG26" i="15"/>
  <c r="AD41" i="15"/>
  <c r="AD31" i="15"/>
  <c r="AA51" i="15"/>
  <c r="AA32" i="15"/>
  <c r="AA15" i="15"/>
  <c r="V41" i="15"/>
  <c r="V31" i="15"/>
  <c r="V26" i="15"/>
  <c r="V15" i="15"/>
  <c r="S60" i="15"/>
  <c r="P41" i="15"/>
  <c r="S32" i="15"/>
  <c r="M31" i="15"/>
  <c r="N31" i="15" s="1"/>
  <c r="P26" i="15"/>
  <c r="M15" i="15"/>
  <c r="Z104" i="10"/>
  <c r="Z140" i="10"/>
  <c r="M85" i="10"/>
  <c r="M83" i="10"/>
  <c r="P68" i="10"/>
  <c r="M64" i="10"/>
  <c r="M62" i="10"/>
  <c r="Z121" i="10"/>
  <c r="Z129" i="10"/>
  <c r="P114" i="10"/>
  <c r="P91" i="10"/>
  <c r="S88" i="10"/>
  <c r="P66" i="10"/>
  <c r="Q66" i="10" s="1"/>
  <c r="Z109" i="10"/>
  <c r="Z119" i="10"/>
  <c r="Z123" i="10"/>
  <c r="Z127" i="10"/>
  <c r="Z131" i="10"/>
  <c r="J88" i="10"/>
  <c r="K88" i="10" s="1"/>
  <c r="S85" i="10"/>
  <c r="AG46" i="10"/>
  <c r="AH46" i="10" s="1"/>
  <c r="AN46" i="10" s="1"/>
  <c r="AO46" i="10" s="1"/>
  <c r="H147" i="10"/>
  <c r="AD120" i="10"/>
  <c r="AA137" i="10"/>
  <c r="AP124" i="10"/>
  <c r="AP111" i="10"/>
  <c r="AG38" i="10"/>
  <c r="AD27" i="10"/>
  <c r="AP141" i="10"/>
  <c r="AG128" i="10"/>
  <c r="AD111" i="10"/>
  <c r="AA76" i="10"/>
  <c r="AD95" i="10"/>
  <c r="AG29" i="10"/>
  <c r="AG102" i="10"/>
  <c r="AG98" i="10"/>
  <c r="AG70" i="10"/>
  <c r="AG42" i="10"/>
  <c r="AA128" i="10"/>
  <c r="E146" i="10"/>
  <c r="Z102" i="10"/>
  <c r="V29" i="10"/>
  <c r="W29" i="10" s="1"/>
  <c r="V22" i="10"/>
  <c r="M96" i="10"/>
  <c r="N96" i="10" s="1"/>
  <c r="O96" i="10" s="1"/>
  <c r="M88" i="10"/>
  <c r="S69" i="10"/>
  <c r="T69" i="10" s="1"/>
  <c r="M68" i="10"/>
  <c r="N68" i="10" s="1"/>
  <c r="P17" i="10"/>
  <c r="AP63" i="10"/>
  <c r="AD137" i="10"/>
  <c r="AA124" i="10"/>
  <c r="AG120" i="10"/>
  <c r="AP137" i="10"/>
  <c r="AA141" i="10"/>
  <c r="AG105" i="10"/>
  <c r="AP95" i="10"/>
  <c r="AA102" i="10"/>
  <c r="AP98" i="10"/>
  <c r="AP94" i="10"/>
  <c r="AD70" i="10"/>
  <c r="AG141" i="10"/>
  <c r="G9" i="28"/>
  <c r="Z95" i="10"/>
  <c r="Z111" i="10"/>
  <c r="Z137" i="10"/>
  <c r="Z141" i="10"/>
  <c r="E153" i="10"/>
  <c r="E154" i="10" s="1"/>
  <c r="E155" i="10" s="1"/>
  <c r="AG54" i="10"/>
  <c r="AH54" i="10" s="1"/>
  <c r="AN54" i="10" s="1"/>
  <c r="AO54" i="10" s="1"/>
  <c r="E149" i="10"/>
  <c r="AD22" i="10"/>
  <c r="AA65" i="10"/>
  <c r="AD124" i="10"/>
  <c r="AA120" i="10"/>
  <c r="AG27" i="10"/>
  <c r="AA27" i="10"/>
  <c r="AG30" i="10"/>
  <c r="AA29" i="10"/>
  <c r="AD98" i="10"/>
  <c r="AP70" i="10"/>
  <c r="AD42" i="10"/>
  <c r="AE42" i="10" s="1"/>
  <c r="AA101" i="10"/>
  <c r="Z120" i="10"/>
  <c r="Z124" i="10"/>
  <c r="Z128" i="10"/>
  <c r="V27" i="10"/>
  <c r="W27" i="10" s="1"/>
  <c r="X27" i="10" s="1"/>
  <c r="S115" i="10"/>
  <c r="P98" i="10"/>
  <c r="Q98" i="10" s="1"/>
  <c r="R98" i="10" s="1"/>
  <c r="P70" i="10"/>
  <c r="Q70" i="10" s="1"/>
  <c r="K13" i="16"/>
  <c r="K25" i="16"/>
  <c r="K21" i="16"/>
  <c r="AG21" i="16"/>
  <c r="AG31" i="16"/>
  <c r="AP37" i="16"/>
  <c r="AA10" i="16"/>
  <c r="AG8" i="16"/>
  <c r="M39" i="16"/>
  <c r="J29" i="16"/>
  <c r="G31" i="16"/>
  <c r="H31" i="16" s="1"/>
  <c r="G15" i="16"/>
  <c r="H15" i="16" s="1"/>
  <c r="I15" i="16" s="1"/>
  <c r="V29" i="16"/>
  <c r="P39" i="16"/>
  <c r="M15" i="16"/>
  <c r="P6" i="16"/>
  <c r="Q6" i="16" s="1"/>
  <c r="AD6" i="16"/>
  <c r="F13" i="23"/>
  <c r="G13" i="23" s="1"/>
  <c r="K27" i="16"/>
  <c r="M31" i="16"/>
  <c r="AD31" i="16"/>
  <c r="K7" i="16"/>
  <c r="N7" i="16" s="1"/>
  <c r="P10" i="16"/>
  <c r="Q10" i="16" s="1"/>
  <c r="L27" i="16"/>
  <c r="N27" i="16"/>
  <c r="I37" i="16"/>
  <c r="K37" i="16"/>
  <c r="T10" i="16"/>
  <c r="R10" i="16"/>
  <c r="L9" i="16"/>
  <c r="N9" i="16"/>
  <c r="O9" i="16" s="1"/>
  <c r="L39" i="16"/>
  <c r="N39" i="16"/>
  <c r="L33" i="16"/>
  <c r="N33" i="16"/>
  <c r="K19" i="16"/>
  <c r="L7" i="16"/>
  <c r="I8" i="16"/>
  <c r="K8" i="16"/>
  <c r="AF11" i="16"/>
  <c r="AH11" i="16"/>
  <c r="AN11" i="16" s="1"/>
  <c r="AO11" i="16" s="1"/>
  <c r="AD22" i="16"/>
  <c r="AA22" i="16"/>
  <c r="AP22" i="16"/>
  <c r="V22" i="16"/>
  <c r="M22" i="16"/>
  <c r="J22" i="16"/>
  <c r="K22" i="16" s="1"/>
  <c r="L22" i="16" s="1"/>
  <c r="AG22" i="16"/>
  <c r="P22" i="16"/>
  <c r="S22" i="16"/>
  <c r="V38" i="16"/>
  <c r="G38" i="16"/>
  <c r="H38" i="16" s="1"/>
  <c r="I38" i="16" s="1"/>
  <c r="P38" i="16"/>
  <c r="AP38" i="16"/>
  <c r="J38" i="16"/>
  <c r="AA38" i="16"/>
  <c r="AG38" i="16"/>
  <c r="M38" i="16"/>
  <c r="AG18" i="16"/>
  <c r="M18" i="16"/>
  <c r="AA18" i="16"/>
  <c r="J18" i="16"/>
  <c r="AD18" i="16"/>
  <c r="G18" i="16"/>
  <c r="H18" i="16" s="1"/>
  <c r="I18" i="16" s="1"/>
  <c r="S18" i="16"/>
  <c r="V18" i="16"/>
  <c r="P34" i="16"/>
  <c r="AA34" i="16"/>
  <c r="M34" i="16"/>
  <c r="S34" i="16"/>
  <c r="J34" i="16"/>
  <c r="AP34" i="16"/>
  <c r="AD34" i="16"/>
  <c r="G34" i="16"/>
  <c r="H34" i="16" s="1"/>
  <c r="I34" i="16" s="1"/>
  <c r="N17" i="16"/>
  <c r="AP5" i="16"/>
  <c r="S5" i="16"/>
  <c r="P5" i="16"/>
  <c r="AD5" i="16"/>
  <c r="AA5" i="16"/>
  <c r="M5" i="16"/>
  <c r="AP9" i="16"/>
  <c r="AD9" i="16"/>
  <c r="P9" i="16"/>
  <c r="AG9" i="16"/>
  <c r="S9" i="16"/>
  <c r="AG14" i="16"/>
  <c r="M14" i="16"/>
  <c r="S14" i="16"/>
  <c r="AD14" i="16"/>
  <c r="G14" i="16"/>
  <c r="AA14" i="16"/>
  <c r="V14" i="16"/>
  <c r="P30" i="16"/>
  <c r="G30" i="16"/>
  <c r="H30" i="16" s="1"/>
  <c r="I30" i="16" s="1"/>
  <c r="J30" i="16"/>
  <c r="AD30" i="16"/>
  <c r="AP30" i="16"/>
  <c r="AA30" i="16"/>
  <c r="I29" i="16"/>
  <c r="K29" i="16"/>
  <c r="L29" i="16" s="1"/>
  <c r="V34" i="16"/>
  <c r="J26" i="16"/>
  <c r="AA26" i="16"/>
  <c r="G26" i="16"/>
  <c r="H26" i="16" s="1"/>
  <c r="I26" i="16" s="1"/>
  <c r="AD26" i="16"/>
  <c r="AP26" i="16"/>
  <c r="V26" i="16"/>
  <c r="S26" i="16"/>
  <c r="C7" i="28"/>
  <c r="Z16" i="16"/>
  <c r="F16" i="16"/>
  <c r="E47" i="16"/>
  <c r="Z20" i="16"/>
  <c r="F20" i="16"/>
  <c r="Z24" i="16"/>
  <c r="F24" i="16"/>
  <c r="Z28" i="16"/>
  <c r="F28" i="16"/>
  <c r="Z32" i="16"/>
  <c r="F32" i="16"/>
  <c r="Z36" i="16"/>
  <c r="F36" i="16"/>
  <c r="Z40" i="16"/>
  <c r="F40" i="16"/>
  <c r="AG5" i="16"/>
  <c r="AG6" i="16"/>
  <c r="AG7" i="16"/>
  <c r="V7" i="16"/>
  <c r="F225" i="13"/>
  <c r="AG225" i="13" s="1"/>
  <c r="L159" i="13"/>
  <c r="I99" i="13"/>
  <c r="Z95" i="13"/>
  <c r="Z99" i="13"/>
  <c r="Z190" i="13"/>
  <c r="Z205" i="13"/>
  <c r="F251" i="13"/>
  <c r="F203" i="13"/>
  <c r="AD203" i="13" s="1"/>
  <c r="L163" i="13"/>
  <c r="E320" i="13"/>
  <c r="E321" i="13" s="1"/>
  <c r="E322" i="13" s="1"/>
  <c r="Z76" i="13"/>
  <c r="Z89" i="13"/>
  <c r="Z157" i="13"/>
  <c r="Z156" i="13"/>
  <c r="Z161" i="13"/>
  <c r="Z166" i="13"/>
  <c r="Z173" i="13"/>
  <c r="Z213" i="13"/>
  <c r="Z243" i="13"/>
  <c r="Z259" i="13"/>
  <c r="Z77" i="13"/>
  <c r="G6" i="28"/>
  <c r="AG105" i="13"/>
  <c r="AD32" i="13"/>
  <c r="F295" i="13"/>
  <c r="S295" i="13" s="1"/>
  <c r="T295" i="13" s="1"/>
  <c r="F279" i="13"/>
  <c r="F263" i="13"/>
  <c r="V263" i="13" s="1"/>
  <c r="F189" i="13"/>
  <c r="L157" i="13"/>
  <c r="M109" i="13"/>
  <c r="I97" i="13"/>
  <c r="L81" i="13"/>
  <c r="Z12" i="13"/>
  <c r="Z10" i="13"/>
  <c r="Z78" i="13"/>
  <c r="Z187" i="13"/>
  <c r="Z303" i="13"/>
  <c r="AD117" i="13"/>
  <c r="V109" i="13"/>
  <c r="AA12" i="13"/>
  <c r="AD12" i="13"/>
  <c r="F9" i="13"/>
  <c r="F191" i="13"/>
  <c r="AV191" i="13" s="1"/>
  <c r="F100" i="13"/>
  <c r="C6" i="28"/>
  <c r="Z240" i="13"/>
  <c r="Z244" i="13"/>
  <c r="Z248" i="13"/>
  <c r="Z252" i="13"/>
  <c r="Z256" i="13"/>
  <c r="Z260" i="13"/>
  <c r="Z264" i="13"/>
  <c r="Z268" i="13"/>
  <c r="Z272" i="13"/>
  <c r="Z276" i="13"/>
  <c r="Z280" i="13"/>
  <c r="Z284" i="13"/>
  <c r="Z288" i="13"/>
  <c r="Z292" i="13"/>
  <c r="Z296" i="13"/>
  <c r="Z300" i="13"/>
  <c r="F298" i="13"/>
  <c r="F294" i="13"/>
  <c r="V294" i="13" s="1"/>
  <c r="F290" i="13"/>
  <c r="F286" i="13"/>
  <c r="AD286" i="13" s="1"/>
  <c r="F282" i="13"/>
  <c r="F278" i="13"/>
  <c r="AP278" i="13" s="1"/>
  <c r="F274" i="13"/>
  <c r="F270" i="13"/>
  <c r="S270" i="13" s="1"/>
  <c r="F266" i="13"/>
  <c r="F262" i="13"/>
  <c r="F258" i="13"/>
  <c r="F254" i="13"/>
  <c r="AA254" i="13" s="1"/>
  <c r="F250" i="13"/>
  <c r="F246" i="13"/>
  <c r="P246" i="13" s="1"/>
  <c r="F242" i="13"/>
  <c r="F199" i="13"/>
  <c r="S199" i="13" s="1"/>
  <c r="L165" i="13"/>
  <c r="F80" i="13"/>
  <c r="AP80" i="13" s="1"/>
  <c r="L12" i="13"/>
  <c r="F148" i="13"/>
  <c r="AV148" i="13" s="1"/>
  <c r="F168" i="13"/>
  <c r="AV168" i="13" s="1"/>
  <c r="F195" i="13"/>
  <c r="F186" i="13"/>
  <c r="AD186" i="13" s="1"/>
  <c r="L168" i="13"/>
  <c r="I98" i="13"/>
  <c r="I95" i="13"/>
  <c r="F87" i="13"/>
  <c r="AP87" i="13" s="1"/>
  <c r="Z80" i="13"/>
  <c r="Z302" i="13"/>
  <c r="L160" i="13"/>
  <c r="L158" i="13"/>
  <c r="L148" i="13"/>
  <c r="I100" i="13"/>
  <c r="P22" i="11"/>
  <c r="R22" i="11"/>
  <c r="S22" i="11" s="1"/>
  <c r="L7" i="11"/>
  <c r="J7" i="11"/>
  <c r="L12" i="11"/>
  <c r="AE26" i="11"/>
  <c r="AF26" i="11" s="1"/>
  <c r="AE12" i="11"/>
  <c r="T15" i="11"/>
  <c r="U15" i="11" s="1"/>
  <c r="E29" i="11"/>
  <c r="F5" i="11"/>
  <c r="AE5" i="11" s="1"/>
  <c r="V16" i="11"/>
  <c r="BH15" i="11"/>
  <c r="N12" i="11"/>
  <c r="T22" i="11"/>
  <c r="AH26" i="11"/>
  <c r="AH10" i="11"/>
  <c r="AH12" i="11"/>
  <c r="AQ15" i="11"/>
  <c r="T12" i="11"/>
  <c r="W10" i="11"/>
  <c r="J11" i="11"/>
  <c r="J10" i="11"/>
  <c r="Q12" i="11"/>
  <c r="N10" i="11"/>
  <c r="AB12" i="11"/>
  <c r="W12" i="11"/>
  <c r="Z29" i="11"/>
  <c r="AA5" i="11"/>
  <c r="L18" i="11"/>
  <c r="O11" i="11"/>
  <c r="M11" i="11"/>
  <c r="O10" i="11"/>
  <c r="M10" i="11"/>
  <c r="F19" i="11"/>
  <c r="G19" i="11"/>
  <c r="F23" i="11"/>
  <c r="AQ27" i="11"/>
  <c r="AH27" i="11"/>
  <c r="AI27" i="11" s="1"/>
  <c r="AJ27" i="11" s="1"/>
  <c r="BG27" i="11" s="1"/>
  <c r="BH27" i="11"/>
  <c r="AC16" i="11"/>
  <c r="Y16" i="11"/>
  <c r="P14" i="11"/>
  <c r="R14" i="11"/>
  <c r="AQ24" i="11"/>
  <c r="AH24" i="11"/>
  <c r="W24" i="11"/>
  <c r="X24" i="11" s="1"/>
  <c r="Y24" i="11" s="1"/>
  <c r="AE24" i="11"/>
  <c r="AB24" i="11"/>
  <c r="P21" i="11"/>
  <c r="AH15" i="11"/>
  <c r="AE15" i="11"/>
  <c r="AB15" i="11"/>
  <c r="AE21" i="11"/>
  <c r="T21" i="11"/>
  <c r="AB21" i="11"/>
  <c r="W21" i="11"/>
  <c r="Q21" i="11"/>
  <c r="R21" i="11" s="1"/>
  <c r="AB25" i="11"/>
  <c r="AH25" i="11"/>
  <c r="W25" i="11"/>
  <c r="X25" i="11" s="1"/>
  <c r="AA8" i="11"/>
  <c r="G5" i="28"/>
  <c r="F13" i="11"/>
  <c r="G20" i="11"/>
  <c r="AE25" i="11"/>
  <c r="F8" i="11"/>
  <c r="AZ8" i="11" s="1"/>
  <c r="AQ11" i="11"/>
  <c r="Q11" i="11"/>
  <c r="AE11" i="11"/>
  <c r="T11" i="11"/>
  <c r="AH16" i="11"/>
  <c r="AE16" i="11"/>
  <c r="G6" i="11"/>
  <c r="E34" i="11"/>
  <c r="F6" i="11"/>
  <c r="J6" i="11"/>
  <c r="L5" i="14"/>
  <c r="M5" i="14" s="1"/>
  <c r="AH16" i="14"/>
  <c r="AE21" i="14"/>
  <c r="K30" i="14"/>
  <c r="K21" i="14"/>
  <c r="K16" i="14"/>
  <c r="Q34" i="14"/>
  <c r="Q29" i="14"/>
  <c r="W16" i="14"/>
  <c r="AQ8" i="14"/>
  <c r="AQ16" i="14"/>
  <c r="AH21" i="14"/>
  <c r="AH29" i="14"/>
  <c r="AH34" i="14"/>
  <c r="L26" i="14"/>
  <c r="M26" i="14" s="1"/>
  <c r="N34" i="14"/>
  <c r="O34" i="14" s="1"/>
  <c r="P34" i="14" s="1"/>
  <c r="N21" i="14"/>
  <c r="T16" i="14"/>
  <c r="AE29" i="14"/>
  <c r="AE34" i="14"/>
  <c r="K29" i="14"/>
  <c r="H21" i="14"/>
  <c r="I21" i="14" s="1"/>
  <c r="J21" i="14" s="1"/>
  <c r="H16" i="14"/>
  <c r="I16" i="14" s="1"/>
  <c r="J16" i="14" s="1"/>
  <c r="T34" i="14"/>
  <c r="T21" i="14"/>
  <c r="N17" i="14"/>
  <c r="N16" i="14"/>
  <c r="N8" i="14"/>
  <c r="AB30" i="14"/>
  <c r="T30" i="14"/>
  <c r="T17" i="14"/>
  <c r="AB22" i="14"/>
  <c r="AC22" i="14" s="1"/>
  <c r="AE8" i="14"/>
  <c r="AE17" i="14"/>
  <c r="AH30" i="14"/>
  <c r="AQ35" i="14"/>
  <c r="H30" i="14"/>
  <c r="I30" i="14" s="1"/>
  <c r="J30" i="14" s="1"/>
  <c r="K17" i="14"/>
  <c r="H8" i="14"/>
  <c r="I8" i="14" s="1"/>
  <c r="J8" i="14" s="1"/>
  <c r="W30" i="14"/>
  <c r="W17" i="14"/>
  <c r="AH22" i="14"/>
  <c r="AH8" i="14"/>
  <c r="AH17" i="14"/>
  <c r="AQ30" i="14"/>
  <c r="AE22" i="14"/>
  <c r="H17" i="14"/>
  <c r="I17" i="14" s="1"/>
  <c r="J17" i="14" s="1"/>
  <c r="K8" i="14"/>
  <c r="Q30" i="14"/>
  <c r="AB35" i="14"/>
  <c r="AC35" i="14" s="1"/>
  <c r="AF35" i="14" s="1"/>
  <c r="AB17" i="14"/>
  <c r="J20" i="14"/>
  <c r="L20" i="14"/>
  <c r="M20" i="14" s="1"/>
  <c r="H31" i="14"/>
  <c r="I31" i="14" s="1"/>
  <c r="J31" i="14" s="1"/>
  <c r="K18" i="14"/>
  <c r="Q9" i="14"/>
  <c r="AH9" i="14"/>
  <c r="AE31" i="14"/>
  <c r="K25" i="14"/>
  <c r="Q31" i="14"/>
  <c r="Q25" i="14"/>
  <c r="T18" i="14"/>
  <c r="AB18" i="14"/>
  <c r="AH31" i="14"/>
  <c r="K31" i="14"/>
  <c r="L31" i="14" s="1"/>
  <c r="M31" i="14" s="1"/>
  <c r="J26" i="14"/>
  <c r="T31" i="14"/>
  <c r="W18" i="14"/>
  <c r="AI37" i="14"/>
  <c r="AA10" i="14"/>
  <c r="AA20" i="14"/>
  <c r="AD22" i="14"/>
  <c r="G19" i="14"/>
  <c r="F19" i="14"/>
  <c r="AA19" i="14"/>
  <c r="AA32" i="14"/>
  <c r="G32" i="14"/>
  <c r="F32" i="14"/>
  <c r="G11" i="14"/>
  <c r="AA11" i="14"/>
  <c r="F11" i="14"/>
  <c r="E40" i="14"/>
  <c r="AA28" i="14"/>
  <c r="G28" i="14"/>
  <c r="F28" i="14"/>
  <c r="F36" i="14"/>
  <c r="L7" i="14"/>
  <c r="M7" i="14" s="1"/>
  <c r="J7" i="14"/>
  <c r="O26" i="14"/>
  <c r="J6" i="14"/>
  <c r="L6" i="14"/>
  <c r="M6" i="14" s="1"/>
  <c r="AD35" i="14"/>
  <c r="AB9" i="14"/>
  <c r="AE9" i="14"/>
  <c r="H9" i="14"/>
  <c r="N9" i="14"/>
  <c r="K9" i="14"/>
  <c r="C4" i="28"/>
  <c r="L21" i="14"/>
  <c r="N12" i="14"/>
  <c r="N25" i="14"/>
  <c r="AB25" i="14"/>
  <c r="AB12" i="14"/>
  <c r="G4" i="28"/>
  <c r="AQ23" i="14"/>
  <c r="AE23" i="14"/>
  <c r="AF23" i="14" s="1"/>
  <c r="AG23" i="14" s="1"/>
  <c r="Z40" i="14"/>
  <c r="T12" i="14"/>
  <c r="AH12" i="14"/>
  <c r="AQ18" i="14"/>
  <c r="Q18" i="14"/>
  <c r="H18" i="14"/>
  <c r="I18" i="14" s="1"/>
  <c r="J18" i="14" s="1"/>
  <c r="AQ29" i="14"/>
  <c r="H29" i="14"/>
  <c r="I29" i="14" s="1"/>
  <c r="AQ33" i="14"/>
  <c r="N33" i="14"/>
  <c r="H33" i="14"/>
  <c r="I33" i="14" s="1"/>
  <c r="J33" i="14" s="1"/>
  <c r="AG37" i="14"/>
  <c r="AQ25" i="14"/>
  <c r="H25" i="14"/>
  <c r="I25" i="14" s="1"/>
  <c r="J25" i="14" s="1"/>
  <c r="G10" i="14"/>
  <c r="F10" i="14"/>
  <c r="AA18" i="14"/>
  <c r="G18" i="14"/>
  <c r="AA27" i="14"/>
  <c r="F27" i="14"/>
  <c r="N31" i="14"/>
  <c r="Q21" i="14"/>
  <c r="Q17" i="14"/>
  <c r="AA31" i="14"/>
  <c r="T67" i="3"/>
  <c r="F40" i="3"/>
  <c r="W40" i="3" s="1"/>
  <c r="J74" i="3"/>
  <c r="AA97" i="3"/>
  <c r="Q76" i="3"/>
  <c r="N26" i="3"/>
  <c r="O26" i="3" s="1"/>
  <c r="P26" i="3" s="1"/>
  <c r="F59" i="3"/>
  <c r="H59" i="3" s="1"/>
  <c r="I59" i="3" s="1"/>
  <c r="AA33" i="3"/>
  <c r="AA89" i="3"/>
  <c r="N67" i="3"/>
  <c r="Q26" i="3"/>
  <c r="AH92" i="3"/>
  <c r="AB26" i="3"/>
  <c r="F60" i="3"/>
  <c r="Q60" i="3" s="1"/>
  <c r="G40" i="3"/>
  <c r="G59" i="3"/>
  <c r="AA99" i="3"/>
  <c r="T105" i="3"/>
  <c r="U105" i="3" s="1"/>
  <c r="W105" i="3"/>
  <c r="L12" i="3"/>
  <c r="M12" i="3" s="1"/>
  <c r="K100" i="3"/>
  <c r="Q92" i="3"/>
  <c r="N88" i="3"/>
  <c r="K84" i="3"/>
  <c r="H47" i="3"/>
  <c r="I47" i="3" s="1"/>
  <c r="Q43" i="3"/>
  <c r="N38" i="3"/>
  <c r="K24" i="3"/>
  <c r="Q15" i="3"/>
  <c r="T78" i="3"/>
  <c r="W51" i="3"/>
  <c r="AB60" i="3"/>
  <c r="AC60" i="3" s="1"/>
  <c r="AD60" i="3" s="1"/>
  <c r="AB11" i="3"/>
  <c r="F66" i="3"/>
  <c r="AH66" i="3" s="1"/>
  <c r="F85" i="3"/>
  <c r="K85" i="3" s="1"/>
  <c r="F89" i="3"/>
  <c r="AQ89" i="3" s="1"/>
  <c r="F93" i="3"/>
  <c r="AB93" i="3" s="1"/>
  <c r="F97" i="3"/>
  <c r="N97" i="3" s="1"/>
  <c r="F101" i="3"/>
  <c r="AB101" i="3" s="1"/>
  <c r="E117" i="3"/>
  <c r="AA66" i="3"/>
  <c r="AA105" i="3"/>
  <c r="N104" i="3"/>
  <c r="N100" i="3"/>
  <c r="J91" i="3"/>
  <c r="Q88" i="3"/>
  <c r="N84" i="3"/>
  <c r="K69" i="3"/>
  <c r="L69" i="3" s="1"/>
  <c r="M69" i="3" s="1"/>
  <c r="K56" i="3"/>
  <c r="J45" i="3"/>
  <c r="Q38" i="3"/>
  <c r="K28" i="3"/>
  <c r="W100" i="3"/>
  <c r="W60" i="3"/>
  <c r="AE28" i="3"/>
  <c r="AH24" i="3"/>
  <c r="AB84" i="3"/>
  <c r="AE19" i="3"/>
  <c r="G33" i="3"/>
  <c r="G47" i="3"/>
  <c r="G85" i="3"/>
  <c r="G93" i="3"/>
  <c r="G101" i="3"/>
  <c r="AA85" i="3"/>
  <c r="J105" i="3"/>
  <c r="Q104" i="3"/>
  <c r="H96" i="3"/>
  <c r="I96" i="3" s="1"/>
  <c r="N74" i="3"/>
  <c r="O74" i="3" s="1"/>
  <c r="P74" i="3" s="1"/>
  <c r="Q56" i="3"/>
  <c r="N11" i="3"/>
  <c r="W104" i="3"/>
  <c r="T100" i="3"/>
  <c r="AB100" i="3"/>
  <c r="F33" i="3"/>
  <c r="AA68" i="3"/>
  <c r="Z115" i="3"/>
  <c r="AA10" i="3"/>
  <c r="AA55" i="3"/>
  <c r="AA73" i="3"/>
  <c r="AA84" i="3"/>
  <c r="AA88" i="3"/>
  <c r="AA92" i="3"/>
  <c r="AA96" i="3"/>
  <c r="AA100" i="3"/>
  <c r="AA104" i="3"/>
  <c r="AA103" i="3"/>
  <c r="G34" i="3"/>
  <c r="J34" i="3" s="1"/>
  <c r="O34" i="3"/>
  <c r="P34" i="3" s="1"/>
  <c r="N98" i="3"/>
  <c r="H82" i="3"/>
  <c r="I82" i="3" s="1"/>
  <c r="J82" i="3" s="1"/>
  <c r="H63" i="3"/>
  <c r="I63" i="3" s="1"/>
  <c r="J63" i="3" s="1"/>
  <c r="N55" i="3"/>
  <c r="N49" i="3"/>
  <c r="H33" i="3"/>
  <c r="I33" i="3" s="1"/>
  <c r="W79" i="3"/>
  <c r="W59" i="3"/>
  <c r="W50" i="3"/>
  <c r="W46" i="3"/>
  <c r="W37" i="3"/>
  <c r="T26" i="3"/>
  <c r="AH72" i="3"/>
  <c r="AH26" i="3"/>
  <c r="AH10" i="3"/>
  <c r="AH46" i="3"/>
  <c r="J26" i="3"/>
  <c r="J57" i="3"/>
  <c r="G3" i="28"/>
  <c r="E113" i="3"/>
  <c r="K33" i="3"/>
  <c r="T50" i="3"/>
  <c r="T46" i="3"/>
  <c r="T37" i="3"/>
  <c r="AE33" i="3"/>
  <c r="AB50" i="3"/>
  <c r="AE37" i="3"/>
  <c r="AG75" i="13"/>
  <c r="AD66" i="13"/>
  <c r="M83" i="13"/>
  <c r="N83" i="13" s="1"/>
  <c r="S75" i="13"/>
  <c r="S62" i="13"/>
  <c r="I84" i="13"/>
  <c r="V169" i="13"/>
  <c r="P192" i="13"/>
  <c r="AA169" i="13"/>
  <c r="S185" i="13"/>
  <c r="I21" i="13"/>
  <c r="I125" i="13"/>
  <c r="AG208" i="13"/>
  <c r="I12" i="13"/>
  <c r="I145" i="13"/>
  <c r="I107" i="13"/>
  <c r="AP247" i="13"/>
  <c r="AA180" i="13"/>
  <c r="S113" i="13"/>
  <c r="M94" i="13"/>
  <c r="I113" i="13"/>
  <c r="AP195" i="13"/>
  <c r="AG94" i="13"/>
  <c r="AD122" i="13"/>
  <c r="M105" i="13"/>
  <c r="N105" i="13" s="1"/>
  <c r="P101" i="13"/>
  <c r="P62" i="13"/>
  <c r="Q62" i="13" s="1"/>
  <c r="O15" i="9"/>
  <c r="R22" i="9"/>
  <c r="V27" i="9"/>
  <c r="V43" i="9"/>
  <c r="S23" i="9"/>
  <c r="AP43" i="9"/>
  <c r="S24" i="9"/>
  <c r="P20" i="9"/>
  <c r="Q20" i="9" s="1"/>
  <c r="M32" i="9"/>
  <c r="M19" i="9"/>
  <c r="N19" i="9" s="1"/>
  <c r="O19" i="9" s="1"/>
  <c r="AG15" i="9"/>
  <c r="AA27" i="9"/>
  <c r="AG24" i="9"/>
  <c r="AG20" i="9"/>
  <c r="V23" i="9"/>
  <c r="P19" i="9"/>
  <c r="AG11" i="9"/>
  <c r="S43" i="9"/>
  <c r="T43" i="9" s="1"/>
  <c r="U43" i="9" s="1"/>
  <c r="P23" i="9"/>
  <c r="Q23" i="9" s="1"/>
  <c r="R23" i="9" s="1"/>
  <c r="AG19" i="9"/>
  <c r="AD15" i="9"/>
  <c r="AG6" i="9"/>
  <c r="AA43" i="9"/>
  <c r="M35" i="9"/>
  <c r="K34" i="9"/>
  <c r="N34" i="9" s="1"/>
  <c r="Q34" i="9" s="1"/>
  <c r="S19" i="9"/>
  <c r="V19" i="9"/>
  <c r="V28" i="9"/>
  <c r="W28" i="9" s="1"/>
  <c r="P24" i="9"/>
  <c r="Q24" i="9" s="1"/>
  <c r="S16" i="9"/>
  <c r="M16" i="9"/>
  <c r="N16" i="9" s="1"/>
  <c r="AP40" i="9"/>
  <c r="AD43" i="9"/>
  <c r="S27" i="9"/>
  <c r="T27" i="9" s="1"/>
  <c r="U27" i="9" s="1"/>
  <c r="AG13" i="9"/>
  <c r="AG27" i="9"/>
  <c r="AA24" i="9"/>
  <c r="AD24" i="9"/>
  <c r="AD20" i="9"/>
  <c r="AD16" i="9"/>
  <c r="AD39" i="9"/>
  <c r="AP39" i="9"/>
  <c r="AA39" i="9"/>
  <c r="S39" i="9"/>
  <c r="P39" i="9"/>
  <c r="Q39" i="9" s="1"/>
  <c r="V39" i="9"/>
  <c r="V12" i="9"/>
  <c r="AG12" i="9"/>
  <c r="S12" i="9"/>
  <c r="AP12" i="9"/>
  <c r="P12" i="9"/>
  <c r="AD12" i="9"/>
  <c r="M12" i="9"/>
  <c r="N12" i="9" s="1"/>
  <c r="V44" i="9"/>
  <c r="W44" i="9" s="1"/>
  <c r="AG44" i="9"/>
  <c r="AP44" i="9"/>
  <c r="AA44" i="9"/>
  <c r="AD44" i="9"/>
  <c r="AG39" i="9"/>
  <c r="AG8" i="9"/>
  <c r="AP8" i="9"/>
  <c r="AA8" i="9"/>
  <c r="S8" i="9"/>
  <c r="T8" i="9" s="1"/>
  <c r="S6" i="9"/>
  <c r="J6" i="9"/>
  <c r="AA6" i="9"/>
  <c r="M6" i="9"/>
  <c r="AG17" i="9"/>
  <c r="M17" i="9"/>
  <c r="N17" i="9" s="1"/>
  <c r="V17" i="9"/>
  <c r="P17" i="9"/>
  <c r="AP17" i="9"/>
  <c r="AD17" i="9"/>
  <c r="S17" i="9"/>
  <c r="AA21" i="9"/>
  <c r="AD21" i="9"/>
  <c r="AG21" i="9"/>
  <c r="P21" i="9"/>
  <c r="Q21" i="9" s="1"/>
  <c r="S21" i="9"/>
  <c r="AD25" i="9"/>
  <c r="AA25" i="9"/>
  <c r="AG25" i="9"/>
  <c r="P25" i="9"/>
  <c r="Q25" i="9" s="1"/>
  <c r="V25" i="9"/>
  <c r="S25" i="9"/>
  <c r="S29" i="9"/>
  <c r="T29" i="9" s="1"/>
  <c r="W30" i="9"/>
  <c r="AA14" i="9"/>
  <c r="AG14" i="9"/>
  <c r="S14" i="9"/>
  <c r="P14" i="9"/>
  <c r="AG42" i="9"/>
  <c r="S42" i="9"/>
  <c r="T42" i="9" s="1"/>
  <c r="AD42" i="9"/>
  <c r="AA42" i="9"/>
  <c r="V42" i="9"/>
  <c r="AD13" i="9"/>
  <c r="M13" i="9"/>
  <c r="N13" i="9" s="1"/>
  <c r="AP10" i="9"/>
  <c r="P10" i="9"/>
  <c r="AA23" i="9"/>
  <c r="AD27" i="9"/>
  <c r="AD19" i="9"/>
  <c r="AG16" i="9"/>
  <c r="AA13" i="9"/>
  <c r="AA15" i="9"/>
  <c r="M33" i="9"/>
  <c r="AD10" i="9"/>
  <c r="AD23" i="9"/>
  <c r="O60" i="15"/>
  <c r="K29" i="15"/>
  <c r="L29" i="15" s="1"/>
  <c r="I29" i="15"/>
  <c r="H65" i="15"/>
  <c r="I5" i="15"/>
  <c r="AP18" i="15"/>
  <c r="AG18" i="15"/>
  <c r="W62" i="15"/>
  <c r="U62" i="15"/>
  <c r="M59" i="15"/>
  <c r="AP59" i="15"/>
  <c r="AD59" i="15"/>
  <c r="AG59" i="15"/>
  <c r="S59" i="15"/>
  <c r="M54" i="15"/>
  <c r="AP54" i="15"/>
  <c r="S54" i="15"/>
  <c r="AG54" i="15"/>
  <c r="N24" i="15"/>
  <c r="O24" i="15" s="1"/>
  <c r="O27" i="15"/>
  <c r="L31" i="15"/>
  <c r="I31" i="15"/>
  <c r="P43" i="15"/>
  <c r="Q43" i="15" s="1"/>
  <c r="R43" i="15" s="1"/>
  <c r="V43" i="15"/>
  <c r="AG43" i="15"/>
  <c r="AP43" i="15"/>
  <c r="S43" i="15"/>
  <c r="AA43" i="15"/>
  <c r="AP21" i="15"/>
  <c r="M21" i="15"/>
  <c r="N21" i="15" s="1"/>
  <c r="AA21" i="15"/>
  <c r="AD21" i="15"/>
  <c r="P21" i="15"/>
  <c r="V21" i="15"/>
  <c r="AG46" i="15"/>
  <c r="AG36" i="15"/>
  <c r="AG32" i="15"/>
  <c r="AD36" i="15"/>
  <c r="AD20" i="15"/>
  <c r="AD7" i="15"/>
  <c r="AA60" i="15"/>
  <c r="AA53" i="15"/>
  <c r="AA20" i="15"/>
  <c r="AA12" i="15"/>
  <c r="V46" i="15"/>
  <c r="V36" i="15"/>
  <c r="V32" i="15"/>
  <c r="V8" i="15"/>
  <c r="P60" i="15"/>
  <c r="Q60" i="15" s="1"/>
  <c r="K52" i="15"/>
  <c r="N33" i="15"/>
  <c r="S24" i="15"/>
  <c r="P8" i="15"/>
  <c r="Q35" i="15"/>
  <c r="J11" i="15"/>
  <c r="K11" i="15" s="1"/>
  <c r="AP11" i="15"/>
  <c r="J7" i="15"/>
  <c r="AP7" i="15"/>
  <c r="AP37" i="15"/>
  <c r="AQ37" i="15" s="1"/>
  <c r="AP62" i="15"/>
  <c r="AP55" i="15"/>
  <c r="AG53" i="15"/>
  <c r="AG22" i="15"/>
  <c r="AD56" i="15"/>
  <c r="AD46" i="15"/>
  <c r="AD11" i="15"/>
  <c r="AA24" i="15"/>
  <c r="AA11" i="15"/>
  <c r="V20" i="15"/>
  <c r="V12" i="15"/>
  <c r="V7" i="15"/>
  <c r="S40" i="15"/>
  <c r="S35" i="15"/>
  <c r="S34" i="15"/>
  <c r="S31" i="15"/>
  <c r="S27" i="15"/>
  <c r="S23" i="15"/>
  <c r="S20" i="15"/>
  <c r="S19" i="15"/>
  <c r="AG17" i="15"/>
  <c r="AP17" i="15"/>
  <c r="S12" i="15"/>
  <c r="S11" i="15"/>
  <c r="J9" i="15"/>
  <c r="K9" i="15" s="1"/>
  <c r="AP9" i="15"/>
  <c r="M8" i="15"/>
  <c r="S7" i="15"/>
  <c r="J5" i="15"/>
  <c r="K5" i="15" s="1"/>
  <c r="AP5" i="15"/>
  <c r="P48" i="15"/>
  <c r="S48" i="15"/>
  <c r="AD48" i="15"/>
  <c r="V48" i="15"/>
  <c r="AG48" i="15"/>
  <c r="M48" i="15"/>
  <c r="N48" i="15" s="1"/>
  <c r="AA48" i="15"/>
  <c r="P16" i="15"/>
  <c r="M16" i="15"/>
  <c r="N16" i="15" s="1"/>
  <c r="AD16" i="15"/>
  <c r="AG16" i="15"/>
  <c r="S16" i="15"/>
  <c r="AA16" i="15"/>
  <c r="V16" i="15"/>
  <c r="M17" i="15"/>
  <c r="N17" i="15" s="1"/>
  <c r="V17" i="15"/>
  <c r="AA17" i="15"/>
  <c r="P17" i="15"/>
  <c r="AD17" i="15"/>
  <c r="S17" i="15"/>
  <c r="K15" i="15"/>
  <c r="I15" i="15"/>
  <c r="P13" i="15"/>
  <c r="V13" i="15"/>
  <c r="AA13" i="15"/>
  <c r="AD13" i="15"/>
  <c r="M13" i="15"/>
  <c r="N13" i="15" s="1"/>
  <c r="S13" i="15"/>
  <c r="AG13" i="15"/>
  <c r="F69" i="15"/>
  <c r="Z65" i="15"/>
  <c r="K32" i="15"/>
  <c r="I32" i="15"/>
  <c r="L26" i="15"/>
  <c r="K20" i="15"/>
  <c r="I20" i="15"/>
  <c r="P28" i="15"/>
  <c r="AD28" i="15"/>
  <c r="M28" i="15"/>
  <c r="N28" i="15" s="1"/>
  <c r="S28" i="15"/>
  <c r="AG28" i="15"/>
  <c r="K19" i="15"/>
  <c r="I19" i="15"/>
  <c r="K14" i="15"/>
  <c r="I14" i="15"/>
  <c r="J59" i="15"/>
  <c r="K59" i="15" s="1"/>
  <c r="P59" i="15"/>
  <c r="V59" i="15"/>
  <c r="AA59" i="15"/>
  <c r="J55" i="15"/>
  <c r="P55" i="15"/>
  <c r="G55" i="15"/>
  <c r="H55" i="15" s="1"/>
  <c r="V55" i="15"/>
  <c r="AA55" i="15"/>
  <c r="G54" i="15"/>
  <c r="H54" i="15" s="1"/>
  <c r="P54" i="15"/>
  <c r="V54" i="15"/>
  <c r="AA54" i="15"/>
  <c r="J54" i="15"/>
  <c r="AD54" i="15"/>
  <c r="G53" i="15"/>
  <c r="M53" i="15"/>
  <c r="S53" i="15"/>
  <c r="P53" i="15"/>
  <c r="AD53" i="15"/>
  <c r="J53" i="15"/>
  <c r="P40" i="15"/>
  <c r="V40" i="15"/>
  <c r="AA40" i="15"/>
  <c r="AD40" i="15"/>
  <c r="P29" i="15"/>
  <c r="V29" i="15"/>
  <c r="AA29" i="15"/>
  <c r="AD29" i="15"/>
  <c r="T27" i="15"/>
  <c r="N23" i="15"/>
  <c r="M22" i="15"/>
  <c r="N22" i="15" s="1"/>
  <c r="S22" i="15"/>
  <c r="P22" i="15"/>
  <c r="V22" i="15"/>
  <c r="AA22" i="15"/>
  <c r="P12" i="15"/>
  <c r="AD12" i="15"/>
  <c r="AG12" i="15"/>
  <c r="P61" i="15"/>
  <c r="Q61" i="15" s="1"/>
  <c r="AD61" i="15"/>
  <c r="M42" i="15"/>
  <c r="N42" i="15" s="1"/>
  <c r="AG42" i="15"/>
  <c r="P32" i="15"/>
  <c r="M32" i="15"/>
  <c r="AD32" i="15"/>
  <c r="M18" i="15"/>
  <c r="N18" i="15" s="1"/>
  <c r="S18" i="15"/>
  <c r="P18" i="15"/>
  <c r="V18" i="15"/>
  <c r="AA18" i="15"/>
  <c r="N12" i="15"/>
  <c r="M11" i="15"/>
  <c r="AG11" i="15"/>
  <c r="K10" i="15"/>
  <c r="M9" i="15"/>
  <c r="V9" i="15"/>
  <c r="AA9" i="15"/>
  <c r="AD9" i="15"/>
  <c r="K8" i="15"/>
  <c r="M7" i="15"/>
  <c r="AG7" i="15"/>
  <c r="M5" i="15"/>
  <c r="V5" i="15"/>
  <c r="AA5" i="15"/>
  <c r="AD5" i="15"/>
  <c r="J51" i="15"/>
  <c r="P51" i="15"/>
  <c r="M41" i="15"/>
  <c r="N41" i="15" s="1"/>
  <c r="S41" i="15"/>
  <c r="M30" i="15"/>
  <c r="N30" i="15" s="1"/>
  <c r="S30" i="15"/>
  <c r="P24" i="15"/>
  <c r="M14" i="15"/>
  <c r="S14" i="15"/>
  <c r="K7" i="15"/>
  <c r="AD57" i="15"/>
  <c r="AD43" i="15"/>
  <c r="AD24" i="15"/>
  <c r="AA25" i="15"/>
  <c r="V25" i="15"/>
  <c r="P57" i="15"/>
  <c r="S51" i="15"/>
  <c r="P36" i="15"/>
  <c r="Q36" i="15" s="1"/>
  <c r="P34" i="15"/>
  <c r="Q34" i="15" s="1"/>
  <c r="M26" i="15"/>
  <c r="N26" i="15" s="1"/>
  <c r="S26" i="15"/>
  <c r="P20" i="15"/>
  <c r="AI44" i="10"/>
  <c r="AI45" i="10"/>
  <c r="AQ45" i="10"/>
  <c r="AR45" i="10" s="1"/>
  <c r="R66" i="10"/>
  <c r="AB33" i="10"/>
  <c r="AG125" i="10"/>
  <c r="AG22" i="10"/>
  <c r="AD16" i="10"/>
  <c r="AD125" i="10"/>
  <c r="AG26" i="10"/>
  <c r="AA16" i="10"/>
  <c r="AD65" i="10"/>
  <c r="AG15" i="10"/>
  <c r="AA22" i="10"/>
  <c r="AA26" i="10"/>
  <c r="AA63" i="10"/>
  <c r="AA114" i="10"/>
  <c r="AG142" i="10"/>
  <c r="AP101" i="10"/>
  <c r="AG40" i="10"/>
  <c r="AG36" i="10"/>
  <c r="AG32" i="10"/>
  <c r="AG77" i="10"/>
  <c r="AH77" i="10" s="1"/>
  <c r="V65" i="10"/>
  <c r="V32" i="10"/>
  <c r="W32" i="10" s="1"/>
  <c r="M114" i="10"/>
  <c r="T67" i="10"/>
  <c r="U67" i="10" s="1"/>
  <c r="S15" i="10"/>
  <c r="AG55" i="10"/>
  <c r="AH55" i="10" s="1"/>
  <c r="AN55" i="10" s="1"/>
  <c r="AO55" i="10" s="1"/>
  <c r="AP26" i="10"/>
  <c r="AP16" i="10"/>
  <c r="AG65" i="10"/>
  <c r="AP15" i="10"/>
  <c r="AP134" i="10"/>
  <c r="AD18" i="10"/>
  <c r="AG134" i="10"/>
  <c r="AG114" i="10"/>
  <c r="AD26" i="10"/>
  <c r="AA135" i="10"/>
  <c r="AD118" i="10"/>
  <c r="AD63" i="10"/>
  <c r="AG18" i="10"/>
  <c r="AG101" i="10"/>
  <c r="AP126" i="10"/>
  <c r="AG129" i="10"/>
  <c r="AD40" i="10"/>
  <c r="AA36" i="10"/>
  <c r="AB36" i="10" s="1"/>
  <c r="AC36" i="10" s="1"/>
  <c r="AA126" i="10"/>
  <c r="AD130" i="10"/>
  <c r="V101" i="10"/>
  <c r="K85" i="10"/>
  <c r="N85" i="10" s="1"/>
  <c r="Q85" i="10" s="1"/>
  <c r="T85" i="10" s="1"/>
  <c r="Q68" i="10"/>
  <c r="T68" i="10" s="1"/>
  <c r="P65" i="10"/>
  <c r="P15" i="10"/>
  <c r="AG47" i="10"/>
  <c r="AH47" i="10" s="1"/>
  <c r="AA108" i="10"/>
  <c r="AA18" i="10"/>
  <c r="AP65" i="10"/>
  <c r="AA15" i="10"/>
  <c r="AP114" i="10"/>
  <c r="AG16" i="10"/>
  <c r="AD135" i="10"/>
  <c r="AA122" i="10"/>
  <c r="AD114" i="10"/>
  <c r="AE39" i="10"/>
  <c r="AD101" i="10"/>
  <c r="AA40" i="10"/>
  <c r="AB40" i="10" s="1"/>
  <c r="AC40" i="10" s="1"/>
  <c r="AA32" i="10"/>
  <c r="AD126" i="10"/>
  <c r="AP130" i="10"/>
  <c r="V15" i="10"/>
  <c r="P115" i="10"/>
  <c r="S114" i="10"/>
  <c r="S66" i="10"/>
  <c r="T66" i="10" s="1"/>
  <c r="U66" i="10" s="1"/>
  <c r="J15" i="10"/>
  <c r="K15" i="10" s="1"/>
  <c r="AP79" i="10"/>
  <c r="AQ79" i="10" s="1"/>
  <c r="AA222" i="13"/>
  <c r="AA132" i="13"/>
  <c r="AG269" i="13"/>
  <c r="AG82" i="13"/>
  <c r="AD197" i="13"/>
  <c r="AA197" i="13"/>
  <c r="S218" i="13"/>
  <c r="T218" i="13" s="1"/>
  <c r="U218" i="13" s="1"/>
  <c r="AD280" i="13"/>
  <c r="V227" i="13"/>
  <c r="AQ29" i="3"/>
  <c r="W29" i="3"/>
  <c r="AB35" i="3"/>
  <c r="T35" i="3"/>
  <c r="N35" i="3"/>
  <c r="AE57" i="3"/>
  <c r="AH57" i="3"/>
  <c r="J100" i="3"/>
  <c r="L100" i="3"/>
  <c r="M100" i="3" s="1"/>
  <c r="J49" i="3"/>
  <c r="L49" i="3"/>
  <c r="AB68" i="3"/>
  <c r="AC68" i="3" s="1"/>
  <c r="AD68" i="3" s="1"/>
  <c r="H68" i="3"/>
  <c r="I68" i="3" s="1"/>
  <c r="J68" i="3" s="1"/>
  <c r="N73" i="3"/>
  <c r="AH83" i="3"/>
  <c r="H83" i="3"/>
  <c r="I83" i="3" s="1"/>
  <c r="J83" i="3" s="1"/>
  <c r="N87" i="3"/>
  <c r="Q87" i="3"/>
  <c r="AE87" i="3"/>
  <c r="H87" i="3"/>
  <c r="I87" i="3" s="1"/>
  <c r="J87" i="3" s="1"/>
  <c r="T91" i="3"/>
  <c r="AB91" i="3"/>
  <c r="AH91" i="3"/>
  <c r="K91" i="3"/>
  <c r="AH95" i="3"/>
  <c r="Q95" i="3"/>
  <c r="AQ99" i="3"/>
  <c r="N99" i="3"/>
  <c r="AB99" i="3"/>
  <c r="N103" i="3"/>
  <c r="H103" i="3"/>
  <c r="I103" i="3" s="1"/>
  <c r="J103" i="3" s="1"/>
  <c r="AH103" i="3"/>
  <c r="T103" i="3"/>
  <c r="AQ109" i="3"/>
  <c r="AB109" i="3"/>
  <c r="J52" i="3"/>
  <c r="L79" i="3"/>
  <c r="J79" i="3"/>
  <c r="J58" i="3"/>
  <c r="AB87" i="3"/>
  <c r="Q99" i="3"/>
  <c r="Q68" i="3"/>
  <c r="W83" i="3"/>
  <c r="W16" i="3"/>
  <c r="AQ95" i="3"/>
  <c r="H104" i="3"/>
  <c r="I104" i="3" s="1"/>
  <c r="Q100" i="3"/>
  <c r="Q69" i="3"/>
  <c r="J48" i="3"/>
  <c r="J15" i="3"/>
  <c r="W88" i="3"/>
  <c r="W84" i="3"/>
  <c r="T74" i="3"/>
  <c r="W78" i="3"/>
  <c r="AH69" i="3"/>
  <c r="AH84" i="3"/>
  <c r="AB88" i="3"/>
  <c r="AB104" i="3"/>
  <c r="AE78" i="3"/>
  <c r="AE74" i="3"/>
  <c r="J70" i="3"/>
  <c r="K92" i="3"/>
  <c r="H88" i="3"/>
  <c r="I88" i="3" s="1"/>
  <c r="Q84" i="3"/>
  <c r="W92" i="3"/>
  <c r="K104" i="3"/>
  <c r="N92" i="3"/>
  <c r="K88" i="3"/>
  <c r="H84" i="3"/>
  <c r="I84" i="3" s="1"/>
  <c r="Q67" i="3"/>
  <c r="N59" i="3"/>
  <c r="Q37" i="3"/>
  <c r="N33" i="3"/>
  <c r="T88" i="3"/>
  <c r="W69" i="3"/>
  <c r="W26" i="3"/>
  <c r="AE26" i="3"/>
  <c r="AE88" i="3"/>
  <c r="AE104" i="3"/>
  <c r="AH53" i="3"/>
  <c r="AH49" i="3"/>
  <c r="AB37" i="3"/>
  <c r="J11" i="3"/>
  <c r="L11" i="3"/>
  <c r="O11" i="3" s="1"/>
  <c r="AB10" i="3"/>
  <c r="AC10" i="3" s="1"/>
  <c r="AD10" i="3" s="1"/>
  <c r="W10" i="3"/>
  <c r="H10" i="3"/>
  <c r="I10" i="3" s="1"/>
  <c r="J10" i="3" s="1"/>
  <c r="AQ14" i="3"/>
  <c r="Q14" i="3"/>
  <c r="AQ18" i="3"/>
  <c r="AB18" i="3"/>
  <c r="AQ21" i="3"/>
  <c r="AB21" i="3"/>
  <c r="L45" i="3"/>
  <c r="M45" i="3" s="1"/>
  <c r="K63" i="3"/>
  <c r="L63" i="3" s="1"/>
  <c r="M63" i="3" s="1"/>
  <c r="N45" i="3"/>
  <c r="T18" i="3"/>
  <c r="AQ10" i="3"/>
  <c r="AB14" i="3"/>
  <c r="AE15" i="3"/>
  <c r="W15" i="3"/>
  <c r="N15" i="3"/>
  <c r="T19" i="3"/>
  <c r="Q19" i="3"/>
  <c r="AB64" i="3"/>
  <c r="N64" i="3"/>
  <c r="AQ75" i="3"/>
  <c r="Q75" i="3"/>
  <c r="AQ93" i="3"/>
  <c r="Q93" i="3"/>
  <c r="AQ105" i="3"/>
  <c r="AB105" i="3"/>
  <c r="J8" i="3"/>
  <c r="L48" i="3"/>
  <c r="M48" i="3" s="1"/>
  <c r="H93" i="3"/>
  <c r="I93" i="3" s="1"/>
  <c r="H75" i="3"/>
  <c r="I75" i="3" s="1"/>
  <c r="J75" i="3" s="1"/>
  <c r="Q58" i="3"/>
  <c r="N53" i="3"/>
  <c r="O37" i="3"/>
  <c r="P37" i="3" s="1"/>
  <c r="J16" i="3"/>
  <c r="J14" i="3"/>
  <c r="L14" i="3"/>
  <c r="Q11" i="3"/>
  <c r="W75" i="3"/>
  <c r="T64" i="3"/>
  <c r="W58" i="3"/>
  <c r="T53" i="3"/>
  <c r="T10" i="3"/>
  <c r="AE64" i="3"/>
  <c r="AH93" i="3"/>
  <c r="AE105" i="3"/>
  <c r="AE18" i="3"/>
  <c r="AE14" i="3"/>
  <c r="AE11" i="3"/>
  <c r="AB24" i="3"/>
  <c r="AC24" i="3" s="1"/>
  <c r="AE24" i="3"/>
  <c r="W24" i="3"/>
  <c r="Q24" i="3"/>
  <c r="T28" i="3"/>
  <c r="U28" i="3" s="1"/>
  <c r="AH28" i="3"/>
  <c r="W28" i="3"/>
  <c r="AE34" i="3"/>
  <c r="W34" i="3"/>
  <c r="Q34" i="3"/>
  <c r="W38" i="3"/>
  <c r="T38" i="3"/>
  <c r="K47" i="3"/>
  <c r="T51" i="3"/>
  <c r="AH51" i="3"/>
  <c r="Q51" i="3"/>
  <c r="Q90" i="3"/>
  <c r="AE90" i="3"/>
  <c r="J25" i="3"/>
  <c r="J53" i="3"/>
  <c r="L53" i="3"/>
  <c r="M53" i="3" s="1"/>
  <c r="Q10" i="3"/>
  <c r="T14" i="3"/>
  <c r="AQ79" i="3"/>
  <c r="AE79" i="3"/>
  <c r="T79" i="3"/>
  <c r="U79" i="3" s="1"/>
  <c r="BG6" i="3"/>
  <c r="I114" i="3"/>
  <c r="M74" i="3"/>
  <c r="L15" i="3"/>
  <c r="M15" i="3" s="1"/>
  <c r="K93" i="3"/>
  <c r="J84" i="3"/>
  <c r="K75" i="3"/>
  <c r="Q64" i="3"/>
  <c r="Q53" i="3"/>
  <c r="L20" i="3"/>
  <c r="M20" i="3" s="1"/>
  <c r="N18" i="3"/>
  <c r="O18" i="3" s="1"/>
  <c r="N14" i="3"/>
  <c r="K10" i="3"/>
  <c r="T75" i="3"/>
  <c r="W67" i="3"/>
  <c r="W63" i="3"/>
  <c r="T58" i="3"/>
  <c r="T45" i="3"/>
  <c r="W19" i="3"/>
  <c r="T15" i="3"/>
  <c r="AH67" i="3"/>
  <c r="AE10" i="3"/>
  <c r="AH105" i="3"/>
  <c r="AE45" i="3"/>
  <c r="AE21" i="3"/>
  <c r="AH18" i="3"/>
  <c r="AH14" i="3"/>
  <c r="AE9" i="3"/>
  <c r="AH9" i="3"/>
  <c r="N13" i="3"/>
  <c r="O13" i="3" s="1"/>
  <c r="P13" i="3" s="1"/>
  <c r="AE13" i="3"/>
  <c r="W21" i="3"/>
  <c r="X21" i="3" s="1"/>
  <c r="Y21" i="3" s="1"/>
  <c r="BF25" i="3"/>
  <c r="N25" i="3"/>
  <c r="O25" i="3" s="1"/>
  <c r="P25" i="3" s="1"/>
  <c r="AH77" i="3"/>
  <c r="N77" i="3"/>
  <c r="AB83" i="3"/>
  <c r="K83" i="3"/>
  <c r="AQ91" i="3"/>
  <c r="W91" i="3"/>
  <c r="Q91" i="3"/>
  <c r="AB95" i="3"/>
  <c r="AE95" i="3"/>
  <c r="T95" i="3"/>
  <c r="AE99" i="3"/>
  <c r="W99" i="3"/>
  <c r="H99" i="3"/>
  <c r="I99" i="3" s="1"/>
  <c r="J99" i="3" s="1"/>
  <c r="AE103" i="3"/>
  <c r="K103" i="3"/>
  <c r="J61" i="3"/>
  <c r="AP272" i="13"/>
  <c r="AP162" i="13"/>
  <c r="AP284" i="13"/>
  <c r="AG227" i="13"/>
  <c r="AG192" i="13"/>
  <c r="AD217" i="13"/>
  <c r="AA272" i="13"/>
  <c r="V202" i="13"/>
  <c r="S227" i="13"/>
  <c r="T227" i="13" s="1"/>
  <c r="U227" i="13" s="1"/>
  <c r="S197" i="13"/>
  <c r="AD55" i="13"/>
  <c r="AP55" i="13"/>
  <c r="AD272" i="13"/>
  <c r="AA296" i="13"/>
  <c r="V207" i="13"/>
  <c r="S230" i="13"/>
  <c r="T230" i="13" s="1"/>
  <c r="U230" i="13" s="1"/>
  <c r="AP280" i="13"/>
  <c r="AP300" i="13"/>
  <c r="AG218" i="13"/>
  <c r="AD213" i="13"/>
  <c r="AA231" i="13"/>
  <c r="V235" i="13"/>
  <c r="V78" i="13"/>
  <c r="P197" i="13"/>
  <c r="Q197" i="13" s="1"/>
  <c r="R197" i="13" s="1"/>
  <c r="AP288" i="13"/>
  <c r="AP174" i="13"/>
  <c r="AG296" i="13"/>
  <c r="AG242" i="13"/>
  <c r="AG197" i="13"/>
  <c r="AD235" i="13"/>
  <c r="AD207" i="13"/>
  <c r="AD6" i="13"/>
  <c r="AA218" i="13"/>
  <c r="V218" i="13"/>
  <c r="V196" i="13"/>
  <c r="S202" i="13"/>
  <c r="AG201" i="13"/>
  <c r="AP296" i="13"/>
  <c r="AG276" i="13"/>
  <c r="AG235" i="13"/>
  <c r="AG212" i="13"/>
  <c r="AG177" i="13"/>
  <c r="AG6" i="13"/>
  <c r="AD227" i="13"/>
  <c r="AD205" i="13"/>
  <c r="AD152" i="13"/>
  <c r="AA258" i="13"/>
  <c r="AA202" i="13"/>
  <c r="V258" i="13"/>
  <c r="V213" i="13"/>
  <c r="V192" i="13"/>
  <c r="S235" i="13"/>
  <c r="T235" i="13" s="1"/>
  <c r="U235" i="13" s="1"/>
  <c r="S222" i="13"/>
  <c r="T222" i="13" s="1"/>
  <c r="U222" i="13" s="1"/>
  <c r="S208" i="13"/>
  <c r="T208" i="13" s="1"/>
  <c r="U208" i="13" s="1"/>
  <c r="S192" i="13"/>
  <c r="I6" i="13"/>
  <c r="I120" i="13"/>
  <c r="I134" i="13"/>
  <c r="AG231" i="13"/>
  <c r="AG222" i="13"/>
  <c r="AG207" i="13"/>
  <c r="AG196" i="13"/>
  <c r="AD231" i="13"/>
  <c r="AD222" i="13"/>
  <c r="AD212" i="13"/>
  <c r="AD202" i="13"/>
  <c r="AD196" i="13"/>
  <c r="AD177" i="13"/>
  <c r="AD140" i="13"/>
  <c r="AA235" i="13"/>
  <c r="AA227" i="13"/>
  <c r="AA213" i="13"/>
  <c r="AA192" i="13"/>
  <c r="AA6" i="13"/>
  <c r="V231" i="13"/>
  <c r="V222" i="13"/>
  <c r="V201" i="13"/>
  <c r="S234" i="13"/>
  <c r="T234" i="13" s="1"/>
  <c r="U234" i="13" s="1"/>
  <c r="S226" i="13"/>
  <c r="T226" i="13" s="1"/>
  <c r="U226" i="13" s="1"/>
  <c r="S207" i="13"/>
  <c r="P202" i="13"/>
  <c r="Q202" i="13" s="1"/>
  <c r="R202" i="13" s="1"/>
  <c r="P196" i="13"/>
  <c r="Q196" i="13" s="1"/>
  <c r="R196" i="13" s="1"/>
  <c r="M192" i="13"/>
  <c r="N192" i="13" s="1"/>
  <c r="AP181" i="13"/>
  <c r="AG234" i="13"/>
  <c r="AG226" i="13"/>
  <c r="AG217" i="13"/>
  <c r="AG162" i="13"/>
  <c r="AD234" i="13"/>
  <c r="AD226" i="13"/>
  <c r="AD181" i="13"/>
  <c r="AA230" i="13"/>
  <c r="AA177" i="13"/>
  <c r="V234" i="13"/>
  <c r="V226" i="13"/>
  <c r="I111" i="13"/>
  <c r="I159" i="13"/>
  <c r="AP283" i="13"/>
  <c r="AG238" i="13"/>
  <c r="AH238" i="13" s="1"/>
  <c r="AG230" i="13"/>
  <c r="AG221" i="13"/>
  <c r="AG213" i="13"/>
  <c r="AG202" i="13"/>
  <c r="AG19" i="13"/>
  <c r="AD270" i="13"/>
  <c r="AD230" i="13"/>
  <c r="AD218" i="13"/>
  <c r="AD208" i="13"/>
  <c r="AD201" i="13"/>
  <c r="AD192" i="13"/>
  <c r="AD165" i="13"/>
  <c r="AA234" i="13"/>
  <c r="AA226" i="13"/>
  <c r="AA208" i="13"/>
  <c r="V242" i="13"/>
  <c r="V230" i="13"/>
  <c r="V221" i="13"/>
  <c r="V208" i="13"/>
  <c r="V197" i="13"/>
  <c r="V6" i="13"/>
  <c r="S231" i="13"/>
  <c r="T231" i="13" s="1"/>
  <c r="U231" i="13" s="1"/>
  <c r="S213" i="13"/>
  <c r="T213" i="13" s="1"/>
  <c r="U213" i="13" s="1"/>
  <c r="AI54" i="10"/>
  <c r="AI48" i="10"/>
  <c r="AA127" i="10"/>
  <c r="AP127" i="10"/>
  <c r="AG136" i="10"/>
  <c r="AP136" i="10"/>
  <c r="J93" i="10"/>
  <c r="K93" i="10" s="1"/>
  <c r="S93" i="10"/>
  <c r="V93" i="10"/>
  <c r="AA93" i="10"/>
  <c r="M93" i="10"/>
  <c r="AD72" i="10"/>
  <c r="S72" i="10"/>
  <c r="J60" i="10"/>
  <c r="K60" i="10" s="1"/>
  <c r="AG60" i="10"/>
  <c r="P60" i="10"/>
  <c r="P23" i="10"/>
  <c r="AA23" i="10"/>
  <c r="J23" i="10"/>
  <c r="K23" i="10" s="1"/>
  <c r="S23" i="10"/>
  <c r="V23" i="10"/>
  <c r="J19" i="10"/>
  <c r="K19" i="10" s="1"/>
  <c r="S19" i="10"/>
  <c r="AG19" i="10"/>
  <c r="P19" i="10"/>
  <c r="M13" i="10"/>
  <c r="P13" i="10"/>
  <c r="AG13" i="10"/>
  <c r="J11" i="10"/>
  <c r="K11" i="10" s="1"/>
  <c r="S11" i="10"/>
  <c r="AA11" i="10"/>
  <c r="M11" i="10"/>
  <c r="V11" i="10"/>
  <c r="M8" i="10"/>
  <c r="J8" i="10"/>
  <c r="K8" i="10" s="1"/>
  <c r="AD34" i="10"/>
  <c r="V34" i="10"/>
  <c r="W34" i="10" s="1"/>
  <c r="AG37" i="10"/>
  <c r="AG53" i="10"/>
  <c r="AH53" i="10" s="1"/>
  <c r="W103" i="10"/>
  <c r="X103" i="10" s="1"/>
  <c r="AP8" i="10"/>
  <c r="AD60" i="10"/>
  <c r="AA109" i="10"/>
  <c r="AA13" i="10"/>
  <c r="AP19" i="10"/>
  <c r="AA19" i="10"/>
  <c r="AA123" i="10"/>
  <c r="AP60" i="10"/>
  <c r="AP123" i="10"/>
  <c r="AP140" i="10"/>
  <c r="AD140" i="10"/>
  <c r="AP72" i="10"/>
  <c r="F147" i="10"/>
  <c r="AP131" i="10"/>
  <c r="V60" i="10"/>
  <c r="S100" i="10"/>
  <c r="T100" i="10" s="1"/>
  <c r="U100" i="10" s="1"/>
  <c r="AD100" i="10"/>
  <c r="AP100" i="10"/>
  <c r="V100" i="10"/>
  <c r="P94" i="10"/>
  <c r="AG94" i="10"/>
  <c r="M94" i="10"/>
  <c r="N94" i="10" s="1"/>
  <c r="J24" i="10"/>
  <c r="K24" i="10" s="1"/>
  <c r="L24" i="10" s="1"/>
  <c r="AP24" i="10"/>
  <c r="P24" i="10"/>
  <c r="P20" i="10"/>
  <c r="J20" i="10"/>
  <c r="K20" i="10" s="1"/>
  <c r="AD10" i="10"/>
  <c r="AG10" i="10"/>
  <c r="S10" i="10"/>
  <c r="AA38" i="10"/>
  <c r="AB38" i="10" s="1"/>
  <c r="AC38" i="10" s="1"/>
  <c r="AD38" i="10"/>
  <c r="AG41" i="10"/>
  <c r="R68" i="10"/>
  <c r="AG8" i="10"/>
  <c r="AP139" i="10"/>
  <c r="AP10" i="10"/>
  <c r="AP12" i="10"/>
  <c r="AP108" i="10"/>
  <c r="AA60" i="10"/>
  <c r="AA12" i="10"/>
  <c r="AD20" i="10"/>
  <c r="AD93" i="10"/>
  <c r="AG89" i="10"/>
  <c r="AD11" i="10"/>
  <c r="AG23" i="10"/>
  <c r="AD19" i="10"/>
  <c r="AP119" i="10"/>
  <c r="AD119" i="10"/>
  <c r="AA10" i="10"/>
  <c r="AP135" i="10"/>
  <c r="AG122" i="10"/>
  <c r="AG118" i="10"/>
  <c r="AP91" i="10"/>
  <c r="AG12" i="10"/>
  <c r="AG34" i="10"/>
  <c r="AA34" i="10"/>
  <c r="AP132" i="10"/>
  <c r="AG127" i="10"/>
  <c r="AG100" i="10"/>
  <c r="AD41" i="10"/>
  <c r="AA37" i="10"/>
  <c r="AB37" i="10" s="1"/>
  <c r="AC37" i="10" s="1"/>
  <c r="AD94" i="10"/>
  <c r="AD127" i="10"/>
  <c r="Z66" i="10"/>
  <c r="Z147" i="10" s="1"/>
  <c r="AD132" i="10"/>
  <c r="AE132" i="10" s="1"/>
  <c r="AH132" i="10" s="1"/>
  <c r="AI132" i="10" s="1"/>
  <c r="AG121" i="10"/>
  <c r="AP121" i="10"/>
  <c r="AA138" i="10"/>
  <c r="AD138" i="10"/>
  <c r="V24" i="10"/>
  <c r="V8" i="10"/>
  <c r="AP99" i="10"/>
  <c r="S99" i="10"/>
  <c r="T99" i="10" s="1"/>
  <c r="P93" i="10"/>
  <c r="P64" i="10"/>
  <c r="AP64" i="10"/>
  <c r="J64" i="10"/>
  <c r="K64" i="10" s="1"/>
  <c r="N64" i="10" s="1"/>
  <c r="V64" i="10"/>
  <c r="N62" i="10"/>
  <c r="S60" i="10"/>
  <c r="P11" i="10"/>
  <c r="V76" i="10"/>
  <c r="W76" i="10" s="1"/>
  <c r="AG50" i="10"/>
  <c r="AH50" i="10" s="1"/>
  <c r="AN50" i="10" s="1"/>
  <c r="AO50" i="10" s="1"/>
  <c r="AD8" i="10"/>
  <c r="AD91" i="10"/>
  <c r="AP20" i="10"/>
  <c r="AG93" i="10"/>
  <c r="AD89" i="10"/>
  <c r="AG11" i="10"/>
  <c r="AP23" i="10"/>
  <c r="AG119" i="10"/>
  <c r="AA8" i="10"/>
  <c r="AP13" i="10"/>
  <c r="AA136" i="10"/>
  <c r="AA100" i="10"/>
  <c r="O67" i="10"/>
  <c r="AA41" i="10"/>
  <c r="AB41" i="10" s="1"/>
  <c r="AC41" i="10" s="1"/>
  <c r="AA94" i="10"/>
  <c r="AG72" i="10"/>
  <c r="V130" i="10"/>
  <c r="W130" i="10" s="1"/>
  <c r="AA130" i="10"/>
  <c r="V94" i="10"/>
  <c r="AB27" i="10"/>
  <c r="AC27" i="10" s="1"/>
  <c r="V13" i="10"/>
  <c r="P86" i="10"/>
  <c r="J86" i="10"/>
  <c r="K86" i="10" s="1"/>
  <c r="V86" i="10"/>
  <c r="AA86" i="10"/>
  <c r="M86" i="10"/>
  <c r="M60" i="10"/>
  <c r="J25" i="10"/>
  <c r="K25" i="10" s="1"/>
  <c r="M25" i="10"/>
  <c r="V25" i="10"/>
  <c r="M23" i="10"/>
  <c r="J21" i="10"/>
  <c r="K21" i="10" s="1"/>
  <c r="V21" i="10"/>
  <c r="M21" i="10"/>
  <c r="M19" i="10"/>
  <c r="V14" i="10"/>
  <c r="AA14" i="10"/>
  <c r="M14" i="10"/>
  <c r="P8" i="10"/>
  <c r="AA30" i="10"/>
  <c r="V30" i="10"/>
  <c r="W30" i="10" s="1"/>
  <c r="X30" i="10" s="1"/>
  <c r="AD33" i="10"/>
  <c r="AE33" i="10" s="1"/>
  <c r="AH43" i="10"/>
  <c r="AN43" i="10" s="1"/>
  <c r="AO43" i="10" s="1"/>
  <c r="V10" i="13"/>
  <c r="AD10" i="13"/>
  <c r="AG7" i="13"/>
  <c r="AP7" i="13"/>
  <c r="V7" i="13"/>
  <c r="S20" i="13"/>
  <c r="AP20" i="13"/>
  <c r="AD20" i="13"/>
  <c r="V20" i="13"/>
  <c r="AP31" i="13"/>
  <c r="V31" i="13"/>
  <c r="AA31" i="13"/>
  <c r="AG31" i="13"/>
  <c r="M31" i="13"/>
  <c r="AP36" i="13"/>
  <c r="V36" i="13"/>
  <c r="AG36" i="13"/>
  <c r="AP44" i="13"/>
  <c r="AD44" i="13"/>
  <c r="AP52" i="13"/>
  <c r="AD52" i="13"/>
  <c r="AG52" i="13"/>
  <c r="AP65" i="13"/>
  <c r="AD65" i="13"/>
  <c r="P74" i="13"/>
  <c r="AP74" i="13"/>
  <c r="S204" i="13"/>
  <c r="AP204" i="13"/>
  <c r="AG209" i="13"/>
  <c r="AP209" i="13"/>
  <c r="AA232" i="13"/>
  <c r="AP232" i="13"/>
  <c r="AG20" i="13"/>
  <c r="I112" i="13"/>
  <c r="I129" i="13"/>
  <c r="AD149" i="13"/>
  <c r="AD36" i="13"/>
  <c r="V52" i="13"/>
  <c r="G259" i="13"/>
  <c r="H259" i="13" s="1"/>
  <c r="I259" i="13" s="1"/>
  <c r="V259" i="13"/>
  <c r="AD259" i="13"/>
  <c r="AG55" i="13"/>
  <c r="V55" i="13"/>
  <c r="AA55" i="13"/>
  <c r="AP15" i="13"/>
  <c r="AG15" i="13"/>
  <c r="AP26" i="13"/>
  <c r="AD26" i="13"/>
  <c r="AP48" i="13"/>
  <c r="AD48" i="13"/>
  <c r="AP61" i="13"/>
  <c r="AD61" i="13"/>
  <c r="AP69" i="13"/>
  <c r="AG69" i="13"/>
  <c r="AA69" i="13"/>
  <c r="AB69" i="13" s="1"/>
  <c r="AC69" i="13" s="1"/>
  <c r="V81" i="13"/>
  <c r="AP81" i="13"/>
  <c r="AD86" i="13"/>
  <c r="AP86" i="13"/>
  <c r="P86" i="13"/>
  <c r="AG86" i="13"/>
  <c r="AP93" i="13"/>
  <c r="V93" i="13"/>
  <c r="S93" i="13"/>
  <c r="AG93" i="13"/>
  <c r="AP99" i="13"/>
  <c r="AD99" i="13"/>
  <c r="P104" i="13"/>
  <c r="AP104" i="13"/>
  <c r="AA104" i="13"/>
  <c r="AG104" i="13"/>
  <c r="AP108" i="13"/>
  <c r="V108" i="13"/>
  <c r="AP112" i="13"/>
  <c r="S112" i="13"/>
  <c r="V112" i="13"/>
  <c r="AD116" i="13"/>
  <c r="AP116" i="13"/>
  <c r="V116" i="13"/>
  <c r="S121" i="13"/>
  <c r="AP121" i="13"/>
  <c r="V121" i="13"/>
  <c r="M121" i="13"/>
  <c r="N121" i="13" s="1"/>
  <c r="O121" i="13" s="1"/>
  <c r="M125" i="13"/>
  <c r="N125" i="13" s="1"/>
  <c r="AP125" i="13"/>
  <c r="AD125" i="13"/>
  <c r="AG125" i="13"/>
  <c r="P125" i="13"/>
  <c r="V125" i="13"/>
  <c r="AA125" i="13"/>
  <c r="AP129" i="13"/>
  <c r="S129" i="13"/>
  <c r="AD129" i="13"/>
  <c r="AG129" i="13"/>
  <c r="AP133" i="13"/>
  <c r="M133" i="13"/>
  <c r="N133" i="13" s="1"/>
  <c r="V133" i="13"/>
  <c r="AD133" i="13"/>
  <c r="AA133" i="13"/>
  <c r="S137" i="13"/>
  <c r="AP137" i="13"/>
  <c r="V137" i="13"/>
  <c r="AA137" i="13"/>
  <c r="AP141" i="13"/>
  <c r="AG141" i="13"/>
  <c r="M141" i="13"/>
  <c r="N141" i="13" s="1"/>
  <c r="AD141" i="13"/>
  <c r="AP153" i="13"/>
  <c r="AA153" i="13"/>
  <c r="S153" i="13"/>
  <c r="AD153" i="13"/>
  <c r="V153" i="13"/>
  <c r="AP163" i="13"/>
  <c r="AA163" i="13"/>
  <c r="AD163" i="13"/>
  <c r="M163" i="13"/>
  <c r="N163" i="13" s="1"/>
  <c r="AP169" i="13"/>
  <c r="P169" i="13"/>
  <c r="AD169" i="13"/>
  <c r="S169" i="13"/>
  <c r="M169" i="13"/>
  <c r="N169" i="13" s="1"/>
  <c r="AP185" i="13"/>
  <c r="P185" i="13"/>
  <c r="V185" i="13"/>
  <c r="M185" i="13"/>
  <c r="N185" i="13" s="1"/>
  <c r="O185" i="13" s="1"/>
  <c r="AA185" i="13"/>
  <c r="AG198" i="13"/>
  <c r="AP198" i="13"/>
  <c r="AD215" i="13"/>
  <c r="AP215" i="13"/>
  <c r="AP10" i="13"/>
  <c r="AG137" i="13"/>
  <c r="AD185" i="13"/>
  <c r="AD137" i="13"/>
  <c r="V129" i="13"/>
  <c r="V293" i="13"/>
  <c r="AP293" i="13"/>
  <c r="AA179" i="13"/>
  <c r="S179" i="13"/>
  <c r="I18" i="13"/>
  <c r="AG163" i="13"/>
  <c r="AG149" i="13"/>
  <c r="AG99" i="13"/>
  <c r="AG65" i="13"/>
  <c r="AG10" i="13"/>
  <c r="AA61" i="13"/>
  <c r="M54" i="13"/>
  <c r="AG12" i="13"/>
  <c r="AP12" i="13"/>
  <c r="AD41" i="13"/>
  <c r="AP41" i="13"/>
  <c r="M126" i="13"/>
  <c r="N126" i="13" s="1"/>
  <c r="AP126" i="13"/>
  <c r="AA134" i="13"/>
  <c r="AP134" i="13"/>
  <c r="AA142" i="13"/>
  <c r="AP142" i="13"/>
  <c r="AA150" i="13"/>
  <c r="AP150" i="13"/>
  <c r="AA211" i="13"/>
  <c r="AP211" i="13"/>
  <c r="AA229" i="13"/>
  <c r="AP229" i="13"/>
  <c r="F320" i="13"/>
  <c r="I75" i="13"/>
  <c r="I108" i="13"/>
  <c r="AP242" i="13"/>
  <c r="AP254" i="13"/>
  <c r="AP266" i="13"/>
  <c r="AP281" i="13"/>
  <c r="AP88" i="13"/>
  <c r="AG288" i="13"/>
  <c r="AG113" i="13"/>
  <c r="AG70" i="13"/>
  <c r="AG49" i="13"/>
  <c r="AG32" i="13"/>
  <c r="AG16" i="13"/>
  <c r="AD296" i="13"/>
  <c r="AD273" i="13"/>
  <c r="AD113" i="13"/>
  <c r="AD83" i="13"/>
  <c r="AD62" i="13"/>
  <c r="AA281" i="13"/>
  <c r="AA66" i="13"/>
  <c r="AA45" i="13"/>
  <c r="V296" i="13"/>
  <c r="W296" i="13" s="1"/>
  <c r="X296" i="13" s="1"/>
  <c r="V122" i="13"/>
  <c r="V113" i="13"/>
  <c r="V94" i="13"/>
  <c r="V62" i="13"/>
  <c r="S122" i="13"/>
  <c r="M113" i="13"/>
  <c r="N113" i="13" s="1"/>
  <c r="O113" i="13" s="1"/>
  <c r="AD57" i="13"/>
  <c r="AD53" i="13"/>
  <c r="P49" i="13"/>
  <c r="M12" i="13"/>
  <c r="N12" i="13" s="1"/>
  <c r="V18" i="13"/>
  <c r="AP18" i="13"/>
  <c r="V23" i="13"/>
  <c r="AP23" i="13"/>
  <c r="AG33" i="13"/>
  <c r="AP33" i="13"/>
  <c r="AA38" i="13"/>
  <c r="AP38" i="13"/>
  <c r="V42" i="13"/>
  <c r="AP42" i="13"/>
  <c r="AD46" i="13"/>
  <c r="AP46" i="13"/>
  <c r="S50" i="13"/>
  <c r="AP50" i="13"/>
  <c r="AA59" i="13"/>
  <c r="AP59" i="13"/>
  <c r="AA63" i="13"/>
  <c r="AP63" i="13"/>
  <c r="AG67" i="13"/>
  <c r="AP67" i="13"/>
  <c r="AA84" i="13"/>
  <c r="AP84" i="13"/>
  <c r="AA91" i="13"/>
  <c r="AP91" i="13"/>
  <c r="J96" i="13"/>
  <c r="K96" i="13" s="1"/>
  <c r="AP96" i="13"/>
  <c r="AA102" i="13"/>
  <c r="AP102" i="13"/>
  <c r="AD110" i="13"/>
  <c r="AP110" i="13"/>
  <c r="S114" i="13"/>
  <c r="AP114" i="13"/>
  <c r="AD119" i="13"/>
  <c r="AP119" i="13"/>
  <c r="AA123" i="13"/>
  <c r="AP123" i="13"/>
  <c r="AD127" i="13"/>
  <c r="AP127" i="13"/>
  <c r="P131" i="13"/>
  <c r="AP131" i="13"/>
  <c r="M135" i="13"/>
  <c r="N135" i="13" s="1"/>
  <c r="O135" i="13" s="1"/>
  <c r="AP135" i="13"/>
  <c r="AG139" i="13"/>
  <c r="AP139" i="13"/>
  <c r="AD157" i="13"/>
  <c r="S166" i="13"/>
  <c r="AP166" i="13"/>
  <c r="S171" i="13"/>
  <c r="AP171" i="13"/>
  <c r="AA212" i="13"/>
  <c r="AP212" i="13"/>
  <c r="S58" i="13"/>
  <c r="AP58" i="13"/>
  <c r="AA117" i="13"/>
  <c r="AP117" i="13"/>
  <c r="AA138" i="13"/>
  <c r="AP138" i="13"/>
  <c r="S146" i="13"/>
  <c r="AP146" i="13"/>
  <c r="S154" i="13"/>
  <c r="AP154" i="13"/>
  <c r="AA194" i="13"/>
  <c r="AP194" i="13"/>
  <c r="AA233" i="13"/>
  <c r="AP233" i="13"/>
  <c r="M118" i="13"/>
  <c r="N118" i="13" s="1"/>
  <c r="O118" i="13" s="1"/>
  <c r="AP118" i="13"/>
  <c r="I154" i="13"/>
  <c r="I152" i="13"/>
  <c r="AP258" i="13"/>
  <c r="AG281" i="13"/>
  <c r="AG174" i="13"/>
  <c r="AG109" i="13"/>
  <c r="AG101" i="13"/>
  <c r="AG45" i="13"/>
  <c r="AD284" i="13"/>
  <c r="AD109" i="13"/>
  <c r="AD94" i="13"/>
  <c r="AD70" i="13"/>
  <c r="AA62" i="13"/>
  <c r="V174" i="13"/>
  <c r="M101" i="13"/>
  <c r="J94" i="13"/>
  <c r="K94" i="13" s="1"/>
  <c r="L94" i="13" s="1"/>
  <c r="P32" i="13"/>
  <c r="AG14" i="13"/>
  <c r="AP14" i="13"/>
  <c r="AG24" i="13"/>
  <c r="AP24" i="13"/>
  <c r="AD35" i="13"/>
  <c r="AP35" i="13"/>
  <c r="AG39" i="13"/>
  <c r="AP39" i="13"/>
  <c r="AA43" i="13"/>
  <c r="AP43" i="13"/>
  <c r="V47" i="13"/>
  <c r="AP47" i="13"/>
  <c r="P51" i="13"/>
  <c r="AP51" i="13"/>
  <c r="V60" i="13"/>
  <c r="AP60" i="13"/>
  <c r="V64" i="13"/>
  <c r="AP64" i="13"/>
  <c r="V68" i="13"/>
  <c r="W68" i="13" s="1"/>
  <c r="X68" i="13" s="1"/>
  <c r="AP68" i="13"/>
  <c r="V73" i="13"/>
  <c r="AP73" i="13"/>
  <c r="V79" i="13"/>
  <c r="AP79" i="13"/>
  <c r="AG85" i="13"/>
  <c r="AP85" i="13"/>
  <c r="AG92" i="13"/>
  <c r="AP92" i="13"/>
  <c r="AD107" i="13"/>
  <c r="AP107" i="13"/>
  <c r="AA111" i="13"/>
  <c r="AP111" i="13"/>
  <c r="AA124" i="13"/>
  <c r="AP124" i="13"/>
  <c r="P128" i="13"/>
  <c r="AP128" i="13"/>
  <c r="AD136" i="13"/>
  <c r="AP136" i="13"/>
  <c r="P144" i="13"/>
  <c r="AP144" i="13"/>
  <c r="AP158" i="13"/>
  <c r="AG304" i="13"/>
  <c r="AG301" i="13"/>
  <c r="AD126" i="13"/>
  <c r="AA285" i="13"/>
  <c r="AA259" i="13"/>
  <c r="AA35" i="13"/>
  <c r="P35" i="13"/>
  <c r="I33" i="13"/>
  <c r="I73" i="13"/>
  <c r="AP175" i="13"/>
  <c r="AG79" i="13"/>
  <c r="V288" i="13"/>
  <c r="I126" i="13"/>
  <c r="AP78" i="13"/>
  <c r="AG203" i="13"/>
  <c r="AG88" i="13"/>
  <c r="AD54" i="13"/>
  <c r="V88" i="13"/>
  <c r="M114" i="13"/>
  <c r="N114" i="13" s="1"/>
  <c r="S42" i="13"/>
  <c r="I139" i="13"/>
  <c r="I122" i="13"/>
  <c r="I85" i="13"/>
  <c r="I77" i="13"/>
  <c r="AP240" i="13"/>
  <c r="I142" i="13"/>
  <c r="AG293" i="13"/>
  <c r="AG171" i="13"/>
  <c r="AG107" i="13"/>
  <c r="AG78" i="13"/>
  <c r="AD293" i="13"/>
  <c r="AA248" i="13"/>
  <c r="AA175" i="13"/>
  <c r="V43" i="13"/>
  <c r="I26" i="13"/>
  <c r="I136" i="13"/>
  <c r="I114" i="13"/>
  <c r="I81" i="13"/>
  <c r="AP274" i="13"/>
  <c r="AP179" i="13"/>
  <c r="AG289" i="13"/>
  <c r="AG255" i="13"/>
  <c r="AG179" i="13"/>
  <c r="AG127" i="13"/>
  <c r="AG54" i="13"/>
  <c r="AD240" i="13"/>
  <c r="AD88" i="13"/>
  <c r="AA54" i="13"/>
  <c r="S88" i="13"/>
  <c r="T88" i="13" s="1"/>
  <c r="U88" i="13" s="1"/>
  <c r="AF15" i="13"/>
  <c r="I147" i="13"/>
  <c r="I83" i="13"/>
  <c r="I133" i="13"/>
  <c r="I137" i="13"/>
  <c r="AP304" i="13"/>
  <c r="AG114" i="13"/>
  <c r="AD183" i="13"/>
  <c r="AD134" i="13"/>
  <c r="AD59" i="13"/>
  <c r="AD42" i="13"/>
  <c r="AA46" i="13"/>
  <c r="AP161" i="13"/>
  <c r="I140" i="13"/>
  <c r="AP100" i="13"/>
  <c r="AP307" i="13"/>
  <c r="AP183" i="13"/>
  <c r="AG260" i="13"/>
  <c r="AG252" i="13"/>
  <c r="AG194" i="13"/>
  <c r="AG124" i="13"/>
  <c r="AD304" i="13"/>
  <c r="AE304" i="13" s="1"/>
  <c r="AD289" i="13"/>
  <c r="AD150" i="13"/>
  <c r="AD63" i="13"/>
  <c r="AD24" i="13"/>
  <c r="AA293" i="13"/>
  <c r="AA274" i="13"/>
  <c r="V255" i="13"/>
  <c r="P92" i="13"/>
  <c r="J23" i="13"/>
  <c r="K23" i="13" s="1"/>
  <c r="L23" i="13" s="1"/>
  <c r="AG159" i="13"/>
  <c r="AD142" i="13"/>
  <c r="I150" i="13"/>
  <c r="I116" i="13"/>
  <c r="I105" i="13"/>
  <c r="I164" i="13"/>
  <c r="AP255" i="13"/>
  <c r="AP301" i="13"/>
  <c r="AG274" i="13"/>
  <c r="AG259" i="13"/>
  <c r="AG175" i="13"/>
  <c r="AG157" i="13"/>
  <c r="AG73" i="13"/>
  <c r="AG57" i="13"/>
  <c r="AG47" i="13"/>
  <c r="AG38" i="13"/>
  <c r="AD252" i="13"/>
  <c r="AD232" i="13"/>
  <c r="AD190" i="13"/>
  <c r="AD96" i="13"/>
  <c r="AD67" i="13"/>
  <c r="AA289" i="13"/>
  <c r="AA255" i="13"/>
  <c r="V51" i="13"/>
  <c r="J102" i="13"/>
  <c r="K102" i="13" s="1"/>
  <c r="L102" i="13" s="1"/>
  <c r="AD225" i="13"/>
  <c r="V214" i="13"/>
  <c r="AD214" i="13"/>
  <c r="S160" i="13"/>
  <c r="AA160" i="13"/>
  <c r="AD160" i="13"/>
  <c r="AA98" i="13"/>
  <c r="AD98" i="13"/>
  <c r="S77" i="13"/>
  <c r="S110" i="13"/>
  <c r="M110" i="13"/>
  <c r="N110" i="13" s="1"/>
  <c r="V110" i="13"/>
  <c r="AG110" i="13"/>
  <c r="P119" i="13"/>
  <c r="AG119" i="13"/>
  <c r="P126" i="13"/>
  <c r="AA130" i="13"/>
  <c r="AD130" i="13"/>
  <c r="AG130" i="13"/>
  <c r="AD138" i="13"/>
  <c r="AG138" i="13"/>
  <c r="M146" i="13"/>
  <c r="N146" i="13" s="1"/>
  <c r="V150" i="13"/>
  <c r="AG150" i="13"/>
  <c r="V193" i="13"/>
  <c r="AA193" i="13"/>
  <c r="I110" i="13"/>
  <c r="I165" i="13"/>
  <c r="AG160" i="13"/>
  <c r="AG146" i="13"/>
  <c r="AG123" i="13"/>
  <c r="AG63" i="13"/>
  <c r="AD50" i="13"/>
  <c r="V181" i="13"/>
  <c r="V146" i="13"/>
  <c r="V134" i="13"/>
  <c r="V114" i="13"/>
  <c r="V77" i="13"/>
  <c r="V50" i="13"/>
  <c r="G162" i="13"/>
  <c r="H162" i="13" s="1"/>
  <c r="I162" i="13" s="1"/>
  <c r="V162" i="13"/>
  <c r="M154" i="13"/>
  <c r="N154" i="13" s="1"/>
  <c r="O154" i="13" s="1"/>
  <c r="P134" i="13"/>
  <c r="M11" i="13"/>
  <c r="V11" i="13"/>
  <c r="AD11" i="13"/>
  <c r="J103" i="13"/>
  <c r="K103" i="13" s="1"/>
  <c r="AA103" i="13"/>
  <c r="AD103" i="13"/>
  <c r="I170" i="13"/>
  <c r="I106" i="13"/>
  <c r="AP276" i="13"/>
  <c r="AP160" i="13"/>
  <c r="AP189" i="13"/>
  <c r="AG280" i="13"/>
  <c r="AG272" i="13"/>
  <c r="AG142" i="13"/>
  <c r="AG134" i="13"/>
  <c r="AG126" i="13"/>
  <c r="AG97" i="13"/>
  <c r="AG59" i="13"/>
  <c r="AG51" i="13"/>
  <c r="AD276" i="13"/>
  <c r="AD146" i="13"/>
  <c r="AD123" i="13"/>
  <c r="AD114" i="13"/>
  <c r="AD73" i="13"/>
  <c r="AD43" i="13"/>
  <c r="AA276" i="13"/>
  <c r="AA181" i="13"/>
  <c r="AA154" i="13"/>
  <c r="AA146" i="13"/>
  <c r="V189" i="13"/>
  <c r="V160" i="13"/>
  <c r="V142" i="13"/>
  <c r="V119" i="13"/>
  <c r="V100" i="13"/>
  <c r="V301" i="13"/>
  <c r="AA301" i="13"/>
  <c r="AG186" i="13"/>
  <c r="P142" i="13"/>
  <c r="S126" i="13"/>
  <c r="M119" i="13"/>
  <c r="N119" i="13" s="1"/>
  <c r="O119" i="13" s="1"/>
  <c r="V76" i="13"/>
  <c r="AD76" i="13"/>
  <c r="M50" i="13"/>
  <c r="N50" i="13" s="1"/>
  <c r="O50" i="13" s="1"/>
  <c r="P47" i="13"/>
  <c r="G10" i="13"/>
  <c r="H10" i="13" s="1"/>
  <c r="I10" i="13" s="1"/>
  <c r="AA10" i="13"/>
  <c r="V26" i="13"/>
  <c r="AG26" i="13"/>
  <c r="P31" i="13"/>
  <c r="J31" i="13"/>
  <c r="K31" i="13" s="1"/>
  <c r="L31" i="13" s="1"/>
  <c r="AD31" i="13"/>
  <c r="AA48" i="13"/>
  <c r="AG48" i="13"/>
  <c r="AD257" i="13"/>
  <c r="AA257" i="13"/>
  <c r="J174" i="13"/>
  <c r="K174" i="13" s="1"/>
  <c r="L174" i="13" s="1"/>
  <c r="P174" i="13"/>
  <c r="AA174" i="13"/>
  <c r="V84" i="13"/>
  <c r="AG84" i="13"/>
  <c r="P91" i="13"/>
  <c r="AD91" i="13"/>
  <c r="P106" i="13"/>
  <c r="S106" i="13"/>
  <c r="P114" i="13"/>
  <c r="AA114" i="13"/>
  <c r="P123" i="13"/>
  <c r="S123" i="13"/>
  <c r="S134" i="13"/>
  <c r="M134" i="13"/>
  <c r="N134" i="13" s="1"/>
  <c r="P188" i="13"/>
  <c r="V188" i="13"/>
  <c r="AA188" i="13"/>
  <c r="AG154" i="13"/>
  <c r="AD189" i="13"/>
  <c r="AD154" i="13"/>
  <c r="AD102" i="13"/>
  <c r="AD84" i="13"/>
  <c r="AA280" i="13"/>
  <c r="AA110" i="13"/>
  <c r="V280" i="13"/>
  <c r="V126" i="13"/>
  <c r="S177" i="13"/>
  <c r="M177" i="13"/>
  <c r="P146" i="13"/>
  <c r="M19" i="13"/>
  <c r="N19" i="13" s="1"/>
  <c r="S19" i="13"/>
  <c r="AD19" i="13"/>
  <c r="J24" i="13"/>
  <c r="K24" i="13" s="1"/>
  <c r="L24" i="13" s="1"/>
  <c r="AA24" i="13"/>
  <c r="M35" i="13"/>
  <c r="N35" i="13" s="1"/>
  <c r="AG35" i="13"/>
  <c r="P39" i="13"/>
  <c r="V39" i="13"/>
  <c r="AA39" i="13"/>
  <c r="AD39" i="13"/>
  <c r="P43" i="13"/>
  <c r="S43" i="13"/>
  <c r="AG43" i="13"/>
  <c r="AA60" i="13"/>
  <c r="AG60" i="13"/>
  <c r="P143" i="13"/>
  <c r="AG143" i="13"/>
  <c r="S200" i="13"/>
  <c r="AD200" i="13"/>
  <c r="T237" i="13"/>
  <c r="AA237" i="13"/>
  <c r="AD237" i="13"/>
  <c r="I158" i="13"/>
  <c r="I119" i="13"/>
  <c r="I157" i="13"/>
  <c r="I168" i="13"/>
  <c r="AP271" i="13"/>
  <c r="AP165" i="13"/>
  <c r="AP214" i="13"/>
  <c r="AP205" i="13"/>
  <c r="AG181" i="13"/>
  <c r="AG102" i="13"/>
  <c r="AG96" i="13"/>
  <c r="AG91" i="13"/>
  <c r="AG50" i="13"/>
  <c r="AG11" i="13"/>
  <c r="AD173" i="13"/>
  <c r="AD162" i="13"/>
  <c r="AD106" i="13"/>
  <c r="AD79" i="13"/>
  <c r="AD64" i="13"/>
  <c r="AD60" i="13"/>
  <c r="AD47" i="13"/>
  <c r="AD14" i="13"/>
  <c r="AE14" i="13" s="1"/>
  <c r="AA200" i="13"/>
  <c r="AA126" i="13"/>
  <c r="AA119" i="13"/>
  <c r="AA19" i="13"/>
  <c r="V177" i="13"/>
  <c r="V154" i="13"/>
  <c r="V138" i="13"/>
  <c r="V130" i="13"/>
  <c r="V123" i="13"/>
  <c r="V35" i="13"/>
  <c r="V19" i="13"/>
  <c r="G270" i="13"/>
  <c r="H270" i="13" s="1"/>
  <c r="I270" i="13" s="1"/>
  <c r="M258" i="13"/>
  <c r="AD258" i="13"/>
  <c r="S214" i="13"/>
  <c r="T214" i="13" s="1"/>
  <c r="U214" i="13" s="1"/>
  <c r="P179" i="13"/>
  <c r="AD179" i="13"/>
  <c r="P135" i="13"/>
  <c r="P130" i="13"/>
  <c r="M123" i="13"/>
  <c r="N123" i="13" s="1"/>
  <c r="P110" i="13"/>
  <c r="K128" i="13"/>
  <c r="L128" i="13" s="1"/>
  <c r="N153" i="13"/>
  <c r="O153" i="13" s="1"/>
  <c r="N109" i="13"/>
  <c r="O109" i="13" s="1"/>
  <c r="S232" i="13"/>
  <c r="T232" i="13" s="1"/>
  <c r="U232" i="13" s="1"/>
  <c r="P85" i="13"/>
  <c r="AD85" i="13"/>
  <c r="S85" i="13"/>
  <c r="S92" i="13"/>
  <c r="J92" i="13"/>
  <c r="K92" i="13" s="1"/>
  <c r="L92" i="13" s="1"/>
  <c r="AA92" i="13"/>
  <c r="AD92" i="13"/>
  <c r="AD97" i="13"/>
  <c r="S103" i="13"/>
  <c r="M103" i="13"/>
  <c r="S107" i="13"/>
  <c r="AA107" i="13"/>
  <c r="M107" i="13"/>
  <c r="N107" i="13" s="1"/>
  <c r="O107" i="13" s="1"/>
  <c r="V107" i="13"/>
  <c r="M111" i="13"/>
  <c r="N111" i="13" s="1"/>
  <c r="O111" i="13" s="1"/>
  <c r="V111" i="13"/>
  <c r="P115" i="13"/>
  <c r="AD115" i="13"/>
  <c r="V115" i="13"/>
  <c r="P120" i="13"/>
  <c r="AA120" i="13"/>
  <c r="AD120" i="13"/>
  <c r="S120" i="13"/>
  <c r="V120" i="13"/>
  <c r="P124" i="13"/>
  <c r="S124" i="13"/>
  <c r="V124" i="13"/>
  <c r="S127" i="13"/>
  <c r="V127" i="13"/>
  <c r="M127" i="13"/>
  <c r="N127" i="13" s="1"/>
  <c r="AA127" i="13"/>
  <c r="S131" i="13"/>
  <c r="M131" i="13"/>
  <c r="N131" i="13" s="1"/>
  <c r="O131" i="13" s="1"/>
  <c r="AA131" i="13"/>
  <c r="AD131" i="13"/>
  <c r="AA143" i="13"/>
  <c r="V166" i="13"/>
  <c r="AD166" i="13"/>
  <c r="P166" i="13"/>
  <c r="AA224" i="13"/>
  <c r="J180" i="13"/>
  <c r="K180" i="13" s="1"/>
  <c r="L180" i="13" s="1"/>
  <c r="AD180" i="13"/>
  <c r="P170" i="13"/>
  <c r="S170" i="13"/>
  <c r="AA170" i="13"/>
  <c r="P193" i="13"/>
  <c r="AD193" i="13"/>
  <c r="S193" i="13"/>
  <c r="AD198" i="13"/>
  <c r="V198" i="13"/>
  <c r="V204" i="13"/>
  <c r="P204" i="13"/>
  <c r="Q204" i="13" s="1"/>
  <c r="AA204" i="13"/>
  <c r="AD204" i="13"/>
  <c r="AA209" i="13"/>
  <c r="AD209" i="13"/>
  <c r="V219" i="13"/>
  <c r="AA223" i="13"/>
  <c r="S223" i="13"/>
  <c r="T223" i="13" s="1"/>
  <c r="AD223" i="13"/>
  <c r="I118" i="13"/>
  <c r="I121" i="13"/>
  <c r="AP180" i="13"/>
  <c r="AG232" i="13"/>
  <c r="AG193" i="13"/>
  <c r="AG188" i="13"/>
  <c r="AG170" i="13"/>
  <c r="AD188" i="13"/>
  <c r="AA198" i="13"/>
  <c r="AA76" i="13"/>
  <c r="AG275" i="13"/>
  <c r="V275" i="13"/>
  <c r="AA275" i="13"/>
  <c r="S261" i="13"/>
  <c r="AA261" i="13"/>
  <c r="I123" i="13"/>
  <c r="I124" i="13"/>
  <c r="I130" i="13"/>
  <c r="I86" i="13"/>
  <c r="I171" i="13"/>
  <c r="AP155" i="13"/>
  <c r="AP210" i="13"/>
  <c r="AG265" i="13"/>
  <c r="AG237" i="13"/>
  <c r="AG219" i="13"/>
  <c r="AG187" i="13"/>
  <c r="AG180" i="13"/>
  <c r="AG155" i="13"/>
  <c r="AG131" i="13"/>
  <c r="AG115" i="13"/>
  <c r="AD187" i="13"/>
  <c r="AD155" i="13"/>
  <c r="AD143" i="13"/>
  <c r="AA265" i="13"/>
  <c r="AA219" i="13"/>
  <c r="AA166" i="13"/>
  <c r="AA157" i="13"/>
  <c r="AA85" i="13"/>
  <c r="AD303" i="13"/>
  <c r="AA303" i="13"/>
  <c r="V229" i="13"/>
  <c r="V224" i="13"/>
  <c r="V215" i="13"/>
  <c r="V131" i="13"/>
  <c r="V85" i="13"/>
  <c r="G268" i="13"/>
  <c r="H268" i="13" s="1"/>
  <c r="I268" i="13" s="1"/>
  <c r="AD268" i="13"/>
  <c r="G252" i="13"/>
  <c r="H252" i="13" s="1"/>
  <c r="I252" i="13" s="1"/>
  <c r="AA252" i="13"/>
  <c r="S240" i="13"/>
  <c r="AA240" i="13"/>
  <c r="V240" i="13"/>
  <c r="P198" i="13"/>
  <c r="Q198" i="13" s="1"/>
  <c r="R198" i="13" s="1"/>
  <c r="AA195" i="13"/>
  <c r="AD195" i="13"/>
  <c r="M170" i="13"/>
  <c r="N170" i="13" s="1"/>
  <c r="P157" i="13"/>
  <c r="M85" i="13"/>
  <c r="N85" i="13" s="1"/>
  <c r="AD9" i="13"/>
  <c r="AD21" i="13"/>
  <c r="AG21" i="13"/>
  <c r="AD28" i="13"/>
  <c r="AG28" i="13"/>
  <c r="AA32" i="13"/>
  <c r="V32" i="13"/>
  <c r="P45" i="13"/>
  <c r="V45" i="13"/>
  <c r="P61" i="13"/>
  <c r="Q61" i="13" s="1"/>
  <c r="R61" i="13" s="1"/>
  <c r="AG61" i="13"/>
  <c r="V61" i="13"/>
  <c r="P65" i="13"/>
  <c r="Q65" i="13" s="1"/>
  <c r="R65" i="13" s="1"/>
  <c r="V65" i="13"/>
  <c r="AA65" i="13"/>
  <c r="AD69" i="13"/>
  <c r="AD74" i="13"/>
  <c r="AG74" i="13"/>
  <c r="M104" i="13"/>
  <c r="S104" i="13"/>
  <c r="V104" i="13"/>
  <c r="AD104" i="13"/>
  <c r="J104" i="13"/>
  <c r="K104" i="13" s="1"/>
  <c r="N104" i="13" s="1"/>
  <c r="S108" i="13"/>
  <c r="AA108" i="13"/>
  <c r="M112" i="13"/>
  <c r="N112" i="13" s="1"/>
  <c r="O112" i="13" s="1"/>
  <c r="AA112" i="13"/>
  <c r="M152" i="13"/>
  <c r="N152" i="13" s="1"/>
  <c r="O152" i="13" s="1"/>
  <c r="V152" i="13"/>
  <c r="AD168" i="13"/>
  <c r="I127" i="13"/>
  <c r="I148" i="13"/>
  <c r="I141" i="13"/>
  <c r="AP167" i="13"/>
  <c r="AP187" i="13"/>
  <c r="V209" i="13"/>
  <c r="P286" i="13"/>
  <c r="AA269" i="13"/>
  <c r="AD269" i="13"/>
  <c r="AD241" i="13"/>
  <c r="AA241" i="13"/>
  <c r="S198" i="13"/>
  <c r="L153" i="13"/>
  <c r="I169" i="13"/>
  <c r="I153" i="13"/>
  <c r="I146" i="13"/>
  <c r="I160" i="13"/>
  <c r="AP241" i="13"/>
  <c r="AP265" i="13"/>
  <c r="AP275" i="13"/>
  <c r="AG261" i="13"/>
  <c r="AG257" i="13"/>
  <c r="AG241" i="13"/>
  <c r="AG223" i="13"/>
  <c r="AG204" i="13"/>
  <c r="AG200" i="13"/>
  <c r="AG166" i="13"/>
  <c r="AG135" i="13"/>
  <c r="AG120" i="13"/>
  <c r="AG103" i="13"/>
  <c r="AG76" i="13"/>
  <c r="AD261" i="13"/>
  <c r="AD170" i="13"/>
  <c r="AD124" i="13"/>
  <c r="AD118" i="13"/>
  <c r="AA155" i="13"/>
  <c r="AA115" i="13"/>
  <c r="AA97" i="13"/>
  <c r="V233" i="13"/>
  <c r="V170" i="13"/>
  <c r="V143" i="13"/>
  <c r="V135" i="13"/>
  <c r="V103" i="13"/>
  <c r="V92" i="13"/>
  <c r="P292" i="13"/>
  <c r="Q292" i="13" s="1"/>
  <c r="R292" i="13" s="1"/>
  <c r="AA292" i="13"/>
  <c r="AD292" i="13"/>
  <c r="M193" i="13"/>
  <c r="N193" i="13" s="1"/>
  <c r="O193" i="13" s="1"/>
  <c r="M166" i="13"/>
  <c r="S135" i="13"/>
  <c r="P127" i="13"/>
  <c r="M120" i="13"/>
  <c r="N120" i="13" s="1"/>
  <c r="P107" i="13"/>
  <c r="M100" i="13"/>
  <c r="AA100" i="13"/>
  <c r="AD100" i="13"/>
  <c r="AD13" i="13"/>
  <c r="AE13" i="13" s="1"/>
  <c r="AF13" i="13" s="1"/>
  <c r="V38" i="13"/>
  <c r="P38" i="13"/>
  <c r="AD38" i="13"/>
  <c r="AA42" i="13"/>
  <c r="AG42" i="13"/>
  <c r="M42" i="13"/>
  <c r="N42" i="13" s="1"/>
  <c r="O42" i="13" s="1"/>
  <c r="P46" i="13"/>
  <c r="AG46" i="13"/>
  <c r="V46" i="13"/>
  <c r="M49" i="13"/>
  <c r="N49" i="13" s="1"/>
  <c r="AA49" i="13"/>
  <c r="AD49" i="13"/>
  <c r="AG62" i="13"/>
  <c r="AG66" i="13"/>
  <c r="V66" i="13"/>
  <c r="W66" i="13" s="1"/>
  <c r="X66" i="13" s="1"/>
  <c r="AA70" i="13"/>
  <c r="AB70" i="13" s="1"/>
  <c r="AC70" i="13" s="1"/>
  <c r="M75" i="13"/>
  <c r="N75" i="13" s="1"/>
  <c r="V75" i="13"/>
  <c r="P75" i="13"/>
  <c r="AA75" i="13"/>
  <c r="AD75" i="13"/>
  <c r="P83" i="13"/>
  <c r="AA83" i="13"/>
  <c r="AG83" i="13"/>
  <c r="P248" i="13"/>
  <c r="M248" i="13"/>
  <c r="G248" i="13"/>
  <c r="H248" i="13" s="1"/>
  <c r="I248" i="13" s="1"/>
  <c r="P182" i="13"/>
  <c r="AA182" i="13"/>
  <c r="V182" i="13"/>
  <c r="M56" i="13"/>
  <c r="AA56" i="13"/>
  <c r="S53" i="13"/>
  <c r="V53" i="13"/>
  <c r="AA53" i="13"/>
  <c r="S29" i="13"/>
  <c r="V29" i="13"/>
  <c r="AA29" i="13"/>
  <c r="P37" i="13"/>
  <c r="M37" i="13"/>
  <c r="N37" i="13" s="1"/>
  <c r="AA37" i="13"/>
  <c r="AG268" i="13"/>
  <c r="AG95" i="13"/>
  <c r="AG37" i="13"/>
  <c r="AD277" i="13"/>
  <c r="AD56" i="13"/>
  <c r="AD37" i="13"/>
  <c r="AA244" i="13"/>
  <c r="AA23" i="13"/>
  <c r="V173" i="13"/>
  <c r="V56" i="13"/>
  <c r="J243" i="13"/>
  <c r="V243" i="13"/>
  <c r="J172" i="13"/>
  <c r="AA172" i="13"/>
  <c r="M41" i="13"/>
  <c r="N41" i="13" s="1"/>
  <c r="M128" i="13"/>
  <c r="S128" i="13"/>
  <c r="V128" i="13"/>
  <c r="P132" i="13"/>
  <c r="S132" i="13"/>
  <c r="V132" i="13"/>
  <c r="S136" i="13"/>
  <c r="V136" i="13"/>
  <c r="AA136" i="13"/>
  <c r="V140" i="13"/>
  <c r="AA140" i="13"/>
  <c r="P140" i="13"/>
  <c r="V144" i="13"/>
  <c r="AA144" i="13"/>
  <c r="M144" i="13"/>
  <c r="N144" i="13" s="1"/>
  <c r="S148" i="13"/>
  <c r="P152" i="13"/>
  <c r="S152" i="13"/>
  <c r="P168" i="13"/>
  <c r="P194" i="13"/>
  <c r="S194" i="13"/>
  <c r="V194" i="13"/>
  <c r="V200" i="13"/>
  <c r="S206" i="13"/>
  <c r="AA206" i="13"/>
  <c r="S216" i="13"/>
  <c r="T216" i="13" s="1"/>
  <c r="U216" i="13" s="1"/>
  <c r="AA216" i="13"/>
  <c r="S220" i="13"/>
  <c r="T220" i="13" s="1"/>
  <c r="U220" i="13" s="1"/>
  <c r="S229" i="13"/>
  <c r="T229" i="13" s="1"/>
  <c r="U229" i="13" s="1"/>
  <c r="S233" i="13"/>
  <c r="T233" i="13" s="1"/>
  <c r="U233" i="13" s="1"/>
  <c r="V237" i="13"/>
  <c r="I32" i="13"/>
  <c r="I19" i="13"/>
  <c r="I132" i="13"/>
  <c r="I74" i="13"/>
  <c r="I117" i="13"/>
  <c r="AP244" i="13"/>
  <c r="AP260" i="13"/>
  <c r="AP264" i="13"/>
  <c r="AP268" i="13"/>
  <c r="AP98" i="13"/>
  <c r="AP173" i="13"/>
  <c r="AG277" i="13"/>
  <c r="AG248" i="13"/>
  <c r="AG182" i="13"/>
  <c r="AG173" i="13"/>
  <c r="AG152" i="13"/>
  <c r="AG121" i="13"/>
  <c r="AG116" i="13"/>
  <c r="AG112" i="13"/>
  <c r="AG98" i="13"/>
  <c r="AG53" i="13"/>
  <c r="AG41" i="13"/>
  <c r="AG13" i="13"/>
  <c r="AD260" i="13"/>
  <c r="AD220" i="13"/>
  <c r="AD216" i="13"/>
  <c r="AD194" i="13"/>
  <c r="AD175" i="13"/>
  <c r="AD171" i="13"/>
  <c r="AD121" i="13"/>
  <c r="AD108" i="13"/>
  <c r="AD29" i="13"/>
  <c r="AD23" i="13"/>
  <c r="AA273" i="13"/>
  <c r="AA268" i="13"/>
  <c r="AA214" i="13"/>
  <c r="AA116" i="13"/>
  <c r="V292" i="13"/>
  <c r="V216" i="13"/>
  <c r="V211" i="13"/>
  <c r="V206" i="13"/>
  <c r="V172" i="13"/>
  <c r="V98" i="13"/>
  <c r="V37" i="13"/>
  <c r="S284" i="13"/>
  <c r="P282" i="13"/>
  <c r="M242" i="13"/>
  <c r="S242" i="13"/>
  <c r="S219" i="13"/>
  <c r="T219" i="13" s="1"/>
  <c r="U219" i="13" s="1"/>
  <c r="P206" i="13"/>
  <c r="Q206" i="13" s="1"/>
  <c r="R206" i="13" s="1"/>
  <c r="P200" i="13"/>
  <c r="Q200" i="13" s="1"/>
  <c r="R200" i="13" s="1"/>
  <c r="M194" i="13"/>
  <c r="N194" i="13" s="1"/>
  <c r="O194" i="13" s="1"/>
  <c r="M136" i="13"/>
  <c r="N136" i="13" s="1"/>
  <c r="M132" i="13"/>
  <c r="N132" i="13" s="1"/>
  <c r="G78" i="13"/>
  <c r="H78" i="13" s="1"/>
  <c r="I78" i="13" s="1"/>
  <c r="AA78" i="13"/>
  <c r="S37" i="13"/>
  <c r="M43" i="13"/>
  <c r="N43" i="13" s="1"/>
  <c r="M47" i="13"/>
  <c r="N47" i="13" s="1"/>
  <c r="O47" i="13" s="1"/>
  <c r="AA47" i="13"/>
  <c r="AA50" i="13"/>
  <c r="P50" i="13"/>
  <c r="P59" i="13"/>
  <c r="V59" i="13"/>
  <c r="S63" i="13"/>
  <c r="V63" i="13"/>
  <c r="V67" i="13"/>
  <c r="W67" i="13" s="1"/>
  <c r="X67" i="13" s="1"/>
  <c r="AA67" i="13"/>
  <c r="AA94" i="13"/>
  <c r="P94" i="13"/>
  <c r="J101" i="13"/>
  <c r="K101" i="13" s="1"/>
  <c r="L101" i="13" s="1"/>
  <c r="V101" i="13"/>
  <c r="P105" i="13"/>
  <c r="V105" i="13"/>
  <c r="S105" i="13"/>
  <c r="AA105" i="13"/>
  <c r="P109" i="13"/>
  <c r="AA109" i="13"/>
  <c r="S109" i="13"/>
  <c r="AA113" i="13"/>
  <c r="P113" i="13"/>
  <c r="AA122" i="13"/>
  <c r="M122" i="13"/>
  <c r="N122" i="13" s="1"/>
  <c r="P133" i="13"/>
  <c r="S133" i="13"/>
  <c r="P141" i="13"/>
  <c r="V141" i="13"/>
  <c r="AA141" i="13"/>
  <c r="V145" i="13"/>
  <c r="AA145" i="13"/>
  <c r="V149" i="13"/>
  <c r="AA149" i="13"/>
  <c r="P153" i="13"/>
  <c r="P163" i="13"/>
  <c r="S163" i="13"/>
  <c r="V163" i="13"/>
  <c r="S196" i="13"/>
  <c r="AA196" i="13"/>
  <c r="P201" i="13"/>
  <c r="Q201" i="13" s="1"/>
  <c r="R201" i="13" s="1"/>
  <c r="AA201" i="13"/>
  <c r="P207" i="13"/>
  <c r="Q207" i="13" s="1"/>
  <c r="R207" i="13" s="1"/>
  <c r="AA207" i="13"/>
  <c r="V217" i="13"/>
  <c r="S217" i="13"/>
  <c r="T217" i="13" s="1"/>
  <c r="AA217" i="13"/>
  <c r="AA41" i="13"/>
  <c r="S41" i="13"/>
  <c r="V41" i="13"/>
  <c r="V232" i="13"/>
  <c r="I109" i="13"/>
  <c r="AP248" i="13"/>
  <c r="AG273" i="13"/>
  <c r="AD244" i="13"/>
  <c r="AD182" i="13"/>
  <c r="L109" i="13"/>
  <c r="I135" i="13"/>
  <c r="I115" i="13"/>
  <c r="I163" i="13"/>
  <c r="I149" i="13"/>
  <c r="I143" i="13"/>
  <c r="AP273" i="13"/>
  <c r="AP277" i="13"/>
  <c r="AP172" i="13"/>
  <c r="AP95" i="13"/>
  <c r="AP182" i="13"/>
  <c r="AG244" i="13"/>
  <c r="AG233" i="13"/>
  <c r="AG229" i="13"/>
  <c r="AG224" i="13"/>
  <c r="AG220" i="13"/>
  <c r="AG216" i="13"/>
  <c r="AG211" i="13"/>
  <c r="AG206" i="13"/>
  <c r="AG172" i="13"/>
  <c r="AG144" i="13"/>
  <c r="AG140" i="13"/>
  <c r="AG136" i="13"/>
  <c r="AG132" i="13"/>
  <c r="AG128" i="13"/>
  <c r="AG56" i="13"/>
  <c r="AG29" i="13"/>
  <c r="AG23" i="13"/>
  <c r="AG18" i="13"/>
  <c r="AD233" i="13"/>
  <c r="AD229" i="13"/>
  <c r="AD224" i="13"/>
  <c r="AD219" i="13"/>
  <c r="AD211" i="13"/>
  <c r="AD206" i="13"/>
  <c r="AD148" i="13"/>
  <c r="AD132" i="13"/>
  <c r="AD128" i="13"/>
  <c r="AD112" i="13"/>
  <c r="AA220" i="13"/>
  <c r="AA171" i="13"/>
  <c r="AA152" i="13"/>
  <c r="AA121" i="13"/>
  <c r="V264" i="13"/>
  <c r="V248" i="13"/>
  <c r="V220" i="13"/>
  <c r="P274" i="13"/>
  <c r="V274" i="13"/>
  <c r="S268" i="13"/>
  <c r="S224" i="13"/>
  <c r="T224" i="13" s="1"/>
  <c r="U224" i="13" s="1"/>
  <c r="P205" i="13"/>
  <c r="Q205" i="13" s="1"/>
  <c r="R205" i="13" s="1"/>
  <c r="V205" i="13"/>
  <c r="P183" i="13"/>
  <c r="S183" i="13"/>
  <c r="AA183" i="13"/>
  <c r="M171" i="13"/>
  <c r="N171" i="13" s="1"/>
  <c r="S57" i="13"/>
  <c r="V57" i="13"/>
  <c r="AA57" i="13"/>
  <c r="M53" i="13"/>
  <c r="AA9" i="13"/>
  <c r="S12" i="13"/>
  <c r="V12" i="13"/>
  <c r="P21" i="13"/>
  <c r="V21" i="13"/>
  <c r="M21" i="13"/>
  <c r="N21" i="13" s="1"/>
  <c r="S21" i="13"/>
  <c r="AA21" i="13"/>
  <c r="S28" i="13"/>
  <c r="V28" i="13"/>
  <c r="AA28" i="13"/>
  <c r="V44" i="13"/>
  <c r="S44" i="13"/>
  <c r="P48" i="13"/>
  <c r="V48" i="13"/>
  <c r="P60" i="13"/>
  <c r="Q60" i="13" s="1"/>
  <c r="R60" i="13" s="1"/>
  <c r="P73" i="13"/>
  <c r="AA73" i="13"/>
  <c r="M73" i="13"/>
  <c r="N73" i="13" s="1"/>
  <c r="M91" i="13"/>
  <c r="V91" i="13"/>
  <c r="J91" i="13"/>
  <c r="K91" i="13" s="1"/>
  <c r="P96" i="13"/>
  <c r="V96" i="13"/>
  <c r="M96" i="13"/>
  <c r="S96" i="13"/>
  <c r="AA96" i="13"/>
  <c r="S102" i="13"/>
  <c r="P102" i="13"/>
  <c r="V102" i="13"/>
  <c r="G240" i="13"/>
  <c r="H240" i="13" s="1"/>
  <c r="I240" i="13" s="1"/>
  <c r="S181" i="13"/>
  <c r="M179" i="13"/>
  <c r="P100" i="13"/>
  <c r="P53" i="13"/>
  <c r="S293" i="13"/>
  <c r="T293" i="13" s="1"/>
  <c r="J273" i="13"/>
  <c r="P258" i="13"/>
  <c r="J182" i="13"/>
  <c r="K182" i="13" s="1"/>
  <c r="L182" i="13" s="1"/>
  <c r="P162" i="13"/>
  <c r="J53" i="13"/>
  <c r="K53" i="13" s="1"/>
  <c r="L53" i="13" s="1"/>
  <c r="J78" i="13"/>
  <c r="M57" i="13"/>
  <c r="L113" i="13"/>
  <c r="AG292" i="13"/>
  <c r="AG284" i="13"/>
  <c r="AG205" i="13"/>
  <c r="AD275" i="13"/>
  <c r="AD262" i="13"/>
  <c r="AD210" i="13"/>
  <c r="AA288" i="13"/>
  <c r="AA277" i="13"/>
  <c r="AA262" i="13"/>
  <c r="V284" i="13"/>
  <c r="S301" i="13"/>
  <c r="T301" i="13" s="1"/>
  <c r="U301" i="13" s="1"/>
  <c r="S292" i="13"/>
  <c r="P288" i="13"/>
  <c r="J284" i="13"/>
  <c r="K284" i="13" s="1"/>
  <c r="L284" i="13" s="1"/>
  <c r="G280" i="13"/>
  <c r="H280" i="13" s="1"/>
  <c r="I280" i="13" s="1"/>
  <c r="S277" i="13"/>
  <c r="G274" i="13"/>
  <c r="H274" i="13" s="1"/>
  <c r="I274" i="13" s="1"/>
  <c r="P270" i="13"/>
  <c r="J261" i="13"/>
  <c r="S252" i="13"/>
  <c r="S205" i="13"/>
  <c r="J181" i="13"/>
  <c r="K181" i="13" s="1"/>
  <c r="L181" i="13" s="1"/>
  <c r="S172" i="13"/>
  <c r="M78" i="13"/>
  <c r="M288" i="13"/>
  <c r="M284" i="13"/>
  <c r="G275" i="13"/>
  <c r="H275" i="13" s="1"/>
  <c r="I275" i="13" s="1"/>
  <c r="M264" i="13"/>
  <c r="J100" i="13"/>
  <c r="K100" i="13" s="1"/>
  <c r="P57" i="13"/>
  <c r="P56" i="13"/>
  <c r="P42" i="13"/>
  <c r="P41" i="13"/>
  <c r="M32" i="13"/>
  <c r="N32" i="13" s="1"/>
  <c r="P12" i="13"/>
  <c r="P181" i="13"/>
  <c r="S175" i="13"/>
  <c r="S144" i="13"/>
  <c r="S143" i="13"/>
  <c r="M143" i="13"/>
  <c r="N143" i="13" s="1"/>
  <c r="S141" i="13"/>
  <c r="S140" i="13"/>
  <c r="M140" i="13"/>
  <c r="N140" i="13" s="1"/>
  <c r="O140" i="13" s="1"/>
  <c r="P136" i="13"/>
  <c r="S115" i="13"/>
  <c r="M115" i="13"/>
  <c r="N115" i="13" s="1"/>
  <c r="S100" i="13"/>
  <c r="S83" i="13"/>
  <c r="S78" i="13"/>
  <c r="S73" i="13"/>
  <c r="S60" i="13"/>
  <c r="J57" i="13"/>
  <c r="K57" i="13" s="1"/>
  <c r="L57" i="13" s="1"/>
  <c r="J56" i="13"/>
  <c r="K56" i="13" s="1"/>
  <c r="L56" i="13" s="1"/>
  <c r="S49" i="13"/>
  <c r="S35" i="13"/>
  <c r="S32" i="13"/>
  <c r="M28" i="13"/>
  <c r="K20" i="13"/>
  <c r="L20" i="13" s="1"/>
  <c r="M6" i="13"/>
  <c r="N6" i="13" s="1"/>
  <c r="AG300" i="13"/>
  <c r="AG264" i="13"/>
  <c r="AG210" i="13"/>
  <c r="AD264" i="13"/>
  <c r="AA300" i="13"/>
  <c r="AA284" i="13"/>
  <c r="P280" i="13"/>
  <c r="S6" i="13"/>
  <c r="AA287" i="13"/>
  <c r="AD287" i="13"/>
  <c r="J245" i="13"/>
  <c r="S245" i="13"/>
  <c r="AA245" i="13"/>
  <c r="AP245" i="13"/>
  <c r="S89" i="13"/>
  <c r="T89" i="13" s="1"/>
  <c r="U89" i="13" s="1"/>
  <c r="AG89" i="13"/>
  <c r="AD89" i="13"/>
  <c r="V89" i="13"/>
  <c r="AA89" i="13"/>
  <c r="S147" i="13"/>
  <c r="V147" i="13"/>
  <c r="AD147" i="13"/>
  <c r="AA147" i="13"/>
  <c r="P147" i="13"/>
  <c r="M147" i="13"/>
  <c r="N147" i="13" s="1"/>
  <c r="AG147" i="13"/>
  <c r="P151" i="13"/>
  <c r="V151" i="13"/>
  <c r="AD151" i="13"/>
  <c r="AA151" i="13"/>
  <c r="M151" i="13"/>
  <c r="S151" i="13"/>
  <c r="AG151" i="13"/>
  <c r="M164" i="13"/>
  <c r="N164" i="13" s="1"/>
  <c r="S164" i="13"/>
  <c r="P164" i="13"/>
  <c r="AD164" i="13"/>
  <c r="V164" i="13"/>
  <c r="AA164" i="13"/>
  <c r="AG164" i="13"/>
  <c r="M184" i="13"/>
  <c r="N184" i="13" s="1"/>
  <c r="O184" i="13" s="1"/>
  <c r="P184" i="13"/>
  <c r="AD184" i="13"/>
  <c r="S184" i="13"/>
  <c r="AA184" i="13"/>
  <c r="AG184" i="13"/>
  <c r="AD228" i="13"/>
  <c r="AG228" i="13"/>
  <c r="S228" i="13"/>
  <c r="T228" i="13" s="1"/>
  <c r="U228" i="13" s="1"/>
  <c r="V228" i="13"/>
  <c r="AA228" i="13"/>
  <c r="V310" i="13"/>
  <c r="W310" i="13" s="1"/>
  <c r="AD310" i="13"/>
  <c r="AG310" i="13"/>
  <c r="AP251" i="13"/>
  <c r="AG245" i="13"/>
  <c r="AD245" i="13"/>
  <c r="AA310" i="13"/>
  <c r="AA305" i="13"/>
  <c r="AB305" i="13" s="1"/>
  <c r="AC305" i="13" s="1"/>
  <c r="AD305" i="13"/>
  <c r="AG305" i="13"/>
  <c r="AP305" i="13"/>
  <c r="K151" i="13"/>
  <c r="L151" i="13" s="1"/>
  <c r="I151" i="13"/>
  <c r="V184" i="13"/>
  <c r="P156" i="13"/>
  <c r="S156" i="13"/>
  <c r="V156" i="13"/>
  <c r="M156" i="13"/>
  <c r="AG156" i="13"/>
  <c r="AA156" i="13"/>
  <c r="AD156" i="13"/>
  <c r="K138" i="13"/>
  <c r="L138" i="13" s="1"/>
  <c r="I138" i="13"/>
  <c r="M290" i="13"/>
  <c r="N290" i="13" s="1"/>
  <c r="S290" i="13"/>
  <c r="AG290" i="13"/>
  <c r="AA290" i="13"/>
  <c r="AD290" i="13"/>
  <c r="G250" i="13"/>
  <c r="H250" i="13" s="1"/>
  <c r="I250" i="13" s="1"/>
  <c r="V250" i="13"/>
  <c r="P178" i="13"/>
  <c r="AP178" i="13"/>
  <c r="AG178" i="13"/>
  <c r="AA178" i="13"/>
  <c r="J176" i="13"/>
  <c r="K176" i="13" s="1"/>
  <c r="L176" i="13" s="1"/>
  <c r="S176" i="13"/>
  <c r="AD176" i="13"/>
  <c r="AP176" i="13"/>
  <c r="V176" i="13"/>
  <c r="L130" i="13"/>
  <c r="L123" i="13"/>
  <c r="G80" i="13"/>
  <c r="H80" i="13" s="1"/>
  <c r="I80" i="13" s="1"/>
  <c r="AD16" i="13"/>
  <c r="AE16" i="13" s="1"/>
  <c r="M30" i="13"/>
  <c r="S30" i="13"/>
  <c r="P30" i="13"/>
  <c r="V30" i="13"/>
  <c r="AA30" i="13"/>
  <c r="AG30" i="13"/>
  <c r="AD30" i="13"/>
  <c r="M33" i="13"/>
  <c r="N33" i="13" s="1"/>
  <c r="P33" i="13"/>
  <c r="AD33" i="13"/>
  <c r="M40" i="13"/>
  <c r="N40" i="13" s="1"/>
  <c r="V40" i="13"/>
  <c r="AG40" i="13"/>
  <c r="AA40" i="13"/>
  <c r="S40" i="13"/>
  <c r="M58" i="13"/>
  <c r="N58" i="13" s="1"/>
  <c r="P58" i="13"/>
  <c r="V58" i="13"/>
  <c r="AA68" i="13"/>
  <c r="AG68" i="13"/>
  <c r="AD68" i="13"/>
  <c r="AD71" i="13"/>
  <c r="AE71" i="13" s="1"/>
  <c r="AG71" i="13"/>
  <c r="M81" i="13"/>
  <c r="N81" i="13" s="1"/>
  <c r="O81" i="13" s="1"/>
  <c r="S81" i="13"/>
  <c r="P81" i="13"/>
  <c r="AG81" i="13"/>
  <c r="AA81" i="13"/>
  <c r="AD81" i="13"/>
  <c r="M145" i="13"/>
  <c r="N145" i="13" s="1"/>
  <c r="P145" i="13"/>
  <c r="S145" i="13"/>
  <c r="AD145" i="13"/>
  <c r="AG145" i="13"/>
  <c r="S221" i="13"/>
  <c r="T221" i="13" s="1"/>
  <c r="U221" i="13" s="1"/>
  <c r="AD221" i="13"/>
  <c r="S236" i="13"/>
  <c r="T236" i="13" s="1"/>
  <c r="AD236" i="13"/>
  <c r="AG236" i="13"/>
  <c r="V236" i="13"/>
  <c r="AA236" i="13"/>
  <c r="AG311" i="13"/>
  <c r="AD311" i="13"/>
  <c r="V118" i="13"/>
  <c r="AA118" i="13"/>
  <c r="AG118" i="13"/>
  <c r="AG58" i="13"/>
  <c r="AA221" i="13"/>
  <c r="AA176" i="13"/>
  <c r="AA33" i="13"/>
  <c r="K79" i="13"/>
  <c r="L79" i="13" s="1"/>
  <c r="I79" i="13"/>
  <c r="S7" i="13"/>
  <c r="AD7" i="13"/>
  <c r="AA7" i="13"/>
  <c r="AA18" i="13"/>
  <c r="AD18" i="13"/>
  <c r="AP290" i="13"/>
  <c r="AD178" i="13"/>
  <c r="AD58" i="13"/>
  <c r="AD40" i="13"/>
  <c r="AA311" i="13"/>
  <c r="AB311" i="13" s="1"/>
  <c r="AA58" i="13"/>
  <c r="V290" i="13"/>
  <c r="V33" i="13"/>
  <c r="J271" i="13"/>
  <c r="G271" i="13"/>
  <c r="H271" i="13" s="1"/>
  <c r="I271" i="13" s="1"/>
  <c r="P271" i="13"/>
  <c r="AD271" i="13"/>
  <c r="AG271" i="13"/>
  <c r="AA271" i="13"/>
  <c r="U210" i="13"/>
  <c r="AP190" i="13"/>
  <c r="AA190" i="13"/>
  <c r="AA167" i="13"/>
  <c r="AG167" i="13"/>
  <c r="AD167" i="13"/>
  <c r="K166" i="13"/>
  <c r="I166" i="13"/>
  <c r="AG165" i="13"/>
  <c r="V165" i="13"/>
  <c r="AA165" i="13"/>
  <c r="V82" i="13"/>
  <c r="AD82" i="13"/>
  <c r="G82" i="13"/>
  <c r="H82" i="13" s="1"/>
  <c r="I82" i="13" s="1"/>
  <c r="AA82" i="13"/>
  <c r="J30" i="13"/>
  <c r="K30" i="13" s="1"/>
  <c r="G266" i="13"/>
  <c r="H266" i="13" s="1"/>
  <c r="I266" i="13" s="1"/>
  <c r="M159" i="13"/>
  <c r="N159" i="13" s="1"/>
  <c r="AD159" i="13"/>
  <c r="S51" i="13"/>
  <c r="M51" i="13"/>
  <c r="N51" i="13" s="1"/>
  <c r="O51" i="13" s="1"/>
  <c r="AA51" i="13"/>
  <c r="S101" i="13"/>
  <c r="P111" i="13"/>
  <c r="S111" i="13"/>
  <c r="AD111" i="13"/>
  <c r="AD135" i="13"/>
  <c r="S139" i="13"/>
  <c r="AD139" i="13"/>
  <c r="S209" i="13"/>
  <c r="T209" i="13" s="1"/>
  <c r="U209" i="13" s="1"/>
  <c r="S215" i="13"/>
  <c r="T215" i="13" s="1"/>
  <c r="AA215" i="13"/>
  <c r="I7" i="13"/>
  <c r="L105" i="13"/>
  <c r="I131" i="13"/>
  <c r="AG285" i="13"/>
  <c r="AG266" i="13"/>
  <c r="AG215" i="13"/>
  <c r="AG111" i="13"/>
  <c r="AD285" i="13"/>
  <c r="AD266" i="13"/>
  <c r="AD51" i="13"/>
  <c r="AA210" i="13"/>
  <c r="AA159" i="13"/>
  <c r="AA139" i="13"/>
  <c r="AA135" i="13"/>
  <c r="AA101" i="13"/>
  <c r="V303" i="13"/>
  <c r="W303" i="13" s="1"/>
  <c r="AG303" i="13"/>
  <c r="V210" i="13"/>
  <c r="W210" i="13" s="1"/>
  <c r="AP298" i="13"/>
  <c r="M289" i="13"/>
  <c r="N289" i="13" s="1"/>
  <c r="O289" i="13" s="1"/>
  <c r="AP289" i="13"/>
  <c r="J258" i="13"/>
  <c r="G258" i="13"/>
  <c r="H258" i="13" s="1"/>
  <c r="S258" i="13"/>
  <c r="G255" i="13"/>
  <c r="H255" i="13" s="1"/>
  <c r="I255" i="13" s="1"/>
  <c r="P255" i="13"/>
  <c r="AD255" i="13"/>
  <c r="J242" i="13"/>
  <c r="G242" i="13"/>
  <c r="H242" i="13" s="1"/>
  <c r="I242" i="13" s="1"/>
  <c r="P242" i="13"/>
  <c r="AD242" i="13"/>
  <c r="M173" i="13"/>
  <c r="S173" i="13"/>
  <c r="J173" i="13"/>
  <c r="K173" i="13" s="1"/>
  <c r="L173" i="13" s="1"/>
  <c r="P173" i="13"/>
  <c r="P159" i="13"/>
  <c r="S45" i="13"/>
  <c r="M45" i="13"/>
  <c r="N45" i="13" s="1"/>
  <c r="AD45" i="13"/>
  <c r="S64" i="13"/>
  <c r="P64" i="13"/>
  <c r="Q64" i="13" s="1"/>
  <c r="AA64" i="13"/>
  <c r="AG64" i="13"/>
  <c r="M79" i="13"/>
  <c r="P79" i="13"/>
  <c r="S79" i="13"/>
  <c r="AA79" i="13"/>
  <c r="M84" i="13"/>
  <c r="N84" i="13" s="1"/>
  <c r="S84" i="13"/>
  <c r="P84" i="13"/>
  <c r="J93" i="13"/>
  <c r="K93" i="13" s="1"/>
  <c r="P93" i="13"/>
  <c r="M93" i="13"/>
  <c r="AA93" i="13"/>
  <c r="M106" i="13"/>
  <c r="N106" i="13" s="1"/>
  <c r="O106" i="13" s="1"/>
  <c r="V106" i="13"/>
  <c r="AA106" i="13"/>
  <c r="AG106" i="13"/>
  <c r="P112" i="13"/>
  <c r="J288" i="13"/>
  <c r="K288" i="13" s="1"/>
  <c r="L288" i="13" s="1"/>
  <c r="S288" i="13"/>
  <c r="M274" i="13"/>
  <c r="S274" i="13"/>
  <c r="J274" i="13"/>
  <c r="G264" i="13"/>
  <c r="H264" i="13" s="1"/>
  <c r="I264" i="13" s="1"/>
  <c r="P264" i="13"/>
  <c r="M257" i="13"/>
  <c r="J257" i="13"/>
  <c r="J177" i="13"/>
  <c r="K177" i="13" s="1"/>
  <c r="L177" i="13" s="1"/>
  <c r="P177" i="13"/>
  <c r="M24" i="13"/>
  <c r="S24" i="13"/>
  <c r="P24" i="13"/>
  <c r="M39" i="13"/>
  <c r="N39" i="13" s="1"/>
  <c r="O39" i="13" s="1"/>
  <c r="S39" i="13"/>
  <c r="S48" i="13"/>
  <c r="M48" i="13"/>
  <c r="N48" i="13" s="1"/>
  <c r="P117" i="13"/>
  <c r="M117" i="13"/>
  <c r="N117" i="13" s="1"/>
  <c r="S117" i="13"/>
  <c r="P122" i="13"/>
  <c r="P138" i="13"/>
  <c r="M138" i="13"/>
  <c r="S138" i="13"/>
  <c r="M142" i="13"/>
  <c r="N142" i="13" s="1"/>
  <c r="S142" i="13"/>
  <c r="P150" i="13"/>
  <c r="M150" i="13"/>
  <c r="N150" i="13" s="1"/>
  <c r="O150" i="13" s="1"/>
  <c r="S150" i="13"/>
  <c r="P154" i="13"/>
  <c r="S188" i="13"/>
  <c r="M188" i="13"/>
  <c r="N188" i="13" s="1"/>
  <c r="S201" i="13"/>
  <c r="S211" i="13"/>
  <c r="T211" i="13" s="1"/>
  <c r="P155" i="13"/>
  <c r="N124" i="13"/>
  <c r="P19" i="13"/>
  <c r="P63" i="13"/>
  <c r="Q63" i="13" s="1"/>
  <c r="P103" i="13"/>
  <c r="S56" i="13"/>
  <c r="J28" i="13"/>
  <c r="K28" i="13" s="1"/>
  <c r="P28" i="13"/>
  <c r="S47" i="13"/>
  <c r="S61" i="13"/>
  <c r="M92" i="13"/>
  <c r="P121" i="13"/>
  <c r="M130" i="13"/>
  <c r="N130" i="13" s="1"/>
  <c r="S130" i="13"/>
  <c r="G249" i="13"/>
  <c r="H249" i="13" s="1"/>
  <c r="I249" i="13" s="1"/>
  <c r="P249" i="13"/>
  <c r="V249" i="13"/>
  <c r="S249" i="13"/>
  <c r="M249" i="13"/>
  <c r="J249" i="13"/>
  <c r="AG249" i="13"/>
  <c r="AA249" i="13"/>
  <c r="AP249" i="13"/>
  <c r="AD249" i="13"/>
  <c r="AC306" i="13"/>
  <c r="M267" i="13"/>
  <c r="S267" i="13"/>
  <c r="J267" i="13"/>
  <c r="P267" i="13"/>
  <c r="G267" i="13"/>
  <c r="H267" i="13" s="1"/>
  <c r="I267" i="13" s="1"/>
  <c r="V267" i="13"/>
  <c r="AA267" i="13"/>
  <c r="AD267" i="13"/>
  <c r="AG267" i="13"/>
  <c r="V297" i="13"/>
  <c r="S297" i="13"/>
  <c r="T297" i="13" s="1"/>
  <c r="AP297" i="13"/>
  <c r="AA297" i="13"/>
  <c r="AD297" i="13"/>
  <c r="G253" i="13"/>
  <c r="H253" i="13" s="1"/>
  <c r="I253" i="13" s="1"/>
  <c r="P253" i="13"/>
  <c r="V253" i="13"/>
  <c r="M253" i="13"/>
  <c r="J253" i="13"/>
  <c r="S253" i="13"/>
  <c r="AG253" i="13"/>
  <c r="AA253" i="13"/>
  <c r="AD253" i="13"/>
  <c r="AA308" i="13"/>
  <c r="AB308" i="13" s="1"/>
  <c r="AG308" i="13"/>
  <c r="AP308" i="13"/>
  <c r="AC304" i="13"/>
  <c r="S299" i="13"/>
  <c r="T299" i="13" s="1"/>
  <c r="AA299" i="13"/>
  <c r="AD299" i="13"/>
  <c r="AG299" i="13"/>
  <c r="V299" i="13"/>
  <c r="AP299" i="13"/>
  <c r="S263" i="13"/>
  <c r="AA263" i="13"/>
  <c r="J256" i="13"/>
  <c r="S256" i="13"/>
  <c r="M256" i="13"/>
  <c r="G256" i="13"/>
  <c r="H256" i="13" s="1"/>
  <c r="I256" i="13" s="1"/>
  <c r="P256" i="13"/>
  <c r="AG256" i="13"/>
  <c r="V256" i="13"/>
  <c r="AA256" i="13"/>
  <c r="AD256" i="13"/>
  <c r="U223" i="13"/>
  <c r="O190" i="13"/>
  <c r="V302" i="13"/>
  <c r="W302" i="13" s="1"/>
  <c r="AA302" i="13"/>
  <c r="AD302" i="13"/>
  <c r="AG302" i="13"/>
  <c r="AP302" i="13"/>
  <c r="S285" i="13"/>
  <c r="V285" i="13"/>
  <c r="M285" i="13"/>
  <c r="J285" i="13"/>
  <c r="K285" i="13" s="1"/>
  <c r="L285" i="13" s="1"/>
  <c r="AP285" i="13"/>
  <c r="J260" i="13"/>
  <c r="M260" i="13"/>
  <c r="P260" i="13"/>
  <c r="G260" i="13"/>
  <c r="H260" i="13" s="1"/>
  <c r="I260" i="13" s="1"/>
  <c r="S260" i="13"/>
  <c r="V260" i="13"/>
  <c r="AG295" i="13"/>
  <c r="P291" i="13"/>
  <c r="Q291" i="13" s="1"/>
  <c r="S291" i="13"/>
  <c r="V291" i="13"/>
  <c r="AA291" i="13"/>
  <c r="AD291" i="13"/>
  <c r="AG291" i="13"/>
  <c r="M283" i="13"/>
  <c r="P283" i="13"/>
  <c r="J283" i="13"/>
  <c r="K283" i="13" s="1"/>
  <c r="L283" i="13" s="1"/>
  <c r="S283" i="13"/>
  <c r="AA283" i="13"/>
  <c r="AD283" i="13"/>
  <c r="AG283" i="13"/>
  <c r="G281" i="13"/>
  <c r="H281" i="13" s="1"/>
  <c r="I281" i="13" s="1"/>
  <c r="P281" i="13"/>
  <c r="V281" i="13"/>
  <c r="S281" i="13"/>
  <c r="M281" i="13"/>
  <c r="J281" i="13"/>
  <c r="M279" i="13"/>
  <c r="G279" i="13"/>
  <c r="H279" i="13" s="1"/>
  <c r="I279" i="13" s="1"/>
  <c r="J272" i="13"/>
  <c r="S272" i="13"/>
  <c r="M272" i="13"/>
  <c r="V272" i="13"/>
  <c r="G272" i="13"/>
  <c r="H272" i="13" s="1"/>
  <c r="I272" i="13" s="1"/>
  <c r="G269" i="13"/>
  <c r="H269" i="13" s="1"/>
  <c r="I269" i="13" s="1"/>
  <c r="P269" i="13"/>
  <c r="V269" i="13"/>
  <c r="M269" i="13"/>
  <c r="J269" i="13"/>
  <c r="S269" i="13"/>
  <c r="G265" i="13"/>
  <c r="H265" i="13" s="1"/>
  <c r="I265" i="13" s="1"/>
  <c r="P265" i="13"/>
  <c r="V265" i="13"/>
  <c r="S265" i="13"/>
  <c r="M265" i="13"/>
  <c r="J265" i="13"/>
  <c r="P251" i="13"/>
  <c r="AG251" i="13"/>
  <c r="M247" i="13"/>
  <c r="S247" i="13"/>
  <c r="V247" i="13"/>
  <c r="J247" i="13"/>
  <c r="G247" i="13"/>
  <c r="H247" i="13" s="1"/>
  <c r="I247" i="13" s="1"/>
  <c r="AA247" i="13"/>
  <c r="AD247" i="13"/>
  <c r="AG247" i="13"/>
  <c r="AD306" i="13"/>
  <c r="AE306" i="13" s="1"/>
  <c r="AG306" i="13"/>
  <c r="AP306" i="13"/>
  <c r="J276" i="13"/>
  <c r="M276" i="13"/>
  <c r="P276" i="13"/>
  <c r="G276" i="13"/>
  <c r="H276" i="13" s="1"/>
  <c r="I276" i="13" s="1"/>
  <c r="S276" i="13"/>
  <c r="J244" i="13"/>
  <c r="M244" i="13"/>
  <c r="P244" i="13"/>
  <c r="G244" i="13"/>
  <c r="H244" i="13" s="1"/>
  <c r="I244" i="13" s="1"/>
  <c r="S244" i="13"/>
  <c r="S203" i="13"/>
  <c r="M243" i="13"/>
  <c r="S243" i="13"/>
  <c r="G241" i="13"/>
  <c r="H241" i="13" s="1"/>
  <c r="I241" i="13" s="1"/>
  <c r="P241" i="13"/>
  <c r="V241" i="13"/>
  <c r="M241" i="13"/>
  <c r="J241" i="13"/>
  <c r="S241" i="13"/>
  <c r="P190" i="13"/>
  <c r="Q190" i="13" s="1"/>
  <c r="S190" i="13"/>
  <c r="M187" i="13"/>
  <c r="N187" i="13" s="1"/>
  <c r="V187" i="13"/>
  <c r="S187" i="13"/>
  <c r="P187" i="13"/>
  <c r="J167" i="13"/>
  <c r="M167" i="13"/>
  <c r="P167" i="13"/>
  <c r="V167" i="13"/>
  <c r="N165" i="13"/>
  <c r="M161" i="13"/>
  <c r="S161" i="13"/>
  <c r="J161" i="13"/>
  <c r="K161" i="13" s="1"/>
  <c r="L161" i="13" s="1"/>
  <c r="V161" i="13"/>
  <c r="AG307" i="13"/>
  <c r="AG243" i="13"/>
  <c r="AG190" i="13"/>
  <c r="AD307" i="13"/>
  <c r="AE307" i="13" s="1"/>
  <c r="AD243" i="13"/>
  <c r="AD161" i="13"/>
  <c r="AA243" i="13"/>
  <c r="AA161" i="13"/>
  <c r="J280" i="13"/>
  <c r="S280" i="13"/>
  <c r="G277" i="13"/>
  <c r="H277" i="13" s="1"/>
  <c r="I277" i="13" s="1"/>
  <c r="P277" i="13"/>
  <c r="V277" i="13"/>
  <c r="M277" i="13"/>
  <c r="M275" i="13"/>
  <c r="S275" i="13"/>
  <c r="J275" i="13"/>
  <c r="P275" i="13"/>
  <c r="G273" i="13"/>
  <c r="H273" i="13" s="1"/>
  <c r="I273" i="13" s="1"/>
  <c r="P273" i="13"/>
  <c r="V273" i="13"/>
  <c r="S273" i="13"/>
  <c r="M271" i="13"/>
  <c r="S271" i="13"/>
  <c r="J268" i="13"/>
  <c r="M268" i="13"/>
  <c r="P268" i="13"/>
  <c r="V268" i="13"/>
  <c r="J264" i="13"/>
  <c r="S264" i="13"/>
  <c r="G261" i="13"/>
  <c r="H261" i="13" s="1"/>
  <c r="I261" i="13" s="1"/>
  <c r="P261" i="13"/>
  <c r="V261" i="13"/>
  <c r="M261" i="13"/>
  <c r="M259" i="13"/>
  <c r="S259" i="13"/>
  <c r="J259" i="13"/>
  <c r="P259" i="13"/>
  <c r="G257" i="13"/>
  <c r="H257" i="13" s="1"/>
  <c r="I257" i="13" s="1"/>
  <c r="P257" i="13"/>
  <c r="V257" i="13"/>
  <c r="S257" i="13"/>
  <c r="M255" i="13"/>
  <c r="S255" i="13"/>
  <c r="J252" i="13"/>
  <c r="M252" i="13"/>
  <c r="P252" i="13"/>
  <c r="V252" i="13"/>
  <c r="J248" i="13"/>
  <c r="S248" i="13"/>
  <c r="G245" i="13"/>
  <c r="H245" i="13" s="1"/>
  <c r="I245" i="13" s="1"/>
  <c r="P245" i="13"/>
  <c r="V245" i="13"/>
  <c r="M245" i="13"/>
  <c r="P243" i="13"/>
  <c r="J240" i="13"/>
  <c r="M240" i="13"/>
  <c r="P240" i="13"/>
  <c r="V199" i="13"/>
  <c r="M180" i="13"/>
  <c r="P180" i="13"/>
  <c r="S180" i="13"/>
  <c r="S167" i="13"/>
  <c r="P160" i="13"/>
  <c r="M160" i="13"/>
  <c r="N160" i="13" s="1"/>
  <c r="AG161" i="13"/>
  <c r="V190" i="13"/>
  <c r="S300" i="13"/>
  <c r="T300" i="13" s="1"/>
  <c r="V300" i="13"/>
  <c r="P289" i="13"/>
  <c r="V289" i="13"/>
  <c r="J287" i="13"/>
  <c r="K287" i="13" s="1"/>
  <c r="L287" i="13" s="1"/>
  <c r="G243" i="13"/>
  <c r="H243" i="13" s="1"/>
  <c r="I243" i="13" s="1"/>
  <c r="S195" i="13"/>
  <c r="V195" i="13"/>
  <c r="P195" i="13"/>
  <c r="Q195" i="13" s="1"/>
  <c r="M189" i="13"/>
  <c r="N189" i="13" s="1"/>
  <c r="S189" i="13"/>
  <c r="P189" i="13"/>
  <c r="G172" i="13"/>
  <c r="H172" i="13" s="1"/>
  <c r="I172" i="13" s="1"/>
  <c r="P172" i="13"/>
  <c r="M172" i="13"/>
  <c r="P161" i="13"/>
  <c r="M155" i="13"/>
  <c r="S155" i="13"/>
  <c r="G155" i="13"/>
  <c r="H155" i="13" s="1"/>
  <c r="I155" i="13" s="1"/>
  <c r="V155" i="13"/>
  <c r="J183" i="13"/>
  <c r="K183" i="13" s="1"/>
  <c r="L183" i="13" s="1"/>
  <c r="V183" i="13"/>
  <c r="M183" i="13"/>
  <c r="S182" i="13"/>
  <c r="M182" i="13"/>
  <c r="S178" i="13"/>
  <c r="M178" i="13"/>
  <c r="J178" i="13"/>
  <c r="K178" i="13" s="1"/>
  <c r="L178" i="13" s="1"/>
  <c r="M176" i="13"/>
  <c r="P176" i="13"/>
  <c r="J175" i="13"/>
  <c r="K175" i="13" s="1"/>
  <c r="L175" i="13" s="1"/>
  <c r="V175" i="13"/>
  <c r="P175" i="13"/>
  <c r="S165" i="13"/>
  <c r="P165" i="13"/>
  <c r="J162" i="13"/>
  <c r="S162" i="13"/>
  <c r="M162" i="13"/>
  <c r="J76" i="13"/>
  <c r="G76" i="13"/>
  <c r="H76" i="13" s="1"/>
  <c r="I76" i="13" s="1"/>
  <c r="P76" i="13"/>
  <c r="M76" i="13"/>
  <c r="S76" i="13"/>
  <c r="M55" i="13"/>
  <c r="P55" i="13"/>
  <c r="J55" i="13"/>
  <c r="K55" i="13" s="1"/>
  <c r="L55" i="13" s="1"/>
  <c r="S55" i="13"/>
  <c r="J11" i="13"/>
  <c r="G11" i="13"/>
  <c r="P11" i="13"/>
  <c r="S11" i="13"/>
  <c r="AA11" i="13"/>
  <c r="V139" i="13"/>
  <c r="M139" i="13"/>
  <c r="N139" i="13" s="1"/>
  <c r="P139" i="13"/>
  <c r="J179" i="13"/>
  <c r="K179" i="13" s="1"/>
  <c r="V179" i="13"/>
  <c r="S174" i="13"/>
  <c r="M174" i="13"/>
  <c r="S159" i="13"/>
  <c r="V159" i="13"/>
  <c r="J156" i="13"/>
  <c r="G156" i="13"/>
  <c r="H156" i="13" s="1"/>
  <c r="I156" i="13" s="1"/>
  <c r="J54" i="13"/>
  <c r="K54" i="13" s="1"/>
  <c r="L54" i="13" s="1"/>
  <c r="S54" i="13"/>
  <c r="P54" i="13"/>
  <c r="V54" i="13"/>
  <c r="M137" i="13"/>
  <c r="N137" i="13" s="1"/>
  <c r="P137" i="13"/>
  <c r="S212" i="13"/>
  <c r="T212" i="13" s="1"/>
  <c r="S118" i="13"/>
  <c r="P118" i="13"/>
  <c r="J98" i="13"/>
  <c r="K98" i="13" s="1"/>
  <c r="L98" i="13" s="1"/>
  <c r="P98" i="13"/>
  <c r="M98" i="13"/>
  <c r="S98" i="13"/>
  <c r="J95" i="13"/>
  <c r="K95" i="13" s="1"/>
  <c r="L95" i="13" s="1"/>
  <c r="P95" i="13"/>
  <c r="M95" i="13"/>
  <c r="S95" i="13"/>
  <c r="V95" i="13"/>
  <c r="AA95" i="13"/>
  <c r="S26" i="13"/>
  <c r="M26" i="13"/>
  <c r="N26" i="13" s="1"/>
  <c r="P26" i="13"/>
  <c r="AA26" i="13"/>
  <c r="P36" i="13"/>
  <c r="S36" i="13"/>
  <c r="M36" i="13"/>
  <c r="N36" i="13" s="1"/>
  <c r="AA36" i="13"/>
  <c r="P44" i="13"/>
  <c r="M44" i="13"/>
  <c r="N44" i="13" s="1"/>
  <c r="AA44" i="13"/>
  <c r="P52" i="13"/>
  <c r="S52" i="13"/>
  <c r="M52" i="13"/>
  <c r="N52" i="13" s="1"/>
  <c r="AA52" i="13"/>
  <c r="S65" i="13"/>
  <c r="S74" i="13"/>
  <c r="M74" i="13"/>
  <c r="N74" i="13" s="1"/>
  <c r="V74" i="13"/>
  <c r="AA74" i="13"/>
  <c r="S86" i="13"/>
  <c r="M86" i="13"/>
  <c r="N86" i="13" s="1"/>
  <c r="V86" i="13"/>
  <c r="AA86" i="13"/>
  <c r="M99" i="13"/>
  <c r="J99" i="13"/>
  <c r="K99" i="13" s="1"/>
  <c r="L99" i="13" s="1"/>
  <c r="P99" i="13"/>
  <c r="S99" i="13"/>
  <c r="V99" i="13"/>
  <c r="M108" i="13"/>
  <c r="N108" i="13" s="1"/>
  <c r="P108" i="13"/>
  <c r="M116" i="13"/>
  <c r="N116" i="13" s="1"/>
  <c r="P116" i="13"/>
  <c r="S116" i="13"/>
  <c r="M129" i="13"/>
  <c r="N129" i="13" s="1"/>
  <c r="P129" i="13"/>
  <c r="M149" i="13"/>
  <c r="N149" i="13" s="1"/>
  <c r="P149" i="13"/>
  <c r="P171" i="13"/>
  <c r="V171" i="13"/>
  <c r="V223" i="13"/>
  <c r="S119" i="13"/>
  <c r="G87" i="13"/>
  <c r="H87" i="13" s="1"/>
  <c r="I87" i="13" s="1"/>
  <c r="M82" i="13"/>
  <c r="S82" i="13"/>
  <c r="J82" i="13"/>
  <c r="P82" i="13"/>
  <c r="M18" i="13"/>
  <c r="N18" i="13" s="1"/>
  <c r="P18" i="13"/>
  <c r="S18" i="13"/>
  <c r="M29" i="13"/>
  <c r="J29" i="13"/>
  <c r="K29" i="13" s="1"/>
  <c r="L29" i="13" s="1"/>
  <c r="P29" i="13"/>
  <c r="M38" i="13"/>
  <c r="N38" i="13" s="1"/>
  <c r="S38" i="13"/>
  <c r="M46" i="13"/>
  <c r="N46" i="13" s="1"/>
  <c r="S46" i="13"/>
  <c r="M59" i="13"/>
  <c r="N59" i="13" s="1"/>
  <c r="S59" i="13"/>
  <c r="M77" i="13"/>
  <c r="N77" i="13" s="1"/>
  <c r="S91" i="13"/>
  <c r="M102" i="13"/>
  <c r="M10" i="13"/>
  <c r="S10" i="13"/>
  <c r="J10" i="13"/>
  <c r="S23" i="13"/>
  <c r="M23" i="13"/>
  <c r="S33" i="13"/>
  <c r="P78" i="13"/>
  <c r="P23" i="13"/>
  <c r="P10" i="13"/>
  <c r="M7" i="13"/>
  <c r="P7" i="13"/>
  <c r="M20" i="13"/>
  <c r="P20" i="13"/>
  <c r="S31" i="13"/>
  <c r="P40" i="13"/>
  <c r="P6" i="13"/>
  <c r="X24" i="3"/>
  <c r="Y24" i="3" s="1"/>
  <c r="O51" i="3"/>
  <c r="P51" i="3" s="1"/>
  <c r="N48" i="3"/>
  <c r="J19" i="3"/>
  <c r="L19" i="3"/>
  <c r="T29" i="3"/>
  <c r="U29" i="3" s="1"/>
  <c r="AE29" i="3"/>
  <c r="J7" i="3"/>
  <c r="L7" i="3"/>
  <c r="M7" i="3" s="1"/>
  <c r="AQ22" i="3"/>
  <c r="AE22" i="3"/>
  <c r="AF22" i="3" s="1"/>
  <c r="AH36" i="3"/>
  <c r="W36" i="3"/>
  <c r="N36" i="3"/>
  <c r="K40" i="3"/>
  <c r="AQ45" i="3"/>
  <c r="AB45" i="3"/>
  <c r="W45" i="3"/>
  <c r="Q45" i="3"/>
  <c r="AQ49" i="3"/>
  <c r="T49" i="3"/>
  <c r="AE49" i="3"/>
  <c r="AB49" i="3"/>
  <c r="Q49" i="3"/>
  <c r="AQ53" i="3"/>
  <c r="W53" i="3"/>
  <c r="AB53" i="3"/>
  <c r="AB63" i="3"/>
  <c r="AC63" i="3" s="1"/>
  <c r="AD63" i="3" s="1"/>
  <c r="Q63" i="3"/>
  <c r="N63" i="3"/>
  <c r="T63" i="3"/>
  <c r="AH68" i="3"/>
  <c r="AE68" i="3"/>
  <c r="W68" i="3"/>
  <c r="AQ68" i="3"/>
  <c r="N68" i="3"/>
  <c r="T68" i="3"/>
  <c r="K68" i="3"/>
  <c r="J50" i="3"/>
  <c r="L50" i="3"/>
  <c r="M50" i="3" s="1"/>
  <c r="J35" i="3"/>
  <c r="L35" i="3"/>
  <c r="M35" i="3" s="1"/>
  <c r="V105" i="3"/>
  <c r="W17" i="3"/>
  <c r="N17" i="3"/>
  <c r="AQ70" i="3"/>
  <c r="W70" i="3"/>
  <c r="AB70" i="3"/>
  <c r="AE70" i="3"/>
  <c r="T70" i="3"/>
  <c r="U70" i="3" s="1"/>
  <c r="J38" i="3"/>
  <c r="L38" i="3"/>
  <c r="AH70" i="3"/>
  <c r="AE17" i="3"/>
  <c r="AQ25" i="3"/>
  <c r="AH25" i="3"/>
  <c r="T25" i="3"/>
  <c r="AB25" i="3"/>
  <c r="AE25" i="3"/>
  <c r="W25" i="3"/>
  <c r="AH29" i="3"/>
  <c r="AB29" i="3"/>
  <c r="Q29" i="3"/>
  <c r="K29" i="3"/>
  <c r="W35" i="3"/>
  <c r="Q35" i="3"/>
  <c r="AH35" i="3"/>
  <c r="AH39" i="3"/>
  <c r="T39" i="3"/>
  <c r="Q39" i="3"/>
  <c r="AB39" i="3"/>
  <c r="W39" i="3"/>
  <c r="N39" i="3"/>
  <c r="AQ44" i="3"/>
  <c r="T44" i="3"/>
  <c r="K44" i="3"/>
  <c r="AE44" i="3"/>
  <c r="AE52" i="3"/>
  <c r="N52" i="3"/>
  <c r="O52" i="3" s="1"/>
  <c r="P52" i="3" s="1"/>
  <c r="AQ57" i="3"/>
  <c r="AB57" i="3"/>
  <c r="T57" i="3"/>
  <c r="Q57" i="3"/>
  <c r="N57" i="3"/>
  <c r="O57" i="3" s="1"/>
  <c r="P57" i="3" s="1"/>
  <c r="AQ61" i="3"/>
  <c r="AE61" i="3"/>
  <c r="W61" i="3"/>
  <c r="T61" i="3"/>
  <c r="Q61" i="3"/>
  <c r="AH61" i="3"/>
  <c r="AH65" i="3"/>
  <c r="AB65" i="3"/>
  <c r="AC65" i="3" s="1"/>
  <c r="AE65" i="3"/>
  <c r="T65" i="3"/>
  <c r="N65" i="3"/>
  <c r="W65" i="3"/>
  <c r="K65" i="3"/>
  <c r="AQ65" i="3"/>
  <c r="AB72" i="3"/>
  <c r="AC72" i="3" s="1"/>
  <c r="AD72" i="3" s="1"/>
  <c r="K72" i="3"/>
  <c r="T72" i="3"/>
  <c r="H72" i="3"/>
  <c r="I72" i="3" s="1"/>
  <c r="J72" i="3" s="1"/>
  <c r="AQ76" i="3"/>
  <c r="AB76" i="3"/>
  <c r="W76" i="3"/>
  <c r="N76" i="3"/>
  <c r="O76" i="3" s="1"/>
  <c r="P76" i="3" s="1"/>
  <c r="AE82" i="3"/>
  <c r="AQ82" i="3"/>
  <c r="Q82" i="3"/>
  <c r="W82" i="3"/>
  <c r="N82" i="3"/>
  <c r="AQ86" i="3"/>
  <c r="K86" i="3"/>
  <c r="H86" i="3"/>
  <c r="I86" i="3" s="1"/>
  <c r="J86" i="3" s="1"/>
  <c r="AQ90" i="3"/>
  <c r="AH90" i="3"/>
  <c r="N90" i="3"/>
  <c r="W90" i="3"/>
  <c r="K90" i="3"/>
  <c r="L90" i="3" s="1"/>
  <c r="AQ94" i="3"/>
  <c r="W94" i="3"/>
  <c r="AE94" i="3"/>
  <c r="H94" i="3"/>
  <c r="I94" i="3" s="1"/>
  <c r="J94" i="3" s="1"/>
  <c r="AB94" i="3"/>
  <c r="Q94" i="3"/>
  <c r="AQ98" i="3"/>
  <c r="AB98" i="3"/>
  <c r="W98" i="3"/>
  <c r="K98" i="3"/>
  <c r="H98" i="3"/>
  <c r="I98" i="3" s="1"/>
  <c r="J98" i="3" s="1"/>
  <c r="AQ102" i="3"/>
  <c r="AH102" i="3"/>
  <c r="Q102" i="3"/>
  <c r="N102" i="3"/>
  <c r="AQ106" i="3"/>
  <c r="T106" i="3"/>
  <c r="U106" i="3" s="1"/>
  <c r="V106" i="3" s="1"/>
  <c r="J13" i="3"/>
  <c r="J43" i="3"/>
  <c r="J51" i="3"/>
  <c r="AH7" i="3"/>
  <c r="Q7" i="3"/>
  <c r="AB7" i="3"/>
  <c r="T7" i="3"/>
  <c r="N7" i="3"/>
  <c r="L78" i="3"/>
  <c r="K102" i="3"/>
  <c r="L102" i="3" s="1"/>
  <c r="K94" i="3"/>
  <c r="N86" i="3"/>
  <c r="Q72" i="3"/>
  <c r="H65" i="3"/>
  <c r="I65" i="3" s="1"/>
  <c r="J65" i="3" s="1"/>
  <c r="N61" i="3"/>
  <c r="O61" i="3" s="1"/>
  <c r="P61" i="3" s="1"/>
  <c r="W86" i="3"/>
  <c r="T76" i="3"/>
  <c r="W72" i="3"/>
  <c r="W57" i="3"/>
  <c r="T52" i="3"/>
  <c r="W13" i="3"/>
  <c r="AE106" i="3"/>
  <c r="F114" i="3"/>
  <c r="T8" i="3"/>
  <c r="Q8" i="3"/>
  <c r="W8" i="3"/>
  <c r="N8" i="3"/>
  <c r="AH8" i="3"/>
  <c r="AB12" i="3"/>
  <c r="T12" i="3"/>
  <c r="W12" i="3"/>
  <c r="AB16" i="3"/>
  <c r="T16" i="3"/>
  <c r="Q16" i="3"/>
  <c r="AH16" i="3"/>
  <c r="AB20" i="3"/>
  <c r="W20" i="3"/>
  <c r="AH20" i="3"/>
  <c r="Q20" i="3"/>
  <c r="T20" i="3"/>
  <c r="N20" i="3"/>
  <c r="J76" i="3"/>
  <c r="O43" i="3"/>
  <c r="P43" i="3" s="1"/>
  <c r="AB55" i="3"/>
  <c r="AC55" i="3" s="1"/>
  <c r="AH55" i="3"/>
  <c r="AE59" i="3"/>
  <c r="AB59" i="3"/>
  <c r="AC59" i="3" s="1"/>
  <c r="T59" i="3"/>
  <c r="AQ69" i="3"/>
  <c r="AB69" i="3"/>
  <c r="AE83" i="3"/>
  <c r="T83" i="3"/>
  <c r="AH87" i="3"/>
  <c r="W87" i="3"/>
  <c r="AH99" i="3"/>
  <c r="T99" i="3"/>
  <c r="AQ103" i="3"/>
  <c r="W103" i="3"/>
  <c r="Q103" i="3"/>
  <c r="K99" i="3"/>
  <c r="H95" i="3"/>
  <c r="I95" i="3" s="1"/>
  <c r="J95" i="3" s="1"/>
  <c r="N91" i="3"/>
  <c r="K87" i="3"/>
  <c r="L87" i="3" s="1"/>
  <c r="M87" i="3" s="1"/>
  <c r="Q83" i="3"/>
  <c r="K73" i="3"/>
  <c r="N69" i="3"/>
  <c r="K59" i="3"/>
  <c r="H55" i="3"/>
  <c r="I55" i="3" s="1"/>
  <c r="J18" i="3"/>
  <c r="W95" i="3"/>
  <c r="T87" i="3"/>
  <c r="T55" i="3"/>
  <c r="AE55" i="3"/>
  <c r="AE109" i="3"/>
  <c r="AB73" i="3"/>
  <c r="AC73" i="3" s="1"/>
  <c r="AD73" i="3" s="1"/>
  <c r="AQ87" i="3"/>
  <c r="AE91" i="3"/>
  <c r="AQ77" i="3"/>
  <c r="W109" i="3"/>
  <c r="X109" i="3" s="1"/>
  <c r="AQ34" i="3"/>
  <c r="AH34" i="3"/>
  <c r="T34" i="3"/>
  <c r="AQ43" i="3"/>
  <c r="AH43" i="3"/>
  <c r="AE43" i="3"/>
  <c r="AH56" i="3"/>
  <c r="AQ64" i="3"/>
  <c r="W64" i="3"/>
  <c r="AQ67" i="3"/>
  <c r="AB67" i="3"/>
  <c r="AQ74" i="3"/>
  <c r="AB74" i="3"/>
  <c r="W74" i="3"/>
  <c r="AQ78" i="3"/>
  <c r="AB78" i="3"/>
  <c r="Q78" i="3"/>
  <c r="R78" i="3" s="1"/>
  <c r="S78" i="3" s="1"/>
  <c r="AQ84" i="3"/>
  <c r="AE84" i="3"/>
  <c r="AQ92" i="3"/>
  <c r="T92" i="3"/>
  <c r="W96" i="3"/>
  <c r="AQ100" i="3"/>
  <c r="AH100" i="3"/>
  <c r="J9" i="3"/>
  <c r="J37" i="3"/>
  <c r="J41" i="3"/>
  <c r="M9" i="3"/>
  <c r="J64" i="3"/>
  <c r="L64" i="3"/>
  <c r="J67" i="3"/>
  <c r="L67" i="3"/>
  <c r="J47" i="3"/>
  <c r="L46" i="3"/>
  <c r="J46" i="3"/>
  <c r="J39" i="3"/>
  <c r="L39" i="3"/>
  <c r="M13" i="3"/>
  <c r="J102" i="3"/>
  <c r="J36" i="3"/>
  <c r="L36" i="3"/>
  <c r="L17" i="3"/>
  <c r="M58" i="3"/>
  <c r="O58" i="3"/>
  <c r="M49" i="3"/>
  <c r="J90" i="3"/>
  <c r="L91" i="3"/>
  <c r="M91" i="3" s="1"/>
  <c r="J17" i="3"/>
  <c r="AQ9" i="3"/>
  <c r="T9" i="3"/>
  <c r="AQ13" i="3"/>
  <c r="AB13" i="3"/>
  <c r="T13" i="3"/>
  <c r="AQ17" i="3"/>
  <c r="AB17" i="3"/>
  <c r="AQ36" i="3"/>
  <c r="AB36" i="3"/>
  <c r="AQ48" i="3"/>
  <c r="AB48" i="3"/>
  <c r="AQ52" i="3"/>
  <c r="AB52" i="3"/>
  <c r="Q48" i="3"/>
  <c r="Q44" i="3"/>
  <c r="Q36" i="3"/>
  <c r="Q17" i="3"/>
  <c r="Q13" i="3"/>
  <c r="N9" i="3"/>
  <c r="T102" i="3"/>
  <c r="T98" i="3"/>
  <c r="T94" i="3"/>
  <c r="T90" i="3"/>
  <c r="T86" i="3"/>
  <c r="T82" i="3"/>
  <c r="W77" i="3"/>
  <c r="W73" i="3"/>
  <c r="T36" i="3"/>
  <c r="T17" i="3"/>
  <c r="AE73" i="3"/>
  <c r="AB86" i="3"/>
  <c r="AH94" i="3"/>
  <c r="AE98" i="3"/>
  <c r="AB102" i="3"/>
  <c r="AB77" i="3"/>
  <c r="AC77" i="3" s="1"/>
  <c r="AQ60" i="3"/>
  <c r="AH52" i="3"/>
  <c r="AE48" i="3"/>
  <c r="AH13" i="3"/>
  <c r="G114" i="3"/>
  <c r="AQ11" i="3"/>
  <c r="AH11" i="3"/>
  <c r="T11" i="3"/>
  <c r="AQ15" i="3"/>
  <c r="AH15" i="3"/>
  <c r="AQ19" i="3"/>
  <c r="AH19" i="3"/>
  <c r="AQ28" i="3"/>
  <c r="AB28" i="3"/>
  <c r="AQ38" i="3"/>
  <c r="AH38" i="3"/>
  <c r="AQ46" i="3"/>
  <c r="AE46" i="3"/>
  <c r="AQ50" i="3"/>
  <c r="AH50" i="3"/>
  <c r="AQ58" i="3"/>
  <c r="AE58" i="3"/>
  <c r="AB79" i="3"/>
  <c r="AQ7" i="3"/>
  <c r="H44" i="3"/>
  <c r="I44" i="3" s="1"/>
  <c r="Q9" i="3"/>
  <c r="W106" i="3"/>
  <c r="T77" i="3"/>
  <c r="T73" i="3"/>
  <c r="W52" i="3"/>
  <c r="W48" i="3"/>
  <c r="W44" i="3"/>
  <c r="W9" i="3"/>
  <c r="AH82" i="3"/>
  <c r="AB44" i="3"/>
  <c r="AH73" i="3"/>
  <c r="AE86" i="3"/>
  <c r="AH88" i="3"/>
  <c r="AB90" i="3"/>
  <c r="AE92" i="3"/>
  <c r="AH98" i="3"/>
  <c r="AE102" i="3"/>
  <c r="AH104" i="3"/>
  <c r="AB106" i="3"/>
  <c r="AE7" i="3"/>
  <c r="AE77" i="3"/>
  <c r="AB75" i="3"/>
  <c r="AC75" i="3" s="1"/>
  <c r="AH58" i="3"/>
  <c r="AB56" i="3"/>
  <c r="AC56" i="3" s="1"/>
  <c r="AH48" i="3"/>
  <c r="AB46" i="3"/>
  <c r="AB38" i="3"/>
  <c r="AB19" i="3"/>
  <c r="AB9" i="3"/>
  <c r="AQ8" i="3"/>
  <c r="AB8" i="3"/>
  <c r="AQ12" i="3"/>
  <c r="AE12" i="3"/>
  <c r="AQ16" i="3"/>
  <c r="AE16" i="3"/>
  <c r="AQ20" i="3"/>
  <c r="AE20" i="3"/>
  <c r="AQ35" i="3"/>
  <c r="AE35" i="3"/>
  <c r="AQ39" i="3"/>
  <c r="AE39" i="3"/>
  <c r="AH44" i="3"/>
  <c r="AQ51" i="3"/>
  <c r="AE51" i="3"/>
  <c r="AQ63" i="3"/>
  <c r="AE63" i="3"/>
  <c r="AQ72" i="3"/>
  <c r="AE72" i="3"/>
  <c r="AH76" i="3"/>
  <c r="AB82" i="3"/>
  <c r="AQ46" i="10"/>
  <c r="AT46" i="10" s="1"/>
  <c r="AU46" i="10" s="1"/>
  <c r="AI46" i="10"/>
  <c r="AI52" i="10"/>
  <c r="AR57" i="10"/>
  <c r="AQ55" i="10"/>
  <c r="AT55" i="10" s="1"/>
  <c r="AU55" i="10" s="1"/>
  <c r="AI55" i="10"/>
  <c r="AQ49" i="10"/>
  <c r="AT49" i="10" s="1"/>
  <c r="AU49" i="10" s="1"/>
  <c r="AI51" i="10"/>
  <c r="AQ51" i="10"/>
  <c r="AT51" i="10" s="1"/>
  <c r="AU51" i="10" s="1"/>
  <c r="AI57" i="10"/>
  <c r="AC33" i="10"/>
  <c r="AF39" i="10"/>
  <c r="AH39" i="10"/>
  <c r="AN39" i="10" s="1"/>
  <c r="AO39" i="10" s="1"/>
  <c r="AC35" i="10"/>
  <c r="AE35" i="10"/>
  <c r="AI78" i="10"/>
  <c r="AF42" i="10"/>
  <c r="AH42" i="10"/>
  <c r="AN42" i="10" s="1"/>
  <c r="AO42" i="10" s="1"/>
  <c r="AD104" i="10"/>
  <c r="AP143" i="10"/>
  <c r="AQ143" i="10" s="1"/>
  <c r="AP129" i="10"/>
  <c r="AP142" i="10"/>
  <c r="V74" i="10"/>
  <c r="W74" i="10" s="1"/>
  <c r="AD74" i="10"/>
  <c r="P84" i="10"/>
  <c r="S84" i="10"/>
  <c r="J84" i="10"/>
  <c r="K84" i="10" s="1"/>
  <c r="P73" i="10"/>
  <c r="Q73" i="10" s="1"/>
  <c r="V73" i="10"/>
  <c r="AD73" i="10"/>
  <c r="AA73" i="10"/>
  <c r="S71" i="10"/>
  <c r="P71" i="10"/>
  <c r="Q71" i="10" s="1"/>
  <c r="V71" i="10"/>
  <c r="AA71" i="10"/>
  <c r="J26" i="10"/>
  <c r="K26" i="10" s="1"/>
  <c r="P26" i="10"/>
  <c r="S26" i="10"/>
  <c r="M26" i="10"/>
  <c r="AA121" i="10"/>
  <c r="AD121" i="10"/>
  <c r="K83" i="10"/>
  <c r="J22" i="10"/>
  <c r="K22" i="10" s="1"/>
  <c r="P22" i="10"/>
  <c r="S22" i="10"/>
  <c r="M22" i="10"/>
  <c r="AB31" i="10"/>
  <c r="AA142" i="10"/>
  <c r="AD105" i="10"/>
  <c r="AP73" i="10"/>
  <c r="AG104" i="10"/>
  <c r="AG71" i="10"/>
  <c r="AA74" i="10"/>
  <c r="AA129" i="10"/>
  <c r="Y84" i="10"/>
  <c r="L88" i="10"/>
  <c r="T98" i="10"/>
  <c r="Q96" i="10"/>
  <c r="M84" i="10"/>
  <c r="P72" i="10"/>
  <c r="Q72" i="10" s="1"/>
  <c r="AA72" i="10"/>
  <c r="T70" i="10"/>
  <c r="R70" i="10"/>
  <c r="J18" i="10"/>
  <c r="K18" i="10" s="1"/>
  <c r="P18" i="10"/>
  <c r="V18" i="10"/>
  <c r="S18" i="10"/>
  <c r="M18" i="10"/>
  <c r="AA104" i="10"/>
  <c r="O68" i="10"/>
  <c r="AP71" i="10"/>
  <c r="AG74" i="10"/>
  <c r="L20" i="10"/>
  <c r="L64" i="10"/>
  <c r="AA105" i="10"/>
  <c r="AB105" i="10" s="1"/>
  <c r="AC105" i="10" s="1"/>
  <c r="V131" i="10"/>
  <c r="W131" i="10" s="1"/>
  <c r="AA131" i="10"/>
  <c r="V75" i="10"/>
  <c r="W75" i="10" s="1"/>
  <c r="K115" i="10"/>
  <c r="I115" i="10"/>
  <c r="I147" i="10" s="1"/>
  <c r="J91" i="10"/>
  <c r="K91" i="10" s="1"/>
  <c r="S91" i="10"/>
  <c r="V91" i="10"/>
  <c r="S73" i="10"/>
  <c r="J63" i="10"/>
  <c r="P63" i="10"/>
  <c r="V63" i="10"/>
  <c r="S63" i="10"/>
  <c r="M63" i="10"/>
  <c r="M65" i="10"/>
  <c r="S65" i="10"/>
  <c r="S62" i="10"/>
  <c r="M61" i="10"/>
  <c r="S61" i="10"/>
  <c r="S25" i="10"/>
  <c r="M24" i="10"/>
  <c r="N24" i="10" s="1"/>
  <c r="S24" i="10"/>
  <c r="S21" i="10"/>
  <c r="M20" i="10"/>
  <c r="N20" i="10" s="1"/>
  <c r="S20" i="10"/>
  <c r="V20" i="10"/>
  <c r="S17" i="10"/>
  <c r="J17" i="10"/>
  <c r="K17" i="10" s="1"/>
  <c r="M16" i="10"/>
  <c r="S16" i="10"/>
  <c r="V16" i="10"/>
  <c r="S13" i="10"/>
  <c r="J13" i="10"/>
  <c r="K13" i="10" s="1"/>
  <c r="M12" i="10"/>
  <c r="S12" i="10"/>
  <c r="V12" i="10"/>
  <c r="J10" i="10"/>
  <c r="K10" i="10" s="1"/>
  <c r="P10" i="10"/>
  <c r="S97" i="10"/>
  <c r="J92" i="10"/>
  <c r="K92" i="10" s="1"/>
  <c r="P92" i="10"/>
  <c r="M9" i="10"/>
  <c r="N9" i="10" s="1"/>
  <c r="S9" i="10"/>
  <c r="J14" i="10"/>
  <c r="K14" i="10" s="1"/>
  <c r="P14" i="10"/>
  <c r="P9" i="10"/>
  <c r="M90" i="10"/>
  <c r="N90" i="10" s="1"/>
  <c r="S90" i="10"/>
  <c r="J16" i="10"/>
  <c r="K16" i="10" s="1"/>
  <c r="J12" i="10"/>
  <c r="K12" i="10" s="1"/>
  <c r="M10" i="10"/>
  <c r="S8" i="10"/>
  <c r="E69" i="15"/>
  <c r="E73" i="15"/>
  <c r="F87" i="10"/>
  <c r="AJ87" i="10" s="1"/>
  <c r="J89" i="10"/>
  <c r="K89" i="10" s="1"/>
  <c r="M89" i="10"/>
  <c r="P89" i="10"/>
  <c r="S89" i="10"/>
  <c r="V89" i="10"/>
  <c r="M95" i="10"/>
  <c r="N95" i="10" s="1"/>
  <c r="P95" i="10"/>
  <c r="S95" i="10"/>
  <c r="V95" i="10"/>
  <c r="S102" i="10"/>
  <c r="T102" i="10" s="1"/>
  <c r="U102" i="10" s="1"/>
  <c r="V102" i="10"/>
  <c r="S104" i="10"/>
  <c r="T104" i="10" s="1"/>
  <c r="U104" i="10" s="1"/>
  <c r="V104" i="10"/>
  <c r="J108" i="10"/>
  <c r="K108" i="10" s="1"/>
  <c r="M108" i="10"/>
  <c r="P108" i="10"/>
  <c r="S108" i="10"/>
  <c r="V108" i="10"/>
  <c r="J109" i="10"/>
  <c r="K109" i="10" s="1"/>
  <c r="M109" i="10"/>
  <c r="P109" i="10"/>
  <c r="S109" i="10"/>
  <c r="V109" i="10"/>
  <c r="S111" i="10"/>
  <c r="T111" i="10" s="1"/>
  <c r="U111" i="10" s="1"/>
  <c r="V111" i="10"/>
  <c r="J118" i="10"/>
  <c r="G118" i="10"/>
  <c r="H118" i="10" s="1"/>
  <c r="I118" i="10" s="1"/>
  <c r="M118" i="10"/>
  <c r="P118" i="10"/>
  <c r="S118" i="10"/>
  <c r="V118" i="10"/>
  <c r="J119" i="10"/>
  <c r="G119" i="10"/>
  <c r="H119" i="10" s="1"/>
  <c r="I119" i="10" s="1"/>
  <c r="M119" i="10"/>
  <c r="P119" i="10"/>
  <c r="S119" i="10"/>
  <c r="V119" i="10"/>
  <c r="J120" i="10"/>
  <c r="G120" i="10"/>
  <c r="H120" i="10" s="1"/>
  <c r="I120" i="10" s="1"/>
  <c r="M120" i="10"/>
  <c r="P120" i="10"/>
  <c r="S120" i="10"/>
  <c r="V120" i="10"/>
  <c r="J121" i="10"/>
  <c r="G121" i="10"/>
  <c r="H121" i="10" s="1"/>
  <c r="I121" i="10" s="1"/>
  <c r="M121" i="10"/>
  <c r="P121" i="10"/>
  <c r="S121" i="10"/>
  <c r="V121" i="10"/>
  <c r="J122" i="10"/>
  <c r="G122" i="10"/>
  <c r="H122" i="10" s="1"/>
  <c r="I122" i="10" s="1"/>
  <c r="M122" i="10"/>
  <c r="P122" i="10"/>
  <c r="S122" i="10"/>
  <c r="V122" i="10"/>
  <c r="J123" i="10"/>
  <c r="G123" i="10"/>
  <c r="H123" i="10" s="1"/>
  <c r="I123" i="10" s="1"/>
  <c r="M123" i="10"/>
  <c r="P123" i="10"/>
  <c r="S123" i="10"/>
  <c r="V123" i="10"/>
  <c r="J124" i="10"/>
  <c r="G124" i="10"/>
  <c r="H124" i="10" s="1"/>
  <c r="I124" i="10" s="1"/>
  <c r="M124" i="10"/>
  <c r="P124" i="10"/>
  <c r="S124" i="10"/>
  <c r="V124" i="10"/>
  <c r="J125" i="10"/>
  <c r="K125" i="10" s="1"/>
  <c r="M125" i="10"/>
  <c r="P125" i="10"/>
  <c r="S125" i="10"/>
  <c r="V125" i="10"/>
  <c r="S126" i="10"/>
  <c r="T126" i="10" s="1"/>
  <c r="U126" i="10" s="1"/>
  <c r="V126" i="10"/>
  <c r="S127" i="10"/>
  <c r="T127" i="10" s="1"/>
  <c r="U127" i="10" s="1"/>
  <c r="V127" i="10"/>
  <c r="S128" i="10"/>
  <c r="T128" i="10" s="1"/>
  <c r="U128" i="10" s="1"/>
  <c r="V128" i="10"/>
  <c r="S129" i="10"/>
  <c r="T129" i="10" s="1"/>
  <c r="U129" i="10" s="1"/>
  <c r="V129" i="10"/>
  <c r="J134" i="10"/>
  <c r="G134" i="10"/>
  <c r="H134" i="10" s="1"/>
  <c r="I134" i="10" s="1"/>
  <c r="M134" i="10"/>
  <c r="P134" i="10"/>
  <c r="S134" i="10"/>
  <c r="V134" i="10"/>
  <c r="J135" i="10"/>
  <c r="G135" i="10"/>
  <c r="H135" i="10" s="1"/>
  <c r="I135" i="10" s="1"/>
  <c r="M135" i="10"/>
  <c r="P135" i="10"/>
  <c r="S135" i="10"/>
  <c r="V135" i="10"/>
  <c r="J136" i="10"/>
  <c r="G136" i="10"/>
  <c r="H136" i="10" s="1"/>
  <c r="I136" i="10" s="1"/>
  <c r="M136" i="10"/>
  <c r="P136" i="10"/>
  <c r="S136" i="10"/>
  <c r="V136" i="10"/>
  <c r="J137" i="10"/>
  <c r="G137" i="10"/>
  <c r="H137" i="10" s="1"/>
  <c r="I137" i="10" s="1"/>
  <c r="M137" i="10"/>
  <c r="P137" i="10"/>
  <c r="S137" i="10"/>
  <c r="V137" i="10"/>
  <c r="J138" i="10"/>
  <c r="G138" i="10"/>
  <c r="H138" i="10" s="1"/>
  <c r="I138" i="10" s="1"/>
  <c r="M138" i="10"/>
  <c r="P138" i="10"/>
  <c r="S138" i="10"/>
  <c r="V138" i="10"/>
  <c r="J139" i="10"/>
  <c r="K139" i="10" s="1"/>
  <c r="M139" i="10"/>
  <c r="P139" i="10"/>
  <c r="S139" i="10"/>
  <c r="V139" i="10"/>
  <c r="P140" i="10"/>
  <c r="Q140" i="10" s="1"/>
  <c r="S140" i="10"/>
  <c r="V140" i="10"/>
  <c r="S141" i="10"/>
  <c r="T141" i="10" s="1"/>
  <c r="U141" i="10" s="1"/>
  <c r="V141" i="10"/>
  <c r="S142" i="10"/>
  <c r="T142" i="10" s="1"/>
  <c r="U142" i="10" s="1"/>
  <c r="V142" i="10"/>
  <c r="C91" i="29"/>
  <c r="E83" i="29"/>
  <c r="E91" i="29" s="1"/>
  <c r="D83" i="29"/>
  <c r="D91" i="29" s="1"/>
  <c r="F66" i="15"/>
  <c r="F65" i="15"/>
  <c r="AH6" i="11"/>
  <c r="AH5" i="14"/>
  <c r="AE5" i="14"/>
  <c r="AB5" i="14"/>
  <c r="W5" i="14"/>
  <c r="T5" i="14"/>
  <c r="Q5" i="14"/>
  <c r="N5" i="14"/>
  <c r="AH6" i="14"/>
  <c r="AE6" i="14"/>
  <c r="AB6" i="14"/>
  <c r="W6" i="14"/>
  <c r="T6" i="14"/>
  <c r="Q6" i="14"/>
  <c r="N6" i="14"/>
  <c r="O6" i="14" s="1"/>
  <c r="AH7" i="14"/>
  <c r="AE7" i="14"/>
  <c r="AB7" i="14"/>
  <c r="W7" i="14"/>
  <c r="T7" i="14"/>
  <c r="Q7" i="14"/>
  <c r="N7" i="14"/>
  <c r="K12" i="14"/>
  <c r="AQ12" i="14"/>
  <c r="W13" i="14"/>
  <c r="X13" i="14" s="1"/>
  <c r="U237" i="13" l="1"/>
  <c r="U315" i="13" s="1"/>
  <c r="T315" i="13"/>
  <c r="E51" i="9"/>
  <c r="E150" i="10"/>
  <c r="AV147" i="10"/>
  <c r="AV149" i="10"/>
  <c r="D30" i="32" s="1"/>
  <c r="AV146" i="10"/>
  <c r="E70" i="15"/>
  <c r="AT37" i="15"/>
  <c r="AU37" i="15" s="1"/>
  <c r="AW37" i="15"/>
  <c r="AM48" i="15"/>
  <c r="AV48" i="15"/>
  <c r="AV69" i="15"/>
  <c r="D29" i="32" s="1"/>
  <c r="AV65" i="15"/>
  <c r="AV66" i="15"/>
  <c r="AN6" i="11"/>
  <c r="AZ6" i="11"/>
  <c r="AZ29" i="11" s="1"/>
  <c r="D26" i="32" s="1"/>
  <c r="E31" i="11"/>
  <c r="N3" i="33"/>
  <c r="AR79" i="10"/>
  <c r="AW79" i="10"/>
  <c r="AW78" i="10"/>
  <c r="AW57" i="10"/>
  <c r="AW56" i="10"/>
  <c r="AW55" i="10"/>
  <c r="AW52" i="10"/>
  <c r="AW51" i="10"/>
  <c r="AW49" i="10"/>
  <c r="AW48" i="10"/>
  <c r="AW46" i="10"/>
  <c r="AW45" i="10"/>
  <c r="AW44" i="10"/>
  <c r="D27" i="32"/>
  <c r="AM168" i="13"/>
  <c r="AM148" i="13"/>
  <c r="AM191" i="13"/>
  <c r="AM97" i="13"/>
  <c r="AM173" i="13"/>
  <c r="AM157" i="13"/>
  <c r="AM81" i="13"/>
  <c r="AM158" i="13"/>
  <c r="AM99" i="13"/>
  <c r="AM77" i="13"/>
  <c r="AM166" i="13"/>
  <c r="AM163" i="13"/>
  <c r="AN41" i="3"/>
  <c r="AT41" i="3"/>
  <c r="AN58" i="3"/>
  <c r="AT58" i="3"/>
  <c r="AN79" i="3"/>
  <c r="AT79" i="3"/>
  <c r="AQ53" i="10"/>
  <c r="AN53" i="10"/>
  <c r="AO53" i="10" s="1"/>
  <c r="AI47" i="10"/>
  <c r="AN47" i="10"/>
  <c r="AO47" i="10" s="1"/>
  <c r="AI77" i="10"/>
  <c r="AN77" i="10"/>
  <c r="AO77" i="10" s="1"/>
  <c r="AS173" i="13"/>
  <c r="AN238" i="13"/>
  <c r="AO238" i="13" s="1"/>
  <c r="AS146" i="10"/>
  <c r="AS147" i="10"/>
  <c r="AJ65" i="15"/>
  <c r="O62" i="32"/>
  <c r="AM50" i="9"/>
  <c r="D107" i="32" s="1"/>
  <c r="AM149" i="10"/>
  <c r="D106" i="32" s="1"/>
  <c r="AM146" i="10"/>
  <c r="AM147" i="10"/>
  <c r="N88" i="10"/>
  <c r="AQ54" i="10"/>
  <c r="AW54" i="10" s="1"/>
  <c r="AM66" i="15"/>
  <c r="AM69" i="15"/>
  <c r="D105" i="32" s="1"/>
  <c r="AS65" i="15"/>
  <c r="AL37" i="15"/>
  <c r="K56" i="15"/>
  <c r="AM43" i="16"/>
  <c r="D104" i="32" s="1"/>
  <c r="AS168" i="13"/>
  <c r="AS148" i="13"/>
  <c r="AS191" i="13"/>
  <c r="AS97" i="13"/>
  <c r="AS157" i="13"/>
  <c r="AS81" i="13"/>
  <c r="AS158" i="13"/>
  <c r="AS99" i="13"/>
  <c r="AS77" i="13"/>
  <c r="AS166" i="13"/>
  <c r="AS163" i="13"/>
  <c r="D103" i="32"/>
  <c r="AK6" i="11"/>
  <c r="AN29" i="11"/>
  <c r="D102" i="32" s="1"/>
  <c r="BI27" i="11"/>
  <c r="AN40" i="14"/>
  <c r="D101" i="32" s="1"/>
  <c r="AK41" i="3"/>
  <c r="AB58" i="3"/>
  <c r="AN113" i="3"/>
  <c r="AN114" i="3"/>
  <c r="AK115" i="3"/>
  <c r="AK113" i="3"/>
  <c r="J87" i="13"/>
  <c r="AD295" i="13"/>
  <c r="AA199" i="13"/>
  <c r="V254" i="13"/>
  <c r="J97" i="13"/>
  <c r="K97" i="13" s="1"/>
  <c r="S254" i="13"/>
  <c r="S87" i="13"/>
  <c r="AD158" i="13"/>
  <c r="P158" i="13"/>
  <c r="S97" i="13"/>
  <c r="J286" i="13"/>
  <c r="K286" i="13" s="1"/>
  <c r="L286" i="13" s="1"/>
  <c r="V97" i="13"/>
  <c r="AP286" i="13"/>
  <c r="V87" i="13"/>
  <c r="V158" i="13"/>
  <c r="AJ158" i="13"/>
  <c r="M186" i="13"/>
  <c r="N186" i="13" s="1"/>
  <c r="P199" i="13"/>
  <c r="Q199" i="13" s="1"/>
  <c r="R199" i="13" s="1"/>
  <c r="P97" i="13"/>
  <c r="AG286" i="13"/>
  <c r="AP186" i="13"/>
  <c r="AP97" i="13"/>
  <c r="AH15" i="13"/>
  <c r="W218" i="13"/>
  <c r="S158" i="13"/>
  <c r="M158" i="13"/>
  <c r="N158" i="13" s="1"/>
  <c r="AA158" i="13"/>
  <c r="AA270" i="13"/>
  <c r="M97" i="13"/>
  <c r="AG158" i="13"/>
  <c r="AA148" i="13"/>
  <c r="L83" i="3"/>
  <c r="M83" i="3" s="1"/>
  <c r="Q89" i="3"/>
  <c r="Q41" i="3"/>
  <c r="AQ73" i="3"/>
  <c r="N41" i="3"/>
  <c r="O41" i="3" s="1"/>
  <c r="O77" i="3"/>
  <c r="P77" i="3" s="1"/>
  <c r="AB41" i="3"/>
  <c r="J88" i="3"/>
  <c r="O12" i="3"/>
  <c r="P12" i="3" s="1"/>
  <c r="X105" i="3"/>
  <c r="Y105" i="3" s="1"/>
  <c r="H73" i="3"/>
  <c r="I73" i="3" s="1"/>
  <c r="J73" i="3" s="1"/>
  <c r="W89" i="3"/>
  <c r="L47" i="3"/>
  <c r="AB40" i="3"/>
  <c r="AC40" i="3" s="1"/>
  <c r="T40" i="3"/>
  <c r="AE96" i="3"/>
  <c r="AH40" i="3"/>
  <c r="AH89" i="3"/>
  <c r="R74" i="3"/>
  <c r="S74" i="3" s="1"/>
  <c r="AQ47" i="3"/>
  <c r="Q96" i="3"/>
  <c r="T47" i="3"/>
  <c r="Q47" i="3"/>
  <c r="N47" i="3"/>
  <c r="N60" i="3"/>
  <c r="AQ40" i="3"/>
  <c r="AB96" i="3"/>
  <c r="H40" i="3"/>
  <c r="I40" i="3" s="1"/>
  <c r="J40" i="3" s="1"/>
  <c r="T60" i="3"/>
  <c r="H60" i="3"/>
  <c r="I60" i="3" s="1"/>
  <c r="AQ96" i="3"/>
  <c r="AB47" i="3"/>
  <c r="AC47" i="3" s="1"/>
  <c r="AD47" i="3" s="1"/>
  <c r="L59" i="3"/>
  <c r="AE40" i="3"/>
  <c r="J96" i="3"/>
  <c r="K89" i="3"/>
  <c r="N89" i="3"/>
  <c r="AH60" i="3"/>
  <c r="Q40" i="3"/>
  <c r="AE47" i="3"/>
  <c r="AE89" i="3"/>
  <c r="N96" i="3"/>
  <c r="N40" i="3"/>
  <c r="AH96" i="3"/>
  <c r="W47" i="3"/>
  <c r="K96" i="3"/>
  <c r="L96" i="3" s="1"/>
  <c r="T56" i="3"/>
  <c r="AQ56" i="3"/>
  <c r="T66" i="3"/>
  <c r="AE41" i="3"/>
  <c r="T41" i="3"/>
  <c r="AH41" i="3"/>
  <c r="H56" i="3"/>
  <c r="I56" i="3" s="1"/>
  <c r="O50" i="3"/>
  <c r="R50" i="3" s="1"/>
  <c r="U50" i="3" s="1"/>
  <c r="N56" i="3"/>
  <c r="N66" i="3"/>
  <c r="W66" i="3"/>
  <c r="AE56" i="3"/>
  <c r="AB97" i="3"/>
  <c r="W41" i="3"/>
  <c r="AQ41" i="3"/>
  <c r="Q55" i="3"/>
  <c r="K55" i="3"/>
  <c r="L55" i="3" s="1"/>
  <c r="AQ55" i="3"/>
  <c r="W55" i="3"/>
  <c r="AB92" i="3"/>
  <c r="H92" i="3"/>
  <c r="I92" i="3" s="1"/>
  <c r="AB20" i="11"/>
  <c r="H20" i="11"/>
  <c r="I20" i="11" s="1"/>
  <c r="L20" i="11" s="1"/>
  <c r="O20" i="11" s="1"/>
  <c r="R20" i="11" s="1"/>
  <c r="U20" i="11" s="1"/>
  <c r="X20" i="11" s="1"/>
  <c r="AC20" i="11" s="1"/>
  <c r="AT54" i="10"/>
  <c r="AU54" i="10" s="1"/>
  <c r="AR54" i="10"/>
  <c r="AR48" i="10"/>
  <c r="AT48" i="10"/>
  <c r="AU48" i="10" s="1"/>
  <c r="AR44" i="10"/>
  <c r="AT44" i="10"/>
  <c r="AU44" i="10" s="1"/>
  <c r="L114" i="10"/>
  <c r="N114" i="10"/>
  <c r="Q114" i="10" s="1"/>
  <c r="S614" i="26"/>
  <c r="S318" i="26"/>
  <c r="S338" i="26" s="1"/>
  <c r="S568" i="26" s="1"/>
  <c r="S203" i="26"/>
  <c r="S835" i="26"/>
  <c r="K891" i="26"/>
  <c r="P287" i="13"/>
  <c r="P203" i="13"/>
  <c r="Q203" i="13" s="1"/>
  <c r="P263" i="13"/>
  <c r="G263" i="13"/>
  <c r="H263" i="13" s="1"/>
  <c r="I263" i="13" s="1"/>
  <c r="M263" i="13"/>
  <c r="AA80" i="13"/>
  <c r="AP287" i="13"/>
  <c r="J278" i="13"/>
  <c r="M157" i="13"/>
  <c r="N157" i="13" s="1"/>
  <c r="Q157" i="13" s="1"/>
  <c r="AA77" i="13"/>
  <c r="AA225" i="13"/>
  <c r="V225" i="13"/>
  <c r="W101" i="3"/>
  <c r="W101" i="10"/>
  <c r="AB101" i="10" s="1"/>
  <c r="T43" i="15"/>
  <c r="U43" i="15" s="1"/>
  <c r="F60" i="9"/>
  <c r="E127" i="17" s="1"/>
  <c r="K127" i="17" s="1"/>
  <c r="AJ127" i="17" s="1"/>
  <c r="F15" i="21"/>
  <c r="G15" i="21" s="1"/>
  <c r="L30" i="14"/>
  <c r="K23" i="16"/>
  <c r="L23" i="16" s="1"/>
  <c r="Z69" i="15"/>
  <c r="AJ7" i="9"/>
  <c r="AJ50" i="9" s="1"/>
  <c r="AS7" i="9"/>
  <c r="AS50" i="9" s="1"/>
  <c r="D68" i="32" s="1"/>
  <c r="J5" i="9"/>
  <c r="K5" i="9" s="1"/>
  <c r="L5" i="9" s="1"/>
  <c r="AD5" i="9"/>
  <c r="AP77" i="13"/>
  <c r="AT79" i="10"/>
  <c r="AU79" i="10" s="1"/>
  <c r="AT45" i="10"/>
  <c r="AU45" i="10" s="1"/>
  <c r="S38" i="16"/>
  <c r="AD38" i="16"/>
  <c r="S842" i="27"/>
  <c r="S857" i="27" s="1"/>
  <c r="AT29" i="11"/>
  <c r="D63" i="32" s="1"/>
  <c r="Q63" i="32" s="1"/>
  <c r="R285" i="27"/>
  <c r="P320" i="27"/>
  <c r="R588" i="27"/>
  <c r="P589" i="27"/>
  <c r="S162" i="27"/>
  <c r="R127" i="26"/>
  <c r="S226" i="27"/>
  <c r="R318" i="26"/>
  <c r="R338" i="26" s="1"/>
  <c r="R568" i="26" s="1"/>
  <c r="P842" i="27"/>
  <c r="P857" i="27" s="1"/>
  <c r="S578" i="27"/>
  <c r="R276" i="27"/>
  <c r="P281" i="27"/>
  <c r="S242" i="27"/>
  <c r="R689" i="27"/>
  <c r="P697" i="27"/>
  <c r="R610" i="27"/>
  <c r="P635" i="27"/>
  <c r="R193" i="27"/>
  <c r="P204" i="27"/>
  <c r="P206" i="27" s="1"/>
  <c r="P155" i="27"/>
  <c r="P164" i="27" s="1"/>
  <c r="T97" i="10"/>
  <c r="N65" i="10"/>
  <c r="R16" i="3"/>
  <c r="U16" i="3" s="1"/>
  <c r="AE27" i="10"/>
  <c r="AB103" i="10"/>
  <c r="M287" i="13"/>
  <c r="AP203" i="13"/>
  <c r="AG263" i="13"/>
  <c r="J263" i="13"/>
  <c r="AD246" i="13"/>
  <c r="V287" i="13"/>
  <c r="V157" i="13"/>
  <c r="S225" i="13"/>
  <c r="T225" i="13" s="1"/>
  <c r="U225" i="13" s="1"/>
  <c r="L85" i="10"/>
  <c r="T101" i="3"/>
  <c r="AB28" i="10"/>
  <c r="AC28" i="10" s="1"/>
  <c r="AP65" i="15"/>
  <c r="N33" i="9"/>
  <c r="Q33" i="9" s="1"/>
  <c r="Q14" i="9"/>
  <c r="O34" i="9"/>
  <c r="T20" i="9"/>
  <c r="T62" i="13"/>
  <c r="U62" i="13" s="1"/>
  <c r="AK29" i="11"/>
  <c r="M5" i="9"/>
  <c r="AA5" i="9"/>
  <c r="AB5" i="9" s="1"/>
  <c r="AG26" i="16"/>
  <c r="P26" i="16"/>
  <c r="M26" i="16"/>
  <c r="S189" i="27"/>
  <c r="R727" i="27"/>
  <c r="P756" i="27"/>
  <c r="R597" i="27"/>
  <c r="P603" i="27"/>
  <c r="P604" i="27" s="1"/>
  <c r="P637" i="27" s="1"/>
  <c r="S237" i="26"/>
  <c r="S239" i="26" s="1"/>
  <c r="S891" i="26" s="1"/>
  <c r="R643" i="27"/>
  <c r="P674" i="27"/>
  <c r="S155" i="27"/>
  <c r="S161" i="26"/>
  <c r="R127" i="27"/>
  <c r="R164" i="27" s="1"/>
  <c r="R161" i="26"/>
  <c r="C46" i="17"/>
  <c r="K46" i="17" s="1"/>
  <c r="U85" i="17"/>
  <c r="S85" i="17"/>
  <c r="AS149" i="10"/>
  <c r="D67" i="32" s="1"/>
  <c r="K35" i="16"/>
  <c r="R268" i="27"/>
  <c r="P270" i="27"/>
  <c r="R773" i="27"/>
  <c r="P779" i="27"/>
  <c r="R43" i="3"/>
  <c r="S43" i="3" s="1"/>
  <c r="P77" i="13"/>
  <c r="S287" i="13"/>
  <c r="K167" i="13"/>
  <c r="L167" i="13" s="1"/>
  <c r="V203" i="13"/>
  <c r="AD263" i="13"/>
  <c r="AG287" i="13"/>
  <c r="S157" i="13"/>
  <c r="AD77" i="13"/>
  <c r="AG77" i="13"/>
  <c r="AP157" i="13"/>
  <c r="L10" i="3"/>
  <c r="O10" i="3" s="1"/>
  <c r="Q101" i="3"/>
  <c r="AB85" i="3"/>
  <c r="N15" i="10"/>
  <c r="K97" i="3"/>
  <c r="O20" i="14"/>
  <c r="P20" i="14" s="1"/>
  <c r="AJ157" i="13"/>
  <c r="AP48" i="15"/>
  <c r="AS48" i="15"/>
  <c r="AS69" i="15" s="1"/>
  <c r="D66" i="32" s="1"/>
  <c r="AJ48" i="15"/>
  <c r="AD122" i="10"/>
  <c r="AP122" i="10"/>
  <c r="AS43" i="16"/>
  <c r="D65" i="32" s="1"/>
  <c r="S93" i="27"/>
  <c r="S127" i="27" s="1"/>
  <c r="S164" i="27" s="1"/>
  <c r="R757" i="26"/>
  <c r="R835" i="26" s="1"/>
  <c r="S561" i="26"/>
  <c r="S250" i="26"/>
  <c r="S257" i="26" s="1"/>
  <c r="R203" i="26"/>
  <c r="N127" i="27"/>
  <c r="N164" i="27" s="1"/>
  <c r="N914" i="27" s="1"/>
  <c r="R155" i="27"/>
  <c r="P318" i="26"/>
  <c r="P338" i="26" s="1"/>
  <c r="P568" i="26" s="1"/>
  <c r="P891" i="26" s="1"/>
  <c r="R256" i="27"/>
  <c r="P260" i="27"/>
  <c r="P321" i="27" s="1"/>
  <c r="P354" i="27" s="1"/>
  <c r="P591" i="27" s="1"/>
  <c r="S103" i="27"/>
  <c r="N203" i="26"/>
  <c r="N66" i="26"/>
  <c r="N161" i="26" s="1"/>
  <c r="R35" i="26"/>
  <c r="AJ149" i="10"/>
  <c r="AJ146" i="10"/>
  <c r="AK77" i="10"/>
  <c r="AJ147" i="10"/>
  <c r="AK55" i="10"/>
  <c r="AK54" i="10"/>
  <c r="AK53" i="10"/>
  <c r="AK50" i="10"/>
  <c r="AK47" i="10"/>
  <c r="AK46" i="10"/>
  <c r="AK43" i="10"/>
  <c r="AK42" i="10"/>
  <c r="AK39" i="10"/>
  <c r="AP147" i="10"/>
  <c r="AK11" i="16"/>
  <c r="AJ43" i="16"/>
  <c r="K18" i="16"/>
  <c r="L18" i="16" s="1"/>
  <c r="N22" i="16"/>
  <c r="O22" i="16" s="1"/>
  <c r="I31" i="16"/>
  <c r="K31" i="16"/>
  <c r="AI238" i="13"/>
  <c r="AQ238" i="13"/>
  <c r="M87" i="13"/>
  <c r="AS87" i="13"/>
  <c r="V186" i="13"/>
  <c r="AS186" i="13"/>
  <c r="AG195" i="13"/>
  <c r="AS195" i="13"/>
  <c r="V80" i="13"/>
  <c r="AS80" i="13"/>
  <c r="AD199" i="13"/>
  <c r="AS199" i="13"/>
  <c r="AA242" i="13"/>
  <c r="AS242" i="13"/>
  <c r="V246" i="13"/>
  <c r="AS246" i="13"/>
  <c r="AP250" i="13"/>
  <c r="AS250" i="13"/>
  <c r="AD254" i="13"/>
  <c r="AS254" i="13"/>
  <c r="AG258" i="13"/>
  <c r="AS258" i="13"/>
  <c r="V262" i="13"/>
  <c r="AS262" i="13"/>
  <c r="S266" i="13"/>
  <c r="AS266" i="13"/>
  <c r="AP270" i="13"/>
  <c r="AS270" i="13"/>
  <c r="AD274" i="13"/>
  <c r="AS274" i="13"/>
  <c r="AG278" i="13"/>
  <c r="AS278" i="13"/>
  <c r="AG282" i="13"/>
  <c r="AS282" i="13"/>
  <c r="AA286" i="13"/>
  <c r="AS286" i="13"/>
  <c r="P290" i="13"/>
  <c r="AS290" i="13"/>
  <c r="AG294" i="13"/>
  <c r="AS294" i="13"/>
  <c r="AG298" i="13"/>
  <c r="AS298" i="13"/>
  <c r="AG100" i="13"/>
  <c r="AS100" i="13"/>
  <c r="AP9" i="13"/>
  <c r="AS9" i="13"/>
  <c r="AA189" i="13"/>
  <c r="AS189" i="13"/>
  <c r="AP263" i="13"/>
  <c r="AS263" i="13"/>
  <c r="P279" i="13"/>
  <c r="AS279" i="13"/>
  <c r="AP295" i="13"/>
  <c r="AS295" i="13"/>
  <c r="AA203" i="13"/>
  <c r="AS203" i="13"/>
  <c r="V251" i="13"/>
  <c r="AS251" i="13"/>
  <c r="AP225" i="13"/>
  <c r="AS225" i="13"/>
  <c r="AJ97" i="13"/>
  <c r="V271" i="13"/>
  <c r="AS271" i="13"/>
  <c r="AP168" i="13"/>
  <c r="AJ168" i="13"/>
  <c r="AP148" i="13"/>
  <c r="AJ148" i="13"/>
  <c r="P191" i="13"/>
  <c r="AJ191" i="13"/>
  <c r="AK238" i="13"/>
  <c r="AK15" i="13"/>
  <c r="U22" i="11"/>
  <c r="AK40" i="14"/>
  <c r="L17" i="14"/>
  <c r="AK114" i="3"/>
  <c r="AT114" i="3"/>
  <c r="L104" i="3"/>
  <c r="M104" i="3" s="1"/>
  <c r="O49" i="3"/>
  <c r="J59" i="3"/>
  <c r="AA115" i="3"/>
  <c r="T22" i="9"/>
  <c r="K57" i="15"/>
  <c r="K58" i="15"/>
  <c r="L58" i="15" s="1"/>
  <c r="I58" i="15"/>
  <c r="AP29" i="9"/>
  <c r="T23" i="9"/>
  <c r="AP35" i="9"/>
  <c r="F61" i="9"/>
  <c r="E93" i="17" s="1"/>
  <c r="J11" i="9"/>
  <c r="AD35" i="9"/>
  <c r="F50" i="9"/>
  <c r="W40" i="9"/>
  <c r="AB40" i="9" s="1"/>
  <c r="AE40" i="9" s="1"/>
  <c r="Z50" i="9"/>
  <c r="F63" i="9"/>
  <c r="E17" i="17" s="1"/>
  <c r="M11" i="9"/>
  <c r="AA11" i="9"/>
  <c r="S11" i="9"/>
  <c r="V11" i="9"/>
  <c r="G11" i="9"/>
  <c r="H11" i="9" s="1"/>
  <c r="K11" i="9" s="1"/>
  <c r="L11" i="9" s="1"/>
  <c r="AP11" i="9"/>
  <c r="P11" i="9"/>
  <c r="Q19" i="9"/>
  <c r="T19" i="9" s="1"/>
  <c r="N5" i="9"/>
  <c r="O5" i="9" s="1"/>
  <c r="K38" i="9"/>
  <c r="AP5" i="9"/>
  <c r="P5" i="9"/>
  <c r="S5" i="9"/>
  <c r="S7" i="9"/>
  <c r="AA35" i="9"/>
  <c r="V35" i="9"/>
  <c r="G35" i="9"/>
  <c r="H35" i="9" s="1"/>
  <c r="I35" i="9" s="1"/>
  <c r="AG35" i="9"/>
  <c r="J35" i="9"/>
  <c r="P35" i="9"/>
  <c r="W41" i="9"/>
  <c r="AB41" i="9" s="1"/>
  <c r="AC41" i="9" s="1"/>
  <c r="K37" i="9"/>
  <c r="N37" i="9" s="1"/>
  <c r="AG29" i="9"/>
  <c r="Q18" i="9"/>
  <c r="T18" i="9" s="1"/>
  <c r="W27" i="9"/>
  <c r="AB27" i="9" s="1"/>
  <c r="F62" i="9"/>
  <c r="E54" i="17" s="1"/>
  <c r="AG32" i="9"/>
  <c r="AP32" i="9"/>
  <c r="AA32" i="9"/>
  <c r="G31" i="28" s="1"/>
  <c r="P32" i="9"/>
  <c r="V32" i="9"/>
  <c r="G32" i="9"/>
  <c r="H32" i="9" s="1"/>
  <c r="AD32" i="9"/>
  <c r="S32" i="9"/>
  <c r="AP7" i="9"/>
  <c r="J7" i="9"/>
  <c r="K7" i="9" s="1"/>
  <c r="L7" i="9" s="1"/>
  <c r="AG7" i="9"/>
  <c r="V7" i="9"/>
  <c r="M7" i="9"/>
  <c r="P7" i="9"/>
  <c r="AA7" i="9"/>
  <c r="AC5" i="9"/>
  <c r="AE5" i="9"/>
  <c r="AD7" i="9"/>
  <c r="AD50" i="9" s="1"/>
  <c r="E109" i="17" s="1"/>
  <c r="AN109" i="17" s="1"/>
  <c r="W26" i="9"/>
  <c r="V29" i="9"/>
  <c r="AA29" i="9"/>
  <c r="X41" i="9"/>
  <c r="L34" i="9"/>
  <c r="U26" i="9"/>
  <c r="N10" i="9"/>
  <c r="O10" i="9" s="1"/>
  <c r="E55" i="9"/>
  <c r="F54" i="9"/>
  <c r="N25" i="15"/>
  <c r="O25" i="15" s="1"/>
  <c r="J66" i="15"/>
  <c r="N52" i="15"/>
  <c r="Q52" i="15" s="1"/>
  <c r="Z66" i="15"/>
  <c r="N29" i="15"/>
  <c r="Q31" i="15"/>
  <c r="O31" i="15"/>
  <c r="L52" i="15"/>
  <c r="AD69" i="15"/>
  <c r="AG66" i="15"/>
  <c r="I65" i="15"/>
  <c r="S46" i="15"/>
  <c r="S66" i="15" s="1"/>
  <c r="AP46" i="15"/>
  <c r="P46" i="15"/>
  <c r="Q46" i="15" s="1"/>
  <c r="AA46" i="15"/>
  <c r="G29" i="28" s="1"/>
  <c r="AQ132" i="10"/>
  <c r="AE36" i="10"/>
  <c r="AF132" i="10"/>
  <c r="AE41" i="10"/>
  <c r="AH41" i="10" s="1"/>
  <c r="AE40" i="10"/>
  <c r="AF40" i="10" s="1"/>
  <c r="X29" i="10"/>
  <c r="AB29" i="10"/>
  <c r="AE37" i="10"/>
  <c r="AF37" i="10" s="1"/>
  <c r="AQ47" i="10"/>
  <c r="W67" i="10"/>
  <c r="C11" i="28"/>
  <c r="K3" i="28" s="1"/>
  <c r="K15" i="16"/>
  <c r="L15" i="16" s="1"/>
  <c r="L21" i="16"/>
  <c r="N21" i="16"/>
  <c r="Z43" i="16"/>
  <c r="N23" i="16"/>
  <c r="T6" i="16"/>
  <c r="R6" i="16"/>
  <c r="L25" i="16"/>
  <c r="N25" i="16"/>
  <c r="N13" i="16"/>
  <c r="L13" i="16"/>
  <c r="P24" i="16"/>
  <c r="S24" i="16"/>
  <c r="V24" i="16"/>
  <c r="G24" i="16"/>
  <c r="H24" i="16" s="1"/>
  <c r="I24" i="16" s="1"/>
  <c r="J24" i="16"/>
  <c r="AP24" i="16"/>
  <c r="AA24" i="16"/>
  <c r="M24" i="16"/>
  <c r="AG24" i="16"/>
  <c r="AD24" i="16"/>
  <c r="AG20" i="16"/>
  <c r="AA20" i="16"/>
  <c r="J20" i="16"/>
  <c r="S20" i="16"/>
  <c r="V20" i="16"/>
  <c r="M20" i="16"/>
  <c r="AP20" i="16"/>
  <c r="G20" i="16"/>
  <c r="H20" i="16" s="1"/>
  <c r="I20" i="16" s="1"/>
  <c r="P20" i="16"/>
  <c r="AD20" i="16"/>
  <c r="N5" i="16"/>
  <c r="Q7" i="16"/>
  <c r="O7" i="16"/>
  <c r="L37" i="16"/>
  <c r="N37" i="16"/>
  <c r="M36" i="16"/>
  <c r="V36" i="16"/>
  <c r="AD36" i="16"/>
  <c r="AP36" i="16"/>
  <c r="P36" i="16"/>
  <c r="G36" i="16"/>
  <c r="H36" i="16" s="1"/>
  <c r="I36" i="16" s="1"/>
  <c r="AG36" i="16"/>
  <c r="AA36" i="16"/>
  <c r="S36" i="16"/>
  <c r="J36" i="16"/>
  <c r="K30" i="16"/>
  <c r="Q9" i="16"/>
  <c r="AI11" i="16"/>
  <c r="AQ11" i="16"/>
  <c r="N29" i="16"/>
  <c r="V40" i="16"/>
  <c r="M40" i="16"/>
  <c r="AD40" i="16"/>
  <c r="AP40" i="16"/>
  <c r="AA40" i="16"/>
  <c r="AG40" i="16"/>
  <c r="P40" i="16"/>
  <c r="J40" i="16"/>
  <c r="K40" i="16" s="1"/>
  <c r="L40" i="16" s="1"/>
  <c r="S40" i="16"/>
  <c r="G32" i="16"/>
  <c r="H32" i="16" s="1"/>
  <c r="I32" i="16" s="1"/>
  <c r="V32" i="16"/>
  <c r="P32" i="16"/>
  <c r="M32" i="16"/>
  <c r="AD32" i="16"/>
  <c r="AP32" i="16"/>
  <c r="S32" i="16"/>
  <c r="AG32" i="16"/>
  <c r="J32" i="16"/>
  <c r="K32" i="16" s="1"/>
  <c r="L32" i="16" s="1"/>
  <c r="AA32" i="16"/>
  <c r="V28" i="16"/>
  <c r="AD28" i="16"/>
  <c r="AP28" i="16"/>
  <c r="AG28" i="16"/>
  <c r="P28" i="16"/>
  <c r="AA28" i="16"/>
  <c r="J28" i="16"/>
  <c r="M28" i="16"/>
  <c r="S28" i="16"/>
  <c r="G28" i="16"/>
  <c r="H28" i="16" s="1"/>
  <c r="I28" i="16" s="1"/>
  <c r="E48" i="16"/>
  <c r="F47" i="16"/>
  <c r="K26" i="16"/>
  <c r="H14" i="16"/>
  <c r="N18" i="16"/>
  <c r="N19" i="16"/>
  <c r="L19" i="16"/>
  <c r="O39" i="16"/>
  <c r="Q39" i="16"/>
  <c r="Q27" i="16"/>
  <c r="O27" i="16"/>
  <c r="AG16" i="16"/>
  <c r="S16" i="16"/>
  <c r="AD16" i="16"/>
  <c r="AD43" i="16" s="1"/>
  <c r="E106" i="17" s="1"/>
  <c r="AN106" i="17" s="1"/>
  <c r="M16" i="16"/>
  <c r="G16" i="16"/>
  <c r="H16" i="16" s="1"/>
  <c r="I16" i="16" s="1"/>
  <c r="AA16" i="16"/>
  <c r="J16" i="16"/>
  <c r="V16" i="16"/>
  <c r="P16" i="16"/>
  <c r="AP16" i="16"/>
  <c r="F43" i="16"/>
  <c r="Q5" i="16"/>
  <c r="O17" i="16"/>
  <c r="Q17" i="16"/>
  <c r="K34" i="16"/>
  <c r="L34" i="16" s="1"/>
  <c r="K38" i="16"/>
  <c r="L38" i="16" s="1"/>
  <c r="L8" i="16"/>
  <c r="N8" i="16"/>
  <c r="Q33" i="16"/>
  <c r="O33" i="16"/>
  <c r="U10" i="16"/>
  <c r="W10" i="16"/>
  <c r="P250" i="13"/>
  <c r="S9" i="13"/>
  <c r="M282" i="13"/>
  <c r="AA168" i="13"/>
  <c r="AD298" i="13"/>
  <c r="V298" i="13"/>
  <c r="AD251" i="13"/>
  <c r="AG279" i="13"/>
  <c r="G9" i="13"/>
  <c r="H9" i="13" s="1"/>
  <c r="I9" i="13" s="1"/>
  <c r="AA298" i="13"/>
  <c r="J9" i="13"/>
  <c r="J282" i="13"/>
  <c r="AP279" i="13"/>
  <c r="P186" i="13"/>
  <c r="AA251" i="13"/>
  <c r="S251" i="13"/>
  <c r="AD279" i="13"/>
  <c r="V279" i="13"/>
  <c r="AA295" i="13"/>
  <c r="M9" i="13"/>
  <c r="J266" i="13"/>
  <c r="K266" i="13" s="1"/>
  <c r="L266" i="13" s="1"/>
  <c r="F321" i="13"/>
  <c r="AP199" i="13"/>
  <c r="M250" i="13"/>
  <c r="J250" i="13"/>
  <c r="K250" i="13" s="1"/>
  <c r="L250" i="13" s="1"/>
  <c r="S282" i="13"/>
  <c r="M286" i="13"/>
  <c r="M270" i="13"/>
  <c r="V148" i="13"/>
  <c r="AG168" i="13"/>
  <c r="M148" i="13"/>
  <c r="N148" i="13" s="1"/>
  <c r="P254" i="13"/>
  <c r="P148" i="13"/>
  <c r="Q148" i="13" s="1"/>
  <c r="T148" i="13" s="1"/>
  <c r="V286" i="13"/>
  <c r="S168" i="13"/>
  <c r="AD282" i="13"/>
  <c r="V270" i="13"/>
  <c r="S298" i="13"/>
  <c r="T298" i="13" s="1"/>
  <c r="U298" i="13" s="1"/>
  <c r="AP282" i="13"/>
  <c r="V282" i="13"/>
  <c r="AA266" i="13"/>
  <c r="AG270" i="13"/>
  <c r="AD87" i="13"/>
  <c r="J251" i="13"/>
  <c r="J279" i="13"/>
  <c r="K279" i="13" s="1"/>
  <c r="L279" i="13" s="1"/>
  <c r="P266" i="13"/>
  <c r="AD250" i="13"/>
  <c r="AG250" i="13"/>
  <c r="V168" i="13"/>
  <c r="G282" i="13"/>
  <c r="H282" i="13" s="1"/>
  <c r="I282" i="13" s="1"/>
  <c r="P87" i="13"/>
  <c r="S186" i="13"/>
  <c r="G251" i="13"/>
  <c r="H251" i="13" s="1"/>
  <c r="I251" i="13" s="1"/>
  <c r="M251" i="13"/>
  <c r="AA279" i="13"/>
  <c r="S279" i="13"/>
  <c r="V295" i="13"/>
  <c r="W295" i="13" s="1"/>
  <c r="V266" i="13"/>
  <c r="M266" i="13"/>
  <c r="AG199" i="13"/>
  <c r="AA250" i="13"/>
  <c r="S250" i="13"/>
  <c r="AG254" i="13"/>
  <c r="P9" i="13"/>
  <c r="M254" i="13"/>
  <c r="J254" i="13"/>
  <c r="V9" i="13"/>
  <c r="M168" i="13"/>
  <c r="N168" i="13" s="1"/>
  <c r="Q168" i="13" s="1"/>
  <c r="G254" i="13"/>
  <c r="H254" i="13" s="1"/>
  <c r="I254" i="13" s="1"/>
  <c r="S286" i="13"/>
  <c r="AG9" i="13"/>
  <c r="AA282" i="13"/>
  <c r="AA87" i="13"/>
  <c r="G28" i="28" s="1"/>
  <c r="J270" i="13"/>
  <c r="AA186" i="13"/>
  <c r="AG87" i="13"/>
  <c r="AG148" i="13"/>
  <c r="AG189" i="13"/>
  <c r="AD80" i="13"/>
  <c r="J80" i="13"/>
  <c r="K80" i="13" s="1"/>
  <c r="S294" i="13"/>
  <c r="T294" i="13" s="1"/>
  <c r="M278" i="13"/>
  <c r="AP246" i="13"/>
  <c r="AG191" i="13"/>
  <c r="M191" i="13"/>
  <c r="N191" i="13" s="1"/>
  <c r="O191" i="13" s="1"/>
  <c r="AD191" i="13"/>
  <c r="G246" i="13"/>
  <c r="H246" i="13" s="1"/>
  <c r="I246" i="13" s="1"/>
  <c r="S262" i="13"/>
  <c r="AG246" i="13"/>
  <c r="J246" i="13"/>
  <c r="AP294" i="13"/>
  <c r="R62" i="13"/>
  <c r="AG80" i="13"/>
  <c r="M80" i="13"/>
  <c r="AD294" i="13"/>
  <c r="G262" i="13"/>
  <c r="H262" i="13" s="1"/>
  <c r="I262" i="13" s="1"/>
  <c r="G278" i="13"/>
  <c r="H278" i="13" s="1"/>
  <c r="I278" i="13" s="1"/>
  <c r="AA278" i="13"/>
  <c r="AP191" i="13"/>
  <c r="AD278" i="13"/>
  <c r="J262" i="13"/>
  <c r="M246" i="13"/>
  <c r="M262" i="13"/>
  <c r="S246" i="13"/>
  <c r="AA246" i="13"/>
  <c r="S80" i="13"/>
  <c r="P80" i="13"/>
  <c r="AA294" i="13"/>
  <c r="P262" i="13"/>
  <c r="P278" i="13"/>
  <c r="AG262" i="13"/>
  <c r="V278" i="13"/>
  <c r="S278" i="13"/>
  <c r="S191" i="13"/>
  <c r="AA191" i="13"/>
  <c r="V191" i="13"/>
  <c r="AP262" i="13"/>
  <c r="M12" i="11"/>
  <c r="O12" i="11"/>
  <c r="P12" i="11" s="1"/>
  <c r="M20" i="11"/>
  <c r="P20" i="11"/>
  <c r="X15" i="11"/>
  <c r="Y15" i="11" s="1"/>
  <c r="V15" i="11"/>
  <c r="AB5" i="11"/>
  <c r="H5" i="11"/>
  <c r="I5" i="11" s="1"/>
  <c r="AH5" i="11"/>
  <c r="G11" i="28"/>
  <c r="K4" i="28" s="1"/>
  <c r="F29" i="11"/>
  <c r="R12" i="11"/>
  <c r="M7" i="11"/>
  <c r="O7" i="11"/>
  <c r="U21" i="11"/>
  <c r="S21" i="11"/>
  <c r="AE8" i="11"/>
  <c r="AB8" i="11"/>
  <c r="W8" i="11"/>
  <c r="X8" i="11" s="1"/>
  <c r="AH8" i="11"/>
  <c r="J20" i="11"/>
  <c r="V22" i="11"/>
  <c r="X22" i="11"/>
  <c r="AE23" i="11"/>
  <c r="T23" i="11"/>
  <c r="AB23" i="11"/>
  <c r="W23" i="11"/>
  <c r="Q23" i="11"/>
  <c r="N23" i="11"/>
  <c r="O23" i="11" s="1"/>
  <c r="AA29" i="11"/>
  <c r="AB19" i="11"/>
  <c r="C27" i="28" s="1"/>
  <c r="N19" i="11"/>
  <c r="Q19" i="11"/>
  <c r="K19" i="11"/>
  <c r="AE19" i="11"/>
  <c r="H19" i="11"/>
  <c r="AQ6" i="11"/>
  <c r="AQ29" i="11" s="1"/>
  <c r="E28" i="17" s="1"/>
  <c r="E6" i="30" s="1"/>
  <c r="F14" i="30" s="1"/>
  <c r="AE6" i="11"/>
  <c r="N6" i="11"/>
  <c r="AB6" i="11"/>
  <c r="Q6" i="11"/>
  <c r="T6" i="11"/>
  <c r="W6" i="11"/>
  <c r="G29" i="11"/>
  <c r="AE13" i="11"/>
  <c r="AH13" i="11"/>
  <c r="Q13" i="11"/>
  <c r="N13" i="11"/>
  <c r="AB13" i="11"/>
  <c r="G27" i="28" s="1"/>
  <c r="K13" i="11"/>
  <c r="T13" i="11"/>
  <c r="AF20" i="11"/>
  <c r="AD20" i="11"/>
  <c r="AR27" i="11"/>
  <c r="P10" i="11"/>
  <c r="R10" i="11"/>
  <c r="R11" i="11"/>
  <c r="P11" i="11"/>
  <c r="E35" i="11"/>
  <c r="F34" i="11"/>
  <c r="Y20" i="11"/>
  <c r="S20" i="11"/>
  <c r="Y25" i="11"/>
  <c r="AC25" i="11"/>
  <c r="AG26" i="11"/>
  <c r="AI26" i="11"/>
  <c r="AC24" i="11"/>
  <c r="S14" i="11"/>
  <c r="U14" i="11"/>
  <c r="AF16" i="11"/>
  <c r="AD16" i="11"/>
  <c r="O18" i="11"/>
  <c r="M18" i="11"/>
  <c r="M17" i="14"/>
  <c r="O17" i="14"/>
  <c r="R17" i="14" s="1"/>
  <c r="O7" i="14"/>
  <c r="R7" i="14" s="1"/>
  <c r="L16" i="14"/>
  <c r="M16" i="14" s="1"/>
  <c r="R34" i="14"/>
  <c r="L8" i="14"/>
  <c r="O8" i="14" s="1"/>
  <c r="AF22" i="14"/>
  <c r="AG22" i="14" s="1"/>
  <c r="L25" i="14"/>
  <c r="M25" i="14" s="1"/>
  <c r="O31" i="14"/>
  <c r="P31" i="14" s="1"/>
  <c r="AA40" i="14"/>
  <c r="AI23" i="14"/>
  <c r="AJ23" i="14" s="1"/>
  <c r="AR37" i="14"/>
  <c r="AS37" i="14" s="1"/>
  <c r="AJ37" i="14"/>
  <c r="AH10" i="14"/>
  <c r="N10" i="14"/>
  <c r="H10" i="14"/>
  <c r="I10" i="14" s="1"/>
  <c r="J10" i="14" s="1"/>
  <c r="AQ10" i="14"/>
  <c r="Q10" i="14"/>
  <c r="K10" i="14"/>
  <c r="AB10" i="14"/>
  <c r="AE10" i="14"/>
  <c r="F40" i="14"/>
  <c r="T10" i="14"/>
  <c r="AR23" i="14"/>
  <c r="AS23" i="14" s="1"/>
  <c r="M30" i="14"/>
  <c r="O30" i="14"/>
  <c r="AG35" i="14"/>
  <c r="AI35" i="14"/>
  <c r="G40" i="14"/>
  <c r="E45" i="14"/>
  <c r="J29" i="14"/>
  <c r="L29" i="14"/>
  <c r="I9" i="14"/>
  <c r="L9" i="14" s="1"/>
  <c r="M9" i="14" s="1"/>
  <c r="R26" i="14"/>
  <c r="P26" i="14"/>
  <c r="L33" i="14"/>
  <c r="M33" i="14" s="1"/>
  <c r="AQ32" i="14"/>
  <c r="N32" i="14"/>
  <c r="H32" i="14"/>
  <c r="I32" i="14" s="1"/>
  <c r="J32" i="14" s="1"/>
  <c r="AH32" i="14"/>
  <c r="Q32" i="14"/>
  <c r="K32" i="14"/>
  <c r="AE32" i="14"/>
  <c r="AB32" i="14"/>
  <c r="T32" i="14"/>
  <c r="W32" i="14"/>
  <c r="L18" i="14"/>
  <c r="AQ28" i="14"/>
  <c r="Q28" i="14"/>
  <c r="H28" i="14"/>
  <c r="I28" i="14" s="1"/>
  <c r="J28" i="14" s="1"/>
  <c r="AH28" i="14"/>
  <c r="AB28" i="14"/>
  <c r="K28" i="14"/>
  <c r="N28" i="14"/>
  <c r="AE28" i="14"/>
  <c r="AB11" i="14"/>
  <c r="AQ11" i="14"/>
  <c r="T11" i="14"/>
  <c r="H11" i="14"/>
  <c r="I11" i="14" s="1"/>
  <c r="J11" i="14" s="1"/>
  <c r="N11" i="14"/>
  <c r="K11" i="14"/>
  <c r="AE11" i="14"/>
  <c r="Q11" i="14"/>
  <c r="AH11" i="14"/>
  <c r="AQ27" i="14"/>
  <c r="H27" i="14"/>
  <c r="I27" i="14" s="1"/>
  <c r="J27" i="14" s="1"/>
  <c r="AH27" i="14"/>
  <c r="AE27" i="14"/>
  <c r="N27" i="14"/>
  <c r="AB27" i="14"/>
  <c r="Q27" i="14"/>
  <c r="K27" i="14"/>
  <c r="P17" i="14"/>
  <c r="O21" i="14"/>
  <c r="M21" i="14"/>
  <c r="AE36" i="14"/>
  <c r="AQ36" i="14"/>
  <c r="AH36" i="14"/>
  <c r="AB36" i="14"/>
  <c r="AC36" i="14" s="1"/>
  <c r="AQ19" i="14"/>
  <c r="Q19" i="14"/>
  <c r="H19" i="14"/>
  <c r="I19" i="14" s="1"/>
  <c r="J19" i="14" s="1"/>
  <c r="W19" i="14"/>
  <c r="W40" i="14" s="1"/>
  <c r="E209" i="17" s="1"/>
  <c r="AH19" i="14"/>
  <c r="T19" i="14"/>
  <c r="K19" i="14"/>
  <c r="AB19" i="14"/>
  <c r="AE19" i="14"/>
  <c r="N19" i="14"/>
  <c r="AI22" i="14"/>
  <c r="AQ66" i="3"/>
  <c r="T97" i="3"/>
  <c r="Q97" i="3"/>
  <c r="AQ97" i="3"/>
  <c r="AQ59" i="3"/>
  <c r="Q59" i="3"/>
  <c r="AH59" i="3"/>
  <c r="O7" i="3"/>
  <c r="P7" i="3" s="1"/>
  <c r="AH97" i="3"/>
  <c r="L84" i="3"/>
  <c r="M84" i="3" s="1"/>
  <c r="Q66" i="3"/>
  <c r="AE66" i="3"/>
  <c r="AE60" i="3"/>
  <c r="AF60" i="3" s="1"/>
  <c r="AG60" i="3" s="1"/>
  <c r="K60" i="3"/>
  <c r="L60" i="3" s="1"/>
  <c r="AE97" i="3"/>
  <c r="H97" i="3"/>
  <c r="I97" i="3" s="1"/>
  <c r="L97" i="3" s="1"/>
  <c r="AB66" i="3"/>
  <c r="AC66" i="3" s="1"/>
  <c r="W97" i="3"/>
  <c r="K66" i="3"/>
  <c r="H66" i="3"/>
  <c r="I66" i="3" s="1"/>
  <c r="L66" i="3" s="1"/>
  <c r="M66" i="3" s="1"/>
  <c r="G115" i="3"/>
  <c r="E121" i="3" s="1"/>
  <c r="E122" i="3" s="1"/>
  <c r="F122" i="3" s="1"/>
  <c r="F115" i="3"/>
  <c r="R26" i="3"/>
  <c r="E120" i="3"/>
  <c r="F120" i="3" s="1"/>
  <c r="L82" i="3"/>
  <c r="M82" i="3" s="1"/>
  <c r="G113" i="3"/>
  <c r="Q85" i="3"/>
  <c r="N101" i="3"/>
  <c r="N85" i="3"/>
  <c r="AH101" i="3"/>
  <c r="H101" i="3"/>
  <c r="I101" i="3" s="1"/>
  <c r="AE101" i="3"/>
  <c r="F113" i="3"/>
  <c r="AE85" i="3"/>
  <c r="J104" i="3"/>
  <c r="AQ101" i="3"/>
  <c r="AQ33" i="3"/>
  <c r="T33" i="3"/>
  <c r="AB33" i="3"/>
  <c r="AC33" i="3" s="1"/>
  <c r="W33" i="3"/>
  <c r="AH33" i="3"/>
  <c r="Q33" i="3"/>
  <c r="Q113" i="3" s="1"/>
  <c r="N93" i="3"/>
  <c r="W93" i="3"/>
  <c r="AE93" i="3"/>
  <c r="T93" i="3"/>
  <c r="AH85" i="3"/>
  <c r="T85" i="3"/>
  <c r="W85" i="3"/>
  <c r="H85" i="3"/>
  <c r="I85" i="3" s="1"/>
  <c r="J85" i="3" s="1"/>
  <c r="R34" i="3"/>
  <c r="S34" i="3" s="1"/>
  <c r="K101" i="3"/>
  <c r="AQ85" i="3"/>
  <c r="L103" i="3"/>
  <c r="O103" i="3" s="1"/>
  <c r="T89" i="3"/>
  <c r="AB89" i="3"/>
  <c r="H89" i="3"/>
  <c r="I89" i="3" s="1"/>
  <c r="J89" i="3" s="1"/>
  <c r="R41" i="3"/>
  <c r="U41" i="3" s="1"/>
  <c r="P41" i="3"/>
  <c r="L114" i="3"/>
  <c r="AF63" i="3"/>
  <c r="AG63" i="3" s="1"/>
  <c r="L94" i="3"/>
  <c r="M94" i="3" s="1"/>
  <c r="O100" i="3"/>
  <c r="P100" i="3" s="1"/>
  <c r="M11" i="3"/>
  <c r="R12" i="3"/>
  <c r="S12" i="3" s="1"/>
  <c r="L99" i="3"/>
  <c r="M99" i="3" s="1"/>
  <c r="O69" i="3"/>
  <c r="P69" i="3" s="1"/>
  <c r="O20" i="3"/>
  <c r="J114" i="3"/>
  <c r="AF68" i="3"/>
  <c r="AI68" i="3" s="1"/>
  <c r="Q192" i="13"/>
  <c r="R192" i="13" s="1"/>
  <c r="K240" i="13"/>
  <c r="L240" i="13" s="1"/>
  <c r="W234" i="13"/>
  <c r="X234" i="13" s="1"/>
  <c r="T201" i="13"/>
  <c r="W201" i="13" s="1"/>
  <c r="Q49" i="13"/>
  <c r="T49" i="13" s="1"/>
  <c r="AE69" i="13"/>
  <c r="AH69" i="13" s="1"/>
  <c r="W235" i="13"/>
  <c r="AB235" i="13" s="1"/>
  <c r="T196" i="13"/>
  <c r="W196" i="13" s="1"/>
  <c r="AB28" i="9"/>
  <c r="X28" i="9"/>
  <c r="R20" i="9"/>
  <c r="W43" i="9"/>
  <c r="T15" i="9"/>
  <c r="R15" i="9"/>
  <c r="O16" i="9"/>
  <c r="Q16" i="9"/>
  <c r="R24" i="9"/>
  <c r="T24" i="9"/>
  <c r="U22" i="9"/>
  <c r="W22" i="9"/>
  <c r="T21" i="9"/>
  <c r="R21" i="9"/>
  <c r="R18" i="9"/>
  <c r="AB6" i="9"/>
  <c r="Q12" i="9"/>
  <c r="O12" i="9"/>
  <c r="AC40" i="9"/>
  <c r="U23" i="9"/>
  <c r="W23" i="9"/>
  <c r="T34" i="9"/>
  <c r="R34" i="9"/>
  <c r="R39" i="9"/>
  <c r="T39" i="9"/>
  <c r="O13" i="9"/>
  <c r="Q13" i="9"/>
  <c r="AB30" i="9"/>
  <c r="X30" i="9"/>
  <c r="U29" i="9"/>
  <c r="U20" i="9"/>
  <c r="W20" i="9"/>
  <c r="K6" i="9"/>
  <c r="C31" i="28"/>
  <c r="W8" i="9"/>
  <c r="U8" i="9"/>
  <c r="AB44" i="9"/>
  <c r="X44" i="9"/>
  <c r="T14" i="9"/>
  <c r="R14" i="9"/>
  <c r="U42" i="9"/>
  <c r="W42" i="9"/>
  <c r="T25" i="9"/>
  <c r="R25" i="9"/>
  <c r="Q17" i="9"/>
  <c r="O17" i="9"/>
  <c r="T60" i="15"/>
  <c r="R60" i="15"/>
  <c r="AR37" i="15"/>
  <c r="P65" i="15"/>
  <c r="O21" i="15"/>
  <c r="Q21" i="15"/>
  <c r="Q33" i="15"/>
  <c r="O33" i="15"/>
  <c r="AG65" i="15"/>
  <c r="W43" i="15"/>
  <c r="AB43" i="15" s="1"/>
  <c r="AC43" i="15" s="1"/>
  <c r="S65" i="15"/>
  <c r="X62" i="15"/>
  <c r="AB62" i="15"/>
  <c r="Q24" i="15"/>
  <c r="T24" i="15" s="1"/>
  <c r="J65" i="15"/>
  <c r="T35" i="15"/>
  <c r="R35" i="15"/>
  <c r="N56" i="15"/>
  <c r="L56" i="15"/>
  <c r="Q28" i="15"/>
  <c r="O28" i="15"/>
  <c r="O22" i="15"/>
  <c r="Q22" i="15"/>
  <c r="Q16" i="15"/>
  <c r="O16" i="15"/>
  <c r="N14" i="15"/>
  <c r="L14" i="15"/>
  <c r="N15" i="15"/>
  <c r="L15" i="15"/>
  <c r="Q25" i="15"/>
  <c r="N7" i="15"/>
  <c r="L7" i="15"/>
  <c r="AA65" i="15"/>
  <c r="N6" i="15"/>
  <c r="L6" i="15"/>
  <c r="N8" i="15"/>
  <c r="L8" i="15"/>
  <c r="I55" i="15"/>
  <c r="K55" i="15"/>
  <c r="Q17" i="15"/>
  <c r="O17" i="15"/>
  <c r="Q42" i="15"/>
  <c r="O42" i="15"/>
  <c r="P69" i="15"/>
  <c r="Q48" i="15"/>
  <c r="O48" i="15"/>
  <c r="N57" i="15"/>
  <c r="L57" i="15"/>
  <c r="N5" i="15"/>
  <c r="L5" i="15"/>
  <c r="K65" i="15"/>
  <c r="Q13" i="15"/>
  <c r="O13" i="15"/>
  <c r="Q41" i="15"/>
  <c r="O41" i="15"/>
  <c r="Q18" i="15"/>
  <c r="O18" i="15"/>
  <c r="M66" i="15"/>
  <c r="H53" i="15"/>
  <c r="G66" i="15"/>
  <c r="G69" i="15"/>
  <c r="N32" i="15"/>
  <c r="L32" i="15"/>
  <c r="T34" i="15"/>
  <c r="R34" i="15"/>
  <c r="N9" i="15"/>
  <c r="L9" i="15"/>
  <c r="Q29" i="15"/>
  <c r="O29" i="15"/>
  <c r="R61" i="15"/>
  <c r="T61" i="15"/>
  <c r="Q23" i="15"/>
  <c r="O23" i="15"/>
  <c r="Q30" i="15"/>
  <c r="O30" i="15"/>
  <c r="AD65" i="15"/>
  <c r="Q40" i="15"/>
  <c r="O40" i="15"/>
  <c r="V69" i="15"/>
  <c r="E213" i="17" s="1"/>
  <c r="M213" i="17" s="1"/>
  <c r="V65" i="15"/>
  <c r="K54" i="15"/>
  <c r="I54" i="15"/>
  <c r="L19" i="15"/>
  <c r="N19" i="15"/>
  <c r="O26" i="15"/>
  <c r="Q26" i="15"/>
  <c r="N58" i="15"/>
  <c r="AG69" i="15"/>
  <c r="R36" i="15"/>
  <c r="T36" i="15"/>
  <c r="N11" i="15"/>
  <c r="L11" i="15"/>
  <c r="J69" i="15"/>
  <c r="M65" i="15"/>
  <c r="M69" i="15"/>
  <c r="N10" i="15"/>
  <c r="L10" i="15"/>
  <c r="Q12" i="15"/>
  <c r="O12" i="15"/>
  <c r="AD66" i="15"/>
  <c r="W27" i="15"/>
  <c r="U27" i="15"/>
  <c r="V66" i="15"/>
  <c r="C30" i="28"/>
  <c r="L59" i="15"/>
  <c r="N59" i="15"/>
  <c r="K51" i="15"/>
  <c r="N20" i="15"/>
  <c r="L20" i="15"/>
  <c r="S69" i="15"/>
  <c r="Q88" i="10"/>
  <c r="O88" i="10"/>
  <c r="X101" i="10"/>
  <c r="AI53" i="10"/>
  <c r="Q15" i="10"/>
  <c r="O15" i="10"/>
  <c r="AE28" i="10"/>
  <c r="AE38" i="10"/>
  <c r="AF38" i="10" s="1"/>
  <c r="W68" i="10"/>
  <c r="U68" i="10"/>
  <c r="AB32" i="10"/>
  <c r="X32" i="10"/>
  <c r="W66" i="10"/>
  <c r="AQ77" i="10"/>
  <c r="O85" i="10"/>
  <c r="W141" i="10"/>
  <c r="X141" i="10" s="1"/>
  <c r="W129" i="10"/>
  <c r="W127" i="10"/>
  <c r="S147" i="10"/>
  <c r="R85" i="10"/>
  <c r="L15" i="10"/>
  <c r="O192" i="13"/>
  <c r="W226" i="13"/>
  <c r="X226" i="13" s="1"/>
  <c r="R37" i="3"/>
  <c r="U37" i="3" s="1"/>
  <c r="AF72" i="3"/>
  <c r="AC105" i="3"/>
  <c r="AF105" i="3" s="1"/>
  <c r="L73" i="3"/>
  <c r="M73" i="3" s="1"/>
  <c r="AI60" i="3"/>
  <c r="AJ60" i="3" s="1"/>
  <c r="U74" i="3"/>
  <c r="V74" i="3" s="1"/>
  <c r="O15" i="3"/>
  <c r="P15" i="3" s="1"/>
  <c r="R25" i="3"/>
  <c r="U25" i="3" s="1"/>
  <c r="L68" i="3"/>
  <c r="M68" i="3" s="1"/>
  <c r="AF10" i="3"/>
  <c r="AI10" i="3" s="1"/>
  <c r="L88" i="3"/>
  <c r="R51" i="3"/>
  <c r="L75" i="3"/>
  <c r="M75" i="3" s="1"/>
  <c r="P18" i="3"/>
  <c r="R18" i="3"/>
  <c r="L65" i="3"/>
  <c r="O65" i="3" s="1"/>
  <c r="U78" i="3"/>
  <c r="X78" i="3" s="1"/>
  <c r="X28" i="3"/>
  <c r="Y28" i="3" s="1"/>
  <c r="V28" i="3"/>
  <c r="AF73" i="3"/>
  <c r="AG73" i="3" s="1"/>
  <c r="R52" i="3"/>
  <c r="U52" i="3" s="1"/>
  <c r="AC21" i="3"/>
  <c r="AD21" i="3" s="1"/>
  <c r="O82" i="3"/>
  <c r="P82" i="3" s="1"/>
  <c r="O45" i="3"/>
  <c r="R45" i="3" s="1"/>
  <c r="R77" i="3"/>
  <c r="S77" i="3" s="1"/>
  <c r="O63" i="3"/>
  <c r="P63" i="3" s="1"/>
  <c r="O48" i="3"/>
  <c r="P48" i="3" s="1"/>
  <c r="L93" i="3"/>
  <c r="J93" i="3"/>
  <c r="V79" i="3"/>
  <c r="X79" i="3"/>
  <c r="Y79" i="3" s="1"/>
  <c r="AD24" i="3"/>
  <c r="AF24" i="3"/>
  <c r="X106" i="3"/>
  <c r="AC106" i="3" s="1"/>
  <c r="O91" i="3"/>
  <c r="P91" i="3" s="1"/>
  <c r="W114" i="3"/>
  <c r="L72" i="3"/>
  <c r="O72" i="3" s="1"/>
  <c r="O35" i="3"/>
  <c r="P35" i="3" s="1"/>
  <c r="O14" i="3"/>
  <c r="P14" i="3" s="1"/>
  <c r="M14" i="3"/>
  <c r="M114" i="3" s="1"/>
  <c r="O53" i="3"/>
  <c r="Q185" i="13"/>
  <c r="T185" i="13" s="1"/>
  <c r="U185" i="13" s="1"/>
  <c r="W230" i="13"/>
  <c r="X230" i="13" s="1"/>
  <c r="K254" i="13"/>
  <c r="L254" i="13" s="1"/>
  <c r="W227" i="13"/>
  <c r="AB227" i="13" s="1"/>
  <c r="T197" i="13"/>
  <c r="U197" i="13" s="1"/>
  <c r="N182" i="13"/>
  <c r="Q182" i="13" s="1"/>
  <c r="Q191" i="13"/>
  <c r="R191" i="13" s="1"/>
  <c r="W231" i="13"/>
  <c r="AB231" i="13" s="1"/>
  <c r="W222" i="13"/>
  <c r="X222" i="13" s="1"/>
  <c r="AB68" i="13"/>
  <c r="AE68" i="13" s="1"/>
  <c r="W208" i="13"/>
  <c r="X208" i="13" s="1"/>
  <c r="W213" i="13"/>
  <c r="X213" i="13" s="1"/>
  <c r="AB230" i="13"/>
  <c r="AE230" i="13" s="1"/>
  <c r="AF230" i="13" s="1"/>
  <c r="T202" i="13"/>
  <c r="U202" i="13" s="1"/>
  <c r="Q104" i="13"/>
  <c r="T104" i="13" s="1"/>
  <c r="U104" i="13" s="1"/>
  <c r="AH14" i="13"/>
  <c r="W298" i="13"/>
  <c r="X298" i="13" s="1"/>
  <c r="N31" i="13"/>
  <c r="Q31" i="13" s="1"/>
  <c r="W223" i="13"/>
  <c r="AB223" i="13" s="1"/>
  <c r="W293" i="13"/>
  <c r="AB293" i="13" s="1"/>
  <c r="Q94" i="10"/>
  <c r="O94" i="10"/>
  <c r="N11" i="10"/>
  <c r="L11" i="10"/>
  <c r="W102" i="10"/>
  <c r="AB102" i="10" s="1"/>
  <c r="AA147" i="10"/>
  <c r="AE105" i="10"/>
  <c r="AF105" i="10" s="1"/>
  <c r="AD147" i="10"/>
  <c r="AQ43" i="10"/>
  <c r="AI43" i="10"/>
  <c r="Q64" i="10"/>
  <c r="O64" i="10"/>
  <c r="U99" i="10"/>
  <c r="W99" i="10"/>
  <c r="AG147" i="10"/>
  <c r="AB30" i="10"/>
  <c r="AC30" i="10" s="1"/>
  <c r="N21" i="10"/>
  <c r="L21" i="10"/>
  <c r="N25" i="10"/>
  <c r="L25" i="10"/>
  <c r="X130" i="10"/>
  <c r="AB130" i="10"/>
  <c r="AQ50" i="10"/>
  <c r="AI50" i="10"/>
  <c r="AH38" i="10"/>
  <c r="N8" i="10"/>
  <c r="L8" i="10"/>
  <c r="N23" i="10"/>
  <c r="L23" i="10"/>
  <c r="N93" i="10"/>
  <c r="L93" i="10"/>
  <c r="U85" i="10"/>
  <c r="W85" i="10"/>
  <c r="AH40" i="10"/>
  <c r="N86" i="10"/>
  <c r="L86" i="10"/>
  <c r="AB76" i="10"/>
  <c r="X76" i="10"/>
  <c r="Q62" i="10"/>
  <c r="O62" i="10"/>
  <c r="W100" i="10"/>
  <c r="X34" i="10"/>
  <c r="AB34" i="10"/>
  <c r="AC34" i="10" s="1"/>
  <c r="N19" i="10"/>
  <c r="L19" i="10"/>
  <c r="N60" i="10"/>
  <c r="L60" i="10"/>
  <c r="K259" i="13"/>
  <c r="L259" i="13" s="1"/>
  <c r="AB296" i="13"/>
  <c r="AE296" i="13" s="1"/>
  <c r="T204" i="13"/>
  <c r="W204" i="13" s="1"/>
  <c r="K162" i="13"/>
  <c r="L162" i="13" s="1"/>
  <c r="Q42" i="13"/>
  <c r="T42" i="13" s="1"/>
  <c r="K252" i="13"/>
  <c r="L252" i="13" s="1"/>
  <c r="R204" i="13"/>
  <c r="W211" i="13"/>
  <c r="X211" i="13" s="1"/>
  <c r="Q118" i="13"/>
  <c r="T118" i="13" s="1"/>
  <c r="U293" i="13"/>
  <c r="W217" i="13"/>
  <c r="AB217" i="13" s="1"/>
  <c r="AH13" i="13"/>
  <c r="N128" i="13"/>
  <c r="Q128" i="13" s="1"/>
  <c r="W219" i="13"/>
  <c r="AB219" i="13" s="1"/>
  <c r="AC219" i="13" s="1"/>
  <c r="Q47" i="13"/>
  <c r="T47" i="13" s="1"/>
  <c r="W214" i="13"/>
  <c r="AB214" i="13" s="1"/>
  <c r="W88" i="13"/>
  <c r="X88" i="13" s="1"/>
  <c r="N284" i="13"/>
  <c r="Q284" i="13" s="1"/>
  <c r="Q135" i="13"/>
  <c r="T135" i="13" s="1"/>
  <c r="K253" i="13"/>
  <c r="L253" i="13" s="1"/>
  <c r="W229" i="13"/>
  <c r="X229" i="13" s="1"/>
  <c r="Q111" i="13"/>
  <c r="R111" i="13" s="1"/>
  <c r="Q51" i="13"/>
  <c r="T51" i="13" s="1"/>
  <c r="W232" i="13"/>
  <c r="Q194" i="13"/>
  <c r="T194" i="13" s="1"/>
  <c r="W194" i="13" s="1"/>
  <c r="W237" i="13"/>
  <c r="Q289" i="13"/>
  <c r="R289" i="13" s="1"/>
  <c r="AB66" i="13"/>
  <c r="AC66" i="13" s="1"/>
  <c r="T60" i="13"/>
  <c r="U60" i="13" s="1"/>
  <c r="T292" i="13"/>
  <c r="U292" i="13" s="1"/>
  <c r="N20" i="13"/>
  <c r="O20" i="13" s="1"/>
  <c r="N23" i="13"/>
  <c r="O23" i="13" s="1"/>
  <c r="Q153" i="13"/>
  <c r="R153" i="13" s="1"/>
  <c r="AE305" i="13"/>
  <c r="AF305" i="13" s="1"/>
  <c r="Q143" i="13"/>
  <c r="T143" i="13" s="1"/>
  <c r="W143" i="13" s="1"/>
  <c r="Q126" i="13"/>
  <c r="T126" i="13" s="1"/>
  <c r="AF14" i="13"/>
  <c r="K78" i="13"/>
  <c r="L78" i="13" s="1"/>
  <c r="K270" i="13"/>
  <c r="L270" i="13" s="1"/>
  <c r="Q119" i="13"/>
  <c r="R119" i="13" s="1"/>
  <c r="N176" i="13"/>
  <c r="O176" i="13" s="1"/>
  <c r="Q140" i="13"/>
  <c r="R140" i="13" s="1"/>
  <c r="T198" i="13"/>
  <c r="U198" i="13" s="1"/>
  <c r="Q154" i="13"/>
  <c r="T154" i="13" s="1"/>
  <c r="N24" i="13"/>
  <c r="O24" i="13" s="1"/>
  <c r="Q109" i="13"/>
  <c r="R109" i="13" s="1"/>
  <c r="O143" i="13"/>
  <c r="O126" i="13"/>
  <c r="O49" i="13"/>
  <c r="N286" i="13"/>
  <c r="Q286" i="13" s="1"/>
  <c r="N174" i="13"/>
  <c r="O174" i="13" s="1"/>
  <c r="N102" i="13"/>
  <c r="Q102" i="13" s="1"/>
  <c r="N94" i="13"/>
  <c r="O94" i="13" s="1"/>
  <c r="Q113" i="13"/>
  <c r="T113" i="13" s="1"/>
  <c r="O120" i="13"/>
  <c r="Q120" i="13"/>
  <c r="R120" i="13" s="1"/>
  <c r="O127" i="13"/>
  <c r="Q127" i="13"/>
  <c r="R127" i="13" s="1"/>
  <c r="L100" i="13"/>
  <c r="N100" i="13"/>
  <c r="O100" i="13" s="1"/>
  <c r="Q193" i="13"/>
  <c r="T193" i="13" s="1"/>
  <c r="W216" i="13"/>
  <c r="X216" i="13" s="1"/>
  <c r="T205" i="13"/>
  <c r="W205" i="13" s="1"/>
  <c r="Q50" i="13"/>
  <c r="R50" i="13" s="1"/>
  <c r="T65" i="13"/>
  <c r="U65" i="13" s="1"/>
  <c r="N181" i="13"/>
  <c r="O181" i="13" s="1"/>
  <c r="N183" i="13"/>
  <c r="Q183" i="13" s="1"/>
  <c r="W221" i="13"/>
  <c r="X221" i="13" s="1"/>
  <c r="Q152" i="13"/>
  <c r="T152" i="13" s="1"/>
  <c r="N180" i="13"/>
  <c r="Q180" i="13" s="1"/>
  <c r="T61" i="13"/>
  <c r="U61" i="13" s="1"/>
  <c r="AE70" i="13"/>
  <c r="AF70" i="13" s="1"/>
  <c r="W220" i="13"/>
  <c r="N53" i="13"/>
  <c r="Q53" i="13" s="1"/>
  <c r="N92" i="13"/>
  <c r="Q92" i="13" s="1"/>
  <c r="K268" i="13"/>
  <c r="L268" i="13" s="1"/>
  <c r="K280" i="13"/>
  <c r="L280" i="13" s="1"/>
  <c r="U217" i="13"/>
  <c r="Q131" i="13"/>
  <c r="T131" i="13" s="1"/>
  <c r="O148" i="13"/>
  <c r="Q37" i="13"/>
  <c r="O37" i="13"/>
  <c r="W228" i="13"/>
  <c r="X228" i="13" s="1"/>
  <c r="Q150" i="13"/>
  <c r="T150" i="13" s="1"/>
  <c r="Q105" i="13"/>
  <c r="T105" i="13" s="1"/>
  <c r="Q39" i="13"/>
  <c r="R39" i="13" s="1"/>
  <c r="T207" i="13"/>
  <c r="W207" i="13" s="1"/>
  <c r="AB67" i="13"/>
  <c r="AC67" i="13" s="1"/>
  <c r="L104" i="13"/>
  <c r="T200" i="13"/>
  <c r="N138" i="13"/>
  <c r="Q138" i="13" s="1"/>
  <c r="W301" i="13"/>
  <c r="AB301" i="13" s="1"/>
  <c r="Q121" i="13"/>
  <c r="R121" i="13" s="1"/>
  <c r="O104" i="13"/>
  <c r="T206" i="13"/>
  <c r="U206" i="13" s="1"/>
  <c r="W224" i="13"/>
  <c r="Q106" i="13"/>
  <c r="T106" i="13" s="1"/>
  <c r="N56" i="13"/>
  <c r="Q56" i="13" s="1"/>
  <c r="W209" i="13"/>
  <c r="X209" i="13" s="1"/>
  <c r="T199" i="13"/>
  <c r="U199" i="13" s="1"/>
  <c r="K248" i="13"/>
  <c r="L248" i="13" s="1"/>
  <c r="W233" i="13"/>
  <c r="X233" i="13" s="1"/>
  <c r="K260" i="13"/>
  <c r="L260" i="13" s="1"/>
  <c r="Q112" i="13"/>
  <c r="T112" i="13" s="1"/>
  <c r="N99" i="13"/>
  <c r="Q99" i="13" s="1"/>
  <c r="N95" i="13"/>
  <c r="Q95" i="13" s="1"/>
  <c r="U211" i="13"/>
  <c r="Q184" i="13"/>
  <c r="R184" i="13" s="1"/>
  <c r="Q133" i="13"/>
  <c r="O133" i="13"/>
  <c r="N96" i="13"/>
  <c r="L96" i="13"/>
  <c r="Q81" i="13"/>
  <c r="R81" i="13" s="1"/>
  <c r="N178" i="13"/>
  <c r="Q178" i="13" s="1"/>
  <c r="K276" i="13"/>
  <c r="L276" i="13" s="1"/>
  <c r="K256" i="13"/>
  <c r="L256" i="13" s="1"/>
  <c r="K249" i="13"/>
  <c r="L249" i="13" s="1"/>
  <c r="N173" i="13"/>
  <c r="O173" i="13" s="1"/>
  <c r="K242" i="13"/>
  <c r="L242" i="13" s="1"/>
  <c r="O105" i="13"/>
  <c r="N288" i="13"/>
  <c r="Q288" i="13" s="1"/>
  <c r="N101" i="13"/>
  <c r="O101" i="13" s="1"/>
  <c r="K274" i="13"/>
  <c r="L274" i="13" s="1"/>
  <c r="K245" i="13"/>
  <c r="L245" i="13" s="1"/>
  <c r="Q115" i="13"/>
  <c r="O115" i="13"/>
  <c r="Q110" i="13"/>
  <c r="O110" i="13"/>
  <c r="Q125" i="13"/>
  <c r="O125" i="13"/>
  <c r="N57" i="13"/>
  <c r="Q57" i="13" s="1"/>
  <c r="K275" i="13"/>
  <c r="L275" i="13" s="1"/>
  <c r="N161" i="13"/>
  <c r="Q161" i="13" s="1"/>
  <c r="N167" i="13"/>
  <c r="Q167" i="13" s="1"/>
  <c r="K265" i="13"/>
  <c r="L265" i="13" s="1"/>
  <c r="R49" i="13"/>
  <c r="AB210" i="13"/>
  <c r="AC210" i="13" s="1"/>
  <c r="X210" i="13"/>
  <c r="Q41" i="13"/>
  <c r="O41" i="13"/>
  <c r="Q134" i="13"/>
  <c r="O134" i="13"/>
  <c r="AB218" i="13"/>
  <c r="X218" i="13"/>
  <c r="Q188" i="13"/>
  <c r="O188" i="13"/>
  <c r="O84" i="13"/>
  <c r="Q84" i="13"/>
  <c r="Q159" i="13"/>
  <c r="R159" i="13" s="1"/>
  <c r="O159" i="13"/>
  <c r="Q145" i="13"/>
  <c r="O145" i="13"/>
  <c r="W294" i="13"/>
  <c r="U294" i="13"/>
  <c r="X310" i="13"/>
  <c r="AB310" i="13"/>
  <c r="K82" i="13"/>
  <c r="L82" i="13" s="1"/>
  <c r="K156" i="13"/>
  <c r="L156" i="13" s="1"/>
  <c r="K172" i="13"/>
  <c r="L172" i="13" s="1"/>
  <c r="Q83" i="13"/>
  <c r="O83" i="13"/>
  <c r="N28" i="13"/>
  <c r="L28" i="13"/>
  <c r="Q136" i="13"/>
  <c r="O136" i="13"/>
  <c r="Q43" i="13"/>
  <c r="O43" i="13"/>
  <c r="N97" i="13"/>
  <c r="L97" i="13"/>
  <c r="N79" i="13"/>
  <c r="T64" i="13"/>
  <c r="R64" i="13"/>
  <c r="N177" i="13"/>
  <c r="E323" i="13"/>
  <c r="F322" i="13"/>
  <c r="AF71" i="13"/>
  <c r="AH71" i="13"/>
  <c r="AN71" i="13" s="1"/>
  <c r="AO71" i="13" s="1"/>
  <c r="Q130" i="13"/>
  <c r="O130" i="13"/>
  <c r="Q164" i="13"/>
  <c r="O164" i="13"/>
  <c r="N151" i="13"/>
  <c r="N29" i="13"/>
  <c r="O29" i="13" s="1"/>
  <c r="K87" i="13"/>
  <c r="L87" i="13" s="1"/>
  <c r="Q107" i="13"/>
  <c r="T107" i="13" s="1"/>
  <c r="N55" i="13"/>
  <c r="Q55" i="13" s="1"/>
  <c r="K264" i="13"/>
  <c r="K271" i="13"/>
  <c r="L271" i="13" s="1"/>
  <c r="N91" i="13"/>
  <c r="L91" i="13"/>
  <c r="Q122" i="13"/>
  <c r="O122" i="13"/>
  <c r="Q142" i="13"/>
  <c r="O142" i="13"/>
  <c r="Q48" i="13"/>
  <c r="O48" i="13"/>
  <c r="Q141" i="13"/>
  <c r="O141" i="13"/>
  <c r="Q45" i="13"/>
  <c r="O45" i="13"/>
  <c r="K258" i="13"/>
  <c r="I258" i="13"/>
  <c r="W215" i="13"/>
  <c r="U215" i="13"/>
  <c r="N166" i="13"/>
  <c r="L166" i="13"/>
  <c r="AE311" i="13"/>
  <c r="AC311" i="13"/>
  <c r="Q33" i="13"/>
  <c r="R33" i="13" s="1"/>
  <c r="O33" i="13"/>
  <c r="U236" i="13"/>
  <c r="W236" i="13"/>
  <c r="Q58" i="13"/>
  <c r="O58" i="13"/>
  <c r="Q123" i="13"/>
  <c r="O123" i="13"/>
  <c r="K261" i="13"/>
  <c r="L261" i="13" s="1"/>
  <c r="Q124" i="13"/>
  <c r="O124" i="13"/>
  <c r="N93" i="13"/>
  <c r="L93" i="13"/>
  <c r="Q290" i="13"/>
  <c r="O290" i="13"/>
  <c r="Q147" i="13"/>
  <c r="O147" i="13"/>
  <c r="W89" i="13"/>
  <c r="K255" i="13"/>
  <c r="L255" i="13" s="1"/>
  <c r="K281" i="13"/>
  <c r="L281" i="13" s="1"/>
  <c r="Q35" i="13"/>
  <c r="O35" i="13"/>
  <c r="T63" i="13"/>
  <c r="R63" i="13"/>
  <c r="Q32" i="13"/>
  <c r="O32" i="13"/>
  <c r="Q114" i="13"/>
  <c r="O114" i="13"/>
  <c r="Q117" i="13"/>
  <c r="O117" i="13"/>
  <c r="Q170" i="13"/>
  <c r="O170" i="13"/>
  <c r="X303" i="13"/>
  <c r="AB303" i="13"/>
  <c r="AF16" i="13"/>
  <c r="AH16" i="13"/>
  <c r="AN16" i="13" s="1"/>
  <c r="AO16" i="13" s="1"/>
  <c r="T190" i="13"/>
  <c r="R190" i="13"/>
  <c r="AH306" i="13"/>
  <c r="AQ306" i="13" s="1"/>
  <c r="AF306" i="13"/>
  <c r="W299" i="13"/>
  <c r="U299" i="13"/>
  <c r="N175" i="13"/>
  <c r="Q21" i="13"/>
  <c r="O21" i="13"/>
  <c r="Q46" i="13"/>
  <c r="O46" i="13"/>
  <c r="N103" i="13"/>
  <c r="L103" i="13"/>
  <c r="Q149" i="13"/>
  <c r="O149" i="13"/>
  <c r="Q44" i="13"/>
  <c r="O44" i="13"/>
  <c r="Q132" i="13"/>
  <c r="O132" i="13"/>
  <c r="T140" i="13"/>
  <c r="T291" i="13"/>
  <c r="R291" i="13"/>
  <c r="Q75" i="13"/>
  <c r="O75" i="13"/>
  <c r="Q158" i="13"/>
  <c r="O158" i="13"/>
  <c r="Q144" i="13"/>
  <c r="O144" i="13"/>
  <c r="Q186" i="13"/>
  <c r="O186" i="13"/>
  <c r="K241" i="13"/>
  <c r="L241" i="13" s="1"/>
  <c r="K247" i="13"/>
  <c r="L247" i="13" s="1"/>
  <c r="K269" i="13"/>
  <c r="L269" i="13" s="1"/>
  <c r="U295" i="13"/>
  <c r="N30" i="13"/>
  <c r="L30" i="13"/>
  <c r="K10" i="13"/>
  <c r="N10" i="13" s="1"/>
  <c r="Q77" i="13"/>
  <c r="O77" i="13"/>
  <c r="Q85" i="13"/>
  <c r="O85" i="13"/>
  <c r="Q108" i="13"/>
  <c r="O108" i="13"/>
  <c r="Q26" i="13"/>
  <c r="O26" i="13"/>
  <c r="N98" i="13"/>
  <c r="K76" i="13"/>
  <c r="L76" i="13" s="1"/>
  <c r="Q171" i="13"/>
  <c r="O171" i="13"/>
  <c r="Q189" i="13"/>
  <c r="O189" i="13"/>
  <c r="Q160" i="13"/>
  <c r="O160" i="13"/>
  <c r="Q165" i="13"/>
  <c r="O165" i="13"/>
  <c r="Q187" i="13"/>
  <c r="O187" i="13"/>
  <c r="K155" i="13"/>
  <c r="L155" i="13" s="1"/>
  <c r="K244" i="13"/>
  <c r="L244" i="13" s="1"/>
  <c r="K272" i="13"/>
  <c r="L272" i="13" s="1"/>
  <c r="N283" i="13"/>
  <c r="N285" i="13"/>
  <c r="X302" i="13"/>
  <c r="AB302" i="13"/>
  <c r="K257" i="13"/>
  <c r="N7" i="13"/>
  <c r="Q6" i="13"/>
  <c r="O6" i="13"/>
  <c r="Q86" i="13"/>
  <c r="O86" i="13"/>
  <c r="Q36" i="13"/>
  <c r="O36" i="13"/>
  <c r="Q137" i="13"/>
  <c r="O137" i="13"/>
  <c r="Q139" i="13"/>
  <c r="O139" i="13"/>
  <c r="U297" i="13"/>
  <c r="W297" i="13"/>
  <c r="Q59" i="13"/>
  <c r="O59" i="13"/>
  <c r="O31" i="13"/>
  <c r="Q74" i="13"/>
  <c r="O74" i="13"/>
  <c r="W212" i="13"/>
  <c r="U212" i="13"/>
  <c r="N179" i="13"/>
  <c r="L179" i="13"/>
  <c r="Q146" i="13"/>
  <c r="O146" i="13"/>
  <c r="Q169" i="13"/>
  <c r="O169" i="13"/>
  <c r="Q12" i="13"/>
  <c r="O12" i="13"/>
  <c r="Q38" i="13"/>
  <c r="O38" i="13"/>
  <c r="Q18" i="13"/>
  <c r="O18" i="13"/>
  <c r="Q73" i="13"/>
  <c r="O73" i="13"/>
  <c r="Q19" i="13"/>
  <c r="O19" i="13"/>
  <c r="Q40" i="13"/>
  <c r="O40" i="13"/>
  <c r="Q129" i="13"/>
  <c r="O129" i="13"/>
  <c r="Q116" i="13"/>
  <c r="O116" i="13"/>
  <c r="Q52" i="13"/>
  <c r="O52" i="13"/>
  <c r="H11" i="13"/>
  <c r="Q163" i="13"/>
  <c r="O163" i="13"/>
  <c r="N54" i="13"/>
  <c r="T195" i="13"/>
  <c r="R195" i="13"/>
  <c r="N287" i="13"/>
  <c r="W300" i="13"/>
  <c r="U300" i="13"/>
  <c r="AH307" i="13"/>
  <c r="AQ307" i="13" s="1"/>
  <c r="AF307" i="13"/>
  <c r="T203" i="13"/>
  <c r="R203" i="13"/>
  <c r="K273" i="13"/>
  <c r="AF304" i="13"/>
  <c r="AH304" i="13"/>
  <c r="AQ304" i="13" s="1"/>
  <c r="AC308" i="13"/>
  <c r="AE308" i="13"/>
  <c r="K277" i="13"/>
  <c r="L277" i="13" s="1"/>
  <c r="K267" i="13"/>
  <c r="L267" i="13" s="1"/>
  <c r="K243" i="13"/>
  <c r="L243" i="13" s="1"/>
  <c r="AI22" i="3"/>
  <c r="AG22" i="3"/>
  <c r="M19" i="3"/>
  <c r="O19" i="3"/>
  <c r="R76" i="3"/>
  <c r="U76" i="3" s="1"/>
  <c r="L98" i="3"/>
  <c r="O98" i="3" s="1"/>
  <c r="L86" i="3"/>
  <c r="O86" i="3" s="1"/>
  <c r="AF47" i="3"/>
  <c r="AC109" i="3"/>
  <c r="Y109" i="3"/>
  <c r="R57" i="3"/>
  <c r="O38" i="3"/>
  <c r="M38" i="3"/>
  <c r="X70" i="3"/>
  <c r="AH114" i="3"/>
  <c r="O87" i="3"/>
  <c r="P87" i="3" s="1"/>
  <c r="V70" i="3"/>
  <c r="AD55" i="3"/>
  <c r="AF55" i="3"/>
  <c r="J55" i="3"/>
  <c r="AD65" i="3"/>
  <c r="AF65" i="3"/>
  <c r="T114" i="3"/>
  <c r="L95" i="3"/>
  <c r="M95" i="3" s="1"/>
  <c r="AF59" i="3"/>
  <c r="AD59" i="3"/>
  <c r="O8" i="3"/>
  <c r="P8" i="3" s="1"/>
  <c r="N114" i="3"/>
  <c r="R61" i="3"/>
  <c r="X29" i="3"/>
  <c r="V29" i="3"/>
  <c r="S25" i="3"/>
  <c r="L33" i="3"/>
  <c r="J33" i="3"/>
  <c r="M47" i="3"/>
  <c r="AB114" i="3"/>
  <c r="AD56" i="3"/>
  <c r="AF56" i="3"/>
  <c r="O90" i="3"/>
  <c r="M90" i="3"/>
  <c r="O36" i="3"/>
  <c r="P36" i="3" s="1"/>
  <c r="M36" i="3"/>
  <c r="O83" i="3"/>
  <c r="O94" i="3"/>
  <c r="M67" i="3"/>
  <c r="O67" i="3"/>
  <c r="S41" i="3"/>
  <c r="AC44" i="3"/>
  <c r="G25" i="28"/>
  <c r="AD40" i="3"/>
  <c r="AF40" i="3"/>
  <c r="R13" i="3"/>
  <c r="Q114" i="3"/>
  <c r="S51" i="3"/>
  <c r="U51" i="3"/>
  <c r="O59" i="3"/>
  <c r="M59" i="3"/>
  <c r="P20" i="3"/>
  <c r="R20" i="3"/>
  <c r="AQ114" i="3"/>
  <c r="J56" i="3"/>
  <c r="L56" i="3"/>
  <c r="O46" i="3"/>
  <c r="M46" i="3"/>
  <c r="M65" i="3"/>
  <c r="AI72" i="3"/>
  <c r="AG72" i="3"/>
  <c r="L44" i="3"/>
  <c r="J44" i="3"/>
  <c r="AD77" i="3"/>
  <c r="AF77" i="3"/>
  <c r="M17" i="3"/>
  <c r="O17" i="3"/>
  <c r="P17" i="3" s="1"/>
  <c r="O64" i="3"/>
  <c r="M64" i="3"/>
  <c r="AE114" i="3"/>
  <c r="AD75" i="3"/>
  <c r="AF75" i="3"/>
  <c r="O9" i="3"/>
  <c r="R9" i="3" s="1"/>
  <c r="J60" i="3"/>
  <c r="O99" i="3"/>
  <c r="P11" i="3"/>
  <c r="R11" i="3"/>
  <c r="R49" i="3"/>
  <c r="P49" i="3"/>
  <c r="S26" i="3"/>
  <c r="U26" i="3"/>
  <c r="R58" i="3"/>
  <c r="P58" i="3"/>
  <c r="S52" i="3"/>
  <c r="O102" i="3"/>
  <c r="M102" i="3"/>
  <c r="M39" i="3"/>
  <c r="O39" i="3"/>
  <c r="M10" i="3"/>
  <c r="Q20" i="10"/>
  <c r="O20" i="10"/>
  <c r="Q9" i="10"/>
  <c r="O9" i="10"/>
  <c r="Q24" i="10"/>
  <c r="O24" i="10"/>
  <c r="Q65" i="10"/>
  <c r="O65" i="10"/>
  <c r="N12" i="10"/>
  <c r="L12" i="10"/>
  <c r="M147" i="10"/>
  <c r="V147" i="10"/>
  <c r="N115" i="10"/>
  <c r="L115" i="10"/>
  <c r="AB131" i="10"/>
  <c r="X131" i="10"/>
  <c r="N26" i="10"/>
  <c r="L26" i="10"/>
  <c r="T73" i="10"/>
  <c r="U73" i="10" s="1"/>
  <c r="R73" i="10"/>
  <c r="AR77" i="10"/>
  <c r="AF33" i="10"/>
  <c r="AH33" i="10"/>
  <c r="AC103" i="10"/>
  <c r="AE103" i="10"/>
  <c r="AR132" i="10"/>
  <c r="AZ132" i="10" s="1"/>
  <c r="AR46" i="10"/>
  <c r="O90" i="10"/>
  <c r="Q90" i="10"/>
  <c r="T72" i="10"/>
  <c r="R72" i="10"/>
  <c r="T71" i="10"/>
  <c r="U71" i="10" s="1"/>
  <c r="R71" i="10"/>
  <c r="AI42" i="10"/>
  <c r="AQ42" i="10"/>
  <c r="AC101" i="10"/>
  <c r="AE101" i="10"/>
  <c r="W142" i="10"/>
  <c r="X142" i="10" s="1"/>
  <c r="W128" i="10"/>
  <c r="X128" i="10" s="1"/>
  <c r="W126" i="10"/>
  <c r="X126" i="10" s="1"/>
  <c r="N16" i="10"/>
  <c r="L16" i="10"/>
  <c r="N10" i="10"/>
  <c r="L10" i="10"/>
  <c r="N13" i="10"/>
  <c r="L13" i="10"/>
  <c r="P147" i="10"/>
  <c r="N18" i="10"/>
  <c r="L18" i="10"/>
  <c r="W70" i="10"/>
  <c r="U70" i="10"/>
  <c r="T96" i="10"/>
  <c r="R96" i="10"/>
  <c r="Z84" i="10"/>
  <c r="Y149" i="10"/>
  <c r="Y146" i="10"/>
  <c r="AC31" i="10"/>
  <c r="AE31" i="10"/>
  <c r="N83" i="10"/>
  <c r="L83" i="10"/>
  <c r="N84" i="10"/>
  <c r="L84" i="10"/>
  <c r="X74" i="10"/>
  <c r="AB74" i="10"/>
  <c r="AC74" i="10" s="1"/>
  <c r="AR78" i="10"/>
  <c r="AF35" i="10"/>
  <c r="AH35" i="10"/>
  <c r="AI39" i="10"/>
  <c r="AQ39" i="10"/>
  <c r="AR51" i="10"/>
  <c r="AR47" i="10"/>
  <c r="AR52" i="10"/>
  <c r="AE30" i="10"/>
  <c r="W97" i="10"/>
  <c r="U97" i="10"/>
  <c r="U69" i="10"/>
  <c r="W69" i="10"/>
  <c r="AR53" i="10"/>
  <c r="AR49" i="10"/>
  <c r="AR55" i="10"/>
  <c r="W111" i="10"/>
  <c r="X111" i="10" s="1"/>
  <c r="W104" i="10"/>
  <c r="X104" i="10" s="1"/>
  <c r="N14" i="10"/>
  <c r="L14" i="10"/>
  <c r="L92" i="10"/>
  <c r="N92" i="10"/>
  <c r="N17" i="10"/>
  <c r="L17" i="10"/>
  <c r="K63" i="10"/>
  <c r="J147" i="10"/>
  <c r="N91" i="10"/>
  <c r="L91" i="10"/>
  <c r="AB75" i="10"/>
  <c r="X75" i="10"/>
  <c r="N61" i="10"/>
  <c r="U98" i="10"/>
  <c r="W98" i="10"/>
  <c r="N22" i="10"/>
  <c r="L22" i="10"/>
  <c r="AR143" i="10"/>
  <c r="AZ143" i="10" s="1"/>
  <c r="AH27" i="10"/>
  <c r="AF27" i="10"/>
  <c r="AH36" i="10"/>
  <c r="AF36" i="10"/>
  <c r="AR56" i="10"/>
  <c r="E74" i="15"/>
  <c r="F73" i="15"/>
  <c r="T140" i="10"/>
  <c r="R140" i="10"/>
  <c r="N139" i="10"/>
  <c r="L139" i="10"/>
  <c r="K138" i="10"/>
  <c r="K137" i="10"/>
  <c r="K136" i="10"/>
  <c r="K135" i="10"/>
  <c r="K134" i="10"/>
  <c r="X129" i="10"/>
  <c r="AB129" i="10"/>
  <c r="X127" i="10"/>
  <c r="AB127" i="10"/>
  <c r="N125" i="10"/>
  <c r="L125" i="10"/>
  <c r="K124" i="10"/>
  <c r="K123" i="10"/>
  <c r="K122" i="10"/>
  <c r="K121" i="10"/>
  <c r="K120" i="10"/>
  <c r="K119" i="10"/>
  <c r="K118" i="10"/>
  <c r="N109" i="10"/>
  <c r="L109" i="10"/>
  <c r="N108" i="10"/>
  <c r="L108" i="10"/>
  <c r="X102" i="10"/>
  <c r="Q95" i="10"/>
  <c r="O95" i="10"/>
  <c r="N89" i="10"/>
  <c r="L89" i="10"/>
  <c r="J87" i="10"/>
  <c r="G87" i="10"/>
  <c r="M87" i="10"/>
  <c r="P87" i="10"/>
  <c r="S87" i="10"/>
  <c r="V87" i="10"/>
  <c r="AD87" i="10"/>
  <c r="AA87" i="10"/>
  <c r="AP87" i="10"/>
  <c r="AP146" i="10" s="1"/>
  <c r="AG87" i="10"/>
  <c r="F146" i="10"/>
  <c r="F149" i="10"/>
  <c r="F153" i="10"/>
  <c r="E107" i="17"/>
  <c r="AN107" i="17" s="1"/>
  <c r="F47" i="22"/>
  <c r="G47" i="22" s="1"/>
  <c r="H51" i="22" s="1"/>
  <c r="M51" i="22" s="1"/>
  <c r="AH29" i="11"/>
  <c r="Y13" i="14"/>
  <c r="AC13" i="14"/>
  <c r="L12" i="14"/>
  <c r="P7" i="14"/>
  <c r="P6" i="14"/>
  <c r="R6" i="14"/>
  <c r="O5" i="14"/>
  <c r="X237" i="13" l="1"/>
  <c r="X315" i="13" s="1"/>
  <c r="W315" i="13"/>
  <c r="AX54" i="10"/>
  <c r="AZ54" i="10"/>
  <c r="AX44" i="10"/>
  <c r="AZ44" i="10"/>
  <c r="AX45" i="10"/>
  <c r="AZ45" i="10"/>
  <c r="AX46" i="10"/>
  <c r="AZ46" i="10"/>
  <c r="AX48" i="10"/>
  <c r="AZ48" i="10"/>
  <c r="AX49" i="10"/>
  <c r="AZ49" i="10"/>
  <c r="AX51" i="10"/>
  <c r="AZ51" i="10"/>
  <c r="AX52" i="10"/>
  <c r="AZ52" i="10"/>
  <c r="AX55" i="10"/>
  <c r="AZ55" i="10"/>
  <c r="AX56" i="10"/>
  <c r="AZ56" i="10"/>
  <c r="AX57" i="10"/>
  <c r="AZ57" i="10"/>
  <c r="AX78" i="10"/>
  <c r="AZ78" i="10"/>
  <c r="AX79" i="10"/>
  <c r="AZ79" i="10"/>
  <c r="AX37" i="15"/>
  <c r="AZ37" i="15"/>
  <c r="D33" i="32"/>
  <c r="AT39" i="10"/>
  <c r="AU39" i="10" s="1"/>
  <c r="AW39" i="10"/>
  <c r="AT42" i="10"/>
  <c r="AU42" i="10" s="1"/>
  <c r="AW42" i="10"/>
  <c r="AT50" i="10"/>
  <c r="AU50" i="10" s="1"/>
  <c r="AW50" i="10"/>
  <c r="AT43" i="10"/>
  <c r="AU43" i="10" s="1"/>
  <c r="AW43" i="10"/>
  <c r="AT77" i="10"/>
  <c r="AU77" i="10" s="1"/>
  <c r="AW77" i="10"/>
  <c r="AT47" i="10"/>
  <c r="AU47" i="10" s="1"/>
  <c r="AW47" i="10"/>
  <c r="AT53" i="10"/>
  <c r="AU53" i="10" s="1"/>
  <c r="AW53" i="10"/>
  <c r="AT238" i="13"/>
  <c r="AW238" i="13"/>
  <c r="AL22" i="14"/>
  <c r="AO22" i="14"/>
  <c r="AP22" i="14" s="1"/>
  <c r="AL22" i="3"/>
  <c r="AO22" i="3"/>
  <c r="AP22" i="3" s="1"/>
  <c r="S107" i="32"/>
  <c r="J107" i="32"/>
  <c r="Q107" i="32" s="1"/>
  <c r="AK36" i="10"/>
  <c r="AN36" i="10"/>
  <c r="AO36" i="10" s="1"/>
  <c r="AK27" i="10"/>
  <c r="AN27" i="10"/>
  <c r="AK35" i="10"/>
  <c r="AN35" i="10"/>
  <c r="AO35" i="10" s="1"/>
  <c r="AK33" i="10"/>
  <c r="AN33" i="10"/>
  <c r="AO33" i="10" s="1"/>
  <c r="AK40" i="10"/>
  <c r="AN40" i="10"/>
  <c r="AO40" i="10" s="1"/>
  <c r="AK38" i="10"/>
  <c r="AN38" i="10"/>
  <c r="AO38" i="10" s="1"/>
  <c r="AK41" i="10"/>
  <c r="AN41" i="10"/>
  <c r="AO41" i="10" s="1"/>
  <c r="J106" i="32"/>
  <c r="Q106" i="32" s="1"/>
  <c r="S106" i="32"/>
  <c r="S105" i="32"/>
  <c r="J105" i="32"/>
  <c r="Q105" i="32" s="1"/>
  <c r="S104" i="32"/>
  <c r="J104" i="32"/>
  <c r="Q104" i="32" s="1"/>
  <c r="S103" i="32"/>
  <c r="J103" i="32"/>
  <c r="Q103" i="32" s="1"/>
  <c r="S102" i="32"/>
  <c r="J102" i="32"/>
  <c r="Q102" i="32" s="1"/>
  <c r="S101" i="32"/>
  <c r="J101" i="32"/>
  <c r="Q101" i="32" s="1"/>
  <c r="AQ13" i="13"/>
  <c r="AW13" i="13" s="1"/>
  <c r="AN13" i="13"/>
  <c r="AO13" i="13" s="1"/>
  <c r="AQ14" i="13"/>
  <c r="AW14" i="13" s="1"/>
  <c r="AN14" i="13"/>
  <c r="AO14" i="13" s="1"/>
  <c r="AQ69" i="13"/>
  <c r="AW69" i="13" s="1"/>
  <c r="AN69" i="13"/>
  <c r="AO69" i="13" s="1"/>
  <c r="AQ15" i="13"/>
  <c r="AN15" i="13"/>
  <c r="AO15" i="13" s="1"/>
  <c r="O65" i="32"/>
  <c r="Q65" i="32"/>
  <c r="O66" i="32"/>
  <c r="Q66" i="32"/>
  <c r="O67" i="32"/>
  <c r="Q67" i="32"/>
  <c r="O68" i="32"/>
  <c r="Q68" i="32"/>
  <c r="O63" i="32"/>
  <c r="AL36" i="10"/>
  <c r="AL27" i="10"/>
  <c r="AO27" i="10"/>
  <c r="AL35" i="10"/>
  <c r="AL33" i="10"/>
  <c r="AL40" i="10"/>
  <c r="AL38" i="10"/>
  <c r="AL41" i="10"/>
  <c r="AL39" i="10"/>
  <c r="AL42" i="10"/>
  <c r="AL43" i="10"/>
  <c r="AL46" i="10"/>
  <c r="AL47" i="10"/>
  <c r="AL50" i="10"/>
  <c r="AL53" i="10"/>
  <c r="AL54" i="10"/>
  <c r="AL55" i="10"/>
  <c r="AL77" i="10"/>
  <c r="AP69" i="15"/>
  <c r="E31" i="17" s="1"/>
  <c r="E10" i="30" s="1"/>
  <c r="F16" i="30" s="1"/>
  <c r="AL11" i="16"/>
  <c r="AL15" i="13"/>
  <c r="AL238" i="13"/>
  <c r="E66" i="17"/>
  <c r="AH66" i="17" s="1"/>
  <c r="K282" i="13"/>
  <c r="D64" i="32"/>
  <c r="AM22" i="14"/>
  <c r="AM22" i="3"/>
  <c r="AN115" i="3"/>
  <c r="D100" i="32" s="1"/>
  <c r="AH113" i="3"/>
  <c r="AH115" i="3"/>
  <c r="AQ113" i="3"/>
  <c r="AQ115" i="3"/>
  <c r="AT115" i="3"/>
  <c r="D61" i="32" s="1"/>
  <c r="Q61" i="32" s="1"/>
  <c r="AT113" i="3"/>
  <c r="AE115" i="3"/>
  <c r="L282" i="13"/>
  <c r="N282" i="13"/>
  <c r="Q282" i="13" s="1"/>
  <c r="W225" i="13"/>
  <c r="AB225" i="13" s="1"/>
  <c r="K278" i="13"/>
  <c r="N278" i="13" s="1"/>
  <c r="O157" i="13"/>
  <c r="AI15" i="13"/>
  <c r="T192" i="13"/>
  <c r="O47" i="3"/>
  <c r="U12" i="3"/>
  <c r="X12" i="3" s="1"/>
  <c r="O96" i="3"/>
  <c r="M96" i="3"/>
  <c r="L40" i="3"/>
  <c r="M103" i="3"/>
  <c r="Q115" i="3"/>
  <c r="AG68" i="3"/>
  <c r="O84" i="3"/>
  <c r="T113" i="3"/>
  <c r="N115" i="3"/>
  <c r="K113" i="3"/>
  <c r="S16" i="3"/>
  <c r="O104" i="3"/>
  <c r="N113" i="3"/>
  <c r="U43" i="3"/>
  <c r="P50" i="3"/>
  <c r="AF21" i="3"/>
  <c r="S50" i="3"/>
  <c r="AB115" i="3"/>
  <c r="E136" i="17" s="1"/>
  <c r="AO136" i="17" s="1"/>
  <c r="L92" i="3"/>
  <c r="J92" i="3"/>
  <c r="M72" i="3"/>
  <c r="K115" i="3"/>
  <c r="V20" i="11"/>
  <c r="P914" i="27"/>
  <c r="AR11" i="16"/>
  <c r="AT11" i="16"/>
  <c r="AU11" i="16" s="1"/>
  <c r="AB141" i="10"/>
  <c r="O114" i="10"/>
  <c r="K263" i="13"/>
  <c r="L263" i="13" s="1"/>
  <c r="K9" i="13"/>
  <c r="L9" i="13" s="1"/>
  <c r="AH37" i="10"/>
  <c r="O33" i="9"/>
  <c r="G50" i="9"/>
  <c r="H50" i="9"/>
  <c r="N35" i="16"/>
  <c r="L35" i="16"/>
  <c r="P699" i="27"/>
  <c r="R204" i="27"/>
  <c r="R206" i="27" s="1"/>
  <c r="S193" i="27"/>
  <c r="S204" i="27" s="1"/>
  <c r="S206" i="27" s="1"/>
  <c r="S689" i="27"/>
  <c r="S697" i="27" s="1"/>
  <c r="R697" i="27"/>
  <c r="S256" i="27"/>
  <c r="S260" i="27" s="1"/>
  <c r="R260" i="27"/>
  <c r="V12" i="3"/>
  <c r="W62" i="13"/>
  <c r="AB62" i="13" s="1"/>
  <c r="W202" i="13"/>
  <c r="AB202" i="13" s="1"/>
  <c r="AC202" i="13" s="1"/>
  <c r="R20" i="14"/>
  <c r="Q22" i="16"/>
  <c r="AP66" i="15"/>
  <c r="R891" i="26"/>
  <c r="R779" i="27"/>
  <c r="S773" i="27"/>
  <c r="S779" i="27" s="1"/>
  <c r="R674" i="27"/>
  <c r="R699" i="27" s="1"/>
  <c r="S643" i="27"/>
  <c r="S674" i="27" s="1"/>
  <c r="S699" i="27" s="1"/>
  <c r="R603" i="27"/>
  <c r="R604" i="27" s="1"/>
  <c r="S597" i="27"/>
  <c r="S603" i="27" s="1"/>
  <c r="S604" i="27" s="1"/>
  <c r="R270" i="27"/>
  <c r="S268" i="27"/>
  <c r="S270" i="27" s="1"/>
  <c r="R756" i="27"/>
  <c r="R780" i="27" s="1"/>
  <c r="R859" i="27" s="1"/>
  <c r="S727" i="27"/>
  <c r="S756" i="27" s="1"/>
  <c r="S780" i="27" s="1"/>
  <c r="S859" i="27" s="1"/>
  <c r="R589" i="27"/>
  <c r="S588" i="27"/>
  <c r="S589" i="27" s="1"/>
  <c r="AB126" i="10"/>
  <c r="P114" i="3"/>
  <c r="K262" i="13"/>
  <c r="L262" i="13" s="1"/>
  <c r="F121" i="3"/>
  <c r="AA69" i="15"/>
  <c r="AA66" i="15"/>
  <c r="C25" i="28"/>
  <c r="W115" i="3"/>
  <c r="E208" i="17" s="1"/>
  <c r="M208" i="17" s="1"/>
  <c r="V43" i="16"/>
  <c r="E212" i="17" s="1"/>
  <c r="M212" i="17" s="1"/>
  <c r="N891" i="26"/>
  <c r="U46" i="17"/>
  <c r="C9" i="17"/>
  <c r="K9" i="17" s="1"/>
  <c r="S46" i="17"/>
  <c r="P780" i="27"/>
  <c r="P859" i="27" s="1"/>
  <c r="R635" i="27"/>
  <c r="S610" i="27"/>
  <c r="S635" i="27" s="1"/>
  <c r="AJ69" i="15"/>
  <c r="R281" i="27"/>
  <c r="S276" i="27"/>
  <c r="S281" i="27" s="1"/>
  <c r="R320" i="27"/>
  <c r="S285" i="27"/>
  <c r="S320" i="27" s="1"/>
  <c r="AS66" i="15"/>
  <c r="AJ66" i="15"/>
  <c r="K28" i="16"/>
  <c r="L28" i="16" s="1"/>
  <c r="P43" i="16"/>
  <c r="L31" i="16"/>
  <c r="N31" i="16"/>
  <c r="AK16" i="13"/>
  <c r="AQ16" i="13"/>
  <c r="AW16" i="13" s="1"/>
  <c r="AK71" i="13"/>
  <c r="AQ71" i="13"/>
  <c r="AW71" i="13" s="1"/>
  <c r="AT69" i="13"/>
  <c r="AU69" i="13" s="1"/>
  <c r="AI13" i="13"/>
  <c r="AK13" i="13"/>
  <c r="AI14" i="13"/>
  <c r="AK14" i="13"/>
  <c r="AR238" i="13"/>
  <c r="AU238" i="13"/>
  <c r="AR15" i="13"/>
  <c r="AI69" i="13"/>
  <c r="AK69" i="13"/>
  <c r="E29" i="17"/>
  <c r="E11" i="30" s="1"/>
  <c r="W29" i="11"/>
  <c r="E210" i="17" s="1"/>
  <c r="M210" i="17" s="1"/>
  <c r="T29" i="11"/>
  <c r="Q29" i="11"/>
  <c r="AE29" i="11"/>
  <c r="E104" i="17" s="1"/>
  <c r="AN104" i="17" s="1"/>
  <c r="AD33" i="3"/>
  <c r="AF33" i="3"/>
  <c r="E26" i="17"/>
  <c r="E7" i="30" s="1"/>
  <c r="F13" i="30" s="1"/>
  <c r="N11" i="9"/>
  <c r="K251" i="13"/>
  <c r="L251" i="13" s="1"/>
  <c r="E211" i="17"/>
  <c r="M211" i="17" s="1"/>
  <c r="O52" i="15"/>
  <c r="P66" i="15"/>
  <c r="L37" i="9"/>
  <c r="X40" i="9"/>
  <c r="AE41" i="9"/>
  <c r="X27" i="9"/>
  <c r="M50" i="9"/>
  <c r="I11" i="9"/>
  <c r="Q5" i="9"/>
  <c r="T5" i="9" s="1"/>
  <c r="AA50" i="9"/>
  <c r="E143" i="17" s="1"/>
  <c r="AG50" i="9"/>
  <c r="E70" i="17" s="1"/>
  <c r="U70" i="17" s="1"/>
  <c r="K35" i="9"/>
  <c r="L35" i="9" s="1"/>
  <c r="P50" i="9"/>
  <c r="AP50" i="9"/>
  <c r="E33" i="17" s="1"/>
  <c r="E9" i="30" s="1"/>
  <c r="Q10" i="9"/>
  <c r="R19" i="9"/>
  <c r="K5" i="28"/>
  <c r="K10" i="28" s="1"/>
  <c r="V50" i="9"/>
  <c r="E215" i="17" s="1"/>
  <c r="M215" i="17" s="1"/>
  <c r="S50" i="9"/>
  <c r="L38" i="9"/>
  <c r="N38" i="9"/>
  <c r="W29" i="9"/>
  <c r="AB29" i="9" s="1"/>
  <c r="N35" i="9"/>
  <c r="O35" i="9" s="1"/>
  <c r="AH109" i="17"/>
  <c r="AB109" i="17"/>
  <c r="U109" i="17"/>
  <c r="M109" i="17"/>
  <c r="E56" i="9"/>
  <c r="F55" i="9"/>
  <c r="AF5" i="9"/>
  <c r="AH5" i="9"/>
  <c r="N7" i="9"/>
  <c r="J50" i="9"/>
  <c r="X26" i="9"/>
  <c r="AB26" i="9"/>
  <c r="I32" i="9"/>
  <c r="I50" i="9" s="1"/>
  <c r="K32" i="9"/>
  <c r="R24" i="15"/>
  <c r="T46" i="15"/>
  <c r="R46" i="15"/>
  <c r="R31" i="15"/>
  <c r="T31" i="15"/>
  <c r="AB104" i="10"/>
  <c r="AC29" i="10"/>
  <c r="AE29" i="10"/>
  <c r="AB128" i="10"/>
  <c r="AE128" i="10" s="1"/>
  <c r="AF41" i="10"/>
  <c r="X67" i="10"/>
  <c r="AB67" i="10"/>
  <c r="AP43" i="16"/>
  <c r="E30" i="17" s="1"/>
  <c r="E8" i="30" s="1"/>
  <c r="C29" i="28"/>
  <c r="S43" i="16"/>
  <c r="O13" i="16"/>
  <c r="Q13" i="16"/>
  <c r="O23" i="16"/>
  <c r="Q23" i="16"/>
  <c r="K36" i="16"/>
  <c r="L36" i="16" s="1"/>
  <c r="O25" i="16"/>
  <c r="Q25" i="16"/>
  <c r="O21" i="16"/>
  <c r="Q21" i="16"/>
  <c r="AG43" i="16"/>
  <c r="E67" i="17" s="1"/>
  <c r="U67" i="17" s="1"/>
  <c r="N15" i="16"/>
  <c r="W6" i="16"/>
  <c r="U6" i="16"/>
  <c r="AH67" i="17"/>
  <c r="U106" i="17"/>
  <c r="AH106" i="17"/>
  <c r="M106" i="17"/>
  <c r="R33" i="16"/>
  <c r="T33" i="16"/>
  <c r="T39" i="16"/>
  <c r="R39" i="16"/>
  <c r="L26" i="16"/>
  <c r="N26" i="16"/>
  <c r="AB10" i="16"/>
  <c r="X10" i="16"/>
  <c r="O8" i="16"/>
  <c r="Q8" i="16"/>
  <c r="T5" i="16"/>
  <c r="R5" i="16"/>
  <c r="T27" i="16"/>
  <c r="R27" i="16"/>
  <c r="T22" i="16"/>
  <c r="R22" i="16"/>
  <c r="AA43" i="16"/>
  <c r="E140" i="17" s="1"/>
  <c r="AO140" i="17" s="1"/>
  <c r="T7" i="16"/>
  <c r="R7" i="16"/>
  <c r="O5" i="16"/>
  <c r="K20" i="16"/>
  <c r="L20" i="16" s="1"/>
  <c r="K24" i="16"/>
  <c r="L24" i="16" s="1"/>
  <c r="O18" i="16"/>
  <c r="Q18" i="16"/>
  <c r="R17" i="16"/>
  <c r="T17" i="16"/>
  <c r="I14" i="16"/>
  <c r="I43" i="16" s="1"/>
  <c r="K14" i="16"/>
  <c r="H43" i="16"/>
  <c r="E49" i="16"/>
  <c r="F48" i="16"/>
  <c r="N40" i="16"/>
  <c r="O40" i="16" s="1"/>
  <c r="R9" i="16"/>
  <c r="T9" i="16"/>
  <c r="O37" i="16"/>
  <c r="Q37" i="16"/>
  <c r="N38" i="16"/>
  <c r="N24" i="16"/>
  <c r="O24" i="16" s="1"/>
  <c r="K16" i="16"/>
  <c r="L16" i="16" s="1"/>
  <c r="J43" i="16"/>
  <c r="Q19" i="16"/>
  <c r="O19" i="16"/>
  <c r="G43" i="16"/>
  <c r="N32" i="16"/>
  <c r="O32" i="16" s="1"/>
  <c r="N34" i="16"/>
  <c r="Q29" i="16"/>
  <c r="O29" i="16"/>
  <c r="L30" i="16"/>
  <c r="N30" i="16"/>
  <c r="M43" i="16"/>
  <c r="C28" i="28"/>
  <c r="K246" i="13"/>
  <c r="N246" i="13" s="1"/>
  <c r="E105" i="17"/>
  <c r="O168" i="13"/>
  <c r="E139" i="17"/>
  <c r="AO139" i="17" s="1"/>
  <c r="U201" i="13"/>
  <c r="N80" i="13"/>
  <c r="Q80" i="13" s="1"/>
  <c r="U196" i="13"/>
  <c r="P7" i="11"/>
  <c r="R7" i="11"/>
  <c r="AB29" i="11"/>
  <c r="E138" i="17" s="1"/>
  <c r="AO138" i="17" s="1"/>
  <c r="S12" i="11"/>
  <c r="U12" i="11"/>
  <c r="L5" i="11"/>
  <c r="J5" i="11"/>
  <c r="AC15" i="11"/>
  <c r="AG16" i="11"/>
  <c r="AI16" i="11"/>
  <c r="X14" i="11"/>
  <c r="V14" i="11"/>
  <c r="U11" i="11"/>
  <c r="S11" i="11"/>
  <c r="F46" i="21"/>
  <c r="G46" i="21" s="1"/>
  <c r="I19" i="11"/>
  <c r="H29" i="11"/>
  <c r="AC8" i="11"/>
  <c r="Y8" i="11"/>
  <c r="S10" i="11"/>
  <c r="U10" i="11"/>
  <c r="AD25" i="11"/>
  <c r="AF25" i="11"/>
  <c r="AS27" i="11"/>
  <c r="BD27" i="11" s="1"/>
  <c r="L13" i="11"/>
  <c r="K29" i="11"/>
  <c r="O6" i="11"/>
  <c r="N29" i="11"/>
  <c r="AJ26" i="11"/>
  <c r="AR26" i="11"/>
  <c r="AI20" i="11"/>
  <c r="AG20" i="11"/>
  <c r="F46" i="22"/>
  <c r="G46" i="22" s="1"/>
  <c r="I54" i="22" s="1"/>
  <c r="N54" i="22" s="1"/>
  <c r="R23" i="11"/>
  <c r="P23" i="11"/>
  <c r="P18" i="11"/>
  <c r="R18" i="11"/>
  <c r="AF24" i="11"/>
  <c r="AD24" i="11"/>
  <c r="E36" i="11"/>
  <c r="F35" i="11"/>
  <c r="AC22" i="11"/>
  <c r="Y22" i="11"/>
  <c r="V21" i="11"/>
  <c r="X21" i="11"/>
  <c r="T40" i="14"/>
  <c r="Q40" i="14"/>
  <c r="M8" i="14"/>
  <c r="S34" i="14"/>
  <c r="U34" i="14"/>
  <c r="L27" i="14"/>
  <c r="M27" i="14" s="1"/>
  <c r="N40" i="14"/>
  <c r="G26" i="28"/>
  <c r="O25" i="14"/>
  <c r="O16" i="14"/>
  <c r="AH40" i="14"/>
  <c r="R31" i="14"/>
  <c r="S31" i="14" s="1"/>
  <c r="L19" i="14"/>
  <c r="M19" i="14" s="1"/>
  <c r="AB40" i="14"/>
  <c r="E137" i="17" s="1"/>
  <c r="AO137" i="17" s="1"/>
  <c r="R8" i="14"/>
  <c r="P8" i="14"/>
  <c r="O33" i="14"/>
  <c r="P33" i="14" s="1"/>
  <c r="C26" i="28"/>
  <c r="AE40" i="14"/>
  <c r="AQ40" i="14"/>
  <c r="E27" i="17" s="1"/>
  <c r="E12" i="30" s="1"/>
  <c r="J9" i="14"/>
  <c r="J40" i="14" s="1"/>
  <c r="I40" i="14"/>
  <c r="O9" i="14"/>
  <c r="M18" i="14"/>
  <c r="O18" i="14"/>
  <c r="R25" i="14"/>
  <c r="P25" i="14"/>
  <c r="K40" i="14"/>
  <c r="AR22" i="14"/>
  <c r="AU22" i="14" s="1"/>
  <c r="AJ22" i="14"/>
  <c r="AF36" i="14"/>
  <c r="AD36" i="14"/>
  <c r="R21" i="14"/>
  <c r="P21" i="14"/>
  <c r="L32" i="14"/>
  <c r="M32" i="14" s="1"/>
  <c r="U26" i="14"/>
  <c r="S26" i="14"/>
  <c r="M29" i="14"/>
  <c r="O29" i="14"/>
  <c r="R30" i="14"/>
  <c r="P30" i="14"/>
  <c r="L10" i="14"/>
  <c r="M10" i="14" s="1"/>
  <c r="E46" i="14"/>
  <c r="F45" i="14"/>
  <c r="AJ35" i="14"/>
  <c r="AR35" i="14"/>
  <c r="S20" i="14"/>
  <c r="U20" i="14"/>
  <c r="U17" i="14"/>
  <c r="S17" i="14"/>
  <c r="O27" i="14"/>
  <c r="L11" i="14"/>
  <c r="M11" i="14" s="1"/>
  <c r="L28" i="14"/>
  <c r="M28" i="14" s="1"/>
  <c r="H40" i="14"/>
  <c r="M97" i="3"/>
  <c r="O97" i="3"/>
  <c r="P97" i="3" s="1"/>
  <c r="R91" i="3"/>
  <c r="U91" i="3" s="1"/>
  <c r="AR60" i="3"/>
  <c r="T115" i="3"/>
  <c r="W113" i="3"/>
  <c r="E123" i="3"/>
  <c r="AE113" i="3"/>
  <c r="H113" i="3"/>
  <c r="AB113" i="3"/>
  <c r="I115" i="3"/>
  <c r="M86" i="3"/>
  <c r="O66" i="3"/>
  <c r="P66" i="3" s="1"/>
  <c r="I113" i="3"/>
  <c r="P45" i="3"/>
  <c r="S37" i="3"/>
  <c r="R7" i="3"/>
  <c r="J97" i="3"/>
  <c r="J66" i="3"/>
  <c r="AI33" i="3"/>
  <c r="E63" i="17"/>
  <c r="AH63" i="17" s="1"/>
  <c r="H115" i="3"/>
  <c r="AF66" i="3"/>
  <c r="AD66" i="3"/>
  <c r="AD105" i="3"/>
  <c r="U34" i="3"/>
  <c r="R87" i="3"/>
  <c r="U87" i="3" s="1"/>
  <c r="R63" i="3"/>
  <c r="S63" i="3" s="1"/>
  <c r="X74" i="3"/>
  <c r="Y74" i="3" s="1"/>
  <c r="R97" i="3"/>
  <c r="E102" i="17"/>
  <c r="AN102" i="17" s="1"/>
  <c r="S76" i="3"/>
  <c r="L89" i="3"/>
  <c r="L101" i="3"/>
  <c r="J101" i="3"/>
  <c r="L85" i="3"/>
  <c r="AJ10" i="3"/>
  <c r="AR10" i="3"/>
  <c r="R15" i="3"/>
  <c r="S15" i="3" s="1"/>
  <c r="AI63" i="3"/>
  <c r="AJ63" i="3" s="1"/>
  <c r="AG10" i="3"/>
  <c r="R69" i="3"/>
  <c r="S69" i="3" s="1"/>
  <c r="AJ33" i="3"/>
  <c r="R100" i="3"/>
  <c r="X235" i="13"/>
  <c r="AB234" i="13"/>
  <c r="AC234" i="13" s="1"/>
  <c r="R135" i="13"/>
  <c r="N240" i="13"/>
  <c r="Q240" i="13" s="1"/>
  <c r="T240" i="13" s="1"/>
  <c r="R107" i="13"/>
  <c r="T191" i="13"/>
  <c r="U191" i="13" s="1"/>
  <c r="O138" i="13"/>
  <c r="AB226" i="13"/>
  <c r="AC226" i="13" s="1"/>
  <c r="O182" i="13"/>
  <c r="N254" i="13"/>
  <c r="O254" i="13" s="1"/>
  <c r="AF69" i="13"/>
  <c r="AB222" i="13"/>
  <c r="AC222" i="13" s="1"/>
  <c r="AC68" i="13"/>
  <c r="N162" i="13"/>
  <c r="Q162" i="13" s="1"/>
  <c r="T162" i="13" s="1"/>
  <c r="X231" i="13"/>
  <c r="AE219" i="13"/>
  <c r="AF219" i="13" s="1"/>
  <c r="AB237" i="13"/>
  <c r="X225" i="13"/>
  <c r="X219" i="13"/>
  <c r="AH70" i="17"/>
  <c r="M70" i="17"/>
  <c r="X22" i="9"/>
  <c r="AB22" i="9"/>
  <c r="R16" i="9"/>
  <c r="T16" i="9"/>
  <c r="U24" i="9"/>
  <c r="W24" i="9"/>
  <c r="U15" i="9"/>
  <c r="W15" i="9"/>
  <c r="X43" i="9"/>
  <c r="AB43" i="9"/>
  <c r="AC28" i="9"/>
  <c r="AE28" i="9"/>
  <c r="AB42" i="9"/>
  <c r="X42" i="9"/>
  <c r="T13" i="9"/>
  <c r="R13" i="9"/>
  <c r="W25" i="9"/>
  <c r="U25" i="9"/>
  <c r="Q11" i="9"/>
  <c r="O11" i="9"/>
  <c r="AB20" i="9"/>
  <c r="X20" i="9"/>
  <c r="U39" i="9"/>
  <c r="W39" i="9"/>
  <c r="AB23" i="9"/>
  <c r="X23" i="9"/>
  <c r="W5" i="9"/>
  <c r="U5" i="9"/>
  <c r="O37" i="9"/>
  <c r="Q37" i="9"/>
  <c r="U21" i="9"/>
  <c r="W21" i="9"/>
  <c r="R17" i="9"/>
  <c r="T17" i="9"/>
  <c r="W19" i="9"/>
  <c r="U19" i="9"/>
  <c r="AH40" i="9"/>
  <c r="AF40" i="9"/>
  <c r="AE6" i="9"/>
  <c r="AC6" i="9"/>
  <c r="W18" i="9"/>
  <c r="U18" i="9"/>
  <c r="AH41" i="9"/>
  <c r="AF41" i="9"/>
  <c r="W14" i="9"/>
  <c r="U14" i="9"/>
  <c r="X8" i="9"/>
  <c r="AB8" i="9"/>
  <c r="L6" i="9"/>
  <c r="N6" i="9"/>
  <c r="U34" i="9"/>
  <c r="W34" i="9"/>
  <c r="T12" i="9"/>
  <c r="R12" i="9"/>
  <c r="AC27" i="9"/>
  <c r="AE27" i="9"/>
  <c r="R10" i="9"/>
  <c r="T10" i="9"/>
  <c r="AC44" i="9"/>
  <c r="AE44" i="9"/>
  <c r="AE30" i="9"/>
  <c r="AC30" i="9"/>
  <c r="T33" i="9"/>
  <c r="R33" i="9"/>
  <c r="AG127" i="17"/>
  <c r="S127" i="17"/>
  <c r="AB127" i="17"/>
  <c r="U127" i="17"/>
  <c r="C93" i="17"/>
  <c r="K93" i="17" s="1"/>
  <c r="AI93" i="17" s="1"/>
  <c r="U143" i="17"/>
  <c r="T33" i="15"/>
  <c r="R33" i="15"/>
  <c r="X43" i="15"/>
  <c r="O56" i="15"/>
  <c r="Q56" i="15"/>
  <c r="U35" i="15"/>
  <c r="W35" i="15"/>
  <c r="AC62" i="15"/>
  <c r="AE62" i="15"/>
  <c r="T21" i="15"/>
  <c r="R21" i="15"/>
  <c r="U60" i="15"/>
  <c r="W60" i="15"/>
  <c r="I53" i="15"/>
  <c r="K53" i="15"/>
  <c r="K66" i="15" s="1"/>
  <c r="H69" i="15"/>
  <c r="H66" i="15"/>
  <c r="Q7" i="15"/>
  <c r="O7" i="15"/>
  <c r="T12" i="15"/>
  <c r="R12" i="15"/>
  <c r="Q11" i="15"/>
  <c r="O11" i="15"/>
  <c r="T29" i="15"/>
  <c r="R29" i="15"/>
  <c r="R18" i="15"/>
  <c r="T18" i="15"/>
  <c r="T41" i="15"/>
  <c r="R41" i="15"/>
  <c r="T17" i="15"/>
  <c r="R17" i="15"/>
  <c r="N55" i="15"/>
  <c r="L55" i="15"/>
  <c r="Q6" i="15"/>
  <c r="O6" i="15"/>
  <c r="T16" i="15"/>
  <c r="R16" i="15"/>
  <c r="T28" i="15"/>
  <c r="R28" i="15"/>
  <c r="U36" i="15"/>
  <c r="W36" i="15"/>
  <c r="Q32" i="15"/>
  <c r="O32" i="15"/>
  <c r="Q20" i="15"/>
  <c r="O20" i="15"/>
  <c r="X27" i="15"/>
  <c r="AB27" i="15"/>
  <c r="R48" i="15"/>
  <c r="T48" i="15"/>
  <c r="L51" i="15"/>
  <c r="N51" i="15"/>
  <c r="E68" i="17"/>
  <c r="F48" i="23"/>
  <c r="G48" i="23" s="1"/>
  <c r="H52" i="23" s="1"/>
  <c r="M52" i="23" s="1"/>
  <c r="Q58" i="15"/>
  <c r="O58" i="15"/>
  <c r="N54" i="15"/>
  <c r="L54" i="15"/>
  <c r="T40" i="15"/>
  <c r="R40" i="15"/>
  <c r="U61" i="15"/>
  <c r="W61" i="15"/>
  <c r="L65" i="15"/>
  <c r="Q14" i="15"/>
  <c r="O14" i="15"/>
  <c r="T22" i="15"/>
  <c r="R22" i="15"/>
  <c r="R23" i="15"/>
  <c r="T23" i="15"/>
  <c r="Q59" i="15"/>
  <c r="O59" i="15"/>
  <c r="Q10" i="15"/>
  <c r="O10" i="15"/>
  <c r="T26" i="15"/>
  <c r="R26" i="15"/>
  <c r="Q19" i="15"/>
  <c r="O19" i="15"/>
  <c r="AE43" i="15"/>
  <c r="T30" i="15"/>
  <c r="R30" i="15"/>
  <c r="Q9" i="15"/>
  <c r="O9" i="15"/>
  <c r="W34" i="15"/>
  <c r="U34" i="15"/>
  <c r="T13" i="15"/>
  <c r="R13" i="15"/>
  <c r="Q5" i="15"/>
  <c r="O5" i="15"/>
  <c r="N65" i="15"/>
  <c r="Q57" i="15"/>
  <c r="O57" i="15"/>
  <c r="T42" i="15"/>
  <c r="R42" i="15"/>
  <c r="T52" i="15"/>
  <c r="R52" i="15"/>
  <c r="Q8" i="15"/>
  <c r="O8" i="15"/>
  <c r="F47" i="21"/>
  <c r="G47" i="21" s="1"/>
  <c r="E141" i="17"/>
  <c r="AO141" i="17" s="1"/>
  <c r="T25" i="15"/>
  <c r="R25" i="15"/>
  <c r="Q15" i="15"/>
  <c r="O15" i="15"/>
  <c r="U24" i="15"/>
  <c r="W24" i="15"/>
  <c r="AH105" i="10"/>
  <c r="AN105" i="10" s="1"/>
  <c r="X66" i="10"/>
  <c r="AB66" i="10"/>
  <c r="X68" i="10"/>
  <c r="AB68" i="10"/>
  <c r="T15" i="10"/>
  <c r="R15" i="10"/>
  <c r="R88" i="10"/>
  <c r="T88" i="10"/>
  <c r="AC32" i="10"/>
  <c r="AE32" i="10"/>
  <c r="AH28" i="10"/>
  <c r="AF28" i="10"/>
  <c r="Q24" i="13"/>
  <c r="T24" i="13" s="1"/>
  <c r="W197" i="13"/>
  <c r="X197" i="13" s="1"/>
  <c r="O102" i="13"/>
  <c r="U204" i="13"/>
  <c r="T39" i="13"/>
  <c r="W39" i="13" s="1"/>
  <c r="R47" i="13"/>
  <c r="Q100" i="13"/>
  <c r="T100" i="13" s="1"/>
  <c r="R185" i="13"/>
  <c r="T289" i="13"/>
  <c r="U289" i="13" s="1"/>
  <c r="AH230" i="13"/>
  <c r="X217" i="13"/>
  <c r="AC230" i="13"/>
  <c r="AB298" i="13"/>
  <c r="AC298" i="13" s="1"/>
  <c r="AC28" i="3"/>
  <c r="O75" i="3"/>
  <c r="R75" i="3" s="1"/>
  <c r="R82" i="3"/>
  <c r="S82" i="3" s="1"/>
  <c r="M98" i="3"/>
  <c r="AI73" i="3"/>
  <c r="AR73" i="3" s="1"/>
  <c r="R14" i="3"/>
  <c r="U14" i="3" s="1"/>
  <c r="U77" i="3"/>
  <c r="M88" i="3"/>
  <c r="O88" i="3"/>
  <c r="O68" i="3"/>
  <c r="O73" i="3"/>
  <c r="R73" i="3" s="1"/>
  <c r="U73" i="3" s="1"/>
  <c r="O95" i="3"/>
  <c r="P95" i="3" s="1"/>
  <c r="V78" i="3"/>
  <c r="Y106" i="3"/>
  <c r="AI24" i="3"/>
  <c r="AG24" i="3"/>
  <c r="BE24" i="3" s="1"/>
  <c r="BG24" i="3" s="1"/>
  <c r="R48" i="3"/>
  <c r="AC79" i="3"/>
  <c r="P53" i="3"/>
  <c r="R53" i="3"/>
  <c r="R35" i="3"/>
  <c r="S35" i="3" s="1"/>
  <c r="M93" i="3"/>
  <c r="O93" i="3"/>
  <c r="S18" i="3"/>
  <c r="U18" i="3"/>
  <c r="L80" i="13"/>
  <c r="W292" i="13"/>
  <c r="AB292" i="13" s="1"/>
  <c r="X223" i="13"/>
  <c r="W199" i="13"/>
  <c r="AB199" i="13" s="1"/>
  <c r="X227" i="13"/>
  <c r="AB208" i="13"/>
  <c r="AC208" i="13" s="1"/>
  <c r="N275" i="13"/>
  <c r="Q275" i="13" s="1"/>
  <c r="W185" i="13"/>
  <c r="AB185" i="13" s="1"/>
  <c r="AC185" i="13" s="1"/>
  <c r="AB213" i="13"/>
  <c r="AE213" i="13" s="1"/>
  <c r="Q23" i="13"/>
  <c r="T23" i="13" s="1"/>
  <c r="O55" i="13"/>
  <c r="X293" i="13"/>
  <c r="AB88" i="13"/>
  <c r="AE88" i="13" s="1"/>
  <c r="R118" i="13"/>
  <c r="T111" i="13"/>
  <c r="W111" i="13" s="1"/>
  <c r="AB111" i="13" s="1"/>
  <c r="AT14" i="13"/>
  <c r="AB211" i="13"/>
  <c r="AE211" i="13" s="1"/>
  <c r="R126" i="13"/>
  <c r="R104" i="13"/>
  <c r="X214" i="13"/>
  <c r="R42" i="13"/>
  <c r="Q60" i="10"/>
  <c r="O60" i="10"/>
  <c r="R62" i="10"/>
  <c r="T62" i="10"/>
  <c r="O86" i="10"/>
  <c r="Q86" i="10"/>
  <c r="AQ40" i="10"/>
  <c r="AW40" i="10" s="1"/>
  <c r="AI40" i="10"/>
  <c r="AB85" i="10"/>
  <c r="X85" i="10"/>
  <c r="AR50" i="10"/>
  <c r="O25" i="10"/>
  <c r="Q25" i="10"/>
  <c r="AQ37" i="10"/>
  <c r="AI37" i="10"/>
  <c r="T94" i="10"/>
  <c r="R94" i="10"/>
  <c r="AB111" i="10"/>
  <c r="W71" i="10"/>
  <c r="AB71" i="10" s="1"/>
  <c r="AE34" i="10"/>
  <c r="Q23" i="10"/>
  <c r="O23" i="10"/>
  <c r="AI38" i="10"/>
  <c r="AQ38" i="10"/>
  <c r="AW38" i="10" s="1"/>
  <c r="AC130" i="10"/>
  <c r="AE130" i="10"/>
  <c r="AR43" i="10"/>
  <c r="Q19" i="10"/>
  <c r="O19" i="10"/>
  <c r="X100" i="10"/>
  <c r="AB100" i="10"/>
  <c r="AC76" i="10"/>
  <c r="AE76" i="10"/>
  <c r="Q21" i="10"/>
  <c r="O21" i="10"/>
  <c r="T64" i="10"/>
  <c r="R64" i="10"/>
  <c r="Q11" i="10"/>
  <c r="O11" i="10"/>
  <c r="AB142" i="10"/>
  <c r="AC142" i="10" s="1"/>
  <c r="Q93" i="10"/>
  <c r="O93" i="10"/>
  <c r="Q8" i="10"/>
  <c r="O8" i="10"/>
  <c r="AB99" i="10"/>
  <c r="X99" i="10"/>
  <c r="AH305" i="13"/>
  <c r="O128" i="13"/>
  <c r="N259" i="13"/>
  <c r="O259" i="13" s="1"/>
  <c r="X301" i="13"/>
  <c r="AC296" i="13"/>
  <c r="Q181" i="13"/>
  <c r="T181" i="13" s="1"/>
  <c r="AB229" i="13"/>
  <c r="AC229" i="13" s="1"/>
  <c r="N249" i="13"/>
  <c r="O249" i="13" s="1"/>
  <c r="N280" i="13"/>
  <c r="Q280" i="13" s="1"/>
  <c r="T109" i="13"/>
  <c r="U109" i="13" s="1"/>
  <c r="R154" i="13"/>
  <c r="Q101" i="13"/>
  <c r="T101" i="13" s="1"/>
  <c r="R194" i="13"/>
  <c r="O92" i="13"/>
  <c r="T127" i="13"/>
  <c r="W127" i="13" s="1"/>
  <c r="N172" i="13"/>
  <c r="Q172" i="13" s="1"/>
  <c r="R106" i="13"/>
  <c r="AB221" i="13"/>
  <c r="AE221" i="13" s="1"/>
  <c r="T153" i="13"/>
  <c r="W153" i="13" s="1"/>
  <c r="R148" i="13"/>
  <c r="Q174" i="13"/>
  <c r="T174" i="13" s="1"/>
  <c r="AT13" i="13"/>
  <c r="T119" i="13"/>
  <c r="W119" i="13" s="1"/>
  <c r="X62" i="13"/>
  <c r="R51" i="13"/>
  <c r="R113" i="13"/>
  <c r="R112" i="13"/>
  <c r="R143" i="13"/>
  <c r="N253" i="13"/>
  <c r="Q253" i="13" s="1"/>
  <c r="N155" i="13"/>
  <c r="Q155" i="13" s="1"/>
  <c r="T50" i="13"/>
  <c r="W50" i="13" s="1"/>
  <c r="O178" i="13"/>
  <c r="R150" i="13"/>
  <c r="O240" i="13"/>
  <c r="O183" i="13"/>
  <c r="Q94" i="13"/>
  <c r="T94" i="13" s="1"/>
  <c r="N276" i="13"/>
  <c r="O276" i="13" s="1"/>
  <c r="AE66" i="13"/>
  <c r="AF66" i="13" s="1"/>
  <c r="N252" i="13"/>
  <c r="Q252" i="13" s="1"/>
  <c r="T252" i="13" s="1"/>
  <c r="W60" i="13"/>
  <c r="X60" i="13" s="1"/>
  <c r="N78" i="13"/>
  <c r="O78" i="13" s="1"/>
  <c r="U143" i="13"/>
  <c r="Q176" i="13"/>
  <c r="T176" i="13" s="1"/>
  <c r="AB228" i="13"/>
  <c r="AC228" i="13" s="1"/>
  <c r="U205" i="13"/>
  <c r="O180" i="13"/>
  <c r="N156" i="13"/>
  <c r="Q156" i="13" s="1"/>
  <c r="Q20" i="13"/>
  <c r="R20" i="13" s="1"/>
  <c r="O284" i="13"/>
  <c r="O99" i="13"/>
  <c r="U194" i="13"/>
  <c r="AB233" i="13"/>
  <c r="AE233" i="13" s="1"/>
  <c r="N242" i="13"/>
  <c r="O242" i="13" s="1"/>
  <c r="R131" i="13"/>
  <c r="AH70" i="13"/>
  <c r="N271" i="13"/>
  <c r="Q271" i="13" s="1"/>
  <c r="T120" i="13"/>
  <c r="W120" i="13" s="1"/>
  <c r="O56" i="13"/>
  <c r="U207" i="13"/>
  <c r="Q29" i="13"/>
  <c r="T29" i="13" s="1"/>
  <c r="T184" i="13"/>
  <c r="W184" i="13" s="1"/>
  <c r="N270" i="13"/>
  <c r="O270" i="13" s="1"/>
  <c r="N268" i="13"/>
  <c r="X232" i="13"/>
  <c r="AB232" i="13"/>
  <c r="W104" i="13"/>
  <c r="AB104" i="13" s="1"/>
  <c r="AE104" i="13" s="1"/>
  <c r="R193" i="13"/>
  <c r="AB209" i="13"/>
  <c r="AE209" i="13" s="1"/>
  <c r="O286" i="13"/>
  <c r="W65" i="13"/>
  <c r="AB65" i="13" s="1"/>
  <c r="N266" i="13"/>
  <c r="O266" i="13" s="1"/>
  <c r="W61" i="13"/>
  <c r="AB61" i="13" s="1"/>
  <c r="R105" i="13"/>
  <c r="W198" i="13"/>
  <c r="AB198" i="13" s="1"/>
  <c r="O53" i="13"/>
  <c r="N260" i="13"/>
  <c r="Q260" i="13" s="1"/>
  <c r="T260" i="13" s="1"/>
  <c r="N274" i="13"/>
  <c r="Q274" i="13" s="1"/>
  <c r="R152" i="13"/>
  <c r="AB220" i="13"/>
  <c r="X220" i="13"/>
  <c r="O57" i="13"/>
  <c r="O282" i="13"/>
  <c r="AB216" i="13"/>
  <c r="AC216" i="13" s="1"/>
  <c r="N82" i="13"/>
  <c r="AE67" i="13"/>
  <c r="AF67" i="13" s="1"/>
  <c r="N265" i="13"/>
  <c r="Q265" i="13" s="1"/>
  <c r="N256" i="13"/>
  <c r="O256" i="13" s="1"/>
  <c r="W200" i="13"/>
  <c r="U200" i="13"/>
  <c r="O167" i="13"/>
  <c r="T81" i="13"/>
  <c r="U81" i="13" s="1"/>
  <c r="AE210" i="13"/>
  <c r="AF210" i="13" s="1"/>
  <c r="O288" i="13"/>
  <c r="W206" i="13"/>
  <c r="X206" i="13" s="1"/>
  <c r="AB224" i="13"/>
  <c r="X224" i="13"/>
  <c r="O95" i="13"/>
  <c r="L246" i="13"/>
  <c r="T121" i="13"/>
  <c r="N269" i="13"/>
  <c r="O269" i="13" s="1"/>
  <c r="N248" i="13"/>
  <c r="O248" i="13" s="1"/>
  <c r="AC227" i="13"/>
  <c r="AE227" i="13"/>
  <c r="T37" i="13"/>
  <c r="R37" i="13"/>
  <c r="M66" i="17"/>
  <c r="R133" i="13"/>
  <c r="T133" i="13"/>
  <c r="AE235" i="13"/>
  <c r="AC235" i="13"/>
  <c r="N87" i="13"/>
  <c r="Q87" i="13" s="1"/>
  <c r="Q173" i="13"/>
  <c r="R173" i="13" s="1"/>
  <c r="N245" i="13"/>
  <c r="O96" i="13"/>
  <c r="Q96" i="13"/>
  <c r="AE214" i="13"/>
  <c r="AC214" i="13"/>
  <c r="R125" i="13"/>
  <c r="T125" i="13"/>
  <c r="T53" i="13"/>
  <c r="R53" i="13"/>
  <c r="R115" i="13"/>
  <c r="T115" i="13"/>
  <c r="O161" i="13"/>
  <c r="T159" i="13"/>
  <c r="U49" i="13"/>
  <c r="W49" i="13"/>
  <c r="U42" i="13"/>
  <c r="W42" i="13"/>
  <c r="U105" i="13"/>
  <c r="W105" i="13"/>
  <c r="M105" i="17"/>
  <c r="T110" i="13"/>
  <c r="R110" i="13"/>
  <c r="N272" i="13"/>
  <c r="Q272" i="13" s="1"/>
  <c r="U105" i="17"/>
  <c r="N255" i="13"/>
  <c r="N250" i="13"/>
  <c r="Q250" i="13" s="1"/>
  <c r="AI16" i="13"/>
  <c r="T170" i="13"/>
  <c r="R170" i="13"/>
  <c r="AF311" i="13"/>
  <c r="AH311" i="13"/>
  <c r="AN311" i="13" s="1"/>
  <c r="AO311" i="13" s="1"/>
  <c r="X201" i="13"/>
  <c r="AB201" i="13"/>
  <c r="Q79" i="13"/>
  <c r="O79" i="13"/>
  <c r="Q97" i="13"/>
  <c r="O97" i="13"/>
  <c r="T136" i="13"/>
  <c r="R136" i="13"/>
  <c r="T92" i="13"/>
  <c r="R92" i="13"/>
  <c r="AE310" i="13"/>
  <c r="AC310" i="13"/>
  <c r="W51" i="13"/>
  <c r="U51" i="13"/>
  <c r="W113" i="13"/>
  <c r="U113" i="13"/>
  <c r="T134" i="13"/>
  <c r="R134" i="13"/>
  <c r="U66" i="17"/>
  <c r="W131" i="13"/>
  <c r="U131" i="13"/>
  <c r="AE303" i="13"/>
  <c r="AC303" i="13"/>
  <c r="T114" i="13"/>
  <c r="R114" i="13"/>
  <c r="U63" i="13"/>
  <c r="W63" i="13"/>
  <c r="R94" i="13"/>
  <c r="R147" i="13"/>
  <c r="T147" i="13"/>
  <c r="U47" i="13"/>
  <c r="W47" i="13"/>
  <c r="T288" i="13"/>
  <c r="R288" i="13"/>
  <c r="T124" i="13"/>
  <c r="R124" i="13"/>
  <c r="X194" i="13"/>
  <c r="AB194" i="13"/>
  <c r="AB215" i="13"/>
  <c r="X215" i="13"/>
  <c r="T45" i="13"/>
  <c r="R45" i="13"/>
  <c r="R48" i="13"/>
  <c r="T48" i="13"/>
  <c r="X207" i="13"/>
  <c r="AB207" i="13"/>
  <c r="T122" i="13"/>
  <c r="R122" i="13"/>
  <c r="Q151" i="13"/>
  <c r="O151" i="13"/>
  <c r="W126" i="13"/>
  <c r="U126" i="13"/>
  <c r="T130" i="13"/>
  <c r="R130" i="13"/>
  <c r="W154" i="13"/>
  <c r="U154" i="13"/>
  <c r="N261" i="13"/>
  <c r="T84" i="13"/>
  <c r="R84" i="13"/>
  <c r="W112" i="13"/>
  <c r="U112" i="13"/>
  <c r="N263" i="13"/>
  <c r="Q263" i="13" s="1"/>
  <c r="N241" i="13"/>
  <c r="Q241" i="13" s="1"/>
  <c r="N279" i="13"/>
  <c r="Q279" i="13" s="1"/>
  <c r="N277" i="13"/>
  <c r="Q277" i="13" s="1"/>
  <c r="T117" i="13"/>
  <c r="R117" i="13"/>
  <c r="N281" i="13"/>
  <c r="T282" i="13"/>
  <c r="R282" i="13"/>
  <c r="T123" i="13"/>
  <c r="R123" i="13"/>
  <c r="R58" i="13"/>
  <c r="T58" i="13"/>
  <c r="U192" i="13"/>
  <c r="W192" i="13"/>
  <c r="Q166" i="13"/>
  <c r="O166" i="13"/>
  <c r="L264" i="13"/>
  <c r="N264" i="13"/>
  <c r="N9" i="13"/>
  <c r="E324" i="13"/>
  <c r="F323" i="13"/>
  <c r="AB205" i="13"/>
  <c r="X205" i="13"/>
  <c r="T43" i="13"/>
  <c r="R43" i="13"/>
  <c r="Q28" i="13"/>
  <c r="O28" i="13"/>
  <c r="T83" i="13"/>
  <c r="R83" i="13"/>
  <c r="T188" i="13"/>
  <c r="R188" i="13"/>
  <c r="AE218" i="13"/>
  <c r="AC218" i="13"/>
  <c r="T41" i="13"/>
  <c r="R41" i="13"/>
  <c r="AH68" i="13"/>
  <c r="AN68" i="13" s="1"/>
  <c r="AO68" i="13" s="1"/>
  <c r="AF68" i="13"/>
  <c r="N267" i="13"/>
  <c r="Q267" i="13" s="1"/>
  <c r="W135" i="13"/>
  <c r="U135" i="13"/>
  <c r="AE202" i="13"/>
  <c r="T32" i="13"/>
  <c r="R32" i="13"/>
  <c r="T168" i="13"/>
  <c r="R168" i="13"/>
  <c r="T35" i="13"/>
  <c r="R35" i="13"/>
  <c r="X89" i="13"/>
  <c r="AB89" i="13"/>
  <c r="T290" i="13"/>
  <c r="R290" i="13"/>
  <c r="Q93" i="13"/>
  <c r="O93" i="13"/>
  <c r="AE62" i="13"/>
  <c r="AC62" i="13"/>
  <c r="X236" i="13"/>
  <c r="AB236" i="13"/>
  <c r="N258" i="13"/>
  <c r="L258" i="13"/>
  <c r="T141" i="13"/>
  <c r="R141" i="13"/>
  <c r="T142" i="13"/>
  <c r="R142" i="13"/>
  <c r="Q91" i="13"/>
  <c r="O91" i="13"/>
  <c r="T164" i="13"/>
  <c r="R164" i="13"/>
  <c r="AI71" i="13"/>
  <c r="AT71" i="13"/>
  <c r="Q177" i="13"/>
  <c r="O177" i="13"/>
  <c r="U64" i="13"/>
  <c r="W64" i="13"/>
  <c r="AB294" i="13"/>
  <c r="X294" i="13"/>
  <c r="R145" i="13"/>
  <c r="T145" i="13"/>
  <c r="T33" i="13"/>
  <c r="T169" i="13"/>
  <c r="R169" i="13"/>
  <c r="W106" i="13"/>
  <c r="U106" i="13"/>
  <c r="Q246" i="13"/>
  <c r="O246" i="13"/>
  <c r="Q7" i="13"/>
  <c r="O7" i="13"/>
  <c r="AE301" i="13"/>
  <c r="AC301" i="13"/>
  <c r="Q285" i="13"/>
  <c r="O285" i="13"/>
  <c r="AC225" i="13"/>
  <c r="AE225" i="13"/>
  <c r="T85" i="13"/>
  <c r="R85" i="13"/>
  <c r="Q30" i="13"/>
  <c r="O30" i="13"/>
  <c r="X295" i="13"/>
  <c r="AB295" i="13"/>
  <c r="W140" i="13"/>
  <c r="U140" i="13"/>
  <c r="Q10" i="13"/>
  <c r="O10" i="13"/>
  <c r="AC293" i="13"/>
  <c r="AE293" i="13"/>
  <c r="Q179" i="13"/>
  <c r="O179" i="13"/>
  <c r="T138" i="13"/>
  <c r="R138" i="13"/>
  <c r="T108" i="13"/>
  <c r="R108" i="13"/>
  <c r="AC217" i="13"/>
  <c r="AE217" i="13"/>
  <c r="X204" i="13"/>
  <c r="AB204" i="13"/>
  <c r="W203" i="13"/>
  <c r="U203" i="13"/>
  <c r="T180" i="13"/>
  <c r="R180" i="13"/>
  <c r="AB300" i="13"/>
  <c r="X300" i="13"/>
  <c r="Q54" i="13"/>
  <c r="O54" i="13"/>
  <c r="W193" i="13"/>
  <c r="U193" i="13"/>
  <c r="I11" i="13"/>
  <c r="T128" i="13"/>
  <c r="R128" i="13"/>
  <c r="T52" i="13"/>
  <c r="R52" i="13"/>
  <c r="T129" i="13"/>
  <c r="R129" i="13"/>
  <c r="T40" i="13"/>
  <c r="R40" i="13"/>
  <c r="T73" i="13"/>
  <c r="R73" i="13"/>
  <c r="AC231" i="13"/>
  <c r="AE231" i="13"/>
  <c r="K11" i="13"/>
  <c r="W107" i="13"/>
  <c r="U107" i="13"/>
  <c r="T86" i="13"/>
  <c r="R86" i="13"/>
  <c r="L257" i="13"/>
  <c r="N257" i="13"/>
  <c r="AF296" i="13"/>
  <c r="AH296" i="13"/>
  <c r="AQ296" i="13" s="1"/>
  <c r="T165" i="13"/>
  <c r="R165" i="13"/>
  <c r="T284" i="13"/>
  <c r="R284" i="13"/>
  <c r="W150" i="13"/>
  <c r="U150" i="13"/>
  <c r="T161" i="13"/>
  <c r="R161" i="13"/>
  <c r="T144" i="13"/>
  <c r="R144" i="13"/>
  <c r="T158" i="13"/>
  <c r="R158" i="13"/>
  <c r="T102" i="13"/>
  <c r="R102" i="13"/>
  <c r="AE223" i="13"/>
  <c r="AC223" i="13"/>
  <c r="N247" i="13"/>
  <c r="T132" i="13"/>
  <c r="R132" i="13"/>
  <c r="T99" i="13"/>
  <c r="R99" i="13"/>
  <c r="Q103" i="13"/>
  <c r="O103" i="13"/>
  <c r="O80" i="13"/>
  <c r="X299" i="13"/>
  <c r="AB299" i="13"/>
  <c r="W190" i="13"/>
  <c r="U190" i="13"/>
  <c r="AR69" i="13"/>
  <c r="AH308" i="13"/>
  <c r="AQ308" i="13" s="1"/>
  <c r="AF308" i="13"/>
  <c r="L273" i="13"/>
  <c r="N273" i="13"/>
  <c r="AI307" i="13"/>
  <c r="AT307" i="13"/>
  <c r="W195" i="13"/>
  <c r="U195" i="13"/>
  <c r="X143" i="13"/>
  <c r="AB143" i="13"/>
  <c r="T12" i="13"/>
  <c r="R12" i="13"/>
  <c r="T146" i="13"/>
  <c r="R146" i="13"/>
  <c r="T74" i="13"/>
  <c r="R74" i="13"/>
  <c r="R178" i="13"/>
  <c r="T178" i="13"/>
  <c r="Q98" i="13"/>
  <c r="O98" i="13"/>
  <c r="T77" i="13"/>
  <c r="R77" i="13"/>
  <c r="AI304" i="13"/>
  <c r="AT304" i="13"/>
  <c r="N243" i="13"/>
  <c r="Q287" i="13"/>
  <c r="O287" i="13"/>
  <c r="W152" i="13"/>
  <c r="U152" i="13"/>
  <c r="T55" i="13"/>
  <c r="R55" i="13"/>
  <c r="AB212" i="13"/>
  <c r="X212" i="13"/>
  <c r="T95" i="13"/>
  <c r="R95" i="13"/>
  <c r="T31" i="13"/>
  <c r="R31" i="13"/>
  <c r="T59" i="13"/>
  <c r="R59" i="13"/>
  <c r="X196" i="13"/>
  <c r="AB196" i="13"/>
  <c r="U118" i="13"/>
  <c r="W118" i="13"/>
  <c r="T6" i="13"/>
  <c r="R6" i="13"/>
  <c r="AC302" i="13"/>
  <c r="AE302" i="13"/>
  <c r="T26" i="13"/>
  <c r="R26" i="13"/>
  <c r="T57" i="13"/>
  <c r="R57" i="13"/>
  <c r="L10" i="13"/>
  <c r="R286" i="13"/>
  <c r="T286" i="13"/>
  <c r="W291" i="13"/>
  <c r="U291" i="13"/>
  <c r="T183" i="13"/>
  <c r="R183" i="13"/>
  <c r="T21" i="13"/>
  <c r="R21" i="13"/>
  <c r="T163" i="13"/>
  <c r="R163" i="13"/>
  <c r="N76" i="13"/>
  <c r="T116" i="13"/>
  <c r="R116" i="13"/>
  <c r="T19" i="13"/>
  <c r="R19" i="13"/>
  <c r="T18" i="13"/>
  <c r="R18" i="13"/>
  <c r="T38" i="13"/>
  <c r="R38" i="13"/>
  <c r="AB297" i="13"/>
  <c r="X297" i="13"/>
  <c r="T139" i="13"/>
  <c r="R139" i="13"/>
  <c r="T137" i="13"/>
  <c r="R137" i="13"/>
  <c r="T36" i="13"/>
  <c r="R36" i="13"/>
  <c r="O283" i="13"/>
  <c r="Q283" i="13"/>
  <c r="T187" i="13"/>
  <c r="R187" i="13"/>
  <c r="T160" i="13"/>
  <c r="R160" i="13"/>
  <c r="T189" i="13"/>
  <c r="R189" i="13"/>
  <c r="T171" i="13"/>
  <c r="R171" i="13"/>
  <c r="T182" i="13"/>
  <c r="R182" i="13"/>
  <c r="W148" i="13"/>
  <c r="U148" i="13"/>
  <c r="T167" i="13"/>
  <c r="R167" i="13"/>
  <c r="T186" i="13"/>
  <c r="R186" i="13"/>
  <c r="T75" i="13"/>
  <c r="R75" i="13"/>
  <c r="T157" i="13"/>
  <c r="R157" i="13"/>
  <c r="AG139" i="17"/>
  <c r="U139" i="17"/>
  <c r="M139" i="17"/>
  <c r="T44" i="13"/>
  <c r="R44" i="13"/>
  <c r="T149" i="13"/>
  <c r="R149" i="13"/>
  <c r="T56" i="13"/>
  <c r="R56" i="13"/>
  <c r="T46" i="13"/>
  <c r="R46" i="13"/>
  <c r="Q175" i="13"/>
  <c r="O175" i="13"/>
  <c r="N244" i="13"/>
  <c r="AI306" i="13"/>
  <c r="AT306" i="13"/>
  <c r="M55" i="3"/>
  <c r="O55" i="3"/>
  <c r="X37" i="3"/>
  <c r="V37" i="3"/>
  <c r="AC70" i="3"/>
  <c r="Y70" i="3"/>
  <c r="R8" i="3"/>
  <c r="R19" i="3"/>
  <c r="P19" i="3"/>
  <c r="O114" i="3"/>
  <c r="AG65" i="3"/>
  <c r="AI65" i="3"/>
  <c r="U57" i="3"/>
  <c r="S57" i="3"/>
  <c r="Y29" i="3"/>
  <c r="AC29" i="3"/>
  <c r="S45" i="3"/>
  <c r="U45" i="3"/>
  <c r="AI59" i="3"/>
  <c r="AG59" i="3"/>
  <c r="P84" i="3"/>
  <c r="R84" i="3"/>
  <c r="AC12" i="3"/>
  <c r="Y12" i="3"/>
  <c r="X25" i="3"/>
  <c r="V25" i="3"/>
  <c r="U61" i="3"/>
  <c r="S61" i="3"/>
  <c r="AG47" i="3"/>
  <c r="AI47" i="3"/>
  <c r="AR22" i="3"/>
  <c r="AJ22" i="3"/>
  <c r="AS10" i="3"/>
  <c r="AJ68" i="3"/>
  <c r="AR68" i="3"/>
  <c r="AI55" i="3"/>
  <c r="AG55" i="3"/>
  <c r="P38" i="3"/>
  <c r="R38" i="3"/>
  <c r="AF109" i="3"/>
  <c r="AD109" i="3"/>
  <c r="S9" i="3"/>
  <c r="U9" i="3"/>
  <c r="AJ72" i="3"/>
  <c r="AR72" i="3"/>
  <c r="P98" i="3"/>
  <c r="R98" i="3"/>
  <c r="S58" i="3"/>
  <c r="U58" i="3"/>
  <c r="X76" i="3"/>
  <c r="V76" i="3"/>
  <c r="AG21" i="3"/>
  <c r="AI21" i="3"/>
  <c r="P46" i="3"/>
  <c r="R46" i="3"/>
  <c r="M56" i="3"/>
  <c r="O56" i="3"/>
  <c r="X51" i="3"/>
  <c r="V51" i="3"/>
  <c r="AG40" i="3"/>
  <c r="AI40" i="3"/>
  <c r="AC78" i="3"/>
  <c r="Y78" i="3"/>
  <c r="J113" i="3"/>
  <c r="R17" i="3"/>
  <c r="AG56" i="3"/>
  <c r="AI56" i="3"/>
  <c r="O33" i="3"/>
  <c r="M33" i="3"/>
  <c r="R10" i="3"/>
  <c r="P10" i="3"/>
  <c r="V26" i="3"/>
  <c r="X26" i="3"/>
  <c r="R65" i="3"/>
  <c r="P65" i="3"/>
  <c r="X16" i="3"/>
  <c r="V16" i="3"/>
  <c r="V41" i="3"/>
  <c r="X41" i="3"/>
  <c r="P94" i="3"/>
  <c r="R94" i="3"/>
  <c r="P90" i="3"/>
  <c r="R90" i="3"/>
  <c r="AG105" i="3"/>
  <c r="AI105" i="3"/>
  <c r="P102" i="3"/>
  <c r="R102" i="3"/>
  <c r="M60" i="3"/>
  <c r="O60" i="3"/>
  <c r="P9" i="3"/>
  <c r="R64" i="3"/>
  <c r="P64" i="3"/>
  <c r="O44" i="3"/>
  <c r="M44" i="3"/>
  <c r="R103" i="3"/>
  <c r="P103" i="3"/>
  <c r="P59" i="3"/>
  <c r="R59" i="3"/>
  <c r="G15" i="28"/>
  <c r="AF44" i="3"/>
  <c r="AD44" i="3"/>
  <c r="P83" i="3"/>
  <c r="R83" i="3"/>
  <c r="AD106" i="3"/>
  <c r="AF106" i="3"/>
  <c r="P47" i="3"/>
  <c r="R47" i="3"/>
  <c r="U13" i="3"/>
  <c r="S13" i="3"/>
  <c r="P39" i="3"/>
  <c r="R39" i="3"/>
  <c r="V34" i="3"/>
  <c r="X34" i="3"/>
  <c r="P72" i="3"/>
  <c r="R72" i="3"/>
  <c r="X52" i="3"/>
  <c r="V52" i="3"/>
  <c r="S49" i="3"/>
  <c r="U49" i="3"/>
  <c r="U11" i="3"/>
  <c r="S11" i="3"/>
  <c r="P99" i="3"/>
  <c r="R99" i="3"/>
  <c r="O40" i="3"/>
  <c r="M40" i="3"/>
  <c r="AG75" i="3"/>
  <c r="AI75" i="3"/>
  <c r="AG77" i="3"/>
  <c r="AI77" i="3"/>
  <c r="V50" i="3"/>
  <c r="X50" i="3"/>
  <c r="P86" i="3"/>
  <c r="R86" i="3"/>
  <c r="S97" i="3"/>
  <c r="U97" i="3"/>
  <c r="R36" i="3"/>
  <c r="S20" i="3"/>
  <c r="U20" i="3"/>
  <c r="V43" i="3"/>
  <c r="X43" i="3"/>
  <c r="P67" i="3"/>
  <c r="R67" i="3"/>
  <c r="AG136" i="17"/>
  <c r="U136" i="17"/>
  <c r="M136" i="17"/>
  <c r="U63" i="17"/>
  <c r="Q91" i="10"/>
  <c r="O91" i="10"/>
  <c r="Q17" i="10"/>
  <c r="O17" i="10"/>
  <c r="AH30" i="10"/>
  <c r="AF30" i="10"/>
  <c r="Q84" i="10"/>
  <c r="O84" i="10"/>
  <c r="AR42" i="10"/>
  <c r="Q12" i="10"/>
  <c r="O12" i="10"/>
  <c r="AQ27" i="10"/>
  <c r="AI27" i="10"/>
  <c r="X98" i="10"/>
  <c r="AB98" i="10"/>
  <c r="Q14" i="10"/>
  <c r="O14" i="10"/>
  <c r="AQ41" i="10"/>
  <c r="AI41" i="10"/>
  <c r="T114" i="10"/>
  <c r="R114" i="10"/>
  <c r="AR39" i="10"/>
  <c r="U96" i="10"/>
  <c r="W96" i="10"/>
  <c r="Q18" i="10"/>
  <c r="O18" i="10"/>
  <c r="Q13" i="10"/>
  <c r="O13" i="10"/>
  <c r="Q16" i="10"/>
  <c r="O16" i="10"/>
  <c r="U72" i="10"/>
  <c r="W72" i="10"/>
  <c r="AE74" i="10"/>
  <c r="Q26" i="10"/>
  <c r="O26" i="10"/>
  <c r="O115" i="10"/>
  <c r="Q115" i="10"/>
  <c r="W73" i="10"/>
  <c r="T65" i="10"/>
  <c r="R65" i="10"/>
  <c r="T24" i="10"/>
  <c r="R24" i="10"/>
  <c r="T20" i="10"/>
  <c r="R20" i="10"/>
  <c r="N63" i="10"/>
  <c r="L63" i="10"/>
  <c r="L147" i="10" s="1"/>
  <c r="K147" i="10"/>
  <c r="Q92" i="10"/>
  <c r="O92" i="10"/>
  <c r="AB69" i="10"/>
  <c r="X69" i="10"/>
  <c r="Q83" i="10"/>
  <c r="O83" i="10"/>
  <c r="AF101" i="10"/>
  <c r="AH101" i="10"/>
  <c r="T90" i="10"/>
  <c r="R90" i="10"/>
  <c r="AE75" i="10"/>
  <c r="AC75" i="10"/>
  <c r="AQ36" i="10"/>
  <c r="AI36" i="10"/>
  <c r="Q22" i="10"/>
  <c r="O22" i="10"/>
  <c r="Q61" i="10"/>
  <c r="N147" i="10"/>
  <c r="O61" i="10"/>
  <c r="AB97" i="10"/>
  <c r="X97" i="10"/>
  <c r="AI35" i="10"/>
  <c r="AQ35" i="10"/>
  <c r="AF31" i="10"/>
  <c r="AH31" i="10"/>
  <c r="Z149" i="10"/>
  <c r="Z146" i="10"/>
  <c r="AB70" i="10"/>
  <c r="X70" i="10"/>
  <c r="Q10" i="10"/>
  <c r="O10" i="10"/>
  <c r="AH103" i="10"/>
  <c r="AF103" i="10"/>
  <c r="AQ33" i="10"/>
  <c r="AI33" i="10"/>
  <c r="AE131" i="10"/>
  <c r="AC131" i="10"/>
  <c r="T9" i="10"/>
  <c r="R9" i="10"/>
  <c r="E75" i="15"/>
  <c r="F74" i="15"/>
  <c r="F154" i="10"/>
  <c r="AG146" i="10"/>
  <c r="AG149" i="10"/>
  <c r="AP149" i="10"/>
  <c r="E32" i="17" s="1"/>
  <c r="E5" i="30" s="1"/>
  <c r="F17" i="30" s="1"/>
  <c r="AA146" i="10"/>
  <c r="G30" i="28"/>
  <c r="AA149" i="10"/>
  <c r="AD146" i="10"/>
  <c r="AD149" i="10"/>
  <c r="V149" i="10"/>
  <c r="E214" i="17" s="1"/>
  <c r="M214" i="17" s="1"/>
  <c r="V146" i="10"/>
  <c r="S146" i="10"/>
  <c r="S149" i="10"/>
  <c r="P146" i="10"/>
  <c r="P149" i="10"/>
  <c r="M146" i="10"/>
  <c r="M149" i="10"/>
  <c r="H87" i="10"/>
  <c r="K87" i="10" s="1"/>
  <c r="G146" i="10"/>
  <c r="G149" i="10"/>
  <c r="J146" i="10"/>
  <c r="J149" i="10"/>
  <c r="Q89" i="10"/>
  <c r="O89" i="10"/>
  <c r="T95" i="10"/>
  <c r="R95" i="10"/>
  <c r="AC102" i="10"/>
  <c r="AE102" i="10"/>
  <c r="AC104" i="10"/>
  <c r="AE104" i="10"/>
  <c r="Q108" i="10"/>
  <c r="O108" i="10"/>
  <c r="Q109" i="10"/>
  <c r="O109" i="10"/>
  <c r="AE111" i="10"/>
  <c r="AC111" i="10"/>
  <c r="N118" i="10"/>
  <c r="L118" i="10"/>
  <c r="N119" i="10"/>
  <c r="L119" i="10"/>
  <c r="N120" i="10"/>
  <c r="L120" i="10"/>
  <c r="N121" i="10"/>
  <c r="L121" i="10"/>
  <c r="N122" i="10"/>
  <c r="L122" i="10"/>
  <c r="N123" i="10"/>
  <c r="L123" i="10"/>
  <c r="N124" i="10"/>
  <c r="L124" i="10"/>
  <c r="Q125" i="10"/>
  <c r="O125" i="10"/>
  <c r="AC126" i="10"/>
  <c r="AE126" i="10"/>
  <c r="AC127" i="10"/>
  <c r="AE127" i="10"/>
  <c r="AC128" i="10"/>
  <c r="AC129" i="10"/>
  <c r="AE129" i="10"/>
  <c r="N134" i="10"/>
  <c r="L134" i="10"/>
  <c r="N135" i="10"/>
  <c r="L135" i="10"/>
  <c r="N136" i="10"/>
  <c r="L136" i="10"/>
  <c r="N137" i="10"/>
  <c r="L137" i="10"/>
  <c r="N138" i="10"/>
  <c r="L138" i="10"/>
  <c r="Q139" i="10"/>
  <c r="O139" i="10"/>
  <c r="U140" i="10"/>
  <c r="W140" i="10"/>
  <c r="AC141" i="10"/>
  <c r="AE141" i="10"/>
  <c r="AH107" i="17"/>
  <c r="U107" i="17"/>
  <c r="M107" i="17"/>
  <c r="E65" i="17"/>
  <c r="F47" i="23"/>
  <c r="G47" i="23" s="1"/>
  <c r="I55" i="23" s="1"/>
  <c r="N55" i="23" s="1"/>
  <c r="E64" i="17"/>
  <c r="E103" i="17"/>
  <c r="AN103" i="17" s="1"/>
  <c r="M209" i="17"/>
  <c r="P5" i="14"/>
  <c r="R5" i="14"/>
  <c r="S6" i="14"/>
  <c r="U6" i="14"/>
  <c r="S7" i="14"/>
  <c r="U7" i="14"/>
  <c r="M12" i="14"/>
  <c r="O12" i="14"/>
  <c r="AD13" i="14"/>
  <c r="AF13" i="14"/>
  <c r="AC237" i="13" l="1"/>
  <c r="AC315" i="13" s="1"/>
  <c r="AB315" i="13"/>
  <c r="AX38" i="10"/>
  <c r="AZ38" i="10"/>
  <c r="AX40" i="10"/>
  <c r="AZ40" i="10"/>
  <c r="AX53" i="10"/>
  <c r="AZ53" i="10"/>
  <c r="AX47" i="10"/>
  <c r="AZ47" i="10"/>
  <c r="AX77" i="10"/>
  <c r="AZ77" i="10"/>
  <c r="AX43" i="10"/>
  <c r="AZ43" i="10"/>
  <c r="AX50" i="10"/>
  <c r="AZ50" i="10"/>
  <c r="AX42" i="10"/>
  <c r="AZ42" i="10"/>
  <c r="AX39" i="10"/>
  <c r="AZ39" i="10"/>
  <c r="AT33" i="10"/>
  <c r="AU33" i="10" s="1"/>
  <c r="AW33" i="10"/>
  <c r="AT35" i="10"/>
  <c r="AU35" i="10" s="1"/>
  <c r="AW35" i="10"/>
  <c r="AT36" i="10"/>
  <c r="AU36" i="10" s="1"/>
  <c r="AW36" i="10"/>
  <c r="AT41" i="10"/>
  <c r="AU41" i="10" s="1"/>
  <c r="AW41" i="10"/>
  <c r="AT27" i="10"/>
  <c r="AU27" i="10" s="1"/>
  <c r="AW27" i="10"/>
  <c r="AT37" i="10"/>
  <c r="AU37" i="10" s="1"/>
  <c r="AW37" i="10"/>
  <c r="AX71" i="13"/>
  <c r="AZ71" i="13"/>
  <c r="AX16" i="13"/>
  <c r="AZ16" i="13"/>
  <c r="AX69" i="13"/>
  <c r="AZ69" i="13"/>
  <c r="AX14" i="13"/>
  <c r="AZ14" i="13"/>
  <c r="AX13" i="13"/>
  <c r="AZ13" i="13"/>
  <c r="AX238" i="13"/>
  <c r="AZ238" i="13"/>
  <c r="AT15" i="13"/>
  <c r="AU15" i="13" s="1"/>
  <c r="AW15" i="13"/>
  <c r="AL21" i="3"/>
  <c r="AO21" i="3"/>
  <c r="AP21" i="3" s="1"/>
  <c r="BB10" i="3"/>
  <c r="AS60" i="3"/>
  <c r="BB60" i="3"/>
  <c r="AK103" i="10"/>
  <c r="AN103" i="10"/>
  <c r="AK31" i="10"/>
  <c r="AN31" i="10"/>
  <c r="AO31" i="10" s="1"/>
  <c r="AK101" i="10"/>
  <c r="AN101" i="10"/>
  <c r="AK30" i="10"/>
  <c r="AN30" i="10"/>
  <c r="AO30" i="10" s="1"/>
  <c r="AK28" i="10"/>
  <c r="AN28" i="10"/>
  <c r="AO28" i="10" s="1"/>
  <c r="AK37" i="10"/>
  <c r="AN37" i="10"/>
  <c r="AO37" i="10" s="1"/>
  <c r="S100" i="32"/>
  <c r="D109" i="32"/>
  <c r="J100" i="32"/>
  <c r="Q100" i="32" s="1"/>
  <c r="AQ70" i="13"/>
  <c r="AW70" i="13" s="1"/>
  <c r="AN70" i="13"/>
  <c r="AO70" i="13" s="1"/>
  <c r="AQ230" i="13"/>
  <c r="AW230" i="13" s="1"/>
  <c r="AN230" i="13"/>
  <c r="AO230" i="13" s="1"/>
  <c r="O64" i="32"/>
  <c r="Q64" i="32"/>
  <c r="O61" i="32"/>
  <c r="D70" i="32"/>
  <c r="AL103" i="10"/>
  <c r="AO103" i="10"/>
  <c r="AL31" i="10"/>
  <c r="AL101" i="10"/>
  <c r="AO101" i="10"/>
  <c r="AL30" i="10"/>
  <c r="AL28" i="10"/>
  <c r="AL37" i="10"/>
  <c r="AL69" i="13"/>
  <c r="AL14" i="13"/>
  <c r="AL13" i="13"/>
  <c r="AL71" i="13"/>
  <c r="AL16" i="13"/>
  <c r="AV22" i="14"/>
  <c r="AX22" i="14"/>
  <c r="AY22" i="14" s="1"/>
  <c r="AM21" i="3"/>
  <c r="AR33" i="3"/>
  <c r="AG33" i="3"/>
  <c r="M102" i="17"/>
  <c r="Q278" i="13"/>
  <c r="O278" i="13"/>
  <c r="N251" i="13"/>
  <c r="Q251" i="13" s="1"/>
  <c r="L278" i="13"/>
  <c r="X202" i="13"/>
  <c r="L115" i="3"/>
  <c r="P104" i="3"/>
  <c r="R104" i="3"/>
  <c r="F44" i="23"/>
  <c r="G44" i="23" s="1"/>
  <c r="I54" i="23" s="1"/>
  <c r="P96" i="3"/>
  <c r="R96" i="3"/>
  <c r="M63" i="17"/>
  <c r="AC74" i="3"/>
  <c r="R66" i="3"/>
  <c r="S66" i="3" s="1"/>
  <c r="J115" i="3"/>
  <c r="M92" i="3"/>
  <c r="O92" i="3"/>
  <c r="S91" i="3"/>
  <c r="AR40" i="10"/>
  <c r="AT40" i="10"/>
  <c r="AU40" i="10" s="1"/>
  <c r="U102" i="17"/>
  <c r="S87" i="3"/>
  <c r="O280" i="13"/>
  <c r="W191" i="13"/>
  <c r="R321" i="27"/>
  <c r="R354" i="27" s="1"/>
  <c r="R591" i="27" s="1"/>
  <c r="R914" i="27" s="1"/>
  <c r="F43" i="22"/>
  <c r="G43" i="22" s="1"/>
  <c r="I53" i="22" s="1"/>
  <c r="AH102" i="17"/>
  <c r="U69" i="3"/>
  <c r="AR38" i="10"/>
  <c r="AT38" i="10"/>
  <c r="AU38" i="10" s="1"/>
  <c r="AB70" i="17"/>
  <c r="S321" i="27"/>
  <c r="S354" i="27" s="1"/>
  <c r="S591" i="27" s="1"/>
  <c r="S914" i="27" s="1"/>
  <c r="O35" i="16"/>
  <c r="Q35" i="16"/>
  <c r="N28" i="16"/>
  <c r="O28" i="16" s="1"/>
  <c r="S637" i="27"/>
  <c r="Q254" i="13"/>
  <c r="N262" i="13"/>
  <c r="R637" i="27"/>
  <c r="AI105" i="10"/>
  <c r="AK105" i="10"/>
  <c r="O31" i="16"/>
  <c r="Q31" i="16"/>
  <c r="AK68" i="13"/>
  <c r="AQ68" i="13"/>
  <c r="AW68" i="13" s="1"/>
  <c r="AK311" i="13"/>
  <c r="AQ311" i="13"/>
  <c r="AW311" i="13" s="1"/>
  <c r="AQ305" i="13"/>
  <c r="AT305" i="13" s="1"/>
  <c r="AT16" i="13"/>
  <c r="AU16" i="13" s="1"/>
  <c r="F23" i="30"/>
  <c r="F18" i="30"/>
  <c r="M143" i="17"/>
  <c r="AO143" i="17"/>
  <c r="AR71" i="13"/>
  <c r="AU71" i="13"/>
  <c r="AT70" i="13"/>
  <c r="AK70" i="13"/>
  <c r="AR13" i="13"/>
  <c r="AU13" i="13"/>
  <c r="AR14" i="13"/>
  <c r="AU14" i="13"/>
  <c r="AI230" i="13"/>
  <c r="AK230" i="13"/>
  <c r="AH105" i="17"/>
  <c r="AN105" i="17"/>
  <c r="F26" i="30"/>
  <c r="F20" i="30"/>
  <c r="AS22" i="3"/>
  <c r="AU22" i="3"/>
  <c r="AV22" i="3" s="1"/>
  <c r="F24" i="30"/>
  <c r="F19" i="30"/>
  <c r="F25" i="30"/>
  <c r="F15" i="30"/>
  <c r="AG143" i="17"/>
  <c r="X29" i="9"/>
  <c r="AB143" i="17"/>
  <c r="E217" i="17"/>
  <c r="R5" i="9"/>
  <c r="Q35" i="9"/>
  <c r="R35" i="9" s="1"/>
  <c r="O38" i="9"/>
  <c r="Q38" i="9"/>
  <c r="AE26" i="9"/>
  <c r="AC26" i="9"/>
  <c r="Q7" i="9"/>
  <c r="O7" i="9"/>
  <c r="E57" i="9"/>
  <c r="F56" i="9"/>
  <c r="L32" i="9"/>
  <c r="L50" i="9" s="1"/>
  <c r="N32" i="9"/>
  <c r="N50" i="9" s="1"/>
  <c r="K50" i="9"/>
  <c r="AI5" i="9"/>
  <c r="BC5" i="9" s="1"/>
  <c r="AQ5" i="9"/>
  <c r="U31" i="15"/>
  <c r="W31" i="15"/>
  <c r="U46" i="15"/>
  <c r="W46" i="15"/>
  <c r="AC67" i="10"/>
  <c r="AE67" i="10"/>
  <c r="AF29" i="10"/>
  <c r="AH29" i="10"/>
  <c r="AQ105" i="10"/>
  <c r="R25" i="16"/>
  <c r="T25" i="16"/>
  <c r="N20" i="16"/>
  <c r="O20" i="16" s="1"/>
  <c r="R13" i="16"/>
  <c r="T13" i="16"/>
  <c r="M67" i="17"/>
  <c r="AB6" i="16"/>
  <c r="X6" i="16"/>
  <c r="R21" i="16"/>
  <c r="T21" i="16"/>
  <c r="N36" i="16"/>
  <c r="O15" i="16"/>
  <c r="Q15" i="16"/>
  <c r="R23" i="16"/>
  <c r="T23" i="16"/>
  <c r="Q24" i="16"/>
  <c r="W22" i="16"/>
  <c r="U22" i="16"/>
  <c r="W27" i="16"/>
  <c r="U27" i="16"/>
  <c r="W5" i="16"/>
  <c r="U5" i="16"/>
  <c r="AC10" i="16"/>
  <c r="AE10" i="16"/>
  <c r="T29" i="16"/>
  <c r="R29" i="16"/>
  <c r="R37" i="16"/>
  <c r="T37" i="16"/>
  <c r="U9" i="16"/>
  <c r="W9" i="16"/>
  <c r="L14" i="16"/>
  <c r="L43" i="16" s="1"/>
  <c r="K43" i="16"/>
  <c r="N14" i="16"/>
  <c r="N16" i="16"/>
  <c r="Q40" i="16"/>
  <c r="T8" i="16"/>
  <c r="R8" i="16"/>
  <c r="Q32" i="16"/>
  <c r="U39" i="16"/>
  <c r="W39" i="16"/>
  <c r="O34" i="16"/>
  <c r="Q34" i="16"/>
  <c r="R19" i="16"/>
  <c r="T19" i="16"/>
  <c r="E50" i="16"/>
  <c r="F49" i="16"/>
  <c r="O30" i="16"/>
  <c r="Q30" i="16"/>
  <c r="O38" i="16"/>
  <c r="Q38" i="16"/>
  <c r="W17" i="16"/>
  <c r="U17" i="16"/>
  <c r="T18" i="16"/>
  <c r="R18" i="16"/>
  <c r="W7" i="16"/>
  <c r="U7" i="16"/>
  <c r="U140" i="17"/>
  <c r="AG140" i="17"/>
  <c r="M140" i="17"/>
  <c r="Q26" i="16"/>
  <c r="O26" i="16"/>
  <c r="W33" i="16"/>
  <c r="U33" i="16"/>
  <c r="R24" i="13"/>
  <c r="R162" i="13"/>
  <c r="AE234" i="13"/>
  <c r="AH234" i="13" s="1"/>
  <c r="AN234" i="13" s="1"/>
  <c r="AO234" i="13" s="1"/>
  <c r="O5" i="11"/>
  <c r="M5" i="11"/>
  <c r="S7" i="11"/>
  <c r="U7" i="11"/>
  <c r="AF15" i="11"/>
  <c r="AD15" i="11"/>
  <c r="V12" i="11"/>
  <c r="X12" i="11"/>
  <c r="O13" i="11"/>
  <c r="M13" i="11"/>
  <c r="Y21" i="11"/>
  <c r="AC21" i="11"/>
  <c r="AI24" i="11"/>
  <c r="AG24" i="11"/>
  <c r="AG25" i="11"/>
  <c r="AI25" i="11"/>
  <c r="L32" i="20"/>
  <c r="M32" i="20" s="1"/>
  <c r="H52" i="21"/>
  <c r="M52" i="21" s="1"/>
  <c r="AC14" i="11"/>
  <c r="Y14" i="11"/>
  <c r="U23" i="11"/>
  <c r="S23" i="11"/>
  <c r="AR20" i="11"/>
  <c r="AJ20" i="11"/>
  <c r="R6" i="11"/>
  <c r="P6" i="11"/>
  <c r="AJ16" i="11"/>
  <c r="BG16" i="11" s="1"/>
  <c r="BI16" i="11" s="1"/>
  <c r="AR16" i="11"/>
  <c r="AD22" i="11"/>
  <c r="AF22" i="11"/>
  <c r="M138" i="17"/>
  <c r="U138" i="17"/>
  <c r="AB138" i="17"/>
  <c r="AG138" i="17"/>
  <c r="F36" i="11"/>
  <c r="E37" i="11"/>
  <c r="S18" i="11"/>
  <c r="U18" i="11"/>
  <c r="M104" i="17"/>
  <c r="U104" i="17"/>
  <c r="AH104" i="17"/>
  <c r="AB104" i="17"/>
  <c r="AS26" i="11"/>
  <c r="BD26" i="11" s="1"/>
  <c r="V10" i="11"/>
  <c r="X10" i="11"/>
  <c r="AF8" i="11"/>
  <c r="AD8" i="11"/>
  <c r="L19" i="11"/>
  <c r="L29" i="11" s="1"/>
  <c r="J19" i="11"/>
  <c r="J29" i="11" s="1"/>
  <c r="I29" i="11"/>
  <c r="X11" i="11"/>
  <c r="V11" i="11"/>
  <c r="U31" i="14"/>
  <c r="P16" i="14"/>
  <c r="R16" i="14"/>
  <c r="V34" i="14"/>
  <c r="X34" i="14"/>
  <c r="F43" i="21"/>
  <c r="R33" i="14"/>
  <c r="S8" i="14"/>
  <c r="U8" i="14"/>
  <c r="O19" i="14"/>
  <c r="E35" i="17"/>
  <c r="AR36" i="17" s="1"/>
  <c r="U30" i="14"/>
  <c r="S30" i="14"/>
  <c r="S33" i="14"/>
  <c r="U33" i="14"/>
  <c r="L40" i="14"/>
  <c r="P27" i="14"/>
  <c r="R27" i="14"/>
  <c r="E47" i="14"/>
  <c r="F46" i="14"/>
  <c r="O10" i="14"/>
  <c r="O28" i="14"/>
  <c r="AS22" i="14"/>
  <c r="P18" i="14"/>
  <c r="R18" i="14"/>
  <c r="S25" i="14"/>
  <c r="U25" i="14"/>
  <c r="AS35" i="14"/>
  <c r="BE35" i="14" s="1"/>
  <c r="O11" i="14"/>
  <c r="V26" i="14"/>
  <c r="X26" i="14"/>
  <c r="V20" i="14"/>
  <c r="X20" i="14"/>
  <c r="V31" i="14"/>
  <c r="X31" i="14"/>
  <c r="M40" i="14"/>
  <c r="X17" i="14"/>
  <c r="V17" i="14"/>
  <c r="P29" i="14"/>
  <c r="R29" i="14"/>
  <c r="O32" i="14"/>
  <c r="S21" i="14"/>
  <c r="U21" i="14"/>
  <c r="AI36" i="14"/>
  <c r="AG36" i="14"/>
  <c r="R9" i="14"/>
  <c r="P9" i="14"/>
  <c r="AI66" i="3"/>
  <c r="AG66" i="3"/>
  <c r="F123" i="3"/>
  <c r="E124" i="3"/>
  <c r="AR63" i="3"/>
  <c r="U63" i="3"/>
  <c r="S7" i="3"/>
  <c r="U7" i="3"/>
  <c r="O85" i="3"/>
  <c r="M85" i="3"/>
  <c r="L113" i="3"/>
  <c r="M101" i="3"/>
  <c r="O101" i="3"/>
  <c r="M89" i="3"/>
  <c r="O89" i="3"/>
  <c r="O113" i="3" s="1"/>
  <c r="U15" i="3"/>
  <c r="X15" i="3" s="1"/>
  <c r="AJ73" i="3"/>
  <c r="P75" i="3"/>
  <c r="S100" i="3"/>
  <c r="U100" i="3"/>
  <c r="O275" i="13"/>
  <c r="T20" i="13"/>
  <c r="W20" i="13" s="1"/>
  <c r="O162" i="13"/>
  <c r="R260" i="13"/>
  <c r="AE222" i="13"/>
  <c r="AF222" i="13" s="1"/>
  <c r="R100" i="13"/>
  <c r="O260" i="13"/>
  <c r="AE226" i="13"/>
  <c r="AF226" i="13" s="1"/>
  <c r="AH219" i="13"/>
  <c r="R240" i="13"/>
  <c r="U184" i="13"/>
  <c r="AT230" i="13"/>
  <c r="X111" i="13"/>
  <c r="AB197" i="13"/>
  <c r="AE197" i="13" s="1"/>
  <c r="AH197" i="13" s="1"/>
  <c r="AN197" i="13" s="1"/>
  <c r="AO197" i="13" s="1"/>
  <c r="X185" i="13"/>
  <c r="W289" i="13"/>
  <c r="AB289" i="13" s="1"/>
  <c r="R23" i="13"/>
  <c r="X292" i="13"/>
  <c r="AE298" i="13"/>
  <c r="AH298" i="13" s="1"/>
  <c r="U39" i="13"/>
  <c r="AE237" i="13"/>
  <c r="AE208" i="13"/>
  <c r="AH208" i="13" s="1"/>
  <c r="W16" i="9"/>
  <c r="U16" i="9"/>
  <c r="AE43" i="9"/>
  <c r="AC43" i="9"/>
  <c r="X24" i="9"/>
  <c r="AB24" i="9"/>
  <c r="AE22" i="9"/>
  <c r="AC22" i="9"/>
  <c r="AF28" i="9"/>
  <c r="AH28" i="9"/>
  <c r="AB15" i="9"/>
  <c r="X15" i="9"/>
  <c r="U12" i="9"/>
  <c r="W12" i="9"/>
  <c r="AH6" i="9"/>
  <c r="AF6" i="9"/>
  <c r="R37" i="9"/>
  <c r="T37" i="9"/>
  <c r="X5" i="9"/>
  <c r="AE20" i="9"/>
  <c r="AC20" i="9"/>
  <c r="AB25" i="9"/>
  <c r="X25" i="9"/>
  <c r="W13" i="9"/>
  <c r="U13" i="9"/>
  <c r="AH27" i="9"/>
  <c r="AF27" i="9"/>
  <c r="O6" i="9"/>
  <c r="Q6" i="9"/>
  <c r="AB18" i="9"/>
  <c r="X18" i="9"/>
  <c r="AQ40" i="9"/>
  <c r="AI40" i="9"/>
  <c r="AF30" i="9"/>
  <c r="AH30" i="9"/>
  <c r="AF44" i="9"/>
  <c r="AH44" i="9"/>
  <c r="W10" i="9"/>
  <c r="U10" i="9"/>
  <c r="AB34" i="9"/>
  <c r="X34" i="9"/>
  <c r="AB14" i="9"/>
  <c r="X14" i="9"/>
  <c r="AG93" i="17"/>
  <c r="U93" i="17"/>
  <c r="C54" i="17"/>
  <c r="K54" i="17" s="1"/>
  <c r="S93" i="17"/>
  <c r="U33" i="9"/>
  <c r="W33" i="9"/>
  <c r="AI41" i="9"/>
  <c r="AQ41" i="9"/>
  <c r="AB19" i="9"/>
  <c r="X19" i="9"/>
  <c r="AB39" i="9"/>
  <c r="X39" i="9"/>
  <c r="AC8" i="9"/>
  <c r="AE8" i="9"/>
  <c r="U17" i="9"/>
  <c r="W17" i="9"/>
  <c r="AB21" i="9"/>
  <c r="X21" i="9"/>
  <c r="AE23" i="9"/>
  <c r="AC23" i="9"/>
  <c r="AC29" i="9"/>
  <c r="AE29" i="9"/>
  <c r="R11" i="9"/>
  <c r="T11" i="9"/>
  <c r="AE42" i="9"/>
  <c r="AC42" i="9"/>
  <c r="W21" i="15"/>
  <c r="U21" i="15"/>
  <c r="X35" i="15"/>
  <c r="AB35" i="15"/>
  <c r="X60" i="15"/>
  <c r="AB60" i="15"/>
  <c r="AH62" i="15"/>
  <c r="AF62" i="15"/>
  <c r="R56" i="15"/>
  <c r="T56" i="15"/>
  <c r="W33" i="15"/>
  <c r="U33" i="15"/>
  <c r="L33" i="20"/>
  <c r="M33" i="20" s="1"/>
  <c r="H53" i="21"/>
  <c r="M53" i="21" s="1"/>
  <c r="U52" i="15"/>
  <c r="W52" i="15"/>
  <c r="R57" i="15"/>
  <c r="T57" i="15"/>
  <c r="T5" i="15"/>
  <c r="R5" i="15"/>
  <c r="Q65" i="15"/>
  <c r="R19" i="15"/>
  <c r="T19" i="15"/>
  <c r="T59" i="15"/>
  <c r="R59" i="15"/>
  <c r="T14" i="15"/>
  <c r="R14" i="15"/>
  <c r="AH68" i="17"/>
  <c r="U68" i="17"/>
  <c r="M68" i="17"/>
  <c r="T20" i="15"/>
  <c r="R20" i="15"/>
  <c r="X36" i="15"/>
  <c r="AB36" i="15"/>
  <c r="AB24" i="15"/>
  <c r="X24" i="15"/>
  <c r="AB34" i="15"/>
  <c r="X34" i="15"/>
  <c r="W30" i="15"/>
  <c r="U30" i="15"/>
  <c r="U23" i="15"/>
  <c r="W23" i="15"/>
  <c r="U40" i="15"/>
  <c r="W40" i="15"/>
  <c r="Q51" i="15"/>
  <c r="O51" i="15"/>
  <c r="AC27" i="15"/>
  <c r="AE27" i="15"/>
  <c r="U16" i="15"/>
  <c r="W16" i="15"/>
  <c r="Q55" i="15"/>
  <c r="O55" i="15"/>
  <c r="W41" i="15"/>
  <c r="U41" i="15"/>
  <c r="U29" i="15"/>
  <c r="W29" i="15"/>
  <c r="U12" i="15"/>
  <c r="W12" i="15"/>
  <c r="U25" i="15"/>
  <c r="W25" i="15"/>
  <c r="T8" i="15"/>
  <c r="R8" i="15"/>
  <c r="U42" i="15"/>
  <c r="W42" i="15"/>
  <c r="U13" i="15"/>
  <c r="W13" i="15"/>
  <c r="AF43" i="15"/>
  <c r="AH43" i="15"/>
  <c r="AK43" i="15" s="1"/>
  <c r="W26" i="15"/>
  <c r="U26" i="15"/>
  <c r="T10" i="15"/>
  <c r="R10" i="15"/>
  <c r="U22" i="15"/>
  <c r="W22" i="15"/>
  <c r="AB61" i="15"/>
  <c r="X61" i="15"/>
  <c r="T58" i="15"/>
  <c r="R58" i="15"/>
  <c r="U18" i="15"/>
  <c r="W18" i="15"/>
  <c r="L53" i="15"/>
  <c r="L66" i="15" s="1"/>
  <c r="N53" i="15"/>
  <c r="N66" i="15" s="1"/>
  <c r="K69" i="15"/>
  <c r="T15" i="15"/>
  <c r="R15" i="15"/>
  <c r="AG141" i="17"/>
  <c r="U141" i="17"/>
  <c r="M141" i="17"/>
  <c r="O65" i="15"/>
  <c r="T9" i="15"/>
  <c r="R9" i="15"/>
  <c r="Q54" i="15"/>
  <c r="O54" i="15"/>
  <c r="U48" i="15"/>
  <c r="W48" i="15"/>
  <c r="T32" i="15"/>
  <c r="R32" i="15"/>
  <c r="U28" i="15"/>
  <c r="W28" i="15"/>
  <c r="T6" i="15"/>
  <c r="R6" i="15"/>
  <c r="U17" i="15"/>
  <c r="W17" i="15"/>
  <c r="T11" i="15"/>
  <c r="R11" i="15"/>
  <c r="T7" i="15"/>
  <c r="R7" i="15"/>
  <c r="I69" i="15"/>
  <c r="I66" i="15"/>
  <c r="AH32" i="10"/>
  <c r="AF32" i="10"/>
  <c r="U15" i="10"/>
  <c r="W15" i="10"/>
  <c r="AQ28" i="10"/>
  <c r="AW28" i="10" s="1"/>
  <c r="AI28" i="10"/>
  <c r="AC66" i="10"/>
  <c r="AE66" i="10"/>
  <c r="AE142" i="10"/>
  <c r="AF142" i="10" s="1"/>
  <c r="W88" i="10"/>
  <c r="U88" i="10"/>
  <c r="AE68" i="10"/>
  <c r="AC68" i="10"/>
  <c r="AI305" i="13"/>
  <c r="AC88" i="13"/>
  <c r="Q269" i="13"/>
  <c r="T269" i="13" s="1"/>
  <c r="Q249" i="13"/>
  <c r="T249" i="13" s="1"/>
  <c r="R252" i="13"/>
  <c r="AC213" i="13"/>
  <c r="O156" i="13"/>
  <c r="AC211" i="13"/>
  <c r="U50" i="13"/>
  <c r="AC209" i="13"/>
  <c r="R101" i="13"/>
  <c r="R29" i="13"/>
  <c r="V77" i="3"/>
  <c r="X77" i="3"/>
  <c r="Y77" i="3" s="1"/>
  <c r="S73" i="3"/>
  <c r="R68" i="3"/>
  <c r="P68" i="3"/>
  <c r="U35" i="3"/>
  <c r="V35" i="3" s="1"/>
  <c r="S14" i="3"/>
  <c r="P88" i="3"/>
  <c r="R88" i="3"/>
  <c r="AD28" i="3"/>
  <c r="AF28" i="3"/>
  <c r="U82" i="3"/>
  <c r="X82" i="3" s="1"/>
  <c r="P73" i="3"/>
  <c r="R95" i="3"/>
  <c r="U95" i="3" s="1"/>
  <c r="AR24" i="3"/>
  <c r="AJ24" i="3"/>
  <c r="S53" i="3"/>
  <c r="U53" i="3"/>
  <c r="U48" i="3"/>
  <c r="S48" i="3"/>
  <c r="P93" i="3"/>
  <c r="R93" i="3"/>
  <c r="V18" i="3"/>
  <c r="X18" i="3"/>
  <c r="AD79" i="3"/>
  <c r="AF79" i="3"/>
  <c r="X14" i="3"/>
  <c r="V14" i="3"/>
  <c r="AE185" i="13"/>
  <c r="AH185" i="13" s="1"/>
  <c r="AN185" i="13" s="1"/>
  <c r="AO185" i="13" s="1"/>
  <c r="X199" i="13"/>
  <c r="AC221" i="13"/>
  <c r="Q259" i="13"/>
  <c r="R259" i="13" s="1"/>
  <c r="U111" i="13"/>
  <c r="O274" i="13"/>
  <c r="W109" i="13"/>
  <c r="X109" i="13" s="1"/>
  <c r="O253" i="13"/>
  <c r="X198" i="13"/>
  <c r="Q270" i="13"/>
  <c r="T270" i="13" s="1"/>
  <c r="U153" i="13"/>
  <c r="Q248" i="13"/>
  <c r="R248" i="13" s="1"/>
  <c r="AH210" i="13"/>
  <c r="U127" i="13"/>
  <c r="AE229" i="13"/>
  <c r="AF229" i="13" s="1"/>
  <c r="AC104" i="13"/>
  <c r="O252" i="13"/>
  <c r="R8" i="10"/>
  <c r="T8" i="10"/>
  <c r="AC100" i="10"/>
  <c r="AE100" i="10"/>
  <c r="AF130" i="10"/>
  <c r="AH130" i="10"/>
  <c r="AR37" i="10"/>
  <c r="R21" i="10"/>
  <c r="T21" i="10"/>
  <c r="T19" i="10"/>
  <c r="R19" i="10"/>
  <c r="X71" i="10"/>
  <c r="T11" i="10"/>
  <c r="R11" i="10"/>
  <c r="U64" i="10"/>
  <c r="W64" i="10"/>
  <c r="T23" i="10"/>
  <c r="R23" i="10"/>
  <c r="R25" i="10"/>
  <c r="T25" i="10"/>
  <c r="R86" i="10"/>
  <c r="T86" i="10"/>
  <c r="U62" i="10"/>
  <c r="W62" i="10"/>
  <c r="AC99" i="10"/>
  <c r="AE99" i="10"/>
  <c r="T93" i="10"/>
  <c r="R93" i="10"/>
  <c r="AH76" i="10"/>
  <c r="AF76" i="10"/>
  <c r="AF34" i="10"/>
  <c r="AH34" i="10"/>
  <c r="U94" i="10"/>
  <c r="W94" i="10"/>
  <c r="AC85" i="10"/>
  <c r="AE85" i="10"/>
  <c r="T60" i="10"/>
  <c r="R60" i="10"/>
  <c r="U120" i="13"/>
  <c r="U119" i="13"/>
  <c r="Q242" i="13"/>
  <c r="T242" i="13" s="1"/>
  <c r="R181" i="13"/>
  <c r="O155" i="13"/>
  <c r="AH66" i="13"/>
  <c r="O251" i="13"/>
  <c r="AH67" i="13"/>
  <c r="Q266" i="13"/>
  <c r="T266" i="13" s="1"/>
  <c r="Q78" i="13"/>
  <c r="Q276" i="13"/>
  <c r="T276" i="13" s="1"/>
  <c r="W276" i="13" s="1"/>
  <c r="Q256" i="13"/>
  <c r="R256" i="13" s="1"/>
  <c r="R174" i="13"/>
  <c r="AB60" i="13"/>
  <c r="O241" i="13"/>
  <c r="O172" i="13"/>
  <c r="R176" i="13"/>
  <c r="X61" i="13"/>
  <c r="O271" i="13"/>
  <c r="AC233" i="13"/>
  <c r="X65" i="13"/>
  <c r="AE228" i="13"/>
  <c r="AH228" i="13" s="1"/>
  <c r="AN228" i="13" s="1"/>
  <c r="AO228" i="13" s="1"/>
  <c r="X104" i="13"/>
  <c r="AI70" i="13"/>
  <c r="AC232" i="13"/>
  <c r="AE232" i="13"/>
  <c r="O268" i="13"/>
  <c r="Q268" i="13"/>
  <c r="O265" i="13"/>
  <c r="AB206" i="13"/>
  <c r="AC206" i="13" s="1"/>
  <c r="O87" i="13"/>
  <c r="AE216" i="13"/>
  <c r="AF216" i="13" s="1"/>
  <c r="W81" i="13"/>
  <c r="AB81" i="13" s="1"/>
  <c r="AE220" i="13"/>
  <c r="AC220" i="13"/>
  <c r="Q82" i="13"/>
  <c r="O82" i="13"/>
  <c r="W121" i="13"/>
  <c r="U121" i="13"/>
  <c r="AH227" i="13"/>
  <c r="AN227" i="13" s="1"/>
  <c r="AO227" i="13" s="1"/>
  <c r="AF227" i="13"/>
  <c r="AC224" i="13"/>
  <c r="AE224" i="13"/>
  <c r="AF88" i="13"/>
  <c r="AH88" i="13"/>
  <c r="AQ88" i="13" s="1"/>
  <c r="O277" i="13"/>
  <c r="U37" i="13"/>
  <c r="W37" i="13"/>
  <c r="AB200" i="13"/>
  <c r="X200" i="13"/>
  <c r="T173" i="13"/>
  <c r="U173" i="13" s="1"/>
  <c r="U133" i="13"/>
  <c r="W133" i="13"/>
  <c r="R96" i="13"/>
  <c r="T96" i="13"/>
  <c r="O272" i="13"/>
  <c r="AH214" i="13"/>
  <c r="AQ214" i="13" s="1"/>
  <c r="AF214" i="13"/>
  <c r="Q245" i="13"/>
  <c r="O245" i="13"/>
  <c r="AH235" i="13"/>
  <c r="AN235" i="13" s="1"/>
  <c r="AO235" i="13" s="1"/>
  <c r="AF235" i="13"/>
  <c r="O255" i="13"/>
  <c r="Q255" i="13"/>
  <c r="W110" i="13"/>
  <c r="U110" i="13"/>
  <c r="AB105" i="13"/>
  <c r="X105" i="13"/>
  <c r="AB42" i="13"/>
  <c r="X42" i="13"/>
  <c r="W159" i="13"/>
  <c r="U159" i="13"/>
  <c r="U53" i="13"/>
  <c r="W53" i="13"/>
  <c r="O263" i="13"/>
  <c r="O250" i="13"/>
  <c r="W115" i="13"/>
  <c r="U115" i="13"/>
  <c r="W125" i="13"/>
  <c r="U125" i="13"/>
  <c r="AB49" i="13"/>
  <c r="X49" i="13"/>
  <c r="R274" i="13"/>
  <c r="T274" i="13"/>
  <c r="AB184" i="13"/>
  <c r="X184" i="13"/>
  <c r="AE236" i="13"/>
  <c r="AC236" i="13"/>
  <c r="AE89" i="13"/>
  <c r="AC89" i="13"/>
  <c r="Q9" i="13"/>
  <c r="O9" i="13"/>
  <c r="Q281" i="13"/>
  <c r="O281" i="13"/>
  <c r="AB154" i="13"/>
  <c r="X154" i="13"/>
  <c r="W122" i="13"/>
  <c r="U122" i="13"/>
  <c r="AC215" i="13"/>
  <c r="AE215" i="13"/>
  <c r="U288" i="13"/>
  <c r="W288" i="13"/>
  <c r="AF303" i="13"/>
  <c r="AH303" i="13"/>
  <c r="AQ303" i="13" s="1"/>
  <c r="AB131" i="13"/>
  <c r="X131" i="13"/>
  <c r="AE201" i="13"/>
  <c r="AC201" i="13"/>
  <c r="AI311" i="13"/>
  <c r="W33" i="13"/>
  <c r="U33" i="13"/>
  <c r="R177" i="13"/>
  <c r="T177" i="13"/>
  <c r="W164" i="13"/>
  <c r="U164" i="13"/>
  <c r="U100" i="13"/>
  <c r="W100" i="13"/>
  <c r="W141" i="13"/>
  <c r="U141" i="13"/>
  <c r="T93" i="13"/>
  <c r="R93" i="13"/>
  <c r="W290" i="13"/>
  <c r="U290" i="13"/>
  <c r="U168" i="13"/>
  <c r="W168" i="13"/>
  <c r="U41" i="13"/>
  <c r="W41" i="13"/>
  <c r="W188" i="13"/>
  <c r="U188" i="13"/>
  <c r="T28" i="13"/>
  <c r="R28" i="13"/>
  <c r="AC205" i="13"/>
  <c r="AE205" i="13"/>
  <c r="T166" i="13"/>
  <c r="R166" i="13"/>
  <c r="W123" i="13"/>
  <c r="U123" i="13"/>
  <c r="X112" i="13"/>
  <c r="AB112" i="13"/>
  <c r="U101" i="13"/>
  <c r="W101" i="13"/>
  <c r="AE207" i="13"/>
  <c r="AC207" i="13"/>
  <c r="AC194" i="13"/>
  <c r="AE194" i="13"/>
  <c r="AB47" i="13"/>
  <c r="X47" i="13"/>
  <c r="U134" i="13"/>
  <c r="W134" i="13"/>
  <c r="AB51" i="13"/>
  <c r="X51" i="13"/>
  <c r="AH310" i="13"/>
  <c r="AN310" i="13" s="1"/>
  <c r="AO310" i="13" s="1"/>
  <c r="AF310" i="13"/>
  <c r="W136" i="13"/>
  <c r="U136" i="13"/>
  <c r="T79" i="13"/>
  <c r="R79" i="13"/>
  <c r="W170" i="13"/>
  <c r="U170" i="13"/>
  <c r="U145" i="13"/>
  <c r="W145" i="13"/>
  <c r="T254" i="13"/>
  <c r="R254" i="13"/>
  <c r="O279" i="13"/>
  <c r="O267" i="13"/>
  <c r="AB64" i="13"/>
  <c r="X64" i="13"/>
  <c r="AF202" i="13"/>
  <c r="AH202" i="13"/>
  <c r="AN202" i="13" s="1"/>
  <c r="AO202" i="13" s="1"/>
  <c r="O264" i="13"/>
  <c r="Q264" i="13"/>
  <c r="AB192" i="13"/>
  <c r="X192" i="13"/>
  <c r="W58" i="13"/>
  <c r="U58" i="13"/>
  <c r="W117" i="13"/>
  <c r="U117" i="13"/>
  <c r="Q261" i="13"/>
  <c r="O261" i="13"/>
  <c r="W130" i="13"/>
  <c r="U130" i="13"/>
  <c r="R151" i="13"/>
  <c r="T151" i="13"/>
  <c r="W45" i="13"/>
  <c r="U45" i="13"/>
  <c r="W124" i="13"/>
  <c r="U124" i="13"/>
  <c r="W94" i="13"/>
  <c r="U94" i="13"/>
  <c r="W114" i="13"/>
  <c r="U114" i="13"/>
  <c r="AB126" i="13"/>
  <c r="X126" i="13"/>
  <c r="AC198" i="13"/>
  <c r="AE198" i="13"/>
  <c r="AC294" i="13"/>
  <c r="AE294" i="13"/>
  <c r="R91" i="13"/>
  <c r="T91" i="13"/>
  <c r="W142" i="13"/>
  <c r="U142" i="13"/>
  <c r="Q258" i="13"/>
  <c r="O258" i="13"/>
  <c r="AF62" i="13"/>
  <c r="AH62" i="13"/>
  <c r="AN62" i="13" s="1"/>
  <c r="AO62" i="13" s="1"/>
  <c r="W35" i="13"/>
  <c r="U35" i="13"/>
  <c r="U32" i="13"/>
  <c r="W32" i="13"/>
  <c r="X135" i="13"/>
  <c r="AB135" i="13"/>
  <c r="AI68" i="13"/>
  <c r="AF218" i="13"/>
  <c r="AH218" i="13"/>
  <c r="AN218" i="13" s="1"/>
  <c r="AO218" i="13" s="1"/>
  <c r="U83" i="13"/>
  <c r="W83" i="13"/>
  <c r="W43" i="13"/>
  <c r="U43" i="13"/>
  <c r="C195" i="17"/>
  <c r="E325" i="13"/>
  <c r="F324" i="13"/>
  <c r="W282" i="13"/>
  <c r="U282" i="13"/>
  <c r="W84" i="13"/>
  <c r="U84" i="13"/>
  <c r="U48" i="13"/>
  <c r="W48" i="13"/>
  <c r="W147" i="13"/>
  <c r="U147" i="13"/>
  <c r="AB63" i="13"/>
  <c r="X63" i="13"/>
  <c r="AB113" i="13"/>
  <c r="X113" i="13"/>
  <c r="W92" i="13"/>
  <c r="U92" i="13"/>
  <c r="T97" i="13"/>
  <c r="R97" i="13"/>
  <c r="AC61" i="13"/>
  <c r="AE61" i="13"/>
  <c r="T250" i="13"/>
  <c r="R250" i="13"/>
  <c r="AF104" i="13"/>
  <c r="AH104" i="13"/>
  <c r="AN104" i="13" s="1"/>
  <c r="AO104" i="13" s="1"/>
  <c r="AR16" i="13"/>
  <c r="AR306" i="13"/>
  <c r="AZ306" i="13" s="1"/>
  <c r="T175" i="13"/>
  <c r="R175" i="13"/>
  <c r="W56" i="13"/>
  <c r="U56" i="13"/>
  <c r="Q76" i="13"/>
  <c r="O76" i="13"/>
  <c r="U59" i="13"/>
  <c r="W59" i="13"/>
  <c r="W55" i="13"/>
  <c r="U55" i="13"/>
  <c r="Q273" i="13"/>
  <c r="O273" i="13"/>
  <c r="AH223" i="13"/>
  <c r="AN223" i="13" s="1"/>
  <c r="AO223" i="13" s="1"/>
  <c r="AF223" i="13"/>
  <c r="W102" i="13"/>
  <c r="U102" i="13"/>
  <c r="W144" i="13"/>
  <c r="U144" i="13"/>
  <c r="AB191" i="13"/>
  <c r="X191" i="13"/>
  <c r="W284" i="13"/>
  <c r="U284" i="13"/>
  <c r="U29" i="13"/>
  <c r="W29" i="13"/>
  <c r="W40" i="13"/>
  <c r="U40" i="13"/>
  <c r="W52" i="13"/>
  <c r="U52" i="13"/>
  <c r="X193" i="13"/>
  <c r="AB193" i="13"/>
  <c r="T265" i="13"/>
  <c r="R265" i="13"/>
  <c r="AC292" i="13"/>
  <c r="AE292" i="13"/>
  <c r="AB140" i="13"/>
  <c r="X140" i="13"/>
  <c r="W157" i="13"/>
  <c r="U157" i="13"/>
  <c r="U167" i="13"/>
  <c r="W167" i="13"/>
  <c r="AB148" i="13"/>
  <c r="X148" i="13"/>
  <c r="W189" i="13"/>
  <c r="U189" i="13"/>
  <c r="T241" i="13"/>
  <c r="R241" i="13"/>
  <c r="W137" i="13"/>
  <c r="U137" i="13"/>
  <c r="AC297" i="13"/>
  <c r="AE297" i="13"/>
  <c r="W18" i="13"/>
  <c r="U18" i="13"/>
  <c r="T280" i="13"/>
  <c r="R280" i="13"/>
  <c r="W183" i="13"/>
  <c r="U183" i="13"/>
  <c r="W252" i="13"/>
  <c r="U252" i="13"/>
  <c r="AB291" i="13"/>
  <c r="X291" i="13"/>
  <c r="X39" i="13"/>
  <c r="AB39" i="13"/>
  <c r="AB120" i="13"/>
  <c r="X120" i="13"/>
  <c r="Q243" i="13"/>
  <c r="O243" i="13"/>
  <c r="W260" i="13"/>
  <c r="U260" i="13"/>
  <c r="T98" i="13"/>
  <c r="R98" i="13"/>
  <c r="T272" i="13"/>
  <c r="R272" i="13"/>
  <c r="W74" i="13"/>
  <c r="U74" i="13"/>
  <c r="W12" i="13"/>
  <c r="U12" i="13"/>
  <c r="AB195" i="13"/>
  <c r="X195" i="13"/>
  <c r="X127" i="13"/>
  <c r="AB127" i="13"/>
  <c r="AB119" i="13"/>
  <c r="X119" i="13"/>
  <c r="T80" i="13"/>
  <c r="R80" i="13"/>
  <c r="W99" i="13"/>
  <c r="U99" i="13"/>
  <c r="AF197" i="13"/>
  <c r="AT296" i="13"/>
  <c r="AI296" i="13"/>
  <c r="AB107" i="13"/>
  <c r="X107" i="13"/>
  <c r="AH231" i="13"/>
  <c r="AN231" i="13" s="1"/>
  <c r="AO231" i="13" s="1"/>
  <c r="AF231" i="13"/>
  <c r="AH211" i="13"/>
  <c r="AN211" i="13" s="1"/>
  <c r="AO211" i="13" s="1"/>
  <c r="AF211" i="13"/>
  <c r="AC204" i="13"/>
  <c r="AE204" i="13"/>
  <c r="AF293" i="13"/>
  <c r="AH293" i="13"/>
  <c r="AQ293" i="13" s="1"/>
  <c r="AF209" i="13"/>
  <c r="AH209" i="13"/>
  <c r="AN209" i="13" s="1"/>
  <c r="AO209" i="13" s="1"/>
  <c r="AB106" i="13"/>
  <c r="X106" i="13"/>
  <c r="AF233" i="13"/>
  <c r="AH233" i="13"/>
  <c r="AN233" i="13" s="1"/>
  <c r="AO233" i="13" s="1"/>
  <c r="T253" i="13"/>
  <c r="R253" i="13"/>
  <c r="W44" i="13"/>
  <c r="U44" i="13"/>
  <c r="AE111" i="13"/>
  <c r="AC111" i="13"/>
  <c r="AH302" i="13"/>
  <c r="AQ302" i="13" s="1"/>
  <c r="AF302" i="13"/>
  <c r="W6" i="13"/>
  <c r="U6" i="13"/>
  <c r="W95" i="13"/>
  <c r="U95" i="13"/>
  <c r="W23" i="13"/>
  <c r="U23" i="13"/>
  <c r="AH213" i="13"/>
  <c r="AN213" i="13" s="1"/>
  <c r="AO213" i="13" s="1"/>
  <c r="AF213" i="13"/>
  <c r="AE143" i="13"/>
  <c r="AC143" i="13"/>
  <c r="AC65" i="13"/>
  <c r="AE65" i="13"/>
  <c r="AC300" i="13"/>
  <c r="AE300" i="13"/>
  <c r="T179" i="13"/>
  <c r="R179" i="13"/>
  <c r="T267" i="13"/>
  <c r="R267" i="13"/>
  <c r="T10" i="13"/>
  <c r="R10" i="13"/>
  <c r="T251" i="13"/>
  <c r="R251" i="13"/>
  <c r="W85" i="13"/>
  <c r="U85" i="13"/>
  <c r="T7" i="13"/>
  <c r="R7" i="13"/>
  <c r="Q244" i="13"/>
  <c r="O244" i="13"/>
  <c r="W46" i="13"/>
  <c r="U46" i="13"/>
  <c r="W149" i="13"/>
  <c r="U149" i="13"/>
  <c r="R283" i="13"/>
  <c r="T283" i="13"/>
  <c r="W163" i="13"/>
  <c r="U163" i="13"/>
  <c r="W286" i="13"/>
  <c r="U286" i="13"/>
  <c r="W162" i="13"/>
  <c r="U162" i="13"/>
  <c r="W31" i="13"/>
  <c r="U31" i="13"/>
  <c r="AC212" i="13"/>
  <c r="AE212" i="13"/>
  <c r="T263" i="13"/>
  <c r="R263" i="13"/>
  <c r="X152" i="13"/>
  <c r="AB152" i="13"/>
  <c r="T287" i="13"/>
  <c r="R287" i="13"/>
  <c r="T271" i="13"/>
  <c r="R271" i="13"/>
  <c r="AR304" i="13"/>
  <c r="AZ304" i="13" s="1"/>
  <c r="W178" i="13"/>
  <c r="U178" i="13"/>
  <c r="AR307" i="13"/>
  <c r="AZ307" i="13" s="1"/>
  <c r="AE299" i="13"/>
  <c r="AC299" i="13"/>
  <c r="Q247" i="13"/>
  <c r="O247" i="13"/>
  <c r="W158" i="13"/>
  <c r="U158" i="13"/>
  <c r="W161" i="13"/>
  <c r="U161" i="13"/>
  <c r="W176" i="13"/>
  <c r="U176" i="13"/>
  <c r="AB150" i="13"/>
  <c r="X150" i="13"/>
  <c r="W165" i="13"/>
  <c r="U165" i="13"/>
  <c r="L11" i="13"/>
  <c r="N11" i="13"/>
  <c r="W73" i="13"/>
  <c r="U73" i="13"/>
  <c r="W129" i="13"/>
  <c r="U129" i="13"/>
  <c r="W128" i="13"/>
  <c r="U128" i="13"/>
  <c r="T54" i="13"/>
  <c r="R54" i="13"/>
  <c r="W180" i="13"/>
  <c r="U180" i="13"/>
  <c r="T275" i="13"/>
  <c r="R275" i="13"/>
  <c r="AB203" i="13"/>
  <c r="X203" i="13"/>
  <c r="W108" i="13"/>
  <c r="U108" i="13"/>
  <c r="W138" i="13"/>
  <c r="U138" i="13"/>
  <c r="X50" i="13"/>
  <c r="AB50" i="13"/>
  <c r="AR305" i="13"/>
  <c r="AZ305" i="13" s="1"/>
  <c r="T277" i="13"/>
  <c r="R277" i="13"/>
  <c r="T30" i="13"/>
  <c r="R30" i="13"/>
  <c r="U174" i="13"/>
  <c r="W174" i="13"/>
  <c r="T285" i="13"/>
  <c r="R285" i="13"/>
  <c r="AH301" i="13"/>
  <c r="AQ301" i="13" s="1"/>
  <c r="AF301" i="13"/>
  <c r="T246" i="13"/>
  <c r="R246" i="13"/>
  <c r="AC199" i="13"/>
  <c r="AE199" i="13"/>
  <c r="T279" i="13"/>
  <c r="R279" i="13"/>
  <c r="W75" i="13"/>
  <c r="U75" i="13"/>
  <c r="W186" i="13"/>
  <c r="U186" i="13"/>
  <c r="W240" i="13"/>
  <c r="U240" i="13"/>
  <c r="T87" i="13"/>
  <c r="R87" i="13"/>
  <c r="U182" i="13"/>
  <c r="W182" i="13"/>
  <c r="W171" i="13"/>
  <c r="U171" i="13"/>
  <c r="W160" i="13"/>
  <c r="U160" i="13"/>
  <c r="W187" i="13"/>
  <c r="U187" i="13"/>
  <c r="W24" i="13"/>
  <c r="U24" i="13"/>
  <c r="W36" i="13"/>
  <c r="U36" i="13"/>
  <c r="W139" i="13"/>
  <c r="U139" i="13"/>
  <c r="T278" i="13"/>
  <c r="R278" i="13"/>
  <c r="W38" i="13"/>
  <c r="U38" i="13"/>
  <c r="W19" i="13"/>
  <c r="U19" i="13"/>
  <c r="W116" i="13"/>
  <c r="U116" i="13"/>
  <c r="W21" i="13"/>
  <c r="U21" i="13"/>
  <c r="U57" i="13"/>
  <c r="W57" i="13"/>
  <c r="W26" i="13"/>
  <c r="U26" i="13"/>
  <c r="W181" i="13"/>
  <c r="U181" i="13"/>
  <c r="AB153" i="13"/>
  <c r="X153" i="13"/>
  <c r="X118" i="13"/>
  <c r="AB118" i="13"/>
  <c r="AC196" i="13"/>
  <c r="AE196" i="13"/>
  <c r="W77" i="13"/>
  <c r="U77" i="13"/>
  <c r="W146" i="13"/>
  <c r="U146" i="13"/>
  <c r="T156" i="13"/>
  <c r="R156" i="13"/>
  <c r="T155" i="13"/>
  <c r="R155" i="13"/>
  <c r="AI308" i="13"/>
  <c r="AT308" i="13"/>
  <c r="T172" i="13"/>
  <c r="R172" i="13"/>
  <c r="AB190" i="13"/>
  <c r="X190" i="13"/>
  <c r="T103" i="13"/>
  <c r="R103" i="13"/>
  <c r="W132" i="13"/>
  <c r="U132" i="13"/>
  <c r="Q257" i="13"/>
  <c r="O257" i="13"/>
  <c r="W86" i="13"/>
  <c r="U86" i="13"/>
  <c r="AF221" i="13"/>
  <c r="AH221" i="13"/>
  <c r="AN221" i="13" s="1"/>
  <c r="AO221" i="13" s="1"/>
  <c r="AF217" i="13"/>
  <c r="AH217" i="13"/>
  <c r="AN217" i="13" s="1"/>
  <c r="AO217" i="13" s="1"/>
  <c r="AC295" i="13"/>
  <c r="AE295" i="13"/>
  <c r="AF225" i="13"/>
  <c r="AH225" i="13"/>
  <c r="AQ225" i="13" s="1"/>
  <c r="U20" i="13"/>
  <c r="W169" i="13"/>
  <c r="U169" i="13"/>
  <c r="S84" i="3"/>
  <c r="U84" i="3"/>
  <c r="V45" i="3"/>
  <c r="X45" i="3"/>
  <c r="P55" i="3"/>
  <c r="R55" i="3"/>
  <c r="AC25" i="3"/>
  <c r="Y25" i="3"/>
  <c r="AJ59" i="3"/>
  <c r="AR59" i="3"/>
  <c r="S8" i="3"/>
  <c r="U8" i="3"/>
  <c r="U114" i="3" s="1"/>
  <c r="AC37" i="3"/>
  <c r="Y37" i="3"/>
  <c r="R114" i="3"/>
  <c r="AI109" i="3"/>
  <c r="AG109" i="3"/>
  <c r="AR55" i="3"/>
  <c r="AJ55" i="3"/>
  <c r="V61" i="3"/>
  <c r="X61" i="3"/>
  <c r="AD12" i="3"/>
  <c r="AF12" i="3"/>
  <c r="V57" i="3"/>
  <c r="X57" i="3"/>
  <c r="AF70" i="3"/>
  <c r="AD70" i="3"/>
  <c r="U38" i="3"/>
  <c r="S38" i="3"/>
  <c r="AS68" i="3"/>
  <c r="BB68" i="3" s="1"/>
  <c r="V63" i="3"/>
  <c r="X63" i="3"/>
  <c r="Y63" i="3" s="1"/>
  <c r="AR47" i="3"/>
  <c r="AJ47" i="3"/>
  <c r="X35" i="3"/>
  <c r="AD29" i="3"/>
  <c r="AF29" i="3"/>
  <c r="AJ65" i="3"/>
  <c r="AR65" i="3"/>
  <c r="S19" i="3"/>
  <c r="U19" i="3"/>
  <c r="AC43" i="3"/>
  <c r="Y43" i="3"/>
  <c r="S36" i="3"/>
  <c r="U36" i="3"/>
  <c r="AC52" i="3"/>
  <c r="Y52" i="3"/>
  <c r="S47" i="3"/>
  <c r="U47" i="3"/>
  <c r="V91" i="3"/>
  <c r="X91" i="3"/>
  <c r="P60" i="3"/>
  <c r="R60" i="3"/>
  <c r="AF78" i="3"/>
  <c r="AD78" i="3"/>
  <c r="AC51" i="3"/>
  <c r="Y51" i="3"/>
  <c r="U98" i="3"/>
  <c r="S98" i="3"/>
  <c r="X69" i="3"/>
  <c r="V69" i="3"/>
  <c r="S86" i="3"/>
  <c r="U86" i="3"/>
  <c r="U72" i="3"/>
  <c r="S72" i="3"/>
  <c r="U39" i="3"/>
  <c r="S39" i="3"/>
  <c r="AS73" i="3"/>
  <c r="BB73" i="3" s="1"/>
  <c r="AC16" i="3"/>
  <c r="Y16" i="3"/>
  <c r="S17" i="3"/>
  <c r="U17" i="3"/>
  <c r="U46" i="3"/>
  <c r="S46" i="3"/>
  <c r="AF74" i="3"/>
  <c r="AD74" i="3"/>
  <c r="X58" i="3"/>
  <c r="V58" i="3"/>
  <c r="U67" i="3"/>
  <c r="S67" i="3"/>
  <c r="V20" i="3"/>
  <c r="X20" i="3"/>
  <c r="P40" i="3"/>
  <c r="R40" i="3"/>
  <c r="V11" i="3"/>
  <c r="X11" i="3"/>
  <c r="S95" i="3"/>
  <c r="AI106" i="3"/>
  <c r="AG106" i="3"/>
  <c r="U83" i="3"/>
  <c r="S83" i="3"/>
  <c r="U64" i="3"/>
  <c r="S64" i="3"/>
  <c r="AR105" i="3"/>
  <c r="AJ105" i="3"/>
  <c r="S90" i="3"/>
  <c r="U90" i="3"/>
  <c r="AC41" i="3"/>
  <c r="Y41" i="3"/>
  <c r="P33" i="3"/>
  <c r="R33" i="3"/>
  <c r="AS72" i="3"/>
  <c r="BB72" i="3" s="1"/>
  <c r="X9" i="3"/>
  <c r="V9" i="3"/>
  <c r="S103" i="3"/>
  <c r="U103" i="3"/>
  <c r="P44" i="3"/>
  <c r="R44" i="3"/>
  <c r="U102" i="3"/>
  <c r="S102" i="3"/>
  <c r="U75" i="3"/>
  <c r="S75" i="3"/>
  <c r="V87" i="3"/>
  <c r="X87" i="3"/>
  <c r="S94" i="3"/>
  <c r="U94" i="3"/>
  <c r="Y26" i="3"/>
  <c r="AC26" i="3"/>
  <c r="AC76" i="3"/>
  <c r="Y76" i="3"/>
  <c r="V97" i="3"/>
  <c r="X97" i="3"/>
  <c r="AR77" i="3"/>
  <c r="AJ77" i="3"/>
  <c r="V13" i="3"/>
  <c r="X13" i="3"/>
  <c r="AR40" i="3"/>
  <c r="AJ40" i="3"/>
  <c r="Y50" i="3"/>
  <c r="AC50" i="3"/>
  <c r="AR75" i="3"/>
  <c r="AJ75" i="3"/>
  <c r="S99" i="3"/>
  <c r="U99" i="3"/>
  <c r="V49" i="3"/>
  <c r="X49" i="3"/>
  <c r="AC34" i="3"/>
  <c r="Y34" i="3"/>
  <c r="AI44" i="3"/>
  <c r="AG44" i="3"/>
  <c r="U59" i="3"/>
  <c r="S59" i="3"/>
  <c r="X73" i="3"/>
  <c r="Y73" i="3" s="1"/>
  <c r="V73" i="3"/>
  <c r="U65" i="3"/>
  <c r="S65" i="3"/>
  <c r="S10" i="3"/>
  <c r="U10" i="3"/>
  <c r="AR56" i="3"/>
  <c r="AJ56" i="3"/>
  <c r="P56" i="3"/>
  <c r="R56" i="3"/>
  <c r="AR21" i="3"/>
  <c r="AJ21" i="3"/>
  <c r="U9" i="10"/>
  <c r="W9" i="10"/>
  <c r="AH131" i="10"/>
  <c r="AF131" i="10"/>
  <c r="AI103" i="10"/>
  <c r="AQ103" i="10"/>
  <c r="AR35" i="10"/>
  <c r="T61" i="10"/>
  <c r="R61" i="10"/>
  <c r="AR36" i="10"/>
  <c r="T83" i="10"/>
  <c r="R83" i="10"/>
  <c r="AB72" i="10"/>
  <c r="X72" i="10"/>
  <c r="AE98" i="10"/>
  <c r="AC98" i="10"/>
  <c r="AI30" i="10"/>
  <c r="AQ30" i="10"/>
  <c r="R91" i="10"/>
  <c r="T91" i="10"/>
  <c r="AR105" i="10"/>
  <c r="T10" i="10"/>
  <c r="R10" i="10"/>
  <c r="Q63" i="10"/>
  <c r="Q147" i="10" s="1"/>
  <c r="O63" i="10"/>
  <c r="O147" i="10" s="1"/>
  <c r="U20" i="10"/>
  <c r="W20" i="10"/>
  <c r="W65" i="10"/>
  <c r="U65" i="10"/>
  <c r="T16" i="10"/>
  <c r="R16" i="10"/>
  <c r="T18" i="10"/>
  <c r="R18" i="10"/>
  <c r="AR41" i="10"/>
  <c r="AR27" i="10"/>
  <c r="T12" i="10"/>
  <c r="R12" i="10"/>
  <c r="AC70" i="10"/>
  <c r="AE70" i="10"/>
  <c r="AC97" i="10"/>
  <c r="AE97" i="10"/>
  <c r="AQ101" i="10"/>
  <c r="AI101" i="10"/>
  <c r="W24" i="10"/>
  <c r="U24" i="10"/>
  <c r="T115" i="10"/>
  <c r="R115" i="10"/>
  <c r="AF74" i="10"/>
  <c r="AH74" i="10"/>
  <c r="T13" i="10"/>
  <c r="R13" i="10"/>
  <c r="W114" i="10"/>
  <c r="U114" i="10"/>
  <c r="T14" i="10"/>
  <c r="R14" i="10"/>
  <c r="AC71" i="10"/>
  <c r="AE71" i="10"/>
  <c r="AR33" i="10"/>
  <c r="AQ31" i="10"/>
  <c r="AI31" i="10"/>
  <c r="T22" i="10"/>
  <c r="R22" i="10"/>
  <c r="AF75" i="10"/>
  <c r="AH75" i="10"/>
  <c r="W90" i="10"/>
  <c r="U90" i="10"/>
  <c r="AC69" i="10"/>
  <c r="AE69" i="10"/>
  <c r="T92" i="10"/>
  <c r="R92" i="10"/>
  <c r="AB73" i="10"/>
  <c r="X73" i="10"/>
  <c r="T26" i="10"/>
  <c r="R26" i="10"/>
  <c r="AB96" i="10"/>
  <c r="X96" i="10"/>
  <c r="T84" i="10"/>
  <c r="R84" i="10"/>
  <c r="T17" i="10"/>
  <c r="R17" i="10"/>
  <c r="E76" i="15"/>
  <c r="E77" i="15" s="1"/>
  <c r="E78" i="15" s="1"/>
  <c r="F75" i="15"/>
  <c r="AH142" i="10"/>
  <c r="AF141" i="10"/>
  <c r="AH141" i="10"/>
  <c r="AB140" i="10"/>
  <c r="X140" i="10"/>
  <c r="T139" i="10"/>
  <c r="R139" i="10"/>
  <c r="Q138" i="10"/>
  <c r="O138" i="10"/>
  <c r="Q137" i="10"/>
  <c r="O137" i="10"/>
  <c r="Q136" i="10"/>
  <c r="O136" i="10"/>
  <c r="Q135" i="10"/>
  <c r="O135" i="10"/>
  <c r="Q134" i="10"/>
  <c r="O134" i="10"/>
  <c r="AH129" i="10"/>
  <c r="AF129" i="10"/>
  <c r="AH128" i="10"/>
  <c r="AF128" i="10"/>
  <c r="AF127" i="10"/>
  <c r="AH127" i="10"/>
  <c r="AH126" i="10"/>
  <c r="AF126" i="10"/>
  <c r="T125" i="10"/>
  <c r="R125" i="10"/>
  <c r="Q124" i="10"/>
  <c r="O124" i="10"/>
  <c r="Q123" i="10"/>
  <c r="O123" i="10"/>
  <c r="Q122" i="10"/>
  <c r="O122" i="10"/>
  <c r="Q121" i="10"/>
  <c r="O121" i="10"/>
  <c r="Q120" i="10"/>
  <c r="O120" i="10"/>
  <c r="Q119" i="10"/>
  <c r="O119" i="10"/>
  <c r="Q118" i="10"/>
  <c r="O118" i="10"/>
  <c r="AH111" i="10"/>
  <c r="AF111" i="10"/>
  <c r="T109" i="10"/>
  <c r="R109" i="10"/>
  <c r="T108" i="10"/>
  <c r="R108" i="10"/>
  <c r="AF104" i="10"/>
  <c r="AH104" i="10"/>
  <c r="AF102" i="10"/>
  <c r="AH102" i="10"/>
  <c r="U95" i="10"/>
  <c r="W95" i="10"/>
  <c r="T89" i="10"/>
  <c r="R89" i="10"/>
  <c r="N87" i="10"/>
  <c r="L87" i="10"/>
  <c r="K146" i="10"/>
  <c r="K149" i="10"/>
  <c r="I87" i="10"/>
  <c r="H146" i="10"/>
  <c r="H149" i="10"/>
  <c r="E108" i="17"/>
  <c r="F45" i="22"/>
  <c r="G45" i="22" s="1"/>
  <c r="H50" i="22" s="1"/>
  <c r="M50" i="22" s="1"/>
  <c r="M62" i="22" s="1"/>
  <c r="E142" i="17"/>
  <c r="F45" i="21"/>
  <c r="G45" i="21" s="1"/>
  <c r="E69" i="17"/>
  <c r="E72" i="17" s="1"/>
  <c r="F46" i="23"/>
  <c r="G46" i="23" s="1"/>
  <c r="H51" i="23" s="1"/>
  <c r="M51" i="23" s="1"/>
  <c r="M63" i="23" s="1"/>
  <c r="E156" i="10"/>
  <c r="F155" i="10"/>
  <c r="AH65" i="17"/>
  <c r="AB65" i="17"/>
  <c r="M65" i="17"/>
  <c r="U65" i="17"/>
  <c r="AG13" i="14"/>
  <c r="AI13" i="14"/>
  <c r="P12" i="14"/>
  <c r="R12" i="14"/>
  <c r="V7" i="14"/>
  <c r="X7" i="14"/>
  <c r="V6" i="14"/>
  <c r="X6" i="14"/>
  <c r="S5" i="14"/>
  <c r="U5" i="14"/>
  <c r="G43" i="21"/>
  <c r="AG137" i="17"/>
  <c r="U137" i="17"/>
  <c r="M137" i="17"/>
  <c r="AH103" i="17"/>
  <c r="U103" i="17"/>
  <c r="M103" i="17"/>
  <c r="AH64" i="17"/>
  <c r="U64" i="17"/>
  <c r="M64" i="17"/>
  <c r="AH237" i="13" l="1"/>
  <c r="AE315" i="13"/>
  <c r="AX28" i="10"/>
  <c r="AZ28" i="10"/>
  <c r="AX37" i="10"/>
  <c r="AZ37" i="10"/>
  <c r="AX27" i="10"/>
  <c r="AZ27" i="10"/>
  <c r="AX41" i="10"/>
  <c r="AZ41" i="10"/>
  <c r="AX36" i="10"/>
  <c r="AZ36" i="10"/>
  <c r="AX35" i="10"/>
  <c r="AZ35" i="10"/>
  <c r="AX33" i="10"/>
  <c r="AZ33" i="10"/>
  <c r="AK30" i="9"/>
  <c r="AN30" i="9"/>
  <c r="AO30" i="9" s="1"/>
  <c r="AK27" i="9"/>
  <c r="AN27" i="9"/>
  <c r="AO27" i="9" s="1"/>
  <c r="AK28" i="9"/>
  <c r="AN28" i="9"/>
  <c r="AO28" i="9" s="1"/>
  <c r="AT31" i="10"/>
  <c r="AU31" i="10" s="1"/>
  <c r="AW31" i="10"/>
  <c r="AT101" i="10"/>
  <c r="AU101" i="10" s="1"/>
  <c r="AW101" i="10"/>
  <c r="AT30" i="10"/>
  <c r="AU30" i="10" s="1"/>
  <c r="AW30" i="10"/>
  <c r="AT103" i="10"/>
  <c r="AU103" i="10" s="1"/>
  <c r="AW103" i="10"/>
  <c r="AT105" i="10"/>
  <c r="AU105" i="10" s="1"/>
  <c r="AW105" i="10"/>
  <c r="AX311" i="13"/>
  <c r="AZ311" i="13"/>
  <c r="AX68" i="13"/>
  <c r="AZ68" i="13"/>
  <c r="AX230" i="13"/>
  <c r="AZ230" i="13"/>
  <c r="AX70" i="13"/>
  <c r="AZ70" i="13"/>
  <c r="AX15" i="13"/>
  <c r="AZ15" i="13"/>
  <c r="AL13" i="14"/>
  <c r="AO13" i="14"/>
  <c r="AP13" i="14" s="1"/>
  <c r="AS65" i="3"/>
  <c r="BB65" i="3"/>
  <c r="AS47" i="3"/>
  <c r="BB47" i="3"/>
  <c r="AS55" i="3"/>
  <c r="BB55" i="3"/>
  <c r="AL109" i="3"/>
  <c r="AO109" i="3"/>
  <c r="AP109" i="3" s="1"/>
  <c r="AS24" i="3"/>
  <c r="BB24" i="3"/>
  <c r="AS63" i="3"/>
  <c r="BB63" i="3"/>
  <c r="AK75" i="10"/>
  <c r="AN75" i="10"/>
  <c r="AO75" i="10" s="1"/>
  <c r="AK74" i="10"/>
  <c r="AN74" i="10"/>
  <c r="AK34" i="10"/>
  <c r="AN34" i="10"/>
  <c r="AO34" i="10" s="1"/>
  <c r="AK76" i="10"/>
  <c r="AN76" i="10"/>
  <c r="AO76" i="10" s="1"/>
  <c r="AK32" i="10"/>
  <c r="AN32" i="10"/>
  <c r="AO32" i="10" s="1"/>
  <c r="AK29" i="10"/>
  <c r="AN29" i="10"/>
  <c r="AO29" i="10" s="1"/>
  <c r="J109" i="32"/>
  <c r="AQ67" i="13"/>
  <c r="AW67" i="13" s="1"/>
  <c r="AN67" i="13"/>
  <c r="AO67" i="13" s="1"/>
  <c r="AQ66" i="13"/>
  <c r="AW66" i="13" s="1"/>
  <c r="AN66" i="13"/>
  <c r="AO66" i="13" s="1"/>
  <c r="AQ208" i="13"/>
  <c r="AW208" i="13" s="1"/>
  <c r="AN208" i="13"/>
  <c r="AO208" i="13" s="1"/>
  <c r="AQ219" i="13"/>
  <c r="AW219" i="13" s="1"/>
  <c r="AN219" i="13"/>
  <c r="AO219" i="13" s="1"/>
  <c r="AL30" i="9"/>
  <c r="AL27" i="9"/>
  <c r="AL28" i="9"/>
  <c r="AL75" i="10"/>
  <c r="AL74" i="10"/>
  <c r="AO74" i="10"/>
  <c r="AL34" i="10"/>
  <c r="AL76" i="10"/>
  <c r="AL32" i="10"/>
  <c r="AL29" i="10"/>
  <c r="AL105" i="10"/>
  <c r="AO105" i="10"/>
  <c r="AL43" i="15"/>
  <c r="AN43" i="15"/>
  <c r="AO43" i="15" s="1"/>
  <c r="AL230" i="13"/>
  <c r="AL70" i="13"/>
  <c r="AL311" i="13"/>
  <c r="AL68" i="13"/>
  <c r="AM13" i="14"/>
  <c r="AM109" i="3"/>
  <c r="AS33" i="3"/>
  <c r="BB33" i="3" s="1"/>
  <c r="AR76" i="17"/>
  <c r="AU69" i="17"/>
  <c r="U66" i="3"/>
  <c r="U104" i="3"/>
  <c r="S104" i="3"/>
  <c r="S96" i="3"/>
  <c r="U96" i="3"/>
  <c r="R92" i="3"/>
  <c r="P92" i="3"/>
  <c r="V15" i="3"/>
  <c r="Q28" i="16"/>
  <c r="R28" i="16" s="1"/>
  <c r="Q262" i="13"/>
  <c r="O262" i="13"/>
  <c r="T35" i="16"/>
  <c r="R35" i="16"/>
  <c r="AF234" i="13"/>
  <c r="F1" i="30"/>
  <c r="S114" i="3"/>
  <c r="AR28" i="10"/>
  <c r="AT28" i="10"/>
  <c r="AU28" i="10" s="1"/>
  <c r="E22" i="30"/>
  <c r="E1" i="30" s="1"/>
  <c r="T31" i="16"/>
  <c r="R31" i="16"/>
  <c r="AK234" i="13"/>
  <c r="AQ234" i="13"/>
  <c r="AW234" i="13" s="1"/>
  <c r="AK217" i="13"/>
  <c r="AQ217" i="13"/>
  <c r="AW217" i="13" s="1"/>
  <c r="AK221" i="13"/>
  <c r="AQ221" i="13"/>
  <c r="AW221" i="13" s="1"/>
  <c r="AK213" i="13"/>
  <c r="AQ213" i="13"/>
  <c r="AW213" i="13" s="1"/>
  <c r="AK233" i="13"/>
  <c r="AQ233" i="13"/>
  <c r="AW233" i="13" s="1"/>
  <c r="AK209" i="13"/>
  <c r="AQ209" i="13"/>
  <c r="AW209" i="13" s="1"/>
  <c r="AK211" i="13"/>
  <c r="AQ211" i="13"/>
  <c r="AW211" i="13" s="1"/>
  <c r="AK231" i="13"/>
  <c r="AQ231" i="13"/>
  <c r="AW231" i="13" s="1"/>
  <c r="AK197" i="13"/>
  <c r="AQ197" i="13"/>
  <c r="AW197" i="13" s="1"/>
  <c r="AK223" i="13"/>
  <c r="AQ223" i="13"/>
  <c r="AW223" i="13" s="1"/>
  <c r="AK104" i="13"/>
  <c r="AQ104" i="13"/>
  <c r="AW104" i="13" s="1"/>
  <c r="AK218" i="13"/>
  <c r="AQ218" i="13"/>
  <c r="AW218" i="13" s="1"/>
  <c r="AK62" i="13"/>
  <c r="AQ62" i="13"/>
  <c r="AK202" i="13"/>
  <c r="AQ202" i="13"/>
  <c r="AW202" i="13" s="1"/>
  <c r="AK310" i="13"/>
  <c r="AQ310" i="13"/>
  <c r="AW310" i="13" s="1"/>
  <c r="AK235" i="13"/>
  <c r="AQ235" i="13"/>
  <c r="AW235" i="13" s="1"/>
  <c r="AK227" i="13"/>
  <c r="AQ227" i="13"/>
  <c r="AK228" i="13"/>
  <c r="AQ228" i="13"/>
  <c r="AW228" i="13" s="1"/>
  <c r="AQ210" i="13"/>
  <c r="AT210" i="13" s="1"/>
  <c r="AK185" i="13"/>
  <c r="AQ185" i="13"/>
  <c r="AW185" i="13" s="1"/>
  <c r="AK237" i="13"/>
  <c r="AK315" i="13" s="1"/>
  <c r="AQ237" i="13"/>
  <c r="AQ298" i="13"/>
  <c r="AT298" i="13" s="1"/>
  <c r="AT68" i="13"/>
  <c r="AU68" i="13" s="1"/>
  <c r="AT311" i="13"/>
  <c r="AU311" i="13" s="1"/>
  <c r="E145" i="17"/>
  <c r="AO142" i="17"/>
  <c r="E111" i="17"/>
  <c r="AN108" i="17"/>
  <c r="AI67" i="13"/>
  <c r="AK67" i="13"/>
  <c r="AI66" i="13"/>
  <c r="AK66" i="13"/>
  <c r="AI208" i="13"/>
  <c r="AK208" i="13"/>
  <c r="AR230" i="13"/>
  <c r="AU230" i="13"/>
  <c r="AI219" i="13"/>
  <c r="AK219" i="13"/>
  <c r="AR70" i="13"/>
  <c r="AU70" i="13"/>
  <c r="AU21" i="3"/>
  <c r="M113" i="3"/>
  <c r="T35" i="9"/>
  <c r="T38" i="9"/>
  <c r="R38" i="9"/>
  <c r="Q32" i="9"/>
  <c r="Q50" i="9" s="1"/>
  <c r="O32" i="9"/>
  <c r="O50" i="9" s="1"/>
  <c r="F57" i="9"/>
  <c r="E58" i="9"/>
  <c r="AH26" i="9"/>
  <c r="AF26" i="9"/>
  <c r="T7" i="9"/>
  <c r="R7" i="9"/>
  <c r="AR5" i="9"/>
  <c r="AZ5" i="9" s="1"/>
  <c r="X46" i="15"/>
  <c r="AB46" i="15"/>
  <c r="AB31" i="15"/>
  <c r="X31" i="15"/>
  <c r="AQ29" i="10"/>
  <c r="AI29" i="10"/>
  <c r="F48" i="21"/>
  <c r="F49" i="21" s="1"/>
  <c r="AH67" i="10"/>
  <c r="AF67" i="10"/>
  <c r="T28" i="16"/>
  <c r="W23" i="16"/>
  <c r="U23" i="16"/>
  <c r="O36" i="16"/>
  <c r="Q36" i="16"/>
  <c r="AC6" i="16"/>
  <c r="AE6" i="16"/>
  <c r="Q20" i="16"/>
  <c r="T20" i="16" s="1"/>
  <c r="R15" i="16"/>
  <c r="T15" i="16"/>
  <c r="U21" i="16"/>
  <c r="W21" i="16"/>
  <c r="W25" i="16"/>
  <c r="U25" i="16"/>
  <c r="U13" i="16"/>
  <c r="W13" i="16"/>
  <c r="R38" i="16"/>
  <c r="T38" i="16"/>
  <c r="W28" i="16"/>
  <c r="U28" i="16"/>
  <c r="U29" i="16"/>
  <c r="W29" i="16"/>
  <c r="AB33" i="16"/>
  <c r="X33" i="16"/>
  <c r="U18" i="16"/>
  <c r="W18" i="16"/>
  <c r="W19" i="16"/>
  <c r="U19" i="16"/>
  <c r="AB39" i="16"/>
  <c r="X39" i="16"/>
  <c r="U8" i="16"/>
  <c r="W8" i="16"/>
  <c r="O16" i="16"/>
  <c r="Q16" i="16"/>
  <c r="AB9" i="16"/>
  <c r="X9" i="16"/>
  <c r="X27" i="16"/>
  <c r="AB27" i="16"/>
  <c r="AB22" i="16"/>
  <c r="X22" i="16"/>
  <c r="E51" i="16"/>
  <c r="F50" i="16"/>
  <c r="T40" i="16"/>
  <c r="R40" i="16"/>
  <c r="Q14" i="16"/>
  <c r="O14" i="16"/>
  <c r="O43" i="16" s="1"/>
  <c r="N43" i="16"/>
  <c r="T26" i="16"/>
  <c r="R26" i="16"/>
  <c r="AB7" i="16"/>
  <c r="X7" i="16"/>
  <c r="AB17" i="16"/>
  <c r="X17" i="16"/>
  <c r="R30" i="16"/>
  <c r="T30" i="16"/>
  <c r="R34" i="16"/>
  <c r="T34" i="16"/>
  <c r="R32" i="16"/>
  <c r="T32" i="16"/>
  <c r="W37" i="16"/>
  <c r="U37" i="16"/>
  <c r="AF10" i="16"/>
  <c r="AH10" i="16"/>
  <c r="AB5" i="16"/>
  <c r="X5" i="16"/>
  <c r="T24" i="16"/>
  <c r="R24" i="16"/>
  <c r="Y12" i="11"/>
  <c r="AC12" i="11"/>
  <c r="V7" i="11"/>
  <c r="X7" i="11"/>
  <c r="AI15" i="11"/>
  <c r="AL15" i="11" s="1"/>
  <c r="AG15" i="11"/>
  <c r="R5" i="11"/>
  <c r="P5" i="11"/>
  <c r="AI8" i="11"/>
  <c r="AL8" i="11" s="1"/>
  <c r="AG8" i="11"/>
  <c r="E38" i="11"/>
  <c r="F37" i="11"/>
  <c r="AS16" i="11"/>
  <c r="BD16" i="11" s="1"/>
  <c r="AS20" i="11"/>
  <c r="BD20" i="11" s="1"/>
  <c r="AJ25" i="11"/>
  <c r="AR25" i="11"/>
  <c r="AF21" i="11"/>
  <c r="AD21" i="11"/>
  <c r="AC11" i="11"/>
  <c r="Y11" i="11"/>
  <c r="AR24" i="11"/>
  <c r="AJ24" i="11"/>
  <c r="O19" i="11"/>
  <c r="M19" i="11"/>
  <c r="M29" i="11" s="1"/>
  <c r="AC10" i="11"/>
  <c r="Y10" i="11"/>
  <c r="V18" i="11"/>
  <c r="X18" i="11"/>
  <c r="AG22" i="11"/>
  <c r="AI22" i="11"/>
  <c r="U6" i="11"/>
  <c r="S6" i="11"/>
  <c r="X23" i="11"/>
  <c r="V23" i="11"/>
  <c r="AD14" i="11"/>
  <c r="AF14" i="11"/>
  <c r="R13" i="11"/>
  <c r="P13" i="11"/>
  <c r="S16" i="14"/>
  <c r="U16" i="14"/>
  <c r="Y34" i="14"/>
  <c r="AC34" i="14"/>
  <c r="V8" i="14"/>
  <c r="X8" i="14"/>
  <c r="O40" i="14"/>
  <c r="P19" i="14"/>
  <c r="R19" i="14"/>
  <c r="E48" i="14"/>
  <c r="F47" i="14"/>
  <c r="V21" i="14"/>
  <c r="X21" i="14"/>
  <c r="Y31" i="14"/>
  <c r="AC31" i="14"/>
  <c r="S18" i="14"/>
  <c r="U18" i="14"/>
  <c r="R28" i="14"/>
  <c r="P28" i="14"/>
  <c r="S27" i="14"/>
  <c r="U27" i="14"/>
  <c r="AR36" i="14"/>
  <c r="AJ36" i="14"/>
  <c r="S29" i="14"/>
  <c r="U29" i="14"/>
  <c r="R11" i="14"/>
  <c r="P11" i="14"/>
  <c r="X33" i="14"/>
  <c r="V33" i="14"/>
  <c r="S9" i="14"/>
  <c r="U9" i="14"/>
  <c r="R10" i="14"/>
  <c r="P10" i="14"/>
  <c r="R32" i="14"/>
  <c r="P32" i="14"/>
  <c r="AC17" i="14"/>
  <c r="Y17" i="14"/>
  <c r="AC20" i="14"/>
  <c r="Y20" i="14"/>
  <c r="AC26" i="14"/>
  <c r="Y26" i="14"/>
  <c r="X25" i="14"/>
  <c r="V25" i="14"/>
  <c r="V30" i="14"/>
  <c r="X30" i="14"/>
  <c r="O115" i="3"/>
  <c r="F124" i="3"/>
  <c r="E125" i="3"/>
  <c r="C192" i="17"/>
  <c r="V82" i="3"/>
  <c r="V7" i="3"/>
  <c r="X7" i="3"/>
  <c r="AJ66" i="3"/>
  <c r="AR66" i="3"/>
  <c r="R89" i="3"/>
  <c r="P89" i="3"/>
  <c r="M115" i="3"/>
  <c r="P101" i="3"/>
  <c r="R101" i="3"/>
  <c r="R85" i="3"/>
  <c r="P85" i="3"/>
  <c r="V100" i="3"/>
  <c r="X100" i="3"/>
  <c r="AH222" i="13"/>
  <c r="AT219" i="13"/>
  <c r="AI298" i="13"/>
  <c r="AH226" i="13"/>
  <c r="U276" i="13"/>
  <c r="R276" i="13"/>
  <c r="AF298" i="13"/>
  <c r="AC197" i="13"/>
  <c r="X289" i="13"/>
  <c r="T256" i="13"/>
  <c r="U256" i="13" s="1"/>
  <c r="AF185" i="13"/>
  <c r="R249" i="13"/>
  <c r="AT208" i="13"/>
  <c r="AF208" i="13"/>
  <c r="R269" i="13"/>
  <c r="AF237" i="13"/>
  <c r="AF315" i="13" s="1"/>
  <c r="AI210" i="13"/>
  <c r="AH22" i="9"/>
  <c r="AF22" i="9"/>
  <c r="AF43" i="9"/>
  <c r="AH43" i="9"/>
  <c r="AC24" i="9"/>
  <c r="AE24" i="9"/>
  <c r="AQ28" i="9"/>
  <c r="AW28" i="9" s="1"/>
  <c r="AI28" i="9"/>
  <c r="AC15" i="9"/>
  <c r="AE15" i="9"/>
  <c r="X16" i="9"/>
  <c r="AB16" i="9"/>
  <c r="AQ6" i="9"/>
  <c r="AI6" i="9"/>
  <c r="AH23" i="9"/>
  <c r="AF23" i="9"/>
  <c r="AR41" i="9"/>
  <c r="AZ41" i="9" s="1"/>
  <c r="AI30" i="9"/>
  <c r="AQ30" i="9"/>
  <c r="AC18" i="9"/>
  <c r="AE18" i="9"/>
  <c r="W11" i="9"/>
  <c r="U11" i="9"/>
  <c r="AB17" i="9"/>
  <c r="X17" i="9"/>
  <c r="AE19" i="9"/>
  <c r="AC19" i="9"/>
  <c r="AC14" i="9"/>
  <c r="AE14" i="9"/>
  <c r="AB13" i="9"/>
  <c r="X13" i="9"/>
  <c r="AH29" i="9"/>
  <c r="AF29" i="9"/>
  <c r="AC39" i="9"/>
  <c r="AE39" i="9"/>
  <c r="AG54" i="17"/>
  <c r="U54" i="17"/>
  <c r="C17" i="17"/>
  <c r="K17" i="17" s="1"/>
  <c r="S54" i="17"/>
  <c r="AE34" i="9"/>
  <c r="AC34" i="9"/>
  <c r="X10" i="9"/>
  <c r="AB10" i="9"/>
  <c r="AQ27" i="9"/>
  <c r="AI27" i="9"/>
  <c r="AE25" i="9"/>
  <c r="AC25" i="9"/>
  <c r="AF20" i="9"/>
  <c r="AH20" i="9"/>
  <c r="AF42" i="9"/>
  <c r="AH42" i="9"/>
  <c r="AC21" i="9"/>
  <c r="AE21" i="9"/>
  <c r="AH8" i="9"/>
  <c r="AF8" i="9"/>
  <c r="AB33" i="9"/>
  <c r="X33" i="9"/>
  <c r="AQ44" i="9"/>
  <c r="AI44" i="9"/>
  <c r="AR40" i="9"/>
  <c r="AZ40" i="9" s="1"/>
  <c r="T6" i="9"/>
  <c r="R6" i="9"/>
  <c r="U37" i="9"/>
  <c r="W37" i="9"/>
  <c r="AB12" i="9"/>
  <c r="X12" i="9"/>
  <c r="AC35" i="15"/>
  <c r="AE35" i="15"/>
  <c r="AB33" i="15"/>
  <c r="X33" i="15"/>
  <c r="AQ62" i="15"/>
  <c r="AI62" i="15"/>
  <c r="W56" i="15"/>
  <c r="U56" i="15"/>
  <c r="AC60" i="15"/>
  <c r="AE60" i="15"/>
  <c r="AB21" i="15"/>
  <c r="X21" i="15"/>
  <c r="X17" i="15"/>
  <c r="AB17" i="15"/>
  <c r="AB28" i="15"/>
  <c r="X28" i="15"/>
  <c r="U32" i="15"/>
  <c r="W32" i="15"/>
  <c r="AB22" i="15"/>
  <c r="X22" i="15"/>
  <c r="AI43" i="15"/>
  <c r="AQ43" i="15"/>
  <c r="X42" i="15"/>
  <c r="AB42" i="15"/>
  <c r="X25" i="15"/>
  <c r="AB25" i="15"/>
  <c r="AB29" i="15"/>
  <c r="X29" i="15"/>
  <c r="T51" i="15"/>
  <c r="R51" i="15"/>
  <c r="AB23" i="15"/>
  <c r="X23" i="15"/>
  <c r="AE36" i="15"/>
  <c r="AC36" i="15"/>
  <c r="W14" i="15"/>
  <c r="U14" i="15"/>
  <c r="U5" i="15"/>
  <c r="T65" i="15"/>
  <c r="W5" i="15"/>
  <c r="U7" i="15"/>
  <c r="W7" i="15"/>
  <c r="AB48" i="15"/>
  <c r="X48" i="15"/>
  <c r="W58" i="15"/>
  <c r="U58" i="15"/>
  <c r="AB13" i="15"/>
  <c r="X13" i="15"/>
  <c r="AB12" i="15"/>
  <c r="X12" i="15"/>
  <c r="AB16" i="15"/>
  <c r="X16" i="15"/>
  <c r="U59" i="15"/>
  <c r="W59" i="15"/>
  <c r="W15" i="15"/>
  <c r="U15" i="15"/>
  <c r="AB18" i="15"/>
  <c r="X18" i="15"/>
  <c r="U10" i="15"/>
  <c r="W10" i="15"/>
  <c r="T55" i="15"/>
  <c r="R55" i="15"/>
  <c r="AF27" i="15"/>
  <c r="AH27" i="15"/>
  <c r="X40" i="15"/>
  <c r="AB40" i="15"/>
  <c r="AC34" i="15"/>
  <c r="AE34" i="15"/>
  <c r="U57" i="15"/>
  <c r="W57" i="15"/>
  <c r="T54" i="15"/>
  <c r="R54" i="15"/>
  <c r="U9" i="15"/>
  <c r="W9" i="15"/>
  <c r="U11" i="15"/>
  <c r="W11" i="15"/>
  <c r="W6" i="15"/>
  <c r="U6" i="15"/>
  <c r="Q53" i="15"/>
  <c r="Q69" i="15" s="1"/>
  <c r="O53" i="15"/>
  <c r="N69" i="15"/>
  <c r="AC61" i="15"/>
  <c r="AE61" i="15"/>
  <c r="AB26" i="15"/>
  <c r="X26" i="15"/>
  <c r="U8" i="15"/>
  <c r="W8" i="15"/>
  <c r="X41" i="15"/>
  <c r="AB41" i="15"/>
  <c r="L69" i="15"/>
  <c r="AB30" i="15"/>
  <c r="X30" i="15"/>
  <c r="AC24" i="15"/>
  <c r="AE24" i="15"/>
  <c r="U20" i="15"/>
  <c r="W20" i="15"/>
  <c r="W19" i="15"/>
  <c r="U19" i="15"/>
  <c r="R65" i="15"/>
  <c r="AB52" i="15"/>
  <c r="X52" i="15"/>
  <c r="AH68" i="10"/>
  <c r="AF68" i="10"/>
  <c r="AF66" i="10"/>
  <c r="AH66" i="10"/>
  <c r="AB15" i="10"/>
  <c r="X15" i="10"/>
  <c r="AB88" i="10"/>
  <c r="X88" i="10"/>
  <c r="AI32" i="10"/>
  <c r="AQ32" i="10"/>
  <c r="AW32" i="10" s="1"/>
  <c r="R270" i="13"/>
  <c r="U68" i="3"/>
  <c r="S68" i="3"/>
  <c r="AG28" i="3"/>
  <c r="AI28" i="3"/>
  <c r="S88" i="3"/>
  <c r="U88" i="3"/>
  <c r="Y18" i="3"/>
  <c r="AC18" i="3"/>
  <c r="AC14" i="3"/>
  <c r="Y14" i="3"/>
  <c r="V48" i="3"/>
  <c r="X48" i="3"/>
  <c r="AI79" i="3"/>
  <c r="AG79" i="3"/>
  <c r="U93" i="3"/>
  <c r="S93" i="3"/>
  <c r="X53" i="3"/>
  <c r="V53" i="3"/>
  <c r="T259" i="13"/>
  <c r="W259" i="13" s="1"/>
  <c r="AH229" i="13"/>
  <c r="T248" i="13"/>
  <c r="U248" i="13" s="1"/>
  <c r="AB109" i="13"/>
  <c r="AE109" i="13" s="1"/>
  <c r="AT67" i="13"/>
  <c r="X81" i="13"/>
  <c r="U21" i="10"/>
  <c r="W21" i="10"/>
  <c r="F49" i="23"/>
  <c r="F50" i="23" s="1"/>
  <c r="U60" i="10"/>
  <c r="W60" i="10"/>
  <c r="AI76" i="10"/>
  <c r="AQ76" i="10"/>
  <c r="AI130" i="10"/>
  <c r="AQ130" i="10"/>
  <c r="AR130" i="10" s="1"/>
  <c r="AZ130" i="10" s="1"/>
  <c r="U8" i="10"/>
  <c r="W8" i="10"/>
  <c r="U93" i="10"/>
  <c r="W93" i="10"/>
  <c r="U23" i="10"/>
  <c r="W23" i="10"/>
  <c r="U11" i="10"/>
  <c r="W11" i="10"/>
  <c r="AH100" i="10"/>
  <c r="AF100" i="10"/>
  <c r="AB94" i="10"/>
  <c r="X94" i="10"/>
  <c r="AF99" i="10"/>
  <c r="AH99" i="10"/>
  <c r="U25" i="10"/>
  <c r="W25" i="10"/>
  <c r="AB64" i="10"/>
  <c r="X64" i="10"/>
  <c r="F48" i="22"/>
  <c r="F49" i="22" s="1"/>
  <c r="AH85" i="10"/>
  <c r="AF85" i="10"/>
  <c r="AI34" i="10"/>
  <c r="AQ34" i="10"/>
  <c r="X62" i="10"/>
  <c r="AB62" i="10"/>
  <c r="U86" i="10"/>
  <c r="W86" i="10"/>
  <c r="U19" i="10"/>
  <c r="W19" i="10"/>
  <c r="R242" i="13"/>
  <c r="R266" i="13"/>
  <c r="T78" i="13"/>
  <c r="R78" i="13"/>
  <c r="AC60" i="13"/>
  <c r="AE60" i="13"/>
  <c r="AF228" i="13"/>
  <c r="AE206" i="13"/>
  <c r="AH206" i="13" s="1"/>
  <c r="AN206" i="13" s="1"/>
  <c r="AO206" i="13" s="1"/>
  <c r="R268" i="13"/>
  <c r="T268" i="13"/>
  <c r="AH216" i="13"/>
  <c r="AF232" i="13"/>
  <c r="AH232" i="13"/>
  <c r="AN232" i="13" s="1"/>
  <c r="AO232" i="13" s="1"/>
  <c r="W173" i="13"/>
  <c r="X173" i="13" s="1"/>
  <c r="AF220" i="13"/>
  <c r="AH220" i="13"/>
  <c r="AN220" i="13" s="1"/>
  <c r="AO220" i="13" s="1"/>
  <c r="T82" i="13"/>
  <c r="R82" i="13"/>
  <c r="AI88" i="13"/>
  <c r="AB37" i="13"/>
  <c r="X37" i="13"/>
  <c r="AI227" i="13"/>
  <c r="AC200" i="13"/>
  <c r="AE200" i="13"/>
  <c r="AF224" i="13"/>
  <c r="AH224" i="13"/>
  <c r="AN224" i="13" s="1"/>
  <c r="AO224" i="13" s="1"/>
  <c r="AB121" i="13"/>
  <c r="X121" i="13"/>
  <c r="R245" i="13"/>
  <c r="T245" i="13"/>
  <c r="AI214" i="13"/>
  <c r="AT214" i="13"/>
  <c r="X133" i="13"/>
  <c r="AB133" i="13"/>
  <c r="AT235" i="13"/>
  <c r="AI235" i="13"/>
  <c r="U96" i="13"/>
  <c r="W96" i="13"/>
  <c r="AB115" i="13"/>
  <c r="X115" i="13"/>
  <c r="AC42" i="13"/>
  <c r="AE42" i="13"/>
  <c r="AB110" i="13"/>
  <c r="X110" i="13"/>
  <c r="AB53" i="13"/>
  <c r="X53" i="13"/>
  <c r="T255" i="13"/>
  <c r="R255" i="13"/>
  <c r="AE49" i="13"/>
  <c r="AC49" i="13"/>
  <c r="X125" i="13"/>
  <c r="AB125" i="13"/>
  <c r="X159" i="13"/>
  <c r="AB159" i="13"/>
  <c r="AC105" i="13"/>
  <c r="AE105" i="13"/>
  <c r="AB92" i="13"/>
  <c r="X92" i="13"/>
  <c r="AE63" i="13"/>
  <c r="AC63" i="13"/>
  <c r="AB84" i="13"/>
  <c r="X84" i="13"/>
  <c r="AB282" i="13"/>
  <c r="X282" i="13"/>
  <c r="AI218" i="13"/>
  <c r="AE135" i="13"/>
  <c r="AC135" i="13"/>
  <c r="AI62" i="13"/>
  <c r="W91" i="13"/>
  <c r="U91" i="13"/>
  <c r="AH198" i="13"/>
  <c r="AN198" i="13" s="1"/>
  <c r="AO198" i="13" s="1"/>
  <c r="AF198" i="13"/>
  <c r="AI202" i="13"/>
  <c r="X145" i="13"/>
  <c r="AB145" i="13"/>
  <c r="AE112" i="13"/>
  <c r="AC112" i="13"/>
  <c r="AH205" i="13"/>
  <c r="AQ205" i="13" s="1"/>
  <c r="AF205" i="13"/>
  <c r="AB168" i="13"/>
  <c r="X168" i="13"/>
  <c r="X288" i="13"/>
  <c r="AB288" i="13"/>
  <c r="AI104" i="13"/>
  <c r="X48" i="13"/>
  <c r="AB48" i="13"/>
  <c r="AB43" i="13"/>
  <c r="X43" i="13"/>
  <c r="X35" i="13"/>
  <c r="AB35" i="13"/>
  <c r="T258" i="13"/>
  <c r="R258" i="13"/>
  <c r="W270" i="13"/>
  <c r="U270" i="13"/>
  <c r="X94" i="13"/>
  <c r="AB94" i="13"/>
  <c r="AB45" i="13"/>
  <c r="X45" i="13"/>
  <c r="AB130" i="13"/>
  <c r="X130" i="13"/>
  <c r="AB117" i="13"/>
  <c r="X117" i="13"/>
  <c r="AC192" i="13"/>
  <c r="AE192" i="13"/>
  <c r="AC64" i="13"/>
  <c r="AE64" i="13"/>
  <c r="AB170" i="13"/>
  <c r="X170" i="13"/>
  <c r="AB136" i="13"/>
  <c r="X136" i="13"/>
  <c r="AE51" i="13"/>
  <c r="AC51" i="13"/>
  <c r="AC47" i="13"/>
  <c r="AE47" i="13"/>
  <c r="AF207" i="13"/>
  <c r="AH207" i="13"/>
  <c r="AN207" i="13" s="1"/>
  <c r="AO207" i="13" s="1"/>
  <c r="X123" i="13"/>
  <c r="AB123" i="13"/>
  <c r="U166" i="13"/>
  <c r="W166" i="13"/>
  <c r="AB188" i="13"/>
  <c r="X188" i="13"/>
  <c r="U93" i="13"/>
  <c r="W93" i="13"/>
  <c r="AB141" i="13"/>
  <c r="X141" i="13"/>
  <c r="X164" i="13"/>
  <c r="AB164" i="13"/>
  <c r="AB33" i="13"/>
  <c r="X33" i="13"/>
  <c r="AR311" i="13"/>
  <c r="AC131" i="13"/>
  <c r="AE131" i="13"/>
  <c r="AB122" i="13"/>
  <c r="X122" i="13"/>
  <c r="R281" i="13"/>
  <c r="T281" i="13"/>
  <c r="AF89" i="13"/>
  <c r="AH89" i="13"/>
  <c r="AN89" i="13" s="1"/>
  <c r="AO89" i="13" s="1"/>
  <c r="AE184" i="13"/>
  <c r="AC184" i="13"/>
  <c r="U250" i="13"/>
  <c r="W250" i="13"/>
  <c r="U97" i="13"/>
  <c r="W97" i="13"/>
  <c r="AC113" i="13"/>
  <c r="AE113" i="13"/>
  <c r="AB147" i="13"/>
  <c r="X147" i="13"/>
  <c r="F325" i="13"/>
  <c r="E195" i="17" s="1"/>
  <c r="K195" i="17" s="1"/>
  <c r="S195" i="17" s="1"/>
  <c r="C123" i="17"/>
  <c r="E326" i="13"/>
  <c r="E327" i="13" s="1"/>
  <c r="X83" i="13"/>
  <c r="AB83" i="13"/>
  <c r="AB32" i="13"/>
  <c r="X32" i="13"/>
  <c r="AR66" i="13"/>
  <c r="AF294" i="13"/>
  <c r="AH294" i="13"/>
  <c r="AQ294" i="13" s="1"/>
  <c r="U151" i="13"/>
  <c r="W151" i="13"/>
  <c r="R264" i="13"/>
  <c r="T264" i="13"/>
  <c r="AB134" i="13"/>
  <c r="X134" i="13"/>
  <c r="AF194" i="13"/>
  <c r="AH194" i="13"/>
  <c r="AN194" i="13" s="1"/>
  <c r="AO194" i="13" s="1"/>
  <c r="AB101" i="13"/>
  <c r="X101" i="13"/>
  <c r="X41" i="13"/>
  <c r="AB41" i="13"/>
  <c r="AB100" i="13"/>
  <c r="X100" i="13"/>
  <c r="W177" i="13"/>
  <c r="U177" i="13"/>
  <c r="AI303" i="13"/>
  <c r="AT303" i="13"/>
  <c r="AH215" i="13"/>
  <c r="AN215" i="13" s="1"/>
  <c r="AO215" i="13" s="1"/>
  <c r="AF215" i="13"/>
  <c r="U274" i="13"/>
  <c r="W274" i="13"/>
  <c r="AH61" i="13"/>
  <c r="AN61" i="13" s="1"/>
  <c r="AO61" i="13" s="1"/>
  <c r="AF61" i="13"/>
  <c r="AR68" i="13"/>
  <c r="X142" i="13"/>
  <c r="AB142" i="13"/>
  <c r="AE126" i="13"/>
  <c r="AC126" i="13"/>
  <c r="AB114" i="13"/>
  <c r="X114" i="13"/>
  <c r="AB124" i="13"/>
  <c r="X124" i="13"/>
  <c r="T261" i="13"/>
  <c r="R261" i="13"/>
  <c r="X58" i="13"/>
  <c r="AB58" i="13"/>
  <c r="U254" i="13"/>
  <c r="W254" i="13"/>
  <c r="W266" i="13"/>
  <c r="U266" i="13"/>
  <c r="U79" i="13"/>
  <c r="W79" i="13"/>
  <c r="AI310" i="13"/>
  <c r="U28" i="13"/>
  <c r="W28" i="13"/>
  <c r="AB290" i="13"/>
  <c r="X290" i="13"/>
  <c r="AF201" i="13"/>
  <c r="AH201" i="13"/>
  <c r="AN201" i="13" s="1"/>
  <c r="AO201" i="13" s="1"/>
  <c r="AE154" i="13"/>
  <c r="AC154" i="13"/>
  <c r="T9" i="13"/>
  <c r="R9" i="13"/>
  <c r="AH236" i="13"/>
  <c r="AN236" i="13" s="1"/>
  <c r="AO236" i="13" s="1"/>
  <c r="AF236" i="13"/>
  <c r="AI225" i="13"/>
  <c r="AT225" i="13"/>
  <c r="AI217" i="13"/>
  <c r="AI221" i="13"/>
  <c r="AR308" i="13"/>
  <c r="AZ308" i="13" s="1"/>
  <c r="AI185" i="13"/>
  <c r="AE118" i="13"/>
  <c r="AC118" i="13"/>
  <c r="AC153" i="13"/>
  <c r="AE153" i="13"/>
  <c r="AB26" i="13"/>
  <c r="X26" i="13"/>
  <c r="AC289" i="13"/>
  <c r="AE289" i="13"/>
  <c r="AB116" i="13"/>
  <c r="X116" i="13"/>
  <c r="AB38" i="13"/>
  <c r="X38" i="13"/>
  <c r="AB139" i="13"/>
  <c r="X139" i="13"/>
  <c r="X24" i="13"/>
  <c r="AB24" i="13"/>
  <c r="X160" i="13"/>
  <c r="AB160" i="13"/>
  <c r="AB240" i="13"/>
  <c r="X240" i="13"/>
  <c r="X75" i="13"/>
  <c r="AB75" i="13"/>
  <c r="W246" i="13"/>
  <c r="U246" i="13"/>
  <c r="U285" i="13"/>
  <c r="W285" i="13"/>
  <c r="W30" i="13"/>
  <c r="U30" i="13"/>
  <c r="W277" i="13"/>
  <c r="U277" i="13"/>
  <c r="X108" i="13"/>
  <c r="AB108" i="13"/>
  <c r="W275" i="13"/>
  <c r="U275" i="13"/>
  <c r="W54" i="13"/>
  <c r="U54" i="13"/>
  <c r="AB128" i="13"/>
  <c r="X128" i="13"/>
  <c r="AB73" i="13"/>
  <c r="X73" i="13"/>
  <c r="AB165" i="13"/>
  <c r="X165" i="13"/>
  <c r="X176" i="13"/>
  <c r="AB176" i="13"/>
  <c r="X158" i="13"/>
  <c r="AB158" i="13"/>
  <c r="T247" i="13"/>
  <c r="R247" i="13"/>
  <c r="X178" i="13"/>
  <c r="AB178" i="13"/>
  <c r="W271" i="13"/>
  <c r="U271" i="13"/>
  <c r="AH65" i="13"/>
  <c r="AN65" i="13" s="1"/>
  <c r="AO65" i="13" s="1"/>
  <c r="AF65" i="13"/>
  <c r="AT302" i="13"/>
  <c r="AI302" i="13"/>
  <c r="AF204" i="13"/>
  <c r="AH204" i="13"/>
  <c r="AN204" i="13" s="1"/>
  <c r="AO204" i="13" s="1"/>
  <c r="AI197" i="13"/>
  <c r="X167" i="13"/>
  <c r="AB167" i="13"/>
  <c r="AH292" i="13"/>
  <c r="AQ292" i="13" s="1"/>
  <c r="AF292" i="13"/>
  <c r="AC193" i="13"/>
  <c r="AE193" i="13"/>
  <c r="AB59" i="13"/>
  <c r="X59" i="13"/>
  <c r="AB20" i="13"/>
  <c r="X20" i="13"/>
  <c r="T257" i="13"/>
  <c r="R257" i="13"/>
  <c r="AB132" i="13"/>
  <c r="X132" i="13"/>
  <c r="AC190" i="13"/>
  <c r="AE190" i="13"/>
  <c r="W156" i="13"/>
  <c r="U156" i="13"/>
  <c r="X57" i="13"/>
  <c r="AB57" i="13"/>
  <c r="AB174" i="13"/>
  <c r="X174" i="13"/>
  <c r="Q11" i="13"/>
  <c r="O11" i="13"/>
  <c r="X163" i="13"/>
  <c r="AB163" i="13"/>
  <c r="X46" i="13"/>
  <c r="AB46" i="13"/>
  <c r="T244" i="13"/>
  <c r="R244" i="13"/>
  <c r="W251" i="13"/>
  <c r="U251" i="13"/>
  <c r="W10" i="13"/>
  <c r="U10" i="13"/>
  <c r="X23" i="13"/>
  <c r="AB23" i="13"/>
  <c r="AB6" i="13"/>
  <c r="X6" i="13"/>
  <c r="AF111" i="13"/>
  <c r="AH111" i="13"/>
  <c r="AN111" i="13" s="1"/>
  <c r="AO111" i="13" s="1"/>
  <c r="AB44" i="13"/>
  <c r="X44" i="13"/>
  <c r="AC106" i="13"/>
  <c r="AE106" i="13"/>
  <c r="AC107" i="13"/>
  <c r="AE107" i="13"/>
  <c r="AR296" i="13"/>
  <c r="AZ296" i="13" s="1"/>
  <c r="W80" i="13"/>
  <c r="U80" i="13"/>
  <c r="AE195" i="13"/>
  <c r="AC195" i="13"/>
  <c r="AB74" i="13"/>
  <c r="X74" i="13"/>
  <c r="W98" i="13"/>
  <c r="U98" i="13"/>
  <c r="T243" i="13"/>
  <c r="R243" i="13"/>
  <c r="AC120" i="13"/>
  <c r="AE120" i="13"/>
  <c r="AC291" i="13"/>
  <c r="AE291" i="13"/>
  <c r="X183" i="13"/>
  <c r="AB183" i="13"/>
  <c r="X18" i="13"/>
  <c r="AB18" i="13"/>
  <c r="AB137" i="13"/>
  <c r="X137" i="13"/>
  <c r="AB189" i="13"/>
  <c r="X189" i="13"/>
  <c r="AB157" i="13"/>
  <c r="X157" i="13"/>
  <c r="AE140" i="13"/>
  <c r="AC140" i="13"/>
  <c r="W265" i="13"/>
  <c r="U265" i="13"/>
  <c r="AB40" i="13"/>
  <c r="X40" i="13"/>
  <c r="W269" i="13"/>
  <c r="U269" i="13"/>
  <c r="AE191" i="13"/>
  <c r="AC191" i="13"/>
  <c r="X144" i="13"/>
  <c r="AB144" i="13"/>
  <c r="AI223" i="13"/>
  <c r="T76" i="13"/>
  <c r="R76" i="13"/>
  <c r="W175" i="13"/>
  <c r="U175" i="13"/>
  <c r="AF295" i="13"/>
  <c r="AH295" i="13"/>
  <c r="AQ295" i="13" s="1"/>
  <c r="AF196" i="13"/>
  <c r="AH196" i="13"/>
  <c r="AN196" i="13" s="1"/>
  <c r="AO196" i="13" s="1"/>
  <c r="X181" i="13"/>
  <c r="AB181" i="13"/>
  <c r="X21" i="13"/>
  <c r="AB21" i="13"/>
  <c r="AB19" i="13"/>
  <c r="X19" i="13"/>
  <c r="W278" i="13"/>
  <c r="U278" i="13"/>
  <c r="X36" i="13"/>
  <c r="AB36" i="13"/>
  <c r="AB187" i="13"/>
  <c r="X187" i="13"/>
  <c r="AB171" i="13"/>
  <c r="X171" i="13"/>
  <c r="W87" i="13"/>
  <c r="U87" i="13"/>
  <c r="AB186" i="13"/>
  <c r="X186" i="13"/>
  <c r="W279" i="13"/>
  <c r="U279" i="13"/>
  <c r="AI301" i="13"/>
  <c r="AT301" i="13"/>
  <c r="AB138" i="13"/>
  <c r="X138" i="13"/>
  <c r="AC203" i="13"/>
  <c r="AE203" i="13"/>
  <c r="X180" i="13"/>
  <c r="AB180" i="13"/>
  <c r="AB129" i="13"/>
  <c r="X129" i="13"/>
  <c r="AE150" i="13"/>
  <c r="AC150" i="13"/>
  <c r="X161" i="13"/>
  <c r="AB161" i="13"/>
  <c r="AF299" i="13"/>
  <c r="AH299" i="13"/>
  <c r="AQ299" i="13" s="1"/>
  <c r="W287" i="13"/>
  <c r="U287" i="13"/>
  <c r="W263" i="13"/>
  <c r="U263" i="13"/>
  <c r="AB31" i="13"/>
  <c r="X31" i="13"/>
  <c r="AB162" i="13"/>
  <c r="X162" i="13"/>
  <c r="W283" i="13"/>
  <c r="U283" i="13"/>
  <c r="AF300" i="13"/>
  <c r="AH300" i="13"/>
  <c r="AQ300" i="13" s="1"/>
  <c r="AI233" i="13"/>
  <c r="AI209" i="13"/>
  <c r="AI293" i="13"/>
  <c r="AT293" i="13"/>
  <c r="AE127" i="13"/>
  <c r="AC127" i="13"/>
  <c r="AE39" i="13"/>
  <c r="AC39" i="13"/>
  <c r="AF297" i="13"/>
  <c r="AH297" i="13"/>
  <c r="AQ297" i="13" s="1"/>
  <c r="AB29" i="13"/>
  <c r="X29" i="13"/>
  <c r="AI234" i="13"/>
  <c r="X169" i="13"/>
  <c r="AB169" i="13"/>
  <c r="AB86" i="13"/>
  <c r="X86" i="13"/>
  <c r="AI228" i="13"/>
  <c r="W103" i="13"/>
  <c r="U103" i="13"/>
  <c r="W172" i="13"/>
  <c r="U172" i="13"/>
  <c r="W155" i="13"/>
  <c r="U155" i="13"/>
  <c r="AB146" i="13"/>
  <c r="X146" i="13"/>
  <c r="X77" i="13"/>
  <c r="AB77" i="13"/>
  <c r="X182" i="13"/>
  <c r="AB182" i="13"/>
  <c r="AH199" i="13"/>
  <c r="AQ199" i="13" s="1"/>
  <c r="AF199" i="13"/>
  <c r="AC50" i="13"/>
  <c r="AE50" i="13"/>
  <c r="AE152" i="13"/>
  <c r="AC152" i="13"/>
  <c r="AF212" i="13"/>
  <c r="AH212" i="13"/>
  <c r="AN212" i="13" s="1"/>
  <c r="AO212" i="13" s="1"/>
  <c r="X286" i="13"/>
  <c r="AB286" i="13"/>
  <c r="X149" i="13"/>
  <c r="AB149" i="13"/>
  <c r="W249" i="13"/>
  <c r="U249" i="13"/>
  <c r="W7" i="13"/>
  <c r="U7" i="13"/>
  <c r="AB85" i="13"/>
  <c r="X85" i="13"/>
  <c r="W267" i="13"/>
  <c r="U267" i="13"/>
  <c r="W179" i="13"/>
  <c r="U179" i="13"/>
  <c r="AF143" i="13"/>
  <c r="AH143" i="13"/>
  <c r="AN143" i="13" s="1"/>
  <c r="AO143" i="13" s="1"/>
  <c r="AI213" i="13"/>
  <c r="AB95" i="13"/>
  <c r="X95" i="13"/>
  <c r="U253" i="13"/>
  <c r="W253" i="13"/>
  <c r="AI211" i="13"/>
  <c r="AI231" i="13"/>
  <c r="AB99" i="13"/>
  <c r="X99" i="13"/>
  <c r="AC119" i="13"/>
  <c r="AE119" i="13"/>
  <c r="AB12" i="13"/>
  <c r="X12" i="13"/>
  <c r="W272" i="13"/>
  <c r="U272" i="13"/>
  <c r="AB260" i="13"/>
  <c r="X260" i="13"/>
  <c r="AB252" i="13"/>
  <c r="X252" i="13"/>
  <c r="W280" i="13"/>
  <c r="U280" i="13"/>
  <c r="W241" i="13"/>
  <c r="U241" i="13"/>
  <c r="AC148" i="13"/>
  <c r="AE148" i="13"/>
  <c r="AC81" i="13"/>
  <c r="AE81" i="13"/>
  <c r="AB276" i="13"/>
  <c r="X276" i="13"/>
  <c r="X52" i="13"/>
  <c r="AB52" i="13"/>
  <c r="AB284" i="13"/>
  <c r="X284" i="13"/>
  <c r="AB102" i="13"/>
  <c r="X102" i="13"/>
  <c r="T273" i="13"/>
  <c r="R273" i="13"/>
  <c r="AB55" i="13"/>
  <c r="X55" i="13"/>
  <c r="AI237" i="13"/>
  <c r="AI315" i="13" s="1"/>
  <c r="U242" i="13"/>
  <c r="W242" i="13"/>
  <c r="AB56" i="13"/>
  <c r="X56" i="13"/>
  <c r="X38" i="3"/>
  <c r="V38" i="3"/>
  <c r="AC45" i="3"/>
  <c r="Y45" i="3"/>
  <c r="V19" i="3"/>
  <c r="X19" i="3"/>
  <c r="S55" i="3"/>
  <c r="U55" i="3"/>
  <c r="AG70" i="3"/>
  <c r="AI70" i="3"/>
  <c r="AJ109" i="3"/>
  <c r="AR109" i="3"/>
  <c r="AD37" i="3"/>
  <c r="AF37" i="3"/>
  <c r="X84" i="3"/>
  <c r="V84" i="3"/>
  <c r="AF25" i="3"/>
  <c r="AD25" i="3"/>
  <c r="AG29" i="3"/>
  <c r="AI29" i="3"/>
  <c r="AC61" i="3"/>
  <c r="Y61" i="3"/>
  <c r="AS59" i="3"/>
  <c r="BB59" i="3" s="1"/>
  <c r="AC35" i="3"/>
  <c r="Y35" i="3"/>
  <c r="Y57" i="3"/>
  <c r="AC57" i="3"/>
  <c r="AI12" i="3"/>
  <c r="AG12" i="3"/>
  <c r="V8" i="3"/>
  <c r="V114" i="3" s="1"/>
  <c r="X8" i="3"/>
  <c r="X114" i="3" s="1"/>
  <c r="AF50" i="3"/>
  <c r="AD50" i="3"/>
  <c r="AJ106" i="3"/>
  <c r="AR106" i="3"/>
  <c r="AS21" i="3"/>
  <c r="AS56" i="3"/>
  <c r="BB56" i="3" s="1"/>
  <c r="X65" i="3"/>
  <c r="Y65" i="3" s="1"/>
  <c r="V65" i="3"/>
  <c r="AJ44" i="3"/>
  <c r="AR44" i="3"/>
  <c r="AD34" i="3"/>
  <c r="AF34" i="3"/>
  <c r="AS40" i="3"/>
  <c r="BB40" i="3" s="1"/>
  <c r="V94" i="3"/>
  <c r="X94" i="3"/>
  <c r="U44" i="3"/>
  <c r="S44" i="3"/>
  <c r="V66" i="3"/>
  <c r="X66" i="3"/>
  <c r="Y66" i="3" s="1"/>
  <c r="U33" i="3"/>
  <c r="S33" i="3"/>
  <c r="AF41" i="3"/>
  <c r="AD41" i="3"/>
  <c r="V95" i="3"/>
  <c r="X95" i="3"/>
  <c r="S40" i="3"/>
  <c r="U40" i="3"/>
  <c r="AI74" i="3"/>
  <c r="AG74" i="3"/>
  <c r="AD16" i="3"/>
  <c r="AF16" i="3"/>
  <c r="X72" i="3"/>
  <c r="Y72" i="3" s="1"/>
  <c r="V72" i="3"/>
  <c r="AC69" i="3"/>
  <c r="Y69" i="3"/>
  <c r="AD51" i="3"/>
  <c r="AF51" i="3"/>
  <c r="S60" i="3"/>
  <c r="U60" i="3"/>
  <c r="V47" i="3"/>
  <c r="X47" i="3"/>
  <c r="Y47" i="3" s="1"/>
  <c r="V99" i="3"/>
  <c r="X99" i="3"/>
  <c r="X64" i="3"/>
  <c r="V64" i="3"/>
  <c r="AF52" i="3"/>
  <c r="AD52" i="3"/>
  <c r="S56" i="3"/>
  <c r="U56" i="3"/>
  <c r="V10" i="3"/>
  <c r="X10" i="3"/>
  <c r="Y15" i="3"/>
  <c r="AC15" i="3"/>
  <c r="Y49" i="3"/>
  <c r="AC49" i="3"/>
  <c r="AC13" i="3"/>
  <c r="Y13" i="3"/>
  <c r="AS77" i="3"/>
  <c r="BB77" i="3" s="1"/>
  <c r="AF76" i="3"/>
  <c r="AD76" i="3"/>
  <c r="V75" i="3"/>
  <c r="X75" i="3"/>
  <c r="Y75" i="3" s="1"/>
  <c r="X102" i="3"/>
  <c r="V102" i="3"/>
  <c r="AC9" i="3"/>
  <c r="Y9" i="3"/>
  <c r="V90" i="3"/>
  <c r="X90" i="3"/>
  <c r="X83" i="3"/>
  <c r="V83" i="3"/>
  <c r="X67" i="3"/>
  <c r="V67" i="3"/>
  <c r="V17" i="3"/>
  <c r="X17" i="3"/>
  <c r="V86" i="3"/>
  <c r="X86" i="3"/>
  <c r="AD43" i="3"/>
  <c r="AF43" i="3"/>
  <c r="X59" i="3"/>
  <c r="Y59" i="3" s="1"/>
  <c r="V59" i="3"/>
  <c r="AS75" i="3"/>
  <c r="BB75" i="3" s="1"/>
  <c r="Y82" i="3"/>
  <c r="AC82" i="3"/>
  <c r="Y97" i="3"/>
  <c r="AC97" i="3"/>
  <c r="AD26" i="3"/>
  <c r="AF26" i="3"/>
  <c r="Y87" i="3"/>
  <c r="AC87" i="3"/>
  <c r="V103" i="3"/>
  <c r="X103" i="3"/>
  <c r="AS105" i="3"/>
  <c r="BB105" i="3" s="1"/>
  <c r="Y11" i="3"/>
  <c r="AC11" i="3"/>
  <c r="AC20" i="3"/>
  <c r="Y20" i="3"/>
  <c r="AC58" i="3"/>
  <c r="Y58" i="3"/>
  <c r="V46" i="3"/>
  <c r="X46" i="3"/>
  <c r="V39" i="3"/>
  <c r="X39" i="3"/>
  <c r="V98" i="3"/>
  <c r="X98" i="3"/>
  <c r="AI78" i="3"/>
  <c r="AG78" i="3"/>
  <c r="Y91" i="3"/>
  <c r="AC91" i="3"/>
  <c r="V36" i="3"/>
  <c r="X36" i="3"/>
  <c r="W17" i="10"/>
  <c r="U17" i="10"/>
  <c r="W84" i="10"/>
  <c r="U84" i="10"/>
  <c r="W26" i="10"/>
  <c r="U26" i="10"/>
  <c r="AB90" i="10"/>
  <c r="X90" i="10"/>
  <c r="X114" i="10"/>
  <c r="AB114" i="10"/>
  <c r="U115" i="10"/>
  <c r="W115" i="10"/>
  <c r="U12" i="10"/>
  <c r="W12" i="10"/>
  <c r="U16" i="10"/>
  <c r="W16" i="10"/>
  <c r="U10" i="10"/>
  <c r="W10" i="10"/>
  <c r="U91" i="10"/>
  <c r="W91" i="10"/>
  <c r="U61" i="10"/>
  <c r="W61" i="10"/>
  <c r="AI131" i="10"/>
  <c r="AQ131" i="10"/>
  <c r="AI75" i="10"/>
  <c r="AQ75" i="10"/>
  <c r="AB20" i="10"/>
  <c r="X20" i="10"/>
  <c r="AR31" i="10"/>
  <c r="AQ74" i="10"/>
  <c r="AI74" i="10"/>
  <c r="AF70" i="10"/>
  <c r="AH70" i="10"/>
  <c r="AF98" i="10"/>
  <c r="AH98" i="10"/>
  <c r="U83" i="10"/>
  <c r="W83" i="10"/>
  <c r="AR103" i="10"/>
  <c r="AB9" i="10"/>
  <c r="X9" i="10"/>
  <c r="AH69" i="10"/>
  <c r="AF69" i="10"/>
  <c r="AF71" i="10"/>
  <c r="AH71" i="10"/>
  <c r="AF97" i="10"/>
  <c r="AH97" i="10"/>
  <c r="AE72" i="10"/>
  <c r="AC72" i="10"/>
  <c r="AE96" i="10"/>
  <c r="AC96" i="10"/>
  <c r="AC73" i="10"/>
  <c r="AE73" i="10"/>
  <c r="W92" i="10"/>
  <c r="U92" i="10"/>
  <c r="W22" i="10"/>
  <c r="U22" i="10"/>
  <c r="W14" i="10"/>
  <c r="U14" i="10"/>
  <c r="W13" i="10"/>
  <c r="U13" i="10"/>
  <c r="AB24" i="10"/>
  <c r="X24" i="10"/>
  <c r="AR101" i="10"/>
  <c r="U18" i="10"/>
  <c r="W18" i="10"/>
  <c r="AB65" i="10"/>
  <c r="X65" i="10"/>
  <c r="T63" i="10"/>
  <c r="T147" i="10" s="1"/>
  <c r="R63" i="10"/>
  <c r="R147" i="10" s="1"/>
  <c r="AR30" i="10"/>
  <c r="E79" i="15"/>
  <c r="C125" i="17"/>
  <c r="F76" i="15"/>
  <c r="E157" i="10"/>
  <c r="F156" i="10"/>
  <c r="AH69" i="17"/>
  <c r="M69" i="17"/>
  <c r="U69" i="17"/>
  <c r="H51" i="21"/>
  <c r="M51" i="21" s="1"/>
  <c r="L31" i="20"/>
  <c r="AG142" i="17"/>
  <c r="M142" i="17"/>
  <c r="U142" i="17"/>
  <c r="AH108" i="17"/>
  <c r="M108" i="17"/>
  <c r="U108" i="17"/>
  <c r="I146" i="10"/>
  <c r="I149" i="10"/>
  <c r="L146" i="10"/>
  <c r="L149" i="10"/>
  <c r="Q87" i="10"/>
  <c r="N146" i="10"/>
  <c r="O87" i="10"/>
  <c r="N149" i="10"/>
  <c r="U89" i="10"/>
  <c r="W89" i="10"/>
  <c r="X95" i="10"/>
  <c r="AB95" i="10"/>
  <c r="AI102" i="10"/>
  <c r="AQ102" i="10"/>
  <c r="AQ104" i="10"/>
  <c r="AI104" i="10"/>
  <c r="U108" i="10"/>
  <c r="W108" i="10"/>
  <c r="U109" i="10"/>
  <c r="W109" i="10"/>
  <c r="AI111" i="10"/>
  <c r="AQ111" i="10"/>
  <c r="T118" i="10"/>
  <c r="R118" i="10"/>
  <c r="T119" i="10"/>
  <c r="R119" i="10"/>
  <c r="T120" i="10"/>
  <c r="R120" i="10"/>
  <c r="T121" i="10"/>
  <c r="R121" i="10"/>
  <c r="T122" i="10"/>
  <c r="R122" i="10"/>
  <c r="T123" i="10"/>
  <c r="R123" i="10"/>
  <c r="T124" i="10"/>
  <c r="R124" i="10"/>
  <c r="U125" i="10"/>
  <c r="W125" i="10"/>
  <c r="AQ126" i="10"/>
  <c r="AI126" i="10"/>
  <c r="AI127" i="10"/>
  <c r="AQ127" i="10"/>
  <c r="AQ128" i="10"/>
  <c r="AI128" i="10"/>
  <c r="AI129" i="10"/>
  <c r="AQ129" i="10"/>
  <c r="T134" i="10"/>
  <c r="R134" i="10"/>
  <c r="T135" i="10"/>
  <c r="R135" i="10"/>
  <c r="T136" i="10"/>
  <c r="R136" i="10"/>
  <c r="T137" i="10"/>
  <c r="R137" i="10"/>
  <c r="T138" i="10"/>
  <c r="R138" i="10"/>
  <c r="U139" i="10"/>
  <c r="W139" i="10"/>
  <c r="AE140" i="10"/>
  <c r="AC140" i="10"/>
  <c r="AI141" i="10"/>
  <c r="AQ141" i="10"/>
  <c r="AQ142" i="10"/>
  <c r="AI142" i="10"/>
  <c r="I53" i="23"/>
  <c r="K53" i="23" s="1"/>
  <c r="N54" i="23"/>
  <c r="N63" i="23" s="1"/>
  <c r="N64" i="23" s="1"/>
  <c r="H52" i="22"/>
  <c r="J52" i="22" s="1"/>
  <c r="N53" i="22"/>
  <c r="N62" i="22" s="1"/>
  <c r="N63" i="22" s="1"/>
  <c r="L27" i="20"/>
  <c r="H50" i="21"/>
  <c r="V5" i="14"/>
  <c r="X5" i="14"/>
  <c r="AC6" i="14"/>
  <c r="Y6" i="14"/>
  <c r="AC7" i="14"/>
  <c r="Y7" i="14"/>
  <c r="S12" i="14"/>
  <c r="U12" i="14"/>
  <c r="AJ13" i="14"/>
  <c r="AR13" i="14"/>
  <c r="AU13" i="14" s="1"/>
  <c r="AW237" i="13" l="1"/>
  <c r="AW315" i="13" s="1"/>
  <c r="AQ315" i="13"/>
  <c r="AN237" i="13"/>
  <c r="AH315" i="13"/>
  <c r="AT27" i="9"/>
  <c r="AU27" i="9" s="1"/>
  <c r="AW27" i="9"/>
  <c r="AT30" i="9"/>
  <c r="AU30" i="9" s="1"/>
  <c r="AW30" i="9"/>
  <c r="AX28" i="9"/>
  <c r="AZ28" i="9"/>
  <c r="AX32" i="10"/>
  <c r="AZ32" i="10"/>
  <c r="AX105" i="10"/>
  <c r="AZ105" i="10"/>
  <c r="AX103" i="10"/>
  <c r="AZ103" i="10"/>
  <c r="AX30" i="10"/>
  <c r="AZ30" i="10"/>
  <c r="AX101" i="10"/>
  <c r="AZ101" i="10"/>
  <c r="AX31" i="10"/>
  <c r="AZ31" i="10"/>
  <c r="AT43" i="15"/>
  <c r="AU43" i="15" s="1"/>
  <c r="AW43" i="15"/>
  <c r="AK8" i="9"/>
  <c r="AN8" i="9"/>
  <c r="AK20" i="9"/>
  <c r="AN20" i="9"/>
  <c r="AO20" i="9" s="1"/>
  <c r="B52" i="32"/>
  <c r="J52" i="32" s="1"/>
  <c r="B15" i="32"/>
  <c r="J15" i="32" s="1"/>
  <c r="AK23" i="9"/>
  <c r="AN23" i="9"/>
  <c r="AO23" i="9" s="1"/>
  <c r="AK22" i="9"/>
  <c r="AN22" i="9"/>
  <c r="AO22" i="9" s="1"/>
  <c r="AK26" i="9"/>
  <c r="AN26" i="9"/>
  <c r="AT74" i="10"/>
  <c r="AU74" i="10" s="1"/>
  <c r="AW74" i="10"/>
  <c r="AT75" i="10"/>
  <c r="AU75" i="10" s="1"/>
  <c r="AW75" i="10"/>
  <c r="AT34" i="10"/>
  <c r="AU34" i="10" s="1"/>
  <c r="AW34" i="10"/>
  <c r="AT76" i="10"/>
  <c r="AU76" i="10" s="1"/>
  <c r="AW76" i="10"/>
  <c r="AT29" i="10"/>
  <c r="AU29" i="10" s="1"/>
  <c r="AW29" i="10"/>
  <c r="AK27" i="15"/>
  <c r="AN27" i="15"/>
  <c r="AO27" i="15" s="1"/>
  <c r="AK10" i="16"/>
  <c r="AN10" i="16"/>
  <c r="AO10" i="16" s="1"/>
  <c r="AX237" i="13"/>
  <c r="AX315" i="13" s="1"/>
  <c r="AZ237" i="13"/>
  <c r="AX185" i="13"/>
  <c r="AZ185" i="13"/>
  <c r="AX228" i="13"/>
  <c r="AZ228" i="13"/>
  <c r="AX235" i="13"/>
  <c r="AZ235" i="13"/>
  <c r="AX310" i="13"/>
  <c r="AZ310" i="13"/>
  <c r="AX202" i="13"/>
  <c r="AZ202" i="13"/>
  <c r="AX218" i="13"/>
  <c r="AZ218" i="13"/>
  <c r="AX104" i="13"/>
  <c r="AZ104" i="13"/>
  <c r="AX223" i="13"/>
  <c r="AZ223" i="13"/>
  <c r="AX197" i="13"/>
  <c r="AZ197" i="13"/>
  <c r="AX231" i="13"/>
  <c r="AZ231" i="13"/>
  <c r="AX211" i="13"/>
  <c r="AZ211" i="13"/>
  <c r="AX209" i="13"/>
  <c r="AZ209" i="13"/>
  <c r="AX233" i="13"/>
  <c r="AZ233" i="13"/>
  <c r="AX213" i="13"/>
  <c r="AZ213" i="13"/>
  <c r="AX221" i="13"/>
  <c r="AZ221" i="13"/>
  <c r="AX217" i="13"/>
  <c r="AZ217" i="13"/>
  <c r="AX234" i="13"/>
  <c r="AZ234" i="13"/>
  <c r="AX219" i="13"/>
  <c r="AZ219" i="13"/>
  <c r="AX208" i="13"/>
  <c r="AZ208" i="13"/>
  <c r="AX66" i="13"/>
  <c r="AZ66" i="13"/>
  <c r="AX67" i="13"/>
  <c r="AZ67" i="13"/>
  <c r="AT227" i="13"/>
  <c r="AW227" i="13"/>
  <c r="AT62" i="13"/>
  <c r="AW62" i="13"/>
  <c r="AL78" i="3"/>
  <c r="AO78" i="3"/>
  <c r="AP78" i="3" s="1"/>
  <c r="AL74" i="3"/>
  <c r="AO74" i="3"/>
  <c r="AP74" i="3" s="1"/>
  <c r="AL12" i="3"/>
  <c r="AO12" i="3"/>
  <c r="AP12" i="3" s="1"/>
  <c r="AL70" i="3"/>
  <c r="AO70" i="3"/>
  <c r="AP70" i="3" s="1"/>
  <c r="AL79" i="3"/>
  <c r="AO79" i="3"/>
  <c r="AP79" i="3" s="1"/>
  <c r="AS66" i="3"/>
  <c r="BB66" i="3"/>
  <c r="AK97" i="10"/>
  <c r="AN97" i="10"/>
  <c r="AK71" i="10"/>
  <c r="AN71" i="10"/>
  <c r="AK69" i="10"/>
  <c r="AN69" i="10"/>
  <c r="AK98" i="10"/>
  <c r="AN98" i="10"/>
  <c r="AK70" i="10"/>
  <c r="AN70" i="10"/>
  <c r="AK85" i="10"/>
  <c r="AN85" i="10"/>
  <c r="AK99" i="10"/>
  <c r="AN99" i="10"/>
  <c r="AK100" i="10"/>
  <c r="AN100" i="10"/>
  <c r="AK66" i="10"/>
  <c r="AN66" i="10"/>
  <c r="AK68" i="10"/>
  <c r="AN68" i="10"/>
  <c r="AK67" i="10"/>
  <c r="AN67" i="10"/>
  <c r="AQ216" i="13"/>
  <c r="AW216" i="13" s="1"/>
  <c r="AN216" i="13"/>
  <c r="AO216" i="13" s="1"/>
  <c r="AQ229" i="13"/>
  <c r="AW229" i="13" s="1"/>
  <c r="AN229" i="13"/>
  <c r="AO229" i="13" s="1"/>
  <c r="AQ226" i="13"/>
  <c r="AW226" i="13" s="1"/>
  <c r="AN226" i="13"/>
  <c r="AO226" i="13" s="1"/>
  <c r="AI222" i="13"/>
  <c r="AN222" i="13"/>
  <c r="AO222" i="13" s="1"/>
  <c r="AL8" i="9"/>
  <c r="AO8" i="9"/>
  <c r="AL20" i="9"/>
  <c r="AL23" i="9"/>
  <c r="AL22" i="9"/>
  <c r="AL26" i="9"/>
  <c r="AO26" i="9"/>
  <c r="AL97" i="10"/>
  <c r="AO97" i="10"/>
  <c r="AL71" i="10"/>
  <c r="AO71" i="10"/>
  <c r="AL69" i="10"/>
  <c r="AO69" i="10"/>
  <c r="AL98" i="10"/>
  <c r="AO98" i="10"/>
  <c r="AL70" i="10"/>
  <c r="AO70" i="10"/>
  <c r="AL85" i="10"/>
  <c r="AO85" i="10"/>
  <c r="AL99" i="10"/>
  <c r="AO99" i="10"/>
  <c r="AL100" i="10"/>
  <c r="AO100" i="10"/>
  <c r="AL66" i="10"/>
  <c r="AO66" i="10"/>
  <c r="AL68" i="10"/>
  <c r="AO68" i="10"/>
  <c r="AL67" i="10"/>
  <c r="AO67" i="10"/>
  <c r="AL27" i="15"/>
  <c r="AL10" i="16"/>
  <c r="AL219" i="13"/>
  <c r="AL208" i="13"/>
  <c r="AL66" i="13"/>
  <c r="AL67" i="13"/>
  <c r="AL237" i="13"/>
  <c r="AL315" i="13" s="1"/>
  <c r="AL185" i="13"/>
  <c r="AL228" i="13"/>
  <c r="AL227" i="13"/>
  <c r="AL235" i="13"/>
  <c r="AL310" i="13"/>
  <c r="AL202" i="13"/>
  <c r="AL62" i="13"/>
  <c r="AL218" i="13"/>
  <c r="AL104" i="13"/>
  <c r="AL223" i="13"/>
  <c r="AL197" i="13"/>
  <c r="AL231" i="13"/>
  <c r="AL211" i="13"/>
  <c r="AL209" i="13"/>
  <c r="AL233" i="13"/>
  <c r="AL213" i="13"/>
  <c r="AL221" i="13"/>
  <c r="AL217" i="13"/>
  <c r="AL234" i="13"/>
  <c r="AM8" i="11"/>
  <c r="AO8" i="11"/>
  <c r="AP8" i="11" s="1"/>
  <c r="AM15" i="11"/>
  <c r="AO15" i="11"/>
  <c r="AP15" i="11" s="1"/>
  <c r="AV13" i="14"/>
  <c r="AX13" i="14"/>
  <c r="AM78" i="3"/>
  <c r="AM74" i="3"/>
  <c r="AM12" i="3"/>
  <c r="AM70" i="3"/>
  <c r="AM79" i="3"/>
  <c r="AR113" i="17"/>
  <c r="AU109" i="17"/>
  <c r="V104" i="3"/>
  <c r="X104" i="3"/>
  <c r="V96" i="3"/>
  <c r="X96" i="3"/>
  <c r="R113" i="3"/>
  <c r="S92" i="3"/>
  <c r="U92" i="3"/>
  <c r="D1" i="30"/>
  <c r="AR298" i="13"/>
  <c r="AZ298" i="13" s="1"/>
  <c r="AR28" i="9"/>
  <c r="AT28" i="9"/>
  <c r="AU28" i="9" s="1"/>
  <c r="T262" i="13"/>
  <c r="R262" i="13"/>
  <c r="R115" i="3"/>
  <c r="AR210" i="13"/>
  <c r="AZ210" i="13" s="1"/>
  <c r="AR32" i="10"/>
  <c r="AT32" i="10"/>
  <c r="AU32" i="10" s="1"/>
  <c r="U35" i="16"/>
  <c r="W35" i="16"/>
  <c r="U31" i="16"/>
  <c r="W31" i="16"/>
  <c r="AK143" i="13"/>
  <c r="AQ143" i="13"/>
  <c r="AW143" i="13" s="1"/>
  <c r="AK212" i="13"/>
  <c r="AQ212" i="13"/>
  <c r="AW212" i="13" s="1"/>
  <c r="AK196" i="13"/>
  <c r="AQ196" i="13"/>
  <c r="AW196" i="13" s="1"/>
  <c r="AK111" i="13"/>
  <c r="AQ111" i="13"/>
  <c r="AW111" i="13" s="1"/>
  <c r="AK204" i="13"/>
  <c r="AQ204" i="13"/>
  <c r="AW204" i="13" s="1"/>
  <c r="AK65" i="13"/>
  <c r="AQ65" i="13"/>
  <c r="AW65" i="13" s="1"/>
  <c r="AK236" i="13"/>
  <c r="AQ236" i="13"/>
  <c r="AW236" i="13" s="1"/>
  <c r="AK201" i="13"/>
  <c r="AQ201" i="13"/>
  <c r="AW201" i="13" s="1"/>
  <c r="AK61" i="13"/>
  <c r="AQ61" i="13"/>
  <c r="AW61" i="13" s="1"/>
  <c r="AK215" i="13"/>
  <c r="AQ215" i="13"/>
  <c r="AW215" i="13" s="1"/>
  <c r="AK194" i="13"/>
  <c r="AQ194" i="13"/>
  <c r="AK89" i="13"/>
  <c r="AQ89" i="13"/>
  <c r="AW89" i="13" s="1"/>
  <c r="AK207" i="13"/>
  <c r="AQ207" i="13"/>
  <c r="AK198" i="13"/>
  <c r="AQ198" i="13"/>
  <c r="AW198" i="13" s="1"/>
  <c r="AK224" i="13"/>
  <c r="AQ224" i="13"/>
  <c r="AK220" i="13"/>
  <c r="AQ220" i="13"/>
  <c r="AK232" i="13"/>
  <c r="AQ232" i="13"/>
  <c r="AW232" i="13" s="1"/>
  <c r="AK206" i="13"/>
  <c r="AQ206" i="13"/>
  <c r="AK222" i="13"/>
  <c r="AQ222" i="13"/>
  <c r="AT237" i="13"/>
  <c r="AT231" i="13"/>
  <c r="AU231" i="13" s="1"/>
  <c r="AT211" i="13"/>
  <c r="AU211" i="13" s="1"/>
  <c r="AT213" i="13"/>
  <c r="AU213" i="13" s="1"/>
  <c r="AT228" i="13"/>
  <c r="AU228" i="13" s="1"/>
  <c r="AT234" i="13"/>
  <c r="AU234" i="13" s="1"/>
  <c r="AT209" i="13"/>
  <c r="AU209" i="13" s="1"/>
  <c r="AT233" i="13"/>
  <c r="AU233" i="13" s="1"/>
  <c r="AT223" i="13"/>
  <c r="AU223" i="13" s="1"/>
  <c r="AT197" i="13"/>
  <c r="AU197" i="13" s="1"/>
  <c r="AT185" i="13"/>
  <c r="AU185" i="13" s="1"/>
  <c r="AT221" i="13"/>
  <c r="AU221" i="13" s="1"/>
  <c r="AT217" i="13"/>
  <c r="AU217" i="13" s="1"/>
  <c r="AT310" i="13"/>
  <c r="AU310" i="13" s="1"/>
  <c r="AT104" i="13"/>
  <c r="AU104" i="13" s="1"/>
  <c r="AT202" i="13"/>
  <c r="AU202" i="13" s="1"/>
  <c r="AT218" i="13"/>
  <c r="AU218" i="13" s="1"/>
  <c r="AR88" i="13"/>
  <c r="AZ88" i="13" s="1"/>
  <c r="AT88" i="13"/>
  <c r="AT66" i="13"/>
  <c r="AU66" i="13" s="1"/>
  <c r="AR62" i="13"/>
  <c r="AU62" i="13"/>
  <c r="AR235" i="13"/>
  <c r="AU235" i="13"/>
  <c r="AR227" i="13"/>
  <c r="AU227" i="13"/>
  <c r="AK216" i="13"/>
  <c r="AR67" i="13"/>
  <c r="AU67" i="13"/>
  <c r="AI229" i="13"/>
  <c r="AK229" i="13"/>
  <c r="AR208" i="13"/>
  <c r="AU208" i="13"/>
  <c r="AK226" i="13"/>
  <c r="AR219" i="13"/>
  <c r="AU219" i="13"/>
  <c r="AV21" i="3"/>
  <c r="AS109" i="3"/>
  <c r="AU109" i="3"/>
  <c r="AV109" i="3" s="1"/>
  <c r="Q66" i="15"/>
  <c r="U35" i="9"/>
  <c r="W35" i="9"/>
  <c r="W38" i="9"/>
  <c r="U38" i="9"/>
  <c r="U7" i="9"/>
  <c r="W7" i="9"/>
  <c r="AQ26" i="9"/>
  <c r="AW26" i="9" s="1"/>
  <c r="AI26" i="9"/>
  <c r="T32" i="9"/>
  <c r="T50" i="9" s="1"/>
  <c r="C215" i="17" s="1"/>
  <c r="K215" i="17" s="1"/>
  <c r="S215" i="17" s="1"/>
  <c r="R32" i="9"/>
  <c r="R50" i="9" s="1"/>
  <c r="C199" i="17"/>
  <c r="F58" i="9"/>
  <c r="F59" i="9"/>
  <c r="E199" i="17" s="1"/>
  <c r="AC31" i="15"/>
  <c r="AE31" i="15"/>
  <c r="AC46" i="15"/>
  <c r="AE46" i="15"/>
  <c r="G19" i="28"/>
  <c r="AI67" i="10"/>
  <c r="AQ67" i="10"/>
  <c r="AW67" i="10" s="1"/>
  <c r="AR29" i="10"/>
  <c r="R20" i="16"/>
  <c r="AB25" i="16"/>
  <c r="X25" i="16"/>
  <c r="AH6" i="16"/>
  <c r="AF6" i="16"/>
  <c r="AB13" i="16"/>
  <c r="X13" i="16"/>
  <c r="X21" i="16"/>
  <c r="AB21" i="16"/>
  <c r="X23" i="16"/>
  <c r="AB23" i="16"/>
  <c r="W15" i="16"/>
  <c r="U15" i="16"/>
  <c r="R36" i="16"/>
  <c r="T36" i="16"/>
  <c r="AE22" i="16"/>
  <c r="AC22" i="16"/>
  <c r="U34" i="16"/>
  <c r="W34" i="16"/>
  <c r="U20" i="16"/>
  <c r="W20" i="16"/>
  <c r="AE27" i="16"/>
  <c r="AC27" i="16"/>
  <c r="AC9" i="16"/>
  <c r="AE9" i="16"/>
  <c r="AB19" i="16"/>
  <c r="X19" i="16"/>
  <c r="AE33" i="16"/>
  <c r="AC33" i="16"/>
  <c r="AB28" i="16"/>
  <c r="X28" i="16"/>
  <c r="U40" i="16"/>
  <c r="W40" i="16"/>
  <c r="AB8" i="16"/>
  <c r="X8" i="16"/>
  <c r="AC5" i="16"/>
  <c r="AE5" i="16"/>
  <c r="X37" i="16"/>
  <c r="AB37" i="16"/>
  <c r="AE17" i="16"/>
  <c r="AC17" i="16"/>
  <c r="W26" i="16"/>
  <c r="U26" i="16"/>
  <c r="T14" i="16"/>
  <c r="R14" i="16"/>
  <c r="Q43" i="16"/>
  <c r="C196" i="17"/>
  <c r="E52" i="16"/>
  <c r="F51" i="16"/>
  <c r="R16" i="16"/>
  <c r="T16" i="16"/>
  <c r="AB18" i="16"/>
  <c r="X18" i="16"/>
  <c r="X29" i="16"/>
  <c r="AB29" i="16"/>
  <c r="U38" i="16"/>
  <c r="W38" i="16"/>
  <c r="AE7" i="16"/>
  <c r="AC7" i="16"/>
  <c r="U24" i="16"/>
  <c r="W24" i="16"/>
  <c r="AQ10" i="16"/>
  <c r="AI10" i="16"/>
  <c r="W32" i="16"/>
  <c r="U32" i="16"/>
  <c r="W30" i="16"/>
  <c r="U30" i="16"/>
  <c r="AE39" i="16"/>
  <c r="AC39" i="16"/>
  <c r="U5" i="11"/>
  <c r="S5" i="11"/>
  <c r="Y7" i="11"/>
  <c r="AC7" i="11"/>
  <c r="AF12" i="11"/>
  <c r="AD12" i="11"/>
  <c r="AJ15" i="11"/>
  <c r="BG15" i="11" s="1"/>
  <c r="BI15" i="11" s="1"/>
  <c r="AR15" i="11"/>
  <c r="BA15" i="11" s="1"/>
  <c r="X6" i="11"/>
  <c r="V6" i="11"/>
  <c r="AC18" i="11"/>
  <c r="Y18" i="11"/>
  <c r="R19" i="11"/>
  <c r="P19" i="11"/>
  <c r="P29" i="11" s="1"/>
  <c r="O29" i="11"/>
  <c r="C194" i="17"/>
  <c r="E39" i="11"/>
  <c r="F38" i="11"/>
  <c r="U13" i="11"/>
  <c r="S13" i="11"/>
  <c r="R29" i="11"/>
  <c r="AC23" i="11"/>
  <c r="Y23" i="11"/>
  <c r="AJ22" i="11"/>
  <c r="AR22" i="11"/>
  <c r="AG21" i="11"/>
  <c r="AI21" i="11"/>
  <c r="AD11" i="11"/>
  <c r="AF11" i="11"/>
  <c r="AG14" i="11"/>
  <c r="AI14" i="11"/>
  <c r="AD10" i="11"/>
  <c r="AF10" i="11"/>
  <c r="AS24" i="11"/>
  <c r="BD24" i="11"/>
  <c r="AS25" i="11"/>
  <c r="BD25" i="11" s="1"/>
  <c r="AR8" i="11"/>
  <c r="AJ8" i="11"/>
  <c r="X16" i="14"/>
  <c r="V16" i="14"/>
  <c r="AF34" i="14"/>
  <c r="AD34" i="14"/>
  <c r="AC8" i="14"/>
  <c r="Y8" i="14"/>
  <c r="U19" i="14"/>
  <c r="S19" i="14"/>
  <c r="AC30" i="14"/>
  <c r="Y30" i="14"/>
  <c r="P40" i="14"/>
  <c r="X9" i="14"/>
  <c r="V9" i="14"/>
  <c r="AC21" i="14"/>
  <c r="Y21" i="14"/>
  <c r="AF20" i="14"/>
  <c r="AD20" i="14"/>
  <c r="AF17" i="14"/>
  <c r="AD17" i="14"/>
  <c r="S10" i="14"/>
  <c r="U10" i="14"/>
  <c r="R40" i="14"/>
  <c r="U11" i="14"/>
  <c r="S11" i="14"/>
  <c r="AS36" i="14"/>
  <c r="BE36" i="14" s="1"/>
  <c r="U28" i="14"/>
  <c r="S28" i="14"/>
  <c r="X29" i="14"/>
  <c r="V29" i="14"/>
  <c r="X27" i="14"/>
  <c r="V27" i="14"/>
  <c r="X18" i="14"/>
  <c r="V18" i="14"/>
  <c r="AF31" i="14"/>
  <c r="AD31" i="14"/>
  <c r="AC25" i="14"/>
  <c r="Y25" i="14"/>
  <c r="AF26" i="14"/>
  <c r="AD26" i="14"/>
  <c r="U32" i="14"/>
  <c r="S32" i="14"/>
  <c r="AC33" i="14"/>
  <c r="Y33" i="14"/>
  <c r="E49" i="14"/>
  <c r="F48" i="14"/>
  <c r="AC7" i="3"/>
  <c r="Y7" i="3"/>
  <c r="F125" i="3"/>
  <c r="E192" i="17" s="1"/>
  <c r="K192" i="17" s="1"/>
  <c r="S192" i="17" s="1"/>
  <c r="E126" i="3"/>
  <c r="E127" i="3" s="1"/>
  <c r="P113" i="3"/>
  <c r="P115" i="3"/>
  <c r="S85" i="3"/>
  <c r="U85" i="3"/>
  <c r="S101" i="3"/>
  <c r="U101" i="3"/>
  <c r="S89" i="3"/>
  <c r="U89" i="3"/>
  <c r="AC100" i="3"/>
  <c r="Y100" i="3"/>
  <c r="AI226" i="13"/>
  <c r="W256" i="13"/>
  <c r="AB256" i="13" s="1"/>
  <c r="AT229" i="13"/>
  <c r="W248" i="13"/>
  <c r="AB248" i="13" s="1"/>
  <c r="AC109" i="13"/>
  <c r="AF206" i="13"/>
  <c r="AQ22" i="9"/>
  <c r="AW22" i="9" s="1"/>
  <c r="AI22" i="9"/>
  <c r="AQ43" i="9"/>
  <c r="AI43" i="9"/>
  <c r="AC16" i="9"/>
  <c r="AE16" i="9"/>
  <c r="AF15" i="9"/>
  <c r="AH15" i="9"/>
  <c r="AH24" i="9"/>
  <c r="AF24" i="9"/>
  <c r="AC33" i="9"/>
  <c r="AE33" i="9"/>
  <c r="AF25" i="9"/>
  <c r="AH25" i="9"/>
  <c r="AI29" i="9"/>
  <c r="AQ29" i="9"/>
  <c r="AH19" i="9"/>
  <c r="AF19" i="9"/>
  <c r="X11" i="9"/>
  <c r="AB11" i="9"/>
  <c r="AR30" i="9"/>
  <c r="AR6" i="9"/>
  <c r="AZ6" i="9" s="1"/>
  <c r="AC10" i="9"/>
  <c r="AE10" i="9"/>
  <c r="AI42" i="9"/>
  <c r="AQ42" i="9"/>
  <c r="AH39" i="9"/>
  <c r="AF39" i="9"/>
  <c r="AF14" i="9"/>
  <c r="AH14" i="9"/>
  <c r="AI23" i="9"/>
  <c r="AQ23" i="9"/>
  <c r="AF21" i="9"/>
  <c r="AH21" i="9"/>
  <c r="AQ20" i="9"/>
  <c r="AI20" i="9"/>
  <c r="BC6" i="9"/>
  <c r="AE12" i="9"/>
  <c r="AC12" i="9"/>
  <c r="AB37" i="9"/>
  <c r="X37" i="9"/>
  <c r="U6" i="9"/>
  <c r="W6" i="9"/>
  <c r="AR44" i="9"/>
  <c r="AZ44" i="9" s="1"/>
  <c r="AI8" i="9"/>
  <c r="BC8" i="9" s="1"/>
  <c r="AQ8" i="9"/>
  <c r="AR27" i="9"/>
  <c r="AF34" i="9"/>
  <c r="AH34" i="9"/>
  <c r="AC13" i="9"/>
  <c r="AE13" i="9"/>
  <c r="AC17" i="9"/>
  <c r="AE17" i="9"/>
  <c r="AH18" i="9"/>
  <c r="AF18" i="9"/>
  <c r="AH60" i="15"/>
  <c r="AF60" i="15"/>
  <c r="AH35" i="15"/>
  <c r="AF35" i="15"/>
  <c r="AC21" i="15"/>
  <c r="AE21" i="15"/>
  <c r="AB56" i="15"/>
  <c r="X56" i="15"/>
  <c r="AE33" i="15"/>
  <c r="AC33" i="15"/>
  <c r="AR62" i="15"/>
  <c r="AZ62" i="15" s="1"/>
  <c r="AH24" i="15"/>
  <c r="AF24" i="15"/>
  <c r="U54" i="15"/>
  <c r="W54" i="15"/>
  <c r="AC40" i="15"/>
  <c r="AE40" i="15"/>
  <c r="AC16" i="15"/>
  <c r="AE16" i="15"/>
  <c r="AC13" i="15"/>
  <c r="AE13" i="15"/>
  <c r="U65" i="15"/>
  <c r="AF36" i="15"/>
  <c r="AH36" i="15"/>
  <c r="U51" i="15"/>
  <c r="W51" i="15"/>
  <c r="AC41" i="15"/>
  <c r="AE41" i="15"/>
  <c r="AB9" i="15"/>
  <c r="X9" i="15"/>
  <c r="U55" i="15"/>
  <c r="W55" i="15"/>
  <c r="AC18" i="15"/>
  <c r="AE18" i="15"/>
  <c r="X59" i="15"/>
  <c r="AB59" i="15"/>
  <c r="X5" i="15"/>
  <c r="AB5" i="15"/>
  <c r="W65" i="15"/>
  <c r="AE42" i="15"/>
  <c r="AC42" i="15"/>
  <c r="AB32" i="15"/>
  <c r="X32" i="15"/>
  <c r="AC28" i="15"/>
  <c r="AE28" i="15"/>
  <c r="AB20" i="15"/>
  <c r="X20" i="15"/>
  <c r="AC26" i="15"/>
  <c r="AE26" i="15"/>
  <c r="O66" i="15"/>
  <c r="O69" i="15"/>
  <c r="AB6" i="15"/>
  <c r="X6" i="15"/>
  <c r="X57" i="15"/>
  <c r="AB57" i="15"/>
  <c r="AH34" i="15"/>
  <c r="AF34" i="15"/>
  <c r="AQ27" i="15"/>
  <c r="AI27" i="15"/>
  <c r="X10" i="15"/>
  <c r="AB10" i="15"/>
  <c r="AC12" i="15"/>
  <c r="AE12" i="15"/>
  <c r="X58" i="15"/>
  <c r="AB58" i="15"/>
  <c r="AC48" i="15"/>
  <c r="AE48" i="15"/>
  <c r="X14" i="15"/>
  <c r="AB14" i="15"/>
  <c r="AE23" i="15"/>
  <c r="AC23" i="15"/>
  <c r="AC29" i="15"/>
  <c r="AE29" i="15"/>
  <c r="AC22" i="15"/>
  <c r="AE22" i="15"/>
  <c r="AC17" i="15"/>
  <c r="AE17" i="15"/>
  <c r="AC52" i="15"/>
  <c r="AE52" i="15"/>
  <c r="X19" i="15"/>
  <c r="AB19" i="15"/>
  <c r="AC30" i="15"/>
  <c r="AE30" i="15"/>
  <c r="X8" i="15"/>
  <c r="AB8" i="15"/>
  <c r="AH61" i="15"/>
  <c r="AF61" i="15"/>
  <c r="T53" i="15"/>
  <c r="T69" i="15" s="1"/>
  <c r="C213" i="17" s="1"/>
  <c r="K213" i="17" s="1"/>
  <c r="S213" i="17" s="1"/>
  <c r="R53" i="15"/>
  <c r="AB11" i="15"/>
  <c r="X11" i="15"/>
  <c r="X15" i="15"/>
  <c r="AB15" i="15"/>
  <c r="X7" i="15"/>
  <c r="AB7" i="15"/>
  <c r="AC25" i="15"/>
  <c r="AE25" i="15"/>
  <c r="AR43" i="15"/>
  <c r="AQ66" i="10"/>
  <c r="AW66" i="10" s="1"/>
  <c r="AI66" i="10"/>
  <c r="AE88" i="10"/>
  <c r="AC88" i="10"/>
  <c r="AC15" i="10"/>
  <c r="AE15" i="10"/>
  <c r="AI68" i="10"/>
  <c r="AQ68" i="10"/>
  <c r="AW68" i="10" s="1"/>
  <c r="AB173" i="13"/>
  <c r="AC173" i="13" s="1"/>
  <c r="U259" i="13"/>
  <c r="AR28" i="3"/>
  <c r="AJ28" i="3"/>
  <c r="X88" i="3"/>
  <c r="V88" i="3"/>
  <c r="V68" i="3"/>
  <c r="X68" i="3"/>
  <c r="Y68" i="3" s="1"/>
  <c r="AD14" i="3"/>
  <c r="AF14" i="3"/>
  <c r="AC48" i="3"/>
  <c r="Y48" i="3"/>
  <c r="AF18" i="3"/>
  <c r="AD18" i="3"/>
  <c r="Y53" i="3"/>
  <c r="AC53" i="3"/>
  <c r="AJ79" i="3"/>
  <c r="AR79" i="3"/>
  <c r="V93" i="3"/>
  <c r="X93" i="3"/>
  <c r="AB19" i="10"/>
  <c r="X19" i="10"/>
  <c r="AB86" i="10"/>
  <c r="X86" i="10"/>
  <c r="AR34" i="10"/>
  <c r="AC94" i="10"/>
  <c r="AE94" i="10"/>
  <c r="AI99" i="10"/>
  <c r="AQ99" i="10"/>
  <c r="X23" i="10"/>
  <c r="AB23" i="10"/>
  <c r="AB8" i="10"/>
  <c r="X8" i="10"/>
  <c r="AB60" i="10"/>
  <c r="X60" i="10"/>
  <c r="AE62" i="10"/>
  <c r="AC62" i="10"/>
  <c r="AC64" i="10"/>
  <c r="AE64" i="10"/>
  <c r="AQ100" i="10"/>
  <c r="AI100" i="10"/>
  <c r="AB21" i="10"/>
  <c r="X21" i="10"/>
  <c r="AI85" i="10"/>
  <c r="AQ85" i="10"/>
  <c r="X25" i="10"/>
  <c r="AB25" i="10"/>
  <c r="AB11" i="10"/>
  <c r="X11" i="10"/>
  <c r="AB93" i="10"/>
  <c r="X93" i="10"/>
  <c r="AR76" i="10"/>
  <c r="U78" i="13"/>
  <c r="W78" i="13"/>
  <c r="AF60" i="13"/>
  <c r="AH60" i="13"/>
  <c r="AN60" i="13" s="1"/>
  <c r="AO60" i="13" s="1"/>
  <c r="AI216" i="13"/>
  <c r="U268" i="13"/>
  <c r="W268" i="13"/>
  <c r="AT232" i="13"/>
  <c r="AI232" i="13"/>
  <c r="W82" i="13"/>
  <c r="U82" i="13"/>
  <c r="AI220" i="13"/>
  <c r="AC121" i="13"/>
  <c r="AE121" i="13"/>
  <c r="AE37" i="13"/>
  <c r="AC37" i="13"/>
  <c r="AI224" i="13"/>
  <c r="AF200" i="13"/>
  <c r="AH200" i="13"/>
  <c r="AN200" i="13" s="1"/>
  <c r="AO200" i="13" s="1"/>
  <c r="X96" i="13"/>
  <c r="AB96" i="13"/>
  <c r="AI206" i="13"/>
  <c r="AE133" i="13"/>
  <c r="AC133" i="13"/>
  <c r="U245" i="13"/>
  <c r="W245" i="13"/>
  <c r="AR214" i="13"/>
  <c r="AZ214" i="13" s="1"/>
  <c r="AE159" i="13"/>
  <c r="AC159" i="13"/>
  <c r="AC125" i="13"/>
  <c r="AE125" i="13"/>
  <c r="AF42" i="13"/>
  <c r="AH42" i="13"/>
  <c r="AN42" i="13" s="1"/>
  <c r="AO42" i="13" s="1"/>
  <c r="U255" i="13"/>
  <c r="W255" i="13"/>
  <c r="AF105" i="13"/>
  <c r="AH105" i="13"/>
  <c r="AN105" i="13" s="1"/>
  <c r="AO105" i="13" s="1"/>
  <c r="AF49" i="13"/>
  <c r="AH49" i="13"/>
  <c r="AN49" i="13" s="1"/>
  <c r="AO49" i="13" s="1"/>
  <c r="AE53" i="13"/>
  <c r="AC53" i="13"/>
  <c r="AE110" i="13"/>
  <c r="AC110" i="13"/>
  <c r="AE115" i="13"/>
  <c r="AC115" i="13"/>
  <c r="AI236" i="13"/>
  <c r="AF154" i="13"/>
  <c r="AH154" i="13"/>
  <c r="AN154" i="13" s="1"/>
  <c r="AO154" i="13" s="1"/>
  <c r="AE290" i="13"/>
  <c r="AC290" i="13"/>
  <c r="W261" i="13"/>
  <c r="U261" i="13"/>
  <c r="AC114" i="13"/>
  <c r="AE114" i="13"/>
  <c r="AI215" i="13"/>
  <c r="AB177" i="13"/>
  <c r="X177" i="13"/>
  <c r="X97" i="13"/>
  <c r="AB97" i="13"/>
  <c r="U281" i="13"/>
  <c r="W281" i="13"/>
  <c r="AF131" i="13"/>
  <c r="AH131" i="13"/>
  <c r="AN131" i="13" s="1"/>
  <c r="AO131" i="13" s="1"/>
  <c r="AE123" i="13"/>
  <c r="AC123" i="13"/>
  <c r="AH47" i="13"/>
  <c r="AN47" i="13" s="1"/>
  <c r="AO47" i="13" s="1"/>
  <c r="AF47" i="13"/>
  <c r="AF64" i="13"/>
  <c r="AH64" i="13"/>
  <c r="AN64" i="13" s="1"/>
  <c r="AO64" i="13" s="1"/>
  <c r="AE35" i="13"/>
  <c r="AC35" i="13"/>
  <c r="AR104" i="13"/>
  <c r="AI201" i="13"/>
  <c r="X28" i="13"/>
  <c r="AB28" i="13"/>
  <c r="AE58" i="13"/>
  <c r="AC58" i="13"/>
  <c r="X274" i="13"/>
  <c r="AB274" i="13"/>
  <c r="AR303" i="13"/>
  <c r="AZ303" i="13" s="1"/>
  <c r="U264" i="13"/>
  <c r="W264" i="13"/>
  <c r="F11" i="21"/>
  <c r="G11" i="21" s="1"/>
  <c r="F326" i="13"/>
  <c r="E123" i="17" s="1"/>
  <c r="K123" i="17" s="1"/>
  <c r="AJ123" i="17" s="1"/>
  <c r="AE147" i="13"/>
  <c r="AC147" i="13"/>
  <c r="AF184" i="13"/>
  <c r="AH184" i="13"/>
  <c r="AN184" i="13" s="1"/>
  <c r="AO184" i="13" s="1"/>
  <c r="AE33" i="13"/>
  <c r="AC33" i="13"/>
  <c r="AE141" i="13"/>
  <c r="AC141" i="13"/>
  <c r="AE188" i="13"/>
  <c r="AC188" i="13"/>
  <c r="AE136" i="13"/>
  <c r="AC136" i="13"/>
  <c r="AC117" i="13"/>
  <c r="AE117" i="13"/>
  <c r="AC45" i="13"/>
  <c r="AE45" i="13"/>
  <c r="X270" i="13"/>
  <c r="AB270" i="13"/>
  <c r="AE168" i="13"/>
  <c r="AC168" i="13"/>
  <c r="AH112" i="13"/>
  <c r="AN112" i="13" s="1"/>
  <c r="AO112" i="13" s="1"/>
  <c r="AF112" i="13"/>
  <c r="X91" i="13"/>
  <c r="AB91" i="13"/>
  <c r="AF135" i="13"/>
  <c r="AH135" i="13"/>
  <c r="AN135" i="13" s="1"/>
  <c r="AO135" i="13" s="1"/>
  <c r="AC282" i="13"/>
  <c r="AE282" i="13"/>
  <c r="AH63" i="13"/>
  <c r="AN63" i="13" s="1"/>
  <c r="AO63" i="13" s="1"/>
  <c r="AF63" i="13"/>
  <c r="W9" i="13"/>
  <c r="U9" i="13"/>
  <c r="AR310" i="13"/>
  <c r="AB266" i="13"/>
  <c r="X266" i="13"/>
  <c r="AC124" i="13"/>
  <c r="AE124" i="13"/>
  <c r="AF126" i="13"/>
  <c r="AH126" i="13"/>
  <c r="AN126" i="13" s="1"/>
  <c r="AO126" i="13" s="1"/>
  <c r="AI61" i="13"/>
  <c r="AE100" i="13"/>
  <c r="AC100" i="13"/>
  <c r="AE101" i="13"/>
  <c r="AC101" i="13"/>
  <c r="AC134" i="13"/>
  <c r="AE134" i="13"/>
  <c r="AE32" i="13"/>
  <c r="AC32" i="13"/>
  <c r="AH113" i="13"/>
  <c r="AN113" i="13" s="1"/>
  <c r="AO113" i="13" s="1"/>
  <c r="AF113" i="13"/>
  <c r="AB250" i="13"/>
  <c r="X250" i="13"/>
  <c r="AI89" i="13"/>
  <c r="AE164" i="13"/>
  <c r="AC164" i="13"/>
  <c r="X93" i="13"/>
  <c r="AB93" i="13"/>
  <c r="AB166" i="13"/>
  <c r="X166" i="13"/>
  <c r="AI207" i="13"/>
  <c r="AF192" i="13"/>
  <c r="AH192" i="13"/>
  <c r="AN192" i="13" s="1"/>
  <c r="AO192" i="13" s="1"/>
  <c r="AC94" i="13"/>
  <c r="AE94" i="13"/>
  <c r="AE48" i="13"/>
  <c r="AC48" i="13"/>
  <c r="AC288" i="13"/>
  <c r="AE288" i="13"/>
  <c r="AE145" i="13"/>
  <c r="AC145" i="13"/>
  <c r="AR202" i="13"/>
  <c r="AB79" i="13"/>
  <c r="X79" i="13"/>
  <c r="X254" i="13"/>
  <c r="AB254" i="13"/>
  <c r="AE142" i="13"/>
  <c r="AC142" i="13"/>
  <c r="AC41" i="13"/>
  <c r="AE41" i="13"/>
  <c r="AI194" i="13"/>
  <c r="AF109" i="13"/>
  <c r="AH109" i="13"/>
  <c r="AN109" i="13" s="1"/>
  <c r="AO109" i="13" s="1"/>
  <c r="X151" i="13"/>
  <c r="AB151" i="13"/>
  <c r="AT294" i="13"/>
  <c r="AI294" i="13"/>
  <c r="AE83" i="13"/>
  <c r="AC83" i="13"/>
  <c r="AC122" i="13"/>
  <c r="AE122" i="13"/>
  <c r="AH51" i="13"/>
  <c r="AN51" i="13" s="1"/>
  <c r="AO51" i="13" s="1"/>
  <c r="AF51" i="13"/>
  <c r="AE170" i="13"/>
  <c r="AC170" i="13"/>
  <c r="AE130" i="13"/>
  <c r="AC130" i="13"/>
  <c r="W258" i="13"/>
  <c r="U258" i="13"/>
  <c r="AE43" i="13"/>
  <c r="AC43" i="13"/>
  <c r="AI205" i="13"/>
  <c r="AT205" i="13"/>
  <c r="AI198" i="13"/>
  <c r="AT198" i="13"/>
  <c r="AR218" i="13"/>
  <c r="AC84" i="13"/>
  <c r="AE84" i="13"/>
  <c r="AC92" i="13"/>
  <c r="AE92" i="13"/>
  <c r="AE284" i="13"/>
  <c r="AC284" i="13"/>
  <c r="AC252" i="13"/>
  <c r="AE252" i="13"/>
  <c r="AB179" i="13"/>
  <c r="X179" i="13"/>
  <c r="AB7" i="13"/>
  <c r="X7" i="13"/>
  <c r="X172" i="13"/>
  <c r="AB172" i="13"/>
  <c r="AR234" i="13"/>
  <c r="AE29" i="13"/>
  <c r="AC29" i="13"/>
  <c r="AF39" i="13"/>
  <c r="AH39" i="13"/>
  <c r="AN39" i="13" s="1"/>
  <c r="AO39" i="13" s="1"/>
  <c r="AR233" i="13"/>
  <c r="AC162" i="13"/>
  <c r="AE162" i="13"/>
  <c r="X263" i="13"/>
  <c r="AB263" i="13"/>
  <c r="AF150" i="13"/>
  <c r="AH150" i="13"/>
  <c r="AN150" i="13" s="1"/>
  <c r="AO150" i="13" s="1"/>
  <c r="AE138" i="13"/>
  <c r="AC138" i="13"/>
  <c r="AC186" i="13"/>
  <c r="AE186" i="13"/>
  <c r="AE171" i="13"/>
  <c r="AC171" i="13"/>
  <c r="AE19" i="13"/>
  <c r="AC19" i="13"/>
  <c r="AB175" i="13"/>
  <c r="X175" i="13"/>
  <c r="W76" i="13"/>
  <c r="U76" i="13"/>
  <c r="AB269" i="13"/>
  <c r="X269" i="13"/>
  <c r="AB265" i="13"/>
  <c r="X265" i="13"/>
  <c r="AC157" i="13"/>
  <c r="AE157" i="13"/>
  <c r="W243" i="13"/>
  <c r="U243" i="13"/>
  <c r="AC74" i="13"/>
  <c r="AE74" i="13"/>
  <c r="AE23" i="13"/>
  <c r="AC23" i="13"/>
  <c r="AE163" i="13"/>
  <c r="AC163" i="13"/>
  <c r="AC174" i="13"/>
  <c r="AE174" i="13"/>
  <c r="W257" i="13"/>
  <c r="U257" i="13"/>
  <c r="AR197" i="13"/>
  <c r="AC178" i="13"/>
  <c r="AE178" i="13"/>
  <c r="AC176" i="13"/>
  <c r="AE176" i="13"/>
  <c r="AE108" i="13"/>
  <c r="AC108" i="13"/>
  <c r="AE24" i="13"/>
  <c r="AC24" i="13"/>
  <c r="AF289" i="13"/>
  <c r="AH289" i="13"/>
  <c r="AQ289" i="13" s="1"/>
  <c r="AI143" i="13"/>
  <c r="AC286" i="13"/>
  <c r="AE286" i="13"/>
  <c r="AC77" i="13"/>
  <c r="AE77" i="13"/>
  <c r="AE169" i="13"/>
  <c r="AC169" i="13"/>
  <c r="AI297" i="13"/>
  <c r="AT297" i="13"/>
  <c r="AR209" i="13"/>
  <c r="AE161" i="13"/>
  <c r="AC161" i="13"/>
  <c r="AF203" i="13"/>
  <c r="AH203" i="13"/>
  <c r="AQ203" i="13" s="1"/>
  <c r="AR301" i="13"/>
  <c r="AZ301" i="13" s="1"/>
  <c r="AC181" i="13"/>
  <c r="AE181" i="13"/>
  <c r="AI295" i="13"/>
  <c r="AT295" i="13"/>
  <c r="AR223" i="13"/>
  <c r="AC183" i="13"/>
  <c r="AE183" i="13"/>
  <c r="AF120" i="13"/>
  <c r="AH120" i="13"/>
  <c r="AN120" i="13" s="1"/>
  <c r="AO120" i="13" s="1"/>
  <c r="AF107" i="13"/>
  <c r="AH107" i="13"/>
  <c r="AN107" i="13" s="1"/>
  <c r="AO107" i="13" s="1"/>
  <c r="AF106" i="13"/>
  <c r="AH106" i="13"/>
  <c r="AN106" i="13" s="1"/>
  <c r="AO106" i="13" s="1"/>
  <c r="X10" i="13"/>
  <c r="AB10" i="13"/>
  <c r="W244" i="13"/>
  <c r="U244" i="13"/>
  <c r="AE57" i="13"/>
  <c r="AC57" i="13"/>
  <c r="AR226" i="13"/>
  <c r="AI204" i="13"/>
  <c r="AI65" i="13"/>
  <c r="W247" i="13"/>
  <c r="U247" i="13"/>
  <c r="AC73" i="13"/>
  <c r="AE73" i="13"/>
  <c r="AB54" i="13"/>
  <c r="X54" i="13"/>
  <c r="X30" i="13"/>
  <c r="AB30" i="13"/>
  <c r="X246" i="13"/>
  <c r="AB246" i="13"/>
  <c r="AC240" i="13"/>
  <c r="AE240" i="13"/>
  <c r="AC38" i="13"/>
  <c r="AE38" i="13"/>
  <c r="AC26" i="13"/>
  <c r="AE26" i="13"/>
  <c r="AF118" i="13"/>
  <c r="AH118" i="13"/>
  <c r="AN118" i="13" s="1"/>
  <c r="AO118" i="13" s="1"/>
  <c r="AR221" i="13"/>
  <c r="AE55" i="13"/>
  <c r="AC55" i="13"/>
  <c r="AB241" i="13"/>
  <c r="X241" i="13"/>
  <c r="X272" i="13"/>
  <c r="AB272" i="13"/>
  <c r="AR228" i="13"/>
  <c r="AE52" i="13"/>
  <c r="AC52" i="13"/>
  <c r="W273" i="13"/>
  <c r="U273" i="13"/>
  <c r="AC276" i="13"/>
  <c r="AE276" i="13"/>
  <c r="AB280" i="13"/>
  <c r="X280" i="13"/>
  <c r="AC260" i="13"/>
  <c r="AE260" i="13"/>
  <c r="AC12" i="13"/>
  <c r="AE12" i="13"/>
  <c r="AC99" i="13"/>
  <c r="AE99" i="13"/>
  <c r="AR211" i="13"/>
  <c r="AE95" i="13"/>
  <c r="AC95" i="13"/>
  <c r="X267" i="13"/>
  <c r="AB267" i="13"/>
  <c r="AC85" i="13"/>
  <c r="AE85" i="13"/>
  <c r="AB249" i="13"/>
  <c r="X249" i="13"/>
  <c r="AF152" i="13"/>
  <c r="AH152" i="13"/>
  <c r="AN152" i="13" s="1"/>
  <c r="AO152" i="13" s="1"/>
  <c r="AT199" i="13"/>
  <c r="AI199" i="13"/>
  <c r="AB155" i="13"/>
  <c r="X155" i="13"/>
  <c r="AB103" i="13"/>
  <c r="X103" i="13"/>
  <c r="AC86" i="13"/>
  <c r="AE86" i="13"/>
  <c r="AF127" i="13"/>
  <c r="AH127" i="13"/>
  <c r="AN127" i="13" s="1"/>
  <c r="AO127" i="13" s="1"/>
  <c r="X283" i="13"/>
  <c r="AB283" i="13"/>
  <c r="AE31" i="13"/>
  <c r="AC31" i="13"/>
  <c r="X287" i="13"/>
  <c r="AB287" i="13"/>
  <c r="AE129" i="13"/>
  <c r="AC129" i="13"/>
  <c r="X279" i="13"/>
  <c r="AB279" i="13"/>
  <c r="X87" i="13"/>
  <c r="AB87" i="13"/>
  <c r="AC187" i="13"/>
  <c r="AE187" i="13"/>
  <c r="AB278" i="13"/>
  <c r="X278" i="13"/>
  <c r="AF191" i="13"/>
  <c r="AH191" i="13"/>
  <c r="AN191" i="13" s="1"/>
  <c r="AO191" i="13" s="1"/>
  <c r="AC40" i="13"/>
  <c r="AE40" i="13"/>
  <c r="AF140" i="13"/>
  <c r="AH140" i="13"/>
  <c r="AN140" i="13" s="1"/>
  <c r="AO140" i="13" s="1"/>
  <c r="AC189" i="13"/>
  <c r="AE189" i="13"/>
  <c r="AC137" i="13"/>
  <c r="AE137" i="13"/>
  <c r="X98" i="13"/>
  <c r="AB98" i="13"/>
  <c r="AF195" i="13"/>
  <c r="AH195" i="13"/>
  <c r="AQ195" i="13" s="1"/>
  <c r="AB80" i="13"/>
  <c r="X80" i="13"/>
  <c r="AC44" i="13"/>
  <c r="AE44" i="13"/>
  <c r="AE6" i="13"/>
  <c r="AC6" i="13"/>
  <c r="AE46" i="13"/>
  <c r="AC46" i="13"/>
  <c r="T11" i="13"/>
  <c r="R11" i="13"/>
  <c r="AB156" i="13"/>
  <c r="X156" i="13"/>
  <c r="AE132" i="13"/>
  <c r="AC132" i="13"/>
  <c r="AE20" i="13"/>
  <c r="AC20" i="13"/>
  <c r="AR216" i="13"/>
  <c r="AE59" i="13"/>
  <c r="AC59" i="13"/>
  <c r="AI292" i="13"/>
  <c r="AT292" i="13"/>
  <c r="AR302" i="13"/>
  <c r="AZ302" i="13" s="1"/>
  <c r="AE158" i="13"/>
  <c r="AC158" i="13"/>
  <c r="X285" i="13"/>
  <c r="AB285" i="13"/>
  <c r="AC75" i="13"/>
  <c r="AE75" i="13"/>
  <c r="AE160" i="13"/>
  <c r="AC160" i="13"/>
  <c r="AF153" i="13"/>
  <c r="AH153" i="13"/>
  <c r="AN153" i="13" s="1"/>
  <c r="AO153" i="13" s="1"/>
  <c r="AR225" i="13"/>
  <c r="AZ225" i="13" s="1"/>
  <c r="AE56" i="13"/>
  <c r="AC56" i="13"/>
  <c r="AC102" i="13"/>
  <c r="AE102" i="13"/>
  <c r="AB259" i="13"/>
  <c r="X259" i="13"/>
  <c r="AC146" i="13"/>
  <c r="AE146" i="13"/>
  <c r="AR237" i="13"/>
  <c r="AR315" i="13" s="1"/>
  <c r="AF148" i="13"/>
  <c r="AH148" i="13"/>
  <c r="AN148" i="13" s="1"/>
  <c r="AO148" i="13" s="1"/>
  <c r="AB242" i="13"/>
  <c r="X242" i="13"/>
  <c r="AH81" i="13"/>
  <c r="AN81" i="13" s="1"/>
  <c r="AO81" i="13" s="1"/>
  <c r="AF81" i="13"/>
  <c r="AF119" i="13"/>
  <c r="AH119" i="13"/>
  <c r="AN119" i="13" s="1"/>
  <c r="AO119" i="13" s="1"/>
  <c r="AR231" i="13"/>
  <c r="AB253" i="13"/>
  <c r="X253" i="13"/>
  <c r="AR213" i="13"/>
  <c r="AE149" i="13"/>
  <c r="AC149" i="13"/>
  <c r="AI212" i="13"/>
  <c r="AF50" i="13"/>
  <c r="AH50" i="13"/>
  <c r="AN50" i="13" s="1"/>
  <c r="AO50" i="13" s="1"/>
  <c r="AC182" i="13"/>
  <c r="AE182" i="13"/>
  <c r="AR293" i="13"/>
  <c r="AZ293" i="13" s="1"/>
  <c r="AT300" i="13"/>
  <c r="AI300" i="13"/>
  <c r="AI299" i="13"/>
  <c r="AT299" i="13"/>
  <c r="AE180" i="13"/>
  <c r="AC180" i="13"/>
  <c r="AE36" i="13"/>
  <c r="AC36" i="13"/>
  <c r="AC21" i="13"/>
  <c r="AE21" i="13"/>
  <c r="AI196" i="13"/>
  <c r="AE144" i="13"/>
  <c r="AC144" i="13"/>
  <c r="AC18" i="13"/>
  <c r="AE18" i="13"/>
  <c r="AF291" i="13"/>
  <c r="AH291" i="13"/>
  <c r="AQ291" i="13" s="1"/>
  <c r="AI111" i="13"/>
  <c r="AB251" i="13"/>
  <c r="X251" i="13"/>
  <c r="AH190" i="13"/>
  <c r="AQ190" i="13" s="1"/>
  <c r="AF190" i="13"/>
  <c r="AF193" i="13"/>
  <c r="AH193" i="13"/>
  <c r="AN193" i="13" s="1"/>
  <c r="AO193" i="13" s="1"/>
  <c r="AC167" i="13"/>
  <c r="AE167" i="13"/>
  <c r="X271" i="13"/>
  <c r="AB271" i="13"/>
  <c r="AC165" i="13"/>
  <c r="AE165" i="13"/>
  <c r="AC128" i="13"/>
  <c r="AE128" i="13"/>
  <c r="X275" i="13"/>
  <c r="AB275" i="13"/>
  <c r="AB277" i="13"/>
  <c r="X277" i="13"/>
  <c r="AC139" i="13"/>
  <c r="AE139" i="13"/>
  <c r="AC116" i="13"/>
  <c r="AE116" i="13"/>
  <c r="AR185" i="13"/>
  <c r="AR217" i="13"/>
  <c r="AJ12" i="3"/>
  <c r="AR12" i="3"/>
  <c r="Y8" i="3"/>
  <c r="Y114" i="3" s="1"/>
  <c r="AC8" i="3"/>
  <c r="AC114" i="3" s="1"/>
  <c r="AD57" i="3"/>
  <c r="AF57" i="3"/>
  <c r="AF61" i="3"/>
  <c r="AD61" i="3"/>
  <c r="AG25" i="3"/>
  <c r="BE25" i="3" s="1"/>
  <c r="BG25" i="3" s="1"/>
  <c r="AI25" i="3"/>
  <c r="AI37" i="3"/>
  <c r="AG37" i="3"/>
  <c r="AR70" i="3"/>
  <c r="AJ70" i="3"/>
  <c r="AC19" i="3"/>
  <c r="Y19" i="3"/>
  <c r="X55" i="3"/>
  <c r="Y55" i="3" s="1"/>
  <c r="V55" i="3"/>
  <c r="AD35" i="3"/>
  <c r="AF35" i="3"/>
  <c r="Y84" i="3"/>
  <c r="AC84" i="3"/>
  <c r="AF45" i="3"/>
  <c r="AD45" i="3"/>
  <c r="AR29" i="3"/>
  <c r="AJ29" i="3"/>
  <c r="AC38" i="3"/>
  <c r="Y38" i="3"/>
  <c r="AD20" i="3"/>
  <c r="AF20" i="3"/>
  <c r="Y103" i="3"/>
  <c r="AC103" i="3"/>
  <c r="AD9" i="3"/>
  <c r="AF9" i="3"/>
  <c r="AG51" i="3"/>
  <c r="AI51" i="3"/>
  <c r="AI41" i="3"/>
  <c r="AG41" i="3"/>
  <c r="AG34" i="3"/>
  <c r="AI34" i="3"/>
  <c r="AO34" i="3" s="1"/>
  <c r="AP34" i="3" s="1"/>
  <c r="AR78" i="3"/>
  <c r="AU78" i="3" s="1"/>
  <c r="AV78" i="3" s="1"/>
  <c r="AJ78" i="3"/>
  <c r="AD11" i="3"/>
  <c r="AF11" i="3"/>
  <c r="Y90" i="3"/>
  <c r="AC90" i="3"/>
  <c r="AD13" i="3"/>
  <c r="AF13" i="3"/>
  <c r="V56" i="3"/>
  <c r="X56" i="3"/>
  <c r="Y56" i="3" s="1"/>
  <c r="AJ74" i="3"/>
  <c r="AR74" i="3"/>
  <c r="AU74" i="3" s="1"/>
  <c r="AV74" i="3" s="1"/>
  <c r="Y95" i="3"/>
  <c r="AC95" i="3"/>
  <c r="V44" i="3"/>
  <c r="X44" i="3"/>
  <c r="Y44" i="3" s="1"/>
  <c r="AI50" i="3"/>
  <c r="AG50" i="3"/>
  <c r="AC39" i="3"/>
  <c r="Y39" i="3"/>
  <c r="AD87" i="3"/>
  <c r="AF87" i="3"/>
  <c r="AD97" i="3"/>
  <c r="AF97" i="3"/>
  <c r="AF82" i="3"/>
  <c r="AD82" i="3"/>
  <c r="AG43" i="3"/>
  <c r="AI43" i="3"/>
  <c r="AC83" i="3"/>
  <c r="Y83" i="3"/>
  <c r="AD15" i="3"/>
  <c r="AF15" i="3"/>
  <c r="AD91" i="3"/>
  <c r="AF91" i="3"/>
  <c r="AC98" i="3"/>
  <c r="Y98" i="3"/>
  <c r="AD58" i="3"/>
  <c r="AF58" i="3"/>
  <c r="AI26" i="3"/>
  <c r="AG26" i="3"/>
  <c r="BE26" i="3" s="1"/>
  <c r="BG26" i="3" s="1"/>
  <c r="Y86" i="3"/>
  <c r="AC86" i="3"/>
  <c r="AC67" i="3"/>
  <c r="Y67" i="3"/>
  <c r="AC102" i="3"/>
  <c r="Y102" i="3"/>
  <c r="AI76" i="3"/>
  <c r="AG76" i="3"/>
  <c r="AD49" i="3"/>
  <c r="AF49" i="3"/>
  <c r="AI52" i="3"/>
  <c r="AG52" i="3"/>
  <c r="Y64" i="3"/>
  <c r="AC64" i="3"/>
  <c r="V60" i="3"/>
  <c r="X60" i="3"/>
  <c r="Y60" i="3" s="1"/>
  <c r="AI16" i="3"/>
  <c r="AG16" i="3"/>
  <c r="Y94" i="3"/>
  <c r="AC94" i="3"/>
  <c r="AS44" i="3"/>
  <c r="BB44" i="3" s="1"/>
  <c r="Y36" i="3"/>
  <c r="AC36" i="3"/>
  <c r="AS106" i="3"/>
  <c r="BB106" i="3" s="1"/>
  <c r="Y46" i="3"/>
  <c r="AC46" i="3"/>
  <c r="AC17" i="3"/>
  <c r="Y17" i="3"/>
  <c r="Y10" i="3"/>
  <c r="Y99" i="3"/>
  <c r="AC99" i="3"/>
  <c r="AD69" i="3"/>
  <c r="AF69" i="3"/>
  <c r="V40" i="3"/>
  <c r="X40" i="3"/>
  <c r="Y40" i="3" s="1"/>
  <c r="V33" i="3"/>
  <c r="X33" i="3"/>
  <c r="Y33" i="3" s="1"/>
  <c r="X18" i="10"/>
  <c r="AB18" i="10"/>
  <c r="AI98" i="10"/>
  <c r="AQ98" i="10"/>
  <c r="AE20" i="10"/>
  <c r="AC20" i="10"/>
  <c r="AB10" i="10"/>
  <c r="X10" i="10"/>
  <c r="AC114" i="10"/>
  <c r="AE114" i="10"/>
  <c r="U63" i="10"/>
  <c r="W63" i="10"/>
  <c r="AQ69" i="10"/>
  <c r="AI69" i="10"/>
  <c r="AB12" i="10"/>
  <c r="X12" i="10"/>
  <c r="AE24" i="10"/>
  <c r="AC24" i="10"/>
  <c r="AB92" i="10"/>
  <c r="X92" i="10"/>
  <c r="U147" i="10"/>
  <c r="AB17" i="10"/>
  <c r="X17" i="10"/>
  <c r="AH73" i="10"/>
  <c r="AF73" i="10"/>
  <c r="AI71" i="10"/>
  <c r="AQ71" i="10"/>
  <c r="X83" i="10"/>
  <c r="AB83" i="10"/>
  <c r="AR74" i="10"/>
  <c r="AB91" i="10"/>
  <c r="X91" i="10"/>
  <c r="AB16" i="10"/>
  <c r="X16" i="10"/>
  <c r="X115" i="10"/>
  <c r="AB115" i="10"/>
  <c r="AI97" i="10"/>
  <c r="AQ97" i="10"/>
  <c r="AB14" i="10"/>
  <c r="X14" i="10"/>
  <c r="AF96" i="10"/>
  <c r="AH96" i="10"/>
  <c r="AR131" i="10"/>
  <c r="AZ131" i="10" s="1"/>
  <c r="AB26" i="10"/>
  <c r="X26" i="10"/>
  <c r="AC65" i="10"/>
  <c r="AE65" i="10"/>
  <c r="AB13" i="10"/>
  <c r="X13" i="10"/>
  <c r="AB22" i="10"/>
  <c r="X22" i="10"/>
  <c r="AH72" i="10"/>
  <c r="AF72" i="10"/>
  <c r="AC9" i="10"/>
  <c r="AE9" i="10"/>
  <c r="AI70" i="10"/>
  <c r="AQ70" i="10"/>
  <c r="AR75" i="10"/>
  <c r="X61" i="10"/>
  <c r="AB61" i="10"/>
  <c r="W147" i="10"/>
  <c r="AC90" i="10"/>
  <c r="AE90" i="10"/>
  <c r="AB84" i="10"/>
  <c r="X84" i="10"/>
  <c r="E80" i="15"/>
  <c r="F79" i="15"/>
  <c r="E125" i="17" s="1"/>
  <c r="K125" i="17" s="1"/>
  <c r="AJ125" i="17" s="1"/>
  <c r="F12" i="21"/>
  <c r="G12" i="21" s="1"/>
  <c r="C197" i="17"/>
  <c r="F77" i="15"/>
  <c r="F78" i="15"/>
  <c r="E197" i="17" s="1"/>
  <c r="AR142" i="10"/>
  <c r="AZ142" i="10"/>
  <c r="AR141" i="10"/>
  <c r="AZ141" i="10" s="1"/>
  <c r="AH140" i="10"/>
  <c r="AF140" i="10"/>
  <c r="AB139" i="10"/>
  <c r="X139" i="10"/>
  <c r="U138" i="10"/>
  <c r="W138" i="10"/>
  <c r="U137" i="10"/>
  <c r="W137" i="10"/>
  <c r="U136" i="10"/>
  <c r="W136" i="10"/>
  <c r="U135" i="10"/>
  <c r="W135" i="10"/>
  <c r="U134" i="10"/>
  <c r="W134" i="10"/>
  <c r="AR129" i="10"/>
  <c r="AZ129" i="10" s="1"/>
  <c r="AR128" i="10"/>
  <c r="AZ128" i="10" s="1"/>
  <c r="AR127" i="10"/>
  <c r="AZ127" i="10"/>
  <c r="AR126" i="10"/>
  <c r="AZ126" i="10"/>
  <c r="X125" i="10"/>
  <c r="AB125" i="10"/>
  <c r="U124" i="10"/>
  <c r="W124" i="10"/>
  <c r="U123" i="10"/>
  <c r="W123" i="10"/>
  <c r="U122" i="10"/>
  <c r="W122" i="10"/>
  <c r="U121" i="10"/>
  <c r="W121" i="10"/>
  <c r="U120" i="10"/>
  <c r="W120" i="10"/>
  <c r="U119" i="10"/>
  <c r="W119" i="10"/>
  <c r="U118" i="10"/>
  <c r="W118" i="10"/>
  <c r="AR111" i="10"/>
  <c r="AZ111" i="10" s="1"/>
  <c r="AB109" i="10"/>
  <c r="X109" i="10"/>
  <c r="AB108" i="10"/>
  <c r="X108" i="10"/>
  <c r="AR104" i="10"/>
  <c r="AZ104" i="10" s="1"/>
  <c r="AR102" i="10"/>
  <c r="AZ102" i="10"/>
  <c r="AE95" i="10"/>
  <c r="AC95" i="10"/>
  <c r="AB89" i="10"/>
  <c r="X89" i="10"/>
  <c r="O146" i="10"/>
  <c r="O149" i="10"/>
  <c r="T87" i="10"/>
  <c r="Q146" i="10"/>
  <c r="R87" i="10"/>
  <c r="Q149" i="10"/>
  <c r="M31" i="20"/>
  <c r="M34" i="20" s="1"/>
  <c r="L34" i="20"/>
  <c r="L36" i="20" s="1"/>
  <c r="M36" i="20" s="1"/>
  <c r="M37" i="20" s="1"/>
  <c r="C198" i="17"/>
  <c r="E158" i="10"/>
  <c r="F157" i="10"/>
  <c r="AS13" i="14"/>
  <c r="V12" i="14"/>
  <c r="X12" i="14"/>
  <c r="AD7" i="14"/>
  <c r="AF7" i="14"/>
  <c r="AD6" i="14"/>
  <c r="AF6" i="14"/>
  <c r="AC5" i="14"/>
  <c r="Y5" i="14"/>
  <c r="I55" i="21"/>
  <c r="K55" i="21" s="1"/>
  <c r="M50" i="21"/>
  <c r="M63" i="21" s="1"/>
  <c r="N64" i="21" s="1"/>
  <c r="M27" i="20"/>
  <c r="M28" i="20" s="1"/>
  <c r="AU237" i="13" l="1"/>
  <c r="AU315" i="13" s="1"/>
  <c r="AT315" i="13"/>
  <c r="AO237" i="13"/>
  <c r="AO315" i="13" s="1"/>
  <c r="AN315" i="13"/>
  <c r="AT8" i="9"/>
  <c r="AU8" i="9" s="1"/>
  <c r="AW8" i="9"/>
  <c r="AT20" i="9"/>
  <c r="AU20" i="9" s="1"/>
  <c r="AW20" i="9"/>
  <c r="AT23" i="9"/>
  <c r="AU23" i="9" s="1"/>
  <c r="AW23" i="9"/>
  <c r="AX22" i="9"/>
  <c r="AZ22" i="9"/>
  <c r="AX26" i="9"/>
  <c r="AZ26" i="9"/>
  <c r="AX30" i="9"/>
  <c r="AZ30" i="9"/>
  <c r="AX27" i="9"/>
  <c r="AZ27" i="9"/>
  <c r="AX68" i="10"/>
  <c r="AZ68" i="10"/>
  <c r="AX66" i="10"/>
  <c r="AZ66" i="10"/>
  <c r="AX67" i="10"/>
  <c r="AZ67" i="10"/>
  <c r="AX29" i="10"/>
  <c r="AZ29" i="10"/>
  <c r="AX76" i="10"/>
  <c r="AZ76" i="10"/>
  <c r="AX34" i="10"/>
  <c r="AZ34" i="10"/>
  <c r="AX75" i="10"/>
  <c r="AZ75" i="10"/>
  <c r="AX74" i="10"/>
  <c r="AZ74" i="10"/>
  <c r="AT27" i="15"/>
  <c r="AU27" i="15" s="1"/>
  <c r="AW27" i="15"/>
  <c r="AX43" i="15"/>
  <c r="AZ43" i="15"/>
  <c r="AU8" i="11"/>
  <c r="BA8" i="11"/>
  <c r="BB15" i="11"/>
  <c r="BD15" i="11"/>
  <c r="AK18" i="9"/>
  <c r="AN18" i="9"/>
  <c r="AO18" i="9" s="1"/>
  <c r="AK21" i="9"/>
  <c r="AN21" i="9"/>
  <c r="AO21" i="9" s="1"/>
  <c r="AK14" i="9"/>
  <c r="AN14" i="9"/>
  <c r="AO14" i="9" s="1"/>
  <c r="AK19" i="9"/>
  <c r="AN19" i="9"/>
  <c r="AO19" i="9" s="1"/>
  <c r="AK25" i="9"/>
  <c r="AN25" i="9"/>
  <c r="AO25" i="9" s="1"/>
  <c r="AK24" i="9"/>
  <c r="AN24" i="9"/>
  <c r="AO24" i="9" s="1"/>
  <c r="AK15" i="9"/>
  <c r="AN15" i="9"/>
  <c r="AO15" i="9" s="1"/>
  <c r="AT70" i="10"/>
  <c r="AU70" i="10" s="1"/>
  <c r="AW70" i="10"/>
  <c r="AT97" i="10"/>
  <c r="AU97" i="10" s="1"/>
  <c r="AW97" i="10"/>
  <c r="AT71" i="10"/>
  <c r="AU71" i="10" s="1"/>
  <c r="AW71" i="10"/>
  <c r="AT69" i="10"/>
  <c r="AU69" i="10" s="1"/>
  <c r="AW69" i="10"/>
  <c r="AT98" i="10"/>
  <c r="AU98" i="10" s="1"/>
  <c r="AW98" i="10"/>
  <c r="AT85" i="10"/>
  <c r="AU85" i="10" s="1"/>
  <c r="AW85" i="10"/>
  <c r="AT100" i="10"/>
  <c r="AU100" i="10" s="1"/>
  <c r="AW100" i="10"/>
  <c r="AT99" i="10"/>
  <c r="AU99" i="10" s="1"/>
  <c r="AW99" i="10"/>
  <c r="AK34" i="15"/>
  <c r="AN34" i="15"/>
  <c r="AO34" i="15" s="1"/>
  <c r="AK36" i="15"/>
  <c r="AN36" i="15"/>
  <c r="AO36" i="15" s="1"/>
  <c r="AK24" i="15"/>
  <c r="AN24" i="15"/>
  <c r="AO24" i="15" s="1"/>
  <c r="AK35" i="15"/>
  <c r="AN35" i="15"/>
  <c r="AO35" i="15" s="1"/>
  <c r="AK6" i="16"/>
  <c r="AN6" i="16"/>
  <c r="AO6" i="16" s="1"/>
  <c r="AX232" i="13"/>
  <c r="AZ232" i="13"/>
  <c r="AX198" i="13"/>
  <c r="AZ198" i="13"/>
  <c r="AX89" i="13"/>
  <c r="AZ89" i="13"/>
  <c r="AX215" i="13"/>
  <c r="AZ215" i="13"/>
  <c r="AX61" i="13"/>
  <c r="AZ61" i="13"/>
  <c r="AX201" i="13"/>
  <c r="AZ201" i="13"/>
  <c r="AX236" i="13"/>
  <c r="AZ236" i="13"/>
  <c r="AX65" i="13"/>
  <c r="AZ65" i="13"/>
  <c r="AX204" i="13"/>
  <c r="AZ204" i="13"/>
  <c r="AX111" i="13"/>
  <c r="AZ111" i="13"/>
  <c r="AX196" i="13"/>
  <c r="AZ196" i="13"/>
  <c r="AX212" i="13"/>
  <c r="AZ212" i="13"/>
  <c r="AX143" i="13"/>
  <c r="AZ143" i="13"/>
  <c r="AX226" i="13"/>
  <c r="AZ226" i="13"/>
  <c r="AX229" i="13"/>
  <c r="AZ229" i="13"/>
  <c r="AX216" i="13"/>
  <c r="AZ216" i="13"/>
  <c r="AX62" i="13"/>
  <c r="AZ62" i="13"/>
  <c r="AX227" i="13"/>
  <c r="AZ227" i="13"/>
  <c r="AT222" i="13"/>
  <c r="AU222" i="13" s="1"/>
  <c r="AW222" i="13"/>
  <c r="AT206" i="13"/>
  <c r="AW206" i="13"/>
  <c r="AT220" i="13"/>
  <c r="AW220" i="13"/>
  <c r="AT224" i="13"/>
  <c r="AW224" i="13"/>
  <c r="AT207" i="13"/>
  <c r="AW207" i="13"/>
  <c r="AT194" i="13"/>
  <c r="AW194" i="13"/>
  <c r="AV8" i="11"/>
  <c r="AX8" i="11"/>
  <c r="AY8" i="11" s="1"/>
  <c r="AL16" i="3"/>
  <c r="AO16" i="3"/>
  <c r="AP16" i="3" s="1"/>
  <c r="AL52" i="3"/>
  <c r="AO52" i="3"/>
  <c r="AP52" i="3" s="1"/>
  <c r="AL76" i="3"/>
  <c r="AO76" i="3"/>
  <c r="AP76" i="3" s="1"/>
  <c r="AL26" i="3"/>
  <c r="AO26" i="3"/>
  <c r="AP26" i="3" s="1"/>
  <c r="AL43" i="3"/>
  <c r="AO43" i="3"/>
  <c r="AP43" i="3" s="1"/>
  <c r="AL50" i="3"/>
  <c r="AO50" i="3"/>
  <c r="AP50" i="3" s="1"/>
  <c r="AL41" i="3"/>
  <c r="AO41" i="3"/>
  <c r="AP41" i="3" s="1"/>
  <c r="AL51" i="3"/>
  <c r="AO51" i="3"/>
  <c r="AP51" i="3" s="1"/>
  <c r="AS29" i="3"/>
  <c r="BB29" i="3"/>
  <c r="AL37" i="3"/>
  <c r="AO37" i="3"/>
  <c r="AP37" i="3" s="1"/>
  <c r="AL25" i="3"/>
  <c r="AO25" i="3"/>
  <c r="AP25" i="3" s="1"/>
  <c r="AU12" i="3"/>
  <c r="AV12" i="3" s="1"/>
  <c r="AS28" i="3"/>
  <c r="BB28" i="3"/>
  <c r="AK72" i="10"/>
  <c r="AN72" i="10"/>
  <c r="AK96" i="10"/>
  <c r="AN96" i="10"/>
  <c r="AK73" i="10"/>
  <c r="AN73" i="10"/>
  <c r="AY13" i="14"/>
  <c r="AL18" i="9"/>
  <c r="AL21" i="9"/>
  <c r="AL14" i="9"/>
  <c r="AL19" i="9"/>
  <c r="AL25" i="9"/>
  <c r="AL24" i="9"/>
  <c r="AL15" i="9"/>
  <c r="AL72" i="10"/>
  <c r="AO72" i="10"/>
  <c r="AL96" i="10"/>
  <c r="AO96" i="10"/>
  <c r="AL73" i="10"/>
  <c r="AO73" i="10"/>
  <c r="AL34" i="15"/>
  <c r="AL36" i="15"/>
  <c r="AL24" i="15"/>
  <c r="AL35" i="15"/>
  <c r="AL6" i="16"/>
  <c r="AL226" i="13"/>
  <c r="AL229" i="13"/>
  <c r="AL216" i="13"/>
  <c r="AL222" i="13"/>
  <c r="AL206" i="13"/>
  <c r="AL232" i="13"/>
  <c r="AL220" i="13"/>
  <c r="AL224" i="13"/>
  <c r="AL198" i="13"/>
  <c r="AL207" i="13"/>
  <c r="AL89" i="13"/>
  <c r="AL194" i="13"/>
  <c r="AL215" i="13"/>
  <c r="AL61" i="13"/>
  <c r="AL201" i="13"/>
  <c r="AL236" i="13"/>
  <c r="AL65" i="13"/>
  <c r="AL204" i="13"/>
  <c r="AL111" i="13"/>
  <c r="AL196" i="13"/>
  <c r="AL212" i="13"/>
  <c r="AL143" i="13"/>
  <c r="AM16" i="3"/>
  <c r="AM52" i="3"/>
  <c r="AM76" i="3"/>
  <c r="AM26" i="3"/>
  <c r="AM43" i="3"/>
  <c r="AM50" i="3"/>
  <c r="AM41" i="3"/>
  <c r="AM51" i="3"/>
  <c r="AM37" i="3"/>
  <c r="AM25" i="3"/>
  <c r="AL34" i="3"/>
  <c r="AR222" i="13"/>
  <c r="Y96" i="3"/>
  <c r="AC96" i="3"/>
  <c r="Y104" i="3"/>
  <c r="AC104" i="3"/>
  <c r="X92" i="3"/>
  <c r="V92" i="3"/>
  <c r="AR22" i="9"/>
  <c r="AT22" i="9"/>
  <c r="AU22" i="9" s="1"/>
  <c r="AR10" i="16"/>
  <c r="AT10" i="16"/>
  <c r="AU10" i="16" s="1"/>
  <c r="AS15" i="11"/>
  <c r="AU15" i="11"/>
  <c r="AR67" i="10"/>
  <c r="AT67" i="10"/>
  <c r="AU67" i="10" s="1"/>
  <c r="AR66" i="10"/>
  <c r="AT66" i="10"/>
  <c r="AU66" i="10" s="1"/>
  <c r="AR26" i="9"/>
  <c r="AT26" i="9"/>
  <c r="AU26" i="9" s="1"/>
  <c r="AR68" i="10"/>
  <c r="AT68" i="10"/>
  <c r="AU68" i="10" s="1"/>
  <c r="X35" i="16"/>
  <c r="AB35" i="16"/>
  <c r="W262" i="13"/>
  <c r="U262" i="13"/>
  <c r="AB31" i="16"/>
  <c r="X31" i="16"/>
  <c r="AK193" i="13"/>
  <c r="AQ193" i="13"/>
  <c r="AW193" i="13" s="1"/>
  <c r="AK50" i="13"/>
  <c r="AQ50" i="13"/>
  <c r="AW50" i="13" s="1"/>
  <c r="AK119" i="13"/>
  <c r="AQ119" i="13"/>
  <c r="AW119" i="13" s="1"/>
  <c r="AK81" i="13"/>
  <c r="AQ81" i="13"/>
  <c r="AW81" i="13" s="1"/>
  <c r="AK148" i="13"/>
  <c r="AQ148" i="13"/>
  <c r="AW148" i="13" s="1"/>
  <c r="AK153" i="13"/>
  <c r="AQ153" i="13"/>
  <c r="AW153" i="13" s="1"/>
  <c r="AK140" i="13"/>
  <c r="AQ140" i="13"/>
  <c r="AW140" i="13" s="1"/>
  <c r="AK191" i="13"/>
  <c r="AQ191" i="13"/>
  <c r="AW191" i="13" s="1"/>
  <c r="AK127" i="13"/>
  <c r="AQ127" i="13"/>
  <c r="AW127" i="13" s="1"/>
  <c r="AK152" i="13"/>
  <c r="AQ152" i="13"/>
  <c r="AW152" i="13" s="1"/>
  <c r="AK118" i="13"/>
  <c r="AQ118" i="13"/>
  <c r="AW118" i="13" s="1"/>
  <c r="AK106" i="13"/>
  <c r="AQ106" i="13"/>
  <c r="AW106" i="13" s="1"/>
  <c r="AK107" i="13"/>
  <c r="AQ107" i="13"/>
  <c r="AW107" i="13" s="1"/>
  <c r="AK120" i="13"/>
  <c r="AQ120" i="13"/>
  <c r="AW120" i="13" s="1"/>
  <c r="AK150" i="13"/>
  <c r="AQ150" i="13"/>
  <c r="AW150" i="13" s="1"/>
  <c r="AK39" i="13"/>
  <c r="AQ39" i="13"/>
  <c r="AW39" i="13" s="1"/>
  <c r="AK51" i="13"/>
  <c r="AQ51" i="13"/>
  <c r="AW51" i="13" s="1"/>
  <c r="AK109" i="13"/>
  <c r="AQ109" i="13"/>
  <c r="AK192" i="13"/>
  <c r="AQ192" i="13"/>
  <c r="AW192" i="13" s="1"/>
  <c r="AK113" i="13"/>
  <c r="AQ113" i="13"/>
  <c r="AW113" i="13" s="1"/>
  <c r="AK126" i="13"/>
  <c r="AQ126" i="13"/>
  <c r="AW126" i="13" s="1"/>
  <c r="AK63" i="13"/>
  <c r="AQ63" i="13"/>
  <c r="AW63" i="13" s="1"/>
  <c r="AK135" i="13"/>
  <c r="AQ135" i="13"/>
  <c r="AW135" i="13" s="1"/>
  <c r="AK112" i="13"/>
  <c r="AQ112" i="13"/>
  <c r="AW112" i="13" s="1"/>
  <c r="AK184" i="13"/>
  <c r="AQ184" i="13"/>
  <c r="AW184" i="13" s="1"/>
  <c r="AK64" i="13"/>
  <c r="AQ64" i="13"/>
  <c r="AK47" i="13"/>
  <c r="AQ47" i="13"/>
  <c r="AW47" i="13" s="1"/>
  <c r="AK131" i="13"/>
  <c r="AQ131" i="13"/>
  <c r="AK154" i="13"/>
  <c r="AQ154" i="13"/>
  <c r="AW154" i="13" s="1"/>
  <c r="AK49" i="13"/>
  <c r="AQ49" i="13"/>
  <c r="AK105" i="13"/>
  <c r="AQ105" i="13"/>
  <c r="AW105" i="13" s="1"/>
  <c r="AK42" i="13"/>
  <c r="AQ42" i="13"/>
  <c r="AW42" i="13" s="1"/>
  <c r="AK200" i="13"/>
  <c r="AQ200" i="13"/>
  <c r="AW200" i="13" s="1"/>
  <c r="AK60" i="13"/>
  <c r="AQ60" i="13"/>
  <c r="AT111" i="13"/>
  <c r="AU111" i="13" s="1"/>
  <c r="AT196" i="13"/>
  <c r="AU196" i="13" s="1"/>
  <c r="AT212" i="13"/>
  <c r="AU212" i="13" s="1"/>
  <c r="AT65" i="13"/>
  <c r="AU65" i="13" s="1"/>
  <c r="AT204" i="13"/>
  <c r="AU204" i="13" s="1"/>
  <c r="AT143" i="13"/>
  <c r="AU143" i="13" s="1"/>
  <c r="AT89" i="13"/>
  <c r="AU89" i="13" s="1"/>
  <c r="AT61" i="13"/>
  <c r="AU61" i="13" s="1"/>
  <c r="AT201" i="13"/>
  <c r="AU201" i="13" s="1"/>
  <c r="AT215" i="13"/>
  <c r="AU215" i="13" s="1"/>
  <c r="AT236" i="13"/>
  <c r="AU236" i="13" s="1"/>
  <c r="AT226" i="13"/>
  <c r="AU226" i="13" s="1"/>
  <c r="AT216" i="13"/>
  <c r="AU216" i="13" s="1"/>
  <c r="AR198" i="13"/>
  <c r="AU198" i="13"/>
  <c r="AR194" i="13"/>
  <c r="AU194" i="13"/>
  <c r="AR207" i="13"/>
  <c r="AU207" i="13"/>
  <c r="AR206" i="13"/>
  <c r="AU206" i="13"/>
  <c r="AR224" i="13"/>
  <c r="AU224" i="13"/>
  <c r="AR220" i="13"/>
  <c r="AU220" i="13"/>
  <c r="AR232" i="13"/>
  <c r="AU232" i="13"/>
  <c r="AR229" i="13"/>
  <c r="AU229" i="13"/>
  <c r="AS70" i="3"/>
  <c r="AU70" i="3"/>
  <c r="AV70" i="3" s="1"/>
  <c r="AS79" i="3"/>
  <c r="AU79" i="3"/>
  <c r="AV79" i="3" s="1"/>
  <c r="U113" i="3"/>
  <c r="K199" i="17"/>
  <c r="S199" i="17" s="1"/>
  <c r="K197" i="17"/>
  <c r="S197" i="17" s="1"/>
  <c r="X35" i="9"/>
  <c r="AB35" i="9"/>
  <c r="AB38" i="9"/>
  <c r="C21" i="28" s="1"/>
  <c r="X38" i="9"/>
  <c r="U32" i="9"/>
  <c r="W32" i="9"/>
  <c r="X7" i="9"/>
  <c r="AB7" i="9"/>
  <c r="U50" i="9"/>
  <c r="AH46" i="15"/>
  <c r="AF46" i="15"/>
  <c r="AH31" i="15"/>
  <c r="AF31" i="15"/>
  <c r="AQ6" i="16"/>
  <c r="AT6" i="16" s="1"/>
  <c r="AU6" i="16" s="1"/>
  <c r="AI6" i="16"/>
  <c r="AE13" i="16"/>
  <c r="AC13" i="16"/>
  <c r="AC25" i="16"/>
  <c r="AE25" i="16"/>
  <c r="X15" i="16"/>
  <c r="AB15" i="16"/>
  <c r="R43" i="16"/>
  <c r="AE23" i="16"/>
  <c r="AC23" i="16"/>
  <c r="W36" i="16"/>
  <c r="U36" i="16"/>
  <c r="AE21" i="16"/>
  <c r="AC21" i="16"/>
  <c r="AF39" i="16"/>
  <c r="AH39" i="16"/>
  <c r="X30" i="16"/>
  <c r="AB30" i="16"/>
  <c r="AF7" i="16"/>
  <c r="AH7" i="16"/>
  <c r="AC18" i="16"/>
  <c r="AE18" i="16"/>
  <c r="C124" i="17"/>
  <c r="E53" i="16"/>
  <c r="F52" i="16"/>
  <c r="E196" i="17" s="1"/>
  <c r="K196" i="17" s="1"/>
  <c r="S196" i="17" s="1"/>
  <c r="U14" i="16"/>
  <c r="W14" i="16"/>
  <c r="T43" i="16"/>
  <c r="C212" i="17" s="1"/>
  <c r="K212" i="17" s="1"/>
  <c r="S212" i="17" s="1"/>
  <c r="AF17" i="16"/>
  <c r="AH17" i="16"/>
  <c r="AF5" i="16"/>
  <c r="AH5" i="16"/>
  <c r="AH9" i="16"/>
  <c r="AF9" i="16"/>
  <c r="X34" i="16"/>
  <c r="AB34" i="16"/>
  <c r="AH22" i="16"/>
  <c r="AF22" i="16"/>
  <c r="AB24" i="16"/>
  <c r="X24" i="16"/>
  <c r="AB38" i="16"/>
  <c r="X38" i="16"/>
  <c r="AC29" i="16"/>
  <c r="AE29" i="16"/>
  <c r="U16" i="16"/>
  <c r="W16" i="16"/>
  <c r="AE37" i="16"/>
  <c r="AC37" i="16"/>
  <c r="AH33" i="16"/>
  <c r="AF33" i="16"/>
  <c r="AF27" i="16"/>
  <c r="AH27" i="16"/>
  <c r="AC8" i="16"/>
  <c r="AE8" i="16"/>
  <c r="AC28" i="16"/>
  <c r="AE28" i="16"/>
  <c r="AE19" i="16"/>
  <c r="AC19" i="16"/>
  <c r="AB32" i="16"/>
  <c r="X32" i="16"/>
  <c r="AB26" i="16"/>
  <c r="X26" i="16"/>
  <c r="AB40" i="16"/>
  <c r="X40" i="16"/>
  <c r="X20" i="16"/>
  <c r="AB20" i="16"/>
  <c r="X256" i="13"/>
  <c r="AD7" i="11"/>
  <c r="AF7" i="11"/>
  <c r="AG12" i="11"/>
  <c r="AI12" i="11"/>
  <c r="AL12" i="11" s="1"/>
  <c r="X5" i="11"/>
  <c r="V5" i="11"/>
  <c r="AS8" i="11"/>
  <c r="AJ14" i="11"/>
  <c r="AR14" i="11"/>
  <c r="AJ21" i="11"/>
  <c r="AR21" i="11"/>
  <c r="AS22" i="11"/>
  <c r="BD22" i="11" s="1"/>
  <c r="E40" i="11"/>
  <c r="C122" i="17"/>
  <c r="F39" i="11"/>
  <c r="E194" i="17" s="1"/>
  <c r="K194" i="17" s="1"/>
  <c r="S194" i="17" s="1"/>
  <c r="AF18" i="11"/>
  <c r="AD18" i="11"/>
  <c r="AI10" i="11"/>
  <c r="AL10" i="11" s="1"/>
  <c r="AG10" i="11"/>
  <c r="AI11" i="11"/>
  <c r="AG11" i="11"/>
  <c r="X13" i="11"/>
  <c r="V13" i="11"/>
  <c r="U19" i="11"/>
  <c r="S19" i="11"/>
  <c r="S29" i="11" s="1"/>
  <c r="AF23" i="11"/>
  <c r="AD23" i="11"/>
  <c r="AC6" i="11"/>
  <c r="Y6" i="11"/>
  <c r="AG34" i="14"/>
  <c r="AI34" i="14"/>
  <c r="U40" i="14"/>
  <c r="C209" i="17" s="1"/>
  <c r="Y16" i="14"/>
  <c r="AC16" i="14"/>
  <c r="X19" i="14"/>
  <c r="V19" i="14"/>
  <c r="AF8" i="14"/>
  <c r="AD8" i="14"/>
  <c r="S40" i="14"/>
  <c r="AD33" i="14"/>
  <c r="AF33" i="14"/>
  <c r="X32" i="14"/>
  <c r="V32" i="14"/>
  <c r="AI26" i="14"/>
  <c r="AG26" i="14"/>
  <c r="AG17" i="14"/>
  <c r="AI17" i="14"/>
  <c r="AC9" i="14"/>
  <c r="Y9" i="14"/>
  <c r="AI31" i="14"/>
  <c r="AG31" i="14"/>
  <c r="Y27" i="14"/>
  <c r="AC27" i="14"/>
  <c r="V10" i="14"/>
  <c r="X10" i="14"/>
  <c r="C193" i="17"/>
  <c r="C201" i="17" s="1"/>
  <c r="C205" i="17" s="1"/>
  <c r="E50" i="14"/>
  <c r="F49" i="14"/>
  <c r="AF25" i="14"/>
  <c r="AD25" i="14"/>
  <c r="AI20" i="14"/>
  <c r="AG20" i="14"/>
  <c r="AF21" i="14"/>
  <c r="AD21" i="14"/>
  <c r="AC18" i="14"/>
  <c r="Y18" i="14"/>
  <c r="Y29" i="14"/>
  <c r="AC29" i="14"/>
  <c r="X28" i="14"/>
  <c r="V28" i="14"/>
  <c r="X11" i="14"/>
  <c r="V11" i="14"/>
  <c r="AF30" i="14"/>
  <c r="AD30" i="14"/>
  <c r="F126" i="3"/>
  <c r="E120" i="17" s="1"/>
  <c r="C120" i="17"/>
  <c r="F10" i="21"/>
  <c r="G10" i="21" s="1"/>
  <c r="U115" i="3"/>
  <c r="C208" i="17" s="1"/>
  <c r="K208" i="17" s="1"/>
  <c r="S208" i="17" s="1"/>
  <c r="S115" i="3"/>
  <c r="AF7" i="3"/>
  <c r="AD7" i="3"/>
  <c r="S113" i="3"/>
  <c r="V89" i="3"/>
  <c r="X89" i="3"/>
  <c r="V85" i="3"/>
  <c r="X85" i="3"/>
  <c r="X101" i="3"/>
  <c r="V101" i="3"/>
  <c r="AF100" i="3"/>
  <c r="AD100" i="3"/>
  <c r="X248" i="13"/>
  <c r="AE173" i="13"/>
  <c r="AH173" i="13" s="1"/>
  <c r="AN173" i="13" s="1"/>
  <c r="AO173" i="13" s="1"/>
  <c r="AF16" i="9"/>
  <c r="AH16" i="9"/>
  <c r="AI24" i="9"/>
  <c r="AQ24" i="9"/>
  <c r="AI15" i="9"/>
  <c r="AQ15" i="9"/>
  <c r="AR43" i="9"/>
  <c r="AZ43" i="9" s="1"/>
  <c r="AQ21" i="9"/>
  <c r="AI21" i="9"/>
  <c r="AR29" i="9"/>
  <c r="AZ29" i="9" s="1"/>
  <c r="AH33" i="9"/>
  <c r="AF33" i="9"/>
  <c r="AF13" i="9"/>
  <c r="AH13" i="9"/>
  <c r="AR8" i="9"/>
  <c r="AI18" i="9"/>
  <c r="AQ18" i="9"/>
  <c r="X6" i="9"/>
  <c r="W50" i="9"/>
  <c r="C143" i="17" s="1"/>
  <c r="K143" i="17" s="1"/>
  <c r="AR23" i="9"/>
  <c r="AR42" i="9"/>
  <c r="AZ42" i="9" s="1"/>
  <c r="AQ25" i="9"/>
  <c r="AI25" i="9"/>
  <c r="AQ14" i="9"/>
  <c r="AI14" i="9"/>
  <c r="AC11" i="9"/>
  <c r="AE11" i="9"/>
  <c r="AC37" i="9"/>
  <c r="AE37" i="9"/>
  <c r="AF10" i="9"/>
  <c r="AH10" i="9"/>
  <c r="AF17" i="9"/>
  <c r="AH17" i="9"/>
  <c r="AI34" i="9"/>
  <c r="AQ34" i="9"/>
  <c r="AF12" i="9"/>
  <c r="AH12" i="9"/>
  <c r="AR20" i="9"/>
  <c r="AI39" i="9"/>
  <c r="AQ39" i="9"/>
  <c r="AQ19" i="9"/>
  <c r="AI19" i="9"/>
  <c r="AI35" i="15"/>
  <c r="AQ35" i="15"/>
  <c r="AW35" i="15" s="1"/>
  <c r="AH21" i="15"/>
  <c r="AF21" i="15"/>
  <c r="AE56" i="15"/>
  <c r="AC56" i="15"/>
  <c r="AH33" i="15"/>
  <c r="AF33" i="15"/>
  <c r="AI60" i="15"/>
  <c r="AQ60" i="15"/>
  <c r="AR60" i="15" s="1"/>
  <c r="AZ60" i="15" s="1"/>
  <c r="AF25" i="15"/>
  <c r="AH25" i="15"/>
  <c r="AC15" i="15"/>
  <c r="AE15" i="15"/>
  <c r="R66" i="15"/>
  <c r="R69" i="15"/>
  <c r="AC8" i="15"/>
  <c r="AE8" i="15"/>
  <c r="AC19" i="15"/>
  <c r="AE19" i="15"/>
  <c r="AF17" i="15"/>
  <c r="AH17" i="15"/>
  <c r="AF23" i="15"/>
  <c r="AH23" i="15"/>
  <c r="AF48" i="15"/>
  <c r="AH48" i="15"/>
  <c r="AF12" i="15"/>
  <c r="AH12" i="15"/>
  <c r="AC57" i="15"/>
  <c r="AE57" i="15"/>
  <c r="AF42" i="15"/>
  <c r="AH42" i="15"/>
  <c r="AK42" i="15" s="1"/>
  <c r="AC9" i="15"/>
  <c r="AE9" i="15"/>
  <c r="AE6" i="15"/>
  <c r="AC6" i="15"/>
  <c r="X65" i="15"/>
  <c r="AI36" i="15"/>
  <c r="AQ36" i="15"/>
  <c r="AB54" i="15"/>
  <c r="X54" i="15"/>
  <c r="U53" i="15"/>
  <c r="U66" i="15" s="1"/>
  <c r="W53" i="15"/>
  <c r="AH29" i="15"/>
  <c r="AF29" i="15"/>
  <c r="AC14" i="15"/>
  <c r="AE14" i="15"/>
  <c r="AR27" i="15"/>
  <c r="AC20" i="15"/>
  <c r="AE20" i="15"/>
  <c r="AC59" i="15"/>
  <c r="AE59" i="15"/>
  <c r="AB55" i="15"/>
  <c r="X55" i="15"/>
  <c r="AH41" i="15"/>
  <c r="AF41" i="15"/>
  <c r="X51" i="15"/>
  <c r="AB51" i="15"/>
  <c r="AH16" i="15"/>
  <c r="AF16" i="15"/>
  <c r="AC11" i="15"/>
  <c r="AE11" i="15"/>
  <c r="AI61" i="15"/>
  <c r="AQ61" i="15"/>
  <c r="AH22" i="15"/>
  <c r="AF22" i="15"/>
  <c r="AI34" i="15"/>
  <c r="AQ34" i="15"/>
  <c r="AH18" i="15"/>
  <c r="AF18" i="15"/>
  <c r="AH13" i="15"/>
  <c r="AF13" i="15"/>
  <c r="AF40" i="15"/>
  <c r="AH40" i="15"/>
  <c r="AC7" i="15"/>
  <c r="AE7" i="15"/>
  <c r="AF30" i="15"/>
  <c r="AH30" i="15"/>
  <c r="AF52" i="15"/>
  <c r="AH52" i="15"/>
  <c r="T66" i="15"/>
  <c r="AE58" i="15"/>
  <c r="AC58" i="15"/>
  <c r="AC10" i="15"/>
  <c r="AE10" i="15"/>
  <c r="AH26" i="15"/>
  <c r="AF26" i="15"/>
  <c r="AH28" i="15"/>
  <c r="AF28" i="15"/>
  <c r="AC32" i="15"/>
  <c r="AE32" i="15"/>
  <c r="AC5" i="15"/>
  <c r="AB65" i="15"/>
  <c r="AE5" i="15"/>
  <c r="AI24" i="15"/>
  <c r="AQ24" i="15"/>
  <c r="AF88" i="10"/>
  <c r="AH88" i="10"/>
  <c r="AH15" i="10"/>
  <c r="AF15" i="10"/>
  <c r="Y88" i="3"/>
  <c r="AC88" i="3"/>
  <c r="AG14" i="3"/>
  <c r="AI14" i="3"/>
  <c r="Y93" i="3"/>
  <c r="AC93" i="3"/>
  <c r="AD53" i="3"/>
  <c r="AF53" i="3"/>
  <c r="AG18" i="3"/>
  <c r="AI18" i="3"/>
  <c r="AD48" i="3"/>
  <c r="AF48" i="3"/>
  <c r="AC11" i="10"/>
  <c r="AE11" i="10"/>
  <c r="AR100" i="10"/>
  <c r="AF62" i="10"/>
  <c r="AH62" i="10"/>
  <c r="AC8" i="10"/>
  <c r="AE8" i="10"/>
  <c r="AE86" i="10"/>
  <c r="AC86" i="10"/>
  <c r="AR85" i="10"/>
  <c r="AH94" i="10"/>
  <c r="AF94" i="10"/>
  <c r="AC25" i="10"/>
  <c r="AE25" i="10"/>
  <c r="AH64" i="10"/>
  <c r="AF64" i="10"/>
  <c r="AE23" i="10"/>
  <c r="AC23" i="10"/>
  <c r="AR99" i="10"/>
  <c r="AE93" i="10"/>
  <c r="AC93" i="10"/>
  <c r="AE21" i="10"/>
  <c r="AC21" i="10"/>
  <c r="AC60" i="10"/>
  <c r="AE60" i="10"/>
  <c r="AE19" i="10"/>
  <c r="AC19" i="10"/>
  <c r="X78" i="13"/>
  <c r="AB78" i="13"/>
  <c r="AI60" i="13"/>
  <c r="AB268" i="13"/>
  <c r="X268" i="13"/>
  <c r="X82" i="13"/>
  <c r="AB82" i="13"/>
  <c r="AH37" i="13"/>
  <c r="AN37" i="13" s="1"/>
  <c r="AO37" i="13" s="1"/>
  <c r="AF37" i="13"/>
  <c r="AF121" i="13"/>
  <c r="AH121" i="13"/>
  <c r="AN121" i="13" s="1"/>
  <c r="AO121" i="13" s="1"/>
  <c r="AT200" i="13"/>
  <c r="AI200" i="13"/>
  <c r="AB245" i="13"/>
  <c r="X245" i="13"/>
  <c r="AC96" i="13"/>
  <c r="AE96" i="13"/>
  <c r="AF133" i="13"/>
  <c r="AH133" i="13"/>
  <c r="AN133" i="13" s="1"/>
  <c r="AO133" i="13" s="1"/>
  <c r="AI49" i="13"/>
  <c r="X255" i="13"/>
  <c r="AB255" i="13"/>
  <c r="AH125" i="13"/>
  <c r="AN125" i="13" s="1"/>
  <c r="AO125" i="13" s="1"/>
  <c r="AF125" i="13"/>
  <c r="AF110" i="13"/>
  <c r="AH110" i="13"/>
  <c r="AN110" i="13" s="1"/>
  <c r="AO110" i="13" s="1"/>
  <c r="AT105" i="13"/>
  <c r="AI105" i="13"/>
  <c r="AI42" i="13"/>
  <c r="AF115" i="13"/>
  <c r="AH115" i="13"/>
  <c r="AN115" i="13" s="1"/>
  <c r="AO115" i="13" s="1"/>
  <c r="AF53" i="13"/>
  <c r="AH53" i="13"/>
  <c r="AN53" i="13" s="1"/>
  <c r="AO53" i="13" s="1"/>
  <c r="AH159" i="13"/>
  <c r="AQ159" i="13" s="1"/>
  <c r="AF159" i="13"/>
  <c r="AB258" i="13"/>
  <c r="X258" i="13"/>
  <c r="AH170" i="13"/>
  <c r="AN170" i="13" s="1"/>
  <c r="AO170" i="13" s="1"/>
  <c r="AF170" i="13"/>
  <c r="AH142" i="13"/>
  <c r="AN142" i="13" s="1"/>
  <c r="AO142" i="13" s="1"/>
  <c r="AF142" i="13"/>
  <c r="AE79" i="13"/>
  <c r="AC79" i="13"/>
  <c r="AF145" i="13"/>
  <c r="AH145" i="13"/>
  <c r="AN145" i="13" s="1"/>
  <c r="AO145" i="13" s="1"/>
  <c r="AF48" i="13"/>
  <c r="AH48" i="13"/>
  <c r="AN48" i="13" s="1"/>
  <c r="AO48" i="13" s="1"/>
  <c r="AE166" i="13"/>
  <c r="AC166" i="13"/>
  <c r="AF164" i="13"/>
  <c r="AH164" i="13"/>
  <c r="AN164" i="13" s="1"/>
  <c r="AO164" i="13" s="1"/>
  <c r="AC250" i="13"/>
  <c r="AE250" i="13"/>
  <c r="AH32" i="13"/>
  <c r="AN32" i="13" s="1"/>
  <c r="AO32" i="13" s="1"/>
  <c r="AF32" i="13"/>
  <c r="AF101" i="13"/>
  <c r="AH101" i="13"/>
  <c r="AN101" i="13" s="1"/>
  <c r="AO101" i="13" s="1"/>
  <c r="AR61" i="13"/>
  <c r="AI63" i="13"/>
  <c r="AI112" i="13"/>
  <c r="AH188" i="13"/>
  <c r="AN188" i="13" s="1"/>
  <c r="AO188" i="13" s="1"/>
  <c r="AF188" i="13"/>
  <c r="AF33" i="13"/>
  <c r="AH33" i="13"/>
  <c r="AN33" i="13" s="1"/>
  <c r="AO33" i="13" s="1"/>
  <c r="AF147" i="13"/>
  <c r="AH147" i="13"/>
  <c r="AN147" i="13" s="1"/>
  <c r="AO147" i="13" s="1"/>
  <c r="X264" i="13"/>
  <c r="AB264" i="13"/>
  <c r="AC274" i="13"/>
  <c r="AE274" i="13"/>
  <c r="AC28" i="13"/>
  <c r="AE28" i="13"/>
  <c r="AR201" i="13"/>
  <c r="AI131" i="13"/>
  <c r="AC97" i="13"/>
  <c r="AE97" i="13"/>
  <c r="AR215" i="13"/>
  <c r="AF114" i="13"/>
  <c r="AH114" i="13"/>
  <c r="AN114" i="13" s="1"/>
  <c r="AO114" i="13" s="1"/>
  <c r="AI154" i="13"/>
  <c r="AH84" i="13"/>
  <c r="AN84" i="13" s="1"/>
  <c r="AO84" i="13" s="1"/>
  <c r="AF84" i="13"/>
  <c r="AI109" i="13"/>
  <c r="AH41" i="13"/>
  <c r="AN41" i="13" s="1"/>
  <c r="AO41" i="13" s="1"/>
  <c r="AF41" i="13"/>
  <c r="AC254" i="13"/>
  <c r="AE254" i="13"/>
  <c r="AF288" i="13"/>
  <c r="AH288" i="13"/>
  <c r="AQ288" i="13" s="1"/>
  <c r="AF94" i="13"/>
  <c r="AH94" i="13"/>
  <c r="AN94" i="13" s="1"/>
  <c r="AO94" i="13" s="1"/>
  <c r="AC93" i="13"/>
  <c r="AE93" i="13"/>
  <c r="AR89" i="13"/>
  <c r="AH134" i="13"/>
  <c r="AN134" i="13" s="1"/>
  <c r="AO134" i="13" s="1"/>
  <c r="AF134" i="13"/>
  <c r="AI126" i="13"/>
  <c r="AT126" i="13"/>
  <c r="AF282" i="13"/>
  <c r="AH282" i="13"/>
  <c r="AQ282" i="13" s="1"/>
  <c r="AE91" i="13"/>
  <c r="AC91" i="13"/>
  <c r="AH45" i="13"/>
  <c r="AN45" i="13" s="1"/>
  <c r="AO45" i="13" s="1"/>
  <c r="AF45" i="13"/>
  <c r="AI184" i="13"/>
  <c r="AT184" i="13"/>
  <c r="AG123" i="17"/>
  <c r="U123" i="17"/>
  <c r="S123" i="17"/>
  <c r="C89" i="17"/>
  <c r="AF35" i="13"/>
  <c r="AH35" i="13"/>
  <c r="AN35" i="13" s="1"/>
  <c r="AO35" i="13" s="1"/>
  <c r="AI47" i="13"/>
  <c r="AH290" i="13"/>
  <c r="AQ290" i="13" s="1"/>
  <c r="AF290" i="13"/>
  <c r="AF43" i="13"/>
  <c r="AH43" i="13"/>
  <c r="AN43" i="13" s="1"/>
  <c r="AO43" i="13" s="1"/>
  <c r="AH130" i="13"/>
  <c r="AN130" i="13" s="1"/>
  <c r="AO130" i="13" s="1"/>
  <c r="AF130" i="13"/>
  <c r="AI51" i="13"/>
  <c r="AT51" i="13"/>
  <c r="AH83" i="13"/>
  <c r="AN83" i="13" s="1"/>
  <c r="AO83" i="13" s="1"/>
  <c r="AF83" i="13"/>
  <c r="AR294" i="13"/>
  <c r="AZ294" i="13" s="1"/>
  <c r="AI113" i="13"/>
  <c r="AF100" i="13"/>
  <c r="AH100" i="13"/>
  <c r="AQ100" i="13" s="1"/>
  <c r="AC266" i="13"/>
  <c r="AE266" i="13"/>
  <c r="AB9" i="13"/>
  <c r="X9" i="13"/>
  <c r="AF168" i="13"/>
  <c r="AH168" i="13"/>
  <c r="AN168" i="13" s="1"/>
  <c r="AO168" i="13" s="1"/>
  <c r="AH136" i="13"/>
  <c r="AN136" i="13" s="1"/>
  <c r="AO136" i="13" s="1"/>
  <c r="AF136" i="13"/>
  <c r="AH141" i="13"/>
  <c r="AN141" i="13" s="1"/>
  <c r="AO141" i="13" s="1"/>
  <c r="AF141" i="13"/>
  <c r="F327" i="13"/>
  <c r="E89" i="17" s="1"/>
  <c r="E328" i="13"/>
  <c r="F11" i="22"/>
  <c r="G11" i="22" s="1"/>
  <c r="AI64" i="13"/>
  <c r="X281" i="13"/>
  <c r="AB281" i="13"/>
  <c r="AR236" i="13"/>
  <c r="AH92" i="13"/>
  <c r="AN92" i="13" s="1"/>
  <c r="AO92" i="13" s="1"/>
  <c r="AF92" i="13"/>
  <c r="AR205" i="13"/>
  <c r="AZ205" i="13" s="1"/>
  <c r="AF122" i="13"/>
  <c r="AH122" i="13"/>
  <c r="AN122" i="13" s="1"/>
  <c r="AO122" i="13" s="1"/>
  <c r="AE151" i="13"/>
  <c r="AC151" i="13"/>
  <c r="AI192" i="13"/>
  <c r="AH124" i="13"/>
  <c r="AN124" i="13" s="1"/>
  <c r="AO124" i="13" s="1"/>
  <c r="AF124" i="13"/>
  <c r="AI135" i="13"/>
  <c r="AT135" i="13"/>
  <c r="AE270" i="13"/>
  <c r="AC270" i="13"/>
  <c r="AF117" i="13"/>
  <c r="AH117" i="13"/>
  <c r="AN117" i="13" s="1"/>
  <c r="AO117" i="13" s="1"/>
  <c r="AF58" i="13"/>
  <c r="AH58" i="13"/>
  <c r="AN58" i="13" s="1"/>
  <c r="AO58" i="13" s="1"/>
  <c r="AH123" i="13"/>
  <c r="AN123" i="13" s="1"/>
  <c r="AO123" i="13" s="1"/>
  <c r="AF123" i="13"/>
  <c r="AE177" i="13"/>
  <c r="AC177" i="13"/>
  <c r="AB261" i="13"/>
  <c r="X261" i="13"/>
  <c r="AC253" i="13"/>
  <c r="AE253" i="13"/>
  <c r="AH18" i="13"/>
  <c r="AN18" i="13" s="1"/>
  <c r="AO18" i="13" s="1"/>
  <c r="AF18" i="13"/>
  <c r="AR196" i="13"/>
  <c r="AR299" i="13"/>
  <c r="AZ299" i="13" s="1"/>
  <c r="AH182" i="13"/>
  <c r="AN182" i="13" s="1"/>
  <c r="AO182" i="13" s="1"/>
  <c r="AF182" i="13"/>
  <c r="AI119" i="13"/>
  <c r="AI148" i="13"/>
  <c r="AF102" i="13"/>
  <c r="AH102" i="13"/>
  <c r="AN102" i="13" s="1"/>
  <c r="AO102" i="13" s="1"/>
  <c r="AI153" i="13"/>
  <c r="AH75" i="13"/>
  <c r="AN75" i="13" s="1"/>
  <c r="AO75" i="13" s="1"/>
  <c r="AF75" i="13"/>
  <c r="W11" i="13"/>
  <c r="U11" i="13"/>
  <c r="C211" i="17"/>
  <c r="K211" i="17" s="1"/>
  <c r="S211" i="17" s="1"/>
  <c r="AF46" i="13"/>
  <c r="AH46" i="13"/>
  <c r="AN46" i="13" s="1"/>
  <c r="AO46" i="13" s="1"/>
  <c r="AF44" i="13"/>
  <c r="AH44" i="13"/>
  <c r="AN44" i="13" s="1"/>
  <c r="AO44" i="13" s="1"/>
  <c r="AT195" i="13"/>
  <c r="AI195" i="13"/>
  <c r="AF137" i="13"/>
  <c r="AH137" i="13"/>
  <c r="AN137" i="13" s="1"/>
  <c r="AO137" i="13" s="1"/>
  <c r="AI140" i="13"/>
  <c r="AI191" i="13"/>
  <c r="AC87" i="13"/>
  <c r="AE87" i="13"/>
  <c r="AC287" i="13"/>
  <c r="AE287" i="13"/>
  <c r="AC283" i="13"/>
  <c r="AE283" i="13"/>
  <c r="AF86" i="13"/>
  <c r="AH86" i="13"/>
  <c r="AN86" i="13" s="1"/>
  <c r="AO86" i="13" s="1"/>
  <c r="AI152" i="13"/>
  <c r="AF85" i="13"/>
  <c r="AH85" i="13"/>
  <c r="AN85" i="13" s="1"/>
  <c r="AO85" i="13" s="1"/>
  <c r="AF99" i="13"/>
  <c r="AH99" i="13"/>
  <c r="AN99" i="13" s="1"/>
  <c r="AO99" i="13" s="1"/>
  <c r="AF260" i="13"/>
  <c r="AH260" i="13"/>
  <c r="AQ260" i="13" s="1"/>
  <c r="AF276" i="13"/>
  <c r="AH276" i="13"/>
  <c r="AQ276" i="13" s="1"/>
  <c r="AI118" i="13"/>
  <c r="AF38" i="13"/>
  <c r="AH38" i="13"/>
  <c r="AN38" i="13" s="1"/>
  <c r="AO38" i="13" s="1"/>
  <c r="AR65" i="13"/>
  <c r="AH57" i="13"/>
  <c r="AN57" i="13" s="1"/>
  <c r="AO57" i="13" s="1"/>
  <c r="AF57" i="13"/>
  <c r="AB244" i="13"/>
  <c r="X244" i="13"/>
  <c r="AI106" i="13"/>
  <c r="AI120" i="13"/>
  <c r="AI203" i="13"/>
  <c r="AT203" i="13"/>
  <c r="AR297" i="13"/>
  <c r="AZ297" i="13" s="1"/>
  <c r="AH286" i="13"/>
  <c r="AQ286" i="13" s="1"/>
  <c r="AF286" i="13"/>
  <c r="AT289" i="13"/>
  <c r="AI289" i="13"/>
  <c r="AF178" i="13"/>
  <c r="AH178" i="13"/>
  <c r="AN178" i="13" s="1"/>
  <c r="AO178" i="13" s="1"/>
  <c r="AF157" i="13"/>
  <c r="AH157" i="13"/>
  <c r="AN157" i="13" s="1"/>
  <c r="AO157" i="13" s="1"/>
  <c r="AF186" i="13"/>
  <c r="AH186" i="13"/>
  <c r="AQ186" i="13" s="1"/>
  <c r="AC263" i="13"/>
  <c r="AE263" i="13"/>
  <c r="AE172" i="13"/>
  <c r="AC172" i="13"/>
  <c r="AF139" i="13"/>
  <c r="AH139" i="13"/>
  <c r="AN139" i="13" s="1"/>
  <c r="AO139" i="13" s="1"/>
  <c r="AF165" i="13"/>
  <c r="AH165" i="13"/>
  <c r="AQ165" i="13" s="1"/>
  <c r="AI193" i="13"/>
  <c r="AR111" i="13"/>
  <c r="AH6" i="13"/>
  <c r="AF6" i="13"/>
  <c r="AF129" i="13"/>
  <c r="AH129" i="13"/>
  <c r="AN129" i="13" s="1"/>
  <c r="AO129" i="13" s="1"/>
  <c r="AH24" i="13"/>
  <c r="AN24" i="13" s="1"/>
  <c r="AO24" i="13" s="1"/>
  <c r="AF24" i="13"/>
  <c r="AF163" i="13"/>
  <c r="AH163" i="13"/>
  <c r="AN163" i="13" s="1"/>
  <c r="AO163" i="13" s="1"/>
  <c r="AC256" i="13"/>
  <c r="AE256" i="13"/>
  <c r="X76" i="13"/>
  <c r="AB76" i="13"/>
  <c r="AF171" i="13"/>
  <c r="AH171" i="13"/>
  <c r="AN171" i="13" s="1"/>
  <c r="AO171" i="13" s="1"/>
  <c r="AF116" i="13"/>
  <c r="AH116" i="13"/>
  <c r="AN116" i="13" s="1"/>
  <c r="AO116" i="13" s="1"/>
  <c r="AF128" i="13"/>
  <c r="AH128" i="13"/>
  <c r="AN128" i="13" s="1"/>
  <c r="AO128" i="13" s="1"/>
  <c r="AC271" i="13"/>
  <c r="AE271" i="13"/>
  <c r="AF167" i="13"/>
  <c r="AH167" i="13"/>
  <c r="AQ167" i="13" s="1"/>
  <c r="AF36" i="13"/>
  <c r="AH36" i="13"/>
  <c r="AN36" i="13" s="1"/>
  <c r="AO36" i="13" s="1"/>
  <c r="AR212" i="13"/>
  <c r="AI81" i="13"/>
  <c r="AF158" i="13"/>
  <c r="AH158" i="13"/>
  <c r="AN158" i="13" s="1"/>
  <c r="AO158" i="13" s="1"/>
  <c r="AH59" i="13"/>
  <c r="AN59" i="13" s="1"/>
  <c r="AO59" i="13" s="1"/>
  <c r="AF59" i="13"/>
  <c r="AH20" i="13"/>
  <c r="AN20" i="13" s="1"/>
  <c r="AO20" i="13" s="1"/>
  <c r="AF20" i="13"/>
  <c r="AE156" i="13"/>
  <c r="AC156" i="13"/>
  <c r="AC278" i="13"/>
  <c r="AE278" i="13"/>
  <c r="AE155" i="13"/>
  <c r="AC155" i="13"/>
  <c r="AF95" i="13"/>
  <c r="AH95" i="13"/>
  <c r="AQ95" i="13" s="1"/>
  <c r="AC241" i="13"/>
  <c r="AE241" i="13"/>
  <c r="AH55" i="13"/>
  <c r="AN55" i="13" s="1"/>
  <c r="AO55" i="13" s="1"/>
  <c r="AF55" i="13"/>
  <c r="AC246" i="13"/>
  <c r="AE246" i="13"/>
  <c r="AE10" i="13"/>
  <c r="AC10" i="13"/>
  <c r="AF169" i="13"/>
  <c r="AH169" i="13"/>
  <c r="AN169" i="13" s="1"/>
  <c r="AO169" i="13" s="1"/>
  <c r="AF108" i="13"/>
  <c r="AH108" i="13"/>
  <c r="AN108" i="13" s="1"/>
  <c r="AO108" i="13" s="1"/>
  <c r="AB257" i="13"/>
  <c r="X257" i="13"/>
  <c r="AF23" i="13"/>
  <c r="AH23" i="13"/>
  <c r="AN23" i="13" s="1"/>
  <c r="AO23" i="13" s="1"/>
  <c r="AB243" i="13"/>
  <c r="X243" i="13"/>
  <c r="AC269" i="13"/>
  <c r="AE269" i="13"/>
  <c r="AE175" i="13"/>
  <c r="AC175" i="13"/>
  <c r="AF19" i="13"/>
  <c r="AH19" i="13"/>
  <c r="AN19" i="13" s="1"/>
  <c r="AO19" i="13" s="1"/>
  <c r="AF138" i="13"/>
  <c r="AH138" i="13"/>
  <c r="AN138" i="13" s="1"/>
  <c r="AO138" i="13" s="1"/>
  <c r="AF29" i="13"/>
  <c r="AH29" i="13"/>
  <c r="AN29" i="13" s="1"/>
  <c r="AO29" i="13" s="1"/>
  <c r="AE179" i="13"/>
  <c r="AC179" i="13"/>
  <c r="AF284" i="13"/>
  <c r="AH284" i="13"/>
  <c r="AQ284" i="13" s="1"/>
  <c r="AC275" i="13"/>
  <c r="AE275" i="13"/>
  <c r="AF144" i="13"/>
  <c r="AH144" i="13"/>
  <c r="AN144" i="13" s="1"/>
  <c r="AO144" i="13" s="1"/>
  <c r="AF180" i="13"/>
  <c r="AH180" i="13"/>
  <c r="AN180" i="13" s="1"/>
  <c r="AO180" i="13" s="1"/>
  <c r="AR300" i="13"/>
  <c r="AZ300" i="13" s="1"/>
  <c r="AF149" i="13"/>
  <c r="AH149" i="13"/>
  <c r="AN149" i="13" s="1"/>
  <c r="AO149" i="13" s="1"/>
  <c r="AC242" i="13"/>
  <c r="AE242" i="13"/>
  <c r="AC259" i="13"/>
  <c r="AE259" i="13"/>
  <c r="AH56" i="13"/>
  <c r="AN56" i="13" s="1"/>
  <c r="AO56" i="13" s="1"/>
  <c r="AF56" i="13"/>
  <c r="AF160" i="13"/>
  <c r="AH160" i="13"/>
  <c r="AQ160" i="13" s="1"/>
  <c r="AF132" i="13"/>
  <c r="AH132" i="13"/>
  <c r="AN132" i="13" s="1"/>
  <c r="AO132" i="13" s="1"/>
  <c r="AC80" i="13"/>
  <c r="AE80" i="13"/>
  <c r="G18" i="28"/>
  <c r="AH31" i="13"/>
  <c r="AN31" i="13" s="1"/>
  <c r="AO31" i="13" s="1"/>
  <c r="AF31" i="13"/>
  <c r="AC103" i="13"/>
  <c r="AE103" i="13"/>
  <c r="AR199" i="13"/>
  <c r="AZ199" i="13" s="1"/>
  <c r="AC249" i="13"/>
  <c r="AE249" i="13"/>
  <c r="AC280" i="13"/>
  <c r="AE280" i="13"/>
  <c r="AB273" i="13"/>
  <c r="X273" i="13"/>
  <c r="AF52" i="13"/>
  <c r="AH52" i="13"/>
  <c r="AN52" i="13" s="1"/>
  <c r="AO52" i="13" s="1"/>
  <c r="AH240" i="13"/>
  <c r="AQ240" i="13" s="1"/>
  <c r="AF240" i="13"/>
  <c r="AE30" i="13"/>
  <c r="AC30" i="13"/>
  <c r="AH73" i="13"/>
  <c r="AN73" i="13" s="1"/>
  <c r="AO73" i="13" s="1"/>
  <c r="AF73" i="13"/>
  <c r="AF161" i="13"/>
  <c r="AH161" i="13"/>
  <c r="AQ161" i="13" s="1"/>
  <c r="AR143" i="13"/>
  <c r="AC265" i="13"/>
  <c r="AE265" i="13"/>
  <c r="AC248" i="13"/>
  <c r="AE248" i="13"/>
  <c r="AE7" i="13"/>
  <c r="AC7" i="13"/>
  <c r="AC277" i="13"/>
  <c r="AE277" i="13"/>
  <c r="AI190" i="13"/>
  <c r="AT190" i="13"/>
  <c r="AC251" i="13"/>
  <c r="AE251" i="13"/>
  <c r="AT291" i="13"/>
  <c r="AI291" i="13"/>
  <c r="AH21" i="13"/>
  <c r="AN21" i="13" s="1"/>
  <c r="AO21" i="13" s="1"/>
  <c r="AF21" i="13"/>
  <c r="AI50" i="13"/>
  <c r="AF146" i="13"/>
  <c r="AH146" i="13"/>
  <c r="AN146" i="13" s="1"/>
  <c r="AO146" i="13" s="1"/>
  <c r="AE285" i="13"/>
  <c r="AC285" i="13"/>
  <c r="AR292" i="13"/>
  <c r="AZ292" i="13" s="1"/>
  <c r="AC98" i="13"/>
  <c r="AE98" i="13"/>
  <c r="AF189" i="13"/>
  <c r="AH189" i="13"/>
  <c r="AQ189" i="13" s="1"/>
  <c r="AF40" i="13"/>
  <c r="AH40" i="13"/>
  <c r="AN40" i="13" s="1"/>
  <c r="AO40" i="13" s="1"/>
  <c r="AH187" i="13"/>
  <c r="AQ187" i="13" s="1"/>
  <c r="AF187" i="13"/>
  <c r="AC279" i="13"/>
  <c r="AE279" i="13"/>
  <c r="AI127" i="13"/>
  <c r="AC267" i="13"/>
  <c r="AE267" i="13"/>
  <c r="AF12" i="13"/>
  <c r="AH12" i="13"/>
  <c r="AN12" i="13" s="1"/>
  <c r="AO12" i="13" s="1"/>
  <c r="AC272" i="13"/>
  <c r="AE272" i="13"/>
  <c r="AF26" i="13"/>
  <c r="AH26" i="13"/>
  <c r="AN26" i="13" s="1"/>
  <c r="AO26" i="13" s="1"/>
  <c r="AE54" i="13"/>
  <c r="AC54" i="13"/>
  <c r="AB247" i="13"/>
  <c r="X247" i="13"/>
  <c r="AR204" i="13"/>
  <c r="AI107" i="13"/>
  <c r="AH183" i="13"/>
  <c r="AN183" i="13" s="1"/>
  <c r="AO183" i="13" s="1"/>
  <c r="AF183" i="13"/>
  <c r="AR295" i="13"/>
  <c r="AZ295" i="13" s="1"/>
  <c r="AF181" i="13"/>
  <c r="AH181" i="13"/>
  <c r="AN181" i="13" s="1"/>
  <c r="AO181" i="13" s="1"/>
  <c r="AH77" i="13"/>
  <c r="AN77" i="13" s="1"/>
  <c r="AO77" i="13" s="1"/>
  <c r="AF77" i="13"/>
  <c r="AF176" i="13"/>
  <c r="AH176" i="13"/>
  <c r="AN176" i="13" s="1"/>
  <c r="AO176" i="13" s="1"/>
  <c r="AH174" i="13"/>
  <c r="AN174" i="13" s="1"/>
  <c r="AO174" i="13" s="1"/>
  <c r="AF174" i="13"/>
  <c r="AH74" i="13"/>
  <c r="AN74" i="13" s="1"/>
  <c r="AO74" i="13" s="1"/>
  <c r="AF74" i="13"/>
  <c r="AI150" i="13"/>
  <c r="AF162" i="13"/>
  <c r="AH162" i="13"/>
  <c r="AQ162" i="13" s="1"/>
  <c r="AI39" i="13"/>
  <c r="AF252" i="13"/>
  <c r="AH252" i="13"/>
  <c r="AQ252" i="13" s="1"/>
  <c r="AF84" i="3"/>
  <c r="AD84" i="3"/>
  <c r="AR25" i="3"/>
  <c r="AJ25" i="3"/>
  <c r="AG57" i="3"/>
  <c r="AI57" i="3"/>
  <c r="AS12" i="3"/>
  <c r="AG35" i="3"/>
  <c r="AI35" i="3"/>
  <c r="AO35" i="3" s="1"/>
  <c r="AP35" i="3" s="1"/>
  <c r="AF8" i="3"/>
  <c r="AF114" i="3" s="1"/>
  <c r="AD8" i="3"/>
  <c r="AD114" i="3" s="1"/>
  <c r="AF38" i="3"/>
  <c r="AD38" i="3"/>
  <c r="AG45" i="3"/>
  <c r="AI45" i="3"/>
  <c r="AF19" i="3"/>
  <c r="AD19" i="3"/>
  <c r="AJ37" i="3"/>
  <c r="AR37" i="3"/>
  <c r="AI61" i="3"/>
  <c r="AG61" i="3"/>
  <c r="AF94" i="3"/>
  <c r="AD94" i="3"/>
  <c r="AI13" i="3"/>
  <c r="AG13" i="3"/>
  <c r="AF36" i="3"/>
  <c r="AD36" i="3"/>
  <c r="AJ52" i="3"/>
  <c r="AR52" i="3"/>
  <c r="AF86" i="3"/>
  <c r="AD86" i="3"/>
  <c r="AG58" i="3"/>
  <c r="AI58" i="3"/>
  <c r="AF98" i="3"/>
  <c r="AD98" i="3"/>
  <c r="AD83" i="3"/>
  <c r="AF83" i="3"/>
  <c r="AG87" i="3"/>
  <c r="AI87" i="3"/>
  <c r="AD95" i="3"/>
  <c r="AF95" i="3"/>
  <c r="AI9" i="3"/>
  <c r="AG9" i="3"/>
  <c r="AJ76" i="3"/>
  <c r="AR76" i="3"/>
  <c r="AU76" i="3" s="1"/>
  <c r="AV76" i="3" s="1"/>
  <c r="AD39" i="3"/>
  <c r="AF39" i="3"/>
  <c r="AF64" i="3"/>
  <c r="AD64" i="3"/>
  <c r="AG49" i="3"/>
  <c r="AI49" i="3"/>
  <c r="AF102" i="3"/>
  <c r="AD102" i="3"/>
  <c r="AR26" i="3"/>
  <c r="AJ26" i="3"/>
  <c r="AG91" i="3"/>
  <c r="AI91" i="3"/>
  <c r="AG15" i="3"/>
  <c r="AI15" i="3"/>
  <c r="AR43" i="3"/>
  <c r="AJ43" i="3"/>
  <c r="AI82" i="3"/>
  <c r="AG82" i="3"/>
  <c r="AJ50" i="3"/>
  <c r="AR50" i="3"/>
  <c r="AF90" i="3"/>
  <c r="AD90" i="3"/>
  <c r="AS78" i="3"/>
  <c r="AJ41" i="3"/>
  <c r="AR41" i="3"/>
  <c r="AD17" i="3"/>
  <c r="AF17" i="3"/>
  <c r="AD67" i="3"/>
  <c r="AF67" i="3"/>
  <c r="AG11" i="3"/>
  <c r="AI11" i="3"/>
  <c r="AG69" i="3"/>
  <c r="AI69" i="3"/>
  <c r="AD99" i="3"/>
  <c r="AF99" i="3"/>
  <c r="AF46" i="3"/>
  <c r="AD46" i="3"/>
  <c r="AJ16" i="3"/>
  <c r="AR16" i="3"/>
  <c r="AG97" i="3"/>
  <c r="AI97" i="3"/>
  <c r="AS74" i="3"/>
  <c r="AJ34" i="3"/>
  <c r="AR34" i="3"/>
  <c r="AR51" i="3"/>
  <c r="AJ51" i="3"/>
  <c r="AD103" i="3"/>
  <c r="AF103" i="3"/>
  <c r="AI20" i="3"/>
  <c r="AG20" i="3"/>
  <c r="AC84" i="10"/>
  <c r="AE84" i="10"/>
  <c r="AC61" i="10"/>
  <c r="AE61" i="10"/>
  <c r="AR70" i="10"/>
  <c r="AI96" i="10"/>
  <c r="AQ96" i="10"/>
  <c r="AE115" i="10"/>
  <c r="AC115" i="10"/>
  <c r="AC83" i="10"/>
  <c r="AE83" i="10"/>
  <c r="AC92" i="10"/>
  <c r="AE92" i="10"/>
  <c r="AC12" i="10"/>
  <c r="AE12" i="10"/>
  <c r="AC10" i="10"/>
  <c r="AE10" i="10"/>
  <c r="AE22" i="10"/>
  <c r="AC22" i="10"/>
  <c r="AE14" i="10"/>
  <c r="AC14" i="10"/>
  <c r="AC16" i="10"/>
  <c r="AE16" i="10"/>
  <c r="AB63" i="10"/>
  <c r="X63" i="10"/>
  <c r="X147" i="10" s="1"/>
  <c r="AR98" i="10"/>
  <c r="AF90" i="10"/>
  <c r="AH90" i="10"/>
  <c r="AI72" i="10"/>
  <c r="AQ72" i="10"/>
  <c r="AC13" i="10"/>
  <c r="AE13" i="10"/>
  <c r="AC26" i="10"/>
  <c r="AE26" i="10"/>
  <c r="AE91" i="10"/>
  <c r="AC91" i="10"/>
  <c r="AI73" i="10"/>
  <c r="AQ73" i="10"/>
  <c r="AE17" i="10"/>
  <c r="AC17" i="10"/>
  <c r="AH114" i="10"/>
  <c r="AF114" i="10"/>
  <c r="AE18" i="10"/>
  <c r="AC18" i="10"/>
  <c r="AH9" i="10"/>
  <c r="AF9" i="10"/>
  <c r="AF65" i="10"/>
  <c r="AH65" i="10"/>
  <c r="AR97" i="10"/>
  <c r="AR71" i="10"/>
  <c r="AH24" i="10"/>
  <c r="AF24" i="10"/>
  <c r="AR69" i="10"/>
  <c r="AF20" i="10"/>
  <c r="AH20" i="10"/>
  <c r="AG125" i="17"/>
  <c r="C91" i="17"/>
  <c r="U125" i="17"/>
  <c r="S125" i="17"/>
  <c r="E81" i="15"/>
  <c r="F80" i="15"/>
  <c r="E91" i="17" s="1"/>
  <c r="F12" i="22"/>
  <c r="G12" i="22" s="1"/>
  <c r="F158" i="10"/>
  <c r="E198" i="17" s="1"/>
  <c r="E159" i="10"/>
  <c r="E160" i="10" s="1"/>
  <c r="C126" i="17"/>
  <c r="R146" i="10"/>
  <c r="R149" i="10"/>
  <c r="T149" i="10"/>
  <c r="C214" i="17" s="1"/>
  <c r="K214" i="17" s="1"/>
  <c r="S214" i="17" s="1"/>
  <c r="T146" i="10"/>
  <c r="U87" i="10"/>
  <c r="W87" i="10"/>
  <c r="AC89" i="10"/>
  <c r="AE89" i="10"/>
  <c r="AH95" i="10"/>
  <c r="AF95" i="10"/>
  <c r="AC108" i="10"/>
  <c r="AE108" i="10"/>
  <c r="AC109" i="10"/>
  <c r="AE109" i="10"/>
  <c r="AB118" i="10"/>
  <c r="X118" i="10"/>
  <c r="AB119" i="10"/>
  <c r="X119" i="10"/>
  <c r="AB120" i="10"/>
  <c r="X120" i="10"/>
  <c r="AB121" i="10"/>
  <c r="X121" i="10"/>
  <c r="AB122" i="10"/>
  <c r="X122" i="10"/>
  <c r="AB123" i="10"/>
  <c r="X123" i="10"/>
  <c r="AB124" i="10"/>
  <c r="X124" i="10"/>
  <c r="AC125" i="10"/>
  <c r="AE125" i="10"/>
  <c r="AB134" i="10"/>
  <c r="X134" i="10"/>
  <c r="AB135" i="10"/>
  <c r="X135" i="10"/>
  <c r="AB136" i="10"/>
  <c r="X136" i="10"/>
  <c r="AB137" i="10"/>
  <c r="X137" i="10"/>
  <c r="AB138" i="10"/>
  <c r="X138" i="10"/>
  <c r="AC139" i="10"/>
  <c r="AE139" i="10"/>
  <c r="AI140" i="10"/>
  <c r="AQ140" i="10"/>
  <c r="AD5" i="14"/>
  <c r="AF5" i="14"/>
  <c r="AG6" i="14"/>
  <c r="AI6" i="14"/>
  <c r="AG7" i="14"/>
  <c r="AI7" i="14"/>
  <c r="K209" i="17"/>
  <c r="AC12" i="14"/>
  <c r="Y12" i="14"/>
  <c r="AT19" i="9" l="1"/>
  <c r="AU19" i="9" s="1"/>
  <c r="AW19" i="9"/>
  <c r="AT14" i="9"/>
  <c r="AU14" i="9" s="1"/>
  <c r="AW14" i="9"/>
  <c r="AT25" i="9"/>
  <c r="AU25" i="9" s="1"/>
  <c r="AW25" i="9"/>
  <c r="AT18" i="9"/>
  <c r="AU18" i="9" s="1"/>
  <c r="AW18" i="9"/>
  <c r="AT21" i="9"/>
  <c r="AU21" i="9" s="1"/>
  <c r="AW21" i="9"/>
  <c r="AT15" i="9"/>
  <c r="AU15" i="9" s="1"/>
  <c r="AW15" i="9"/>
  <c r="AT24" i="9"/>
  <c r="AU24" i="9" s="1"/>
  <c r="AW24" i="9"/>
  <c r="AX23" i="9"/>
  <c r="AZ23" i="9"/>
  <c r="AX20" i="9"/>
  <c r="AZ20" i="9"/>
  <c r="AX8" i="9"/>
  <c r="AZ8" i="9"/>
  <c r="AX99" i="10"/>
  <c r="AZ99" i="10"/>
  <c r="AX100" i="10"/>
  <c r="AZ100" i="10"/>
  <c r="AX85" i="10"/>
  <c r="AZ85" i="10"/>
  <c r="AX98" i="10"/>
  <c r="AZ98" i="10"/>
  <c r="AX69" i="10"/>
  <c r="AZ69" i="10"/>
  <c r="AX71" i="10"/>
  <c r="AZ71" i="10"/>
  <c r="AX97" i="10"/>
  <c r="AZ97" i="10"/>
  <c r="AX70" i="10"/>
  <c r="AZ70" i="10"/>
  <c r="AT24" i="15"/>
  <c r="AU24" i="15" s="1"/>
  <c r="AW24" i="15"/>
  <c r="AT34" i="15"/>
  <c r="AU34" i="15" s="1"/>
  <c r="AW34" i="15"/>
  <c r="AT36" i="15"/>
  <c r="AU36" i="15" s="1"/>
  <c r="AW36" i="15"/>
  <c r="AX35" i="15"/>
  <c r="AZ35" i="15"/>
  <c r="AX27" i="15"/>
  <c r="AZ27" i="15"/>
  <c r="BB8" i="11"/>
  <c r="BD8" i="11"/>
  <c r="AK12" i="9"/>
  <c r="AN12" i="9"/>
  <c r="AK17" i="9"/>
  <c r="AN17" i="9"/>
  <c r="AK10" i="9"/>
  <c r="AN10" i="9"/>
  <c r="AK13" i="9"/>
  <c r="AN13" i="9"/>
  <c r="AK16" i="9"/>
  <c r="AN16" i="9"/>
  <c r="AO16" i="9" s="1"/>
  <c r="AT73" i="10"/>
  <c r="AU73" i="10" s="1"/>
  <c r="AW73" i="10"/>
  <c r="AT72" i="10"/>
  <c r="AU72" i="10" s="1"/>
  <c r="AW72" i="10"/>
  <c r="AT96" i="10"/>
  <c r="AU96" i="10" s="1"/>
  <c r="AW96" i="10"/>
  <c r="AK28" i="15"/>
  <c r="AN28" i="15"/>
  <c r="AO28" i="15" s="1"/>
  <c r="AK26" i="15"/>
  <c r="AN26" i="15"/>
  <c r="AO26" i="15" s="1"/>
  <c r="AK30" i="15"/>
  <c r="AN30" i="15"/>
  <c r="AO30" i="15" s="1"/>
  <c r="AK40" i="15"/>
  <c r="AN40" i="15"/>
  <c r="AO40" i="15" s="1"/>
  <c r="AK13" i="15"/>
  <c r="AN13" i="15"/>
  <c r="AO13" i="15" s="1"/>
  <c r="AK18" i="15"/>
  <c r="AN18" i="15"/>
  <c r="AO18" i="15" s="1"/>
  <c r="AK22" i="15"/>
  <c r="AN22" i="15"/>
  <c r="AO22" i="15" s="1"/>
  <c r="AK16" i="15"/>
  <c r="AN16" i="15"/>
  <c r="AO16" i="15" s="1"/>
  <c r="AK41" i="15"/>
  <c r="AN41" i="15"/>
  <c r="AO41" i="15" s="1"/>
  <c r="AK29" i="15"/>
  <c r="AN29" i="15"/>
  <c r="AO29" i="15" s="1"/>
  <c r="AK12" i="15"/>
  <c r="AN12" i="15"/>
  <c r="AO12" i="15" s="1"/>
  <c r="AK48" i="15"/>
  <c r="AN48" i="15"/>
  <c r="AO48" i="15" s="1"/>
  <c r="AK23" i="15"/>
  <c r="AN23" i="15"/>
  <c r="AO23" i="15" s="1"/>
  <c r="AK17" i="15"/>
  <c r="AN17" i="15"/>
  <c r="AO17" i="15" s="1"/>
  <c r="AK25" i="15"/>
  <c r="AN25" i="15"/>
  <c r="AO25" i="15" s="1"/>
  <c r="AK33" i="15"/>
  <c r="AN33" i="15"/>
  <c r="AO33" i="15" s="1"/>
  <c r="AK21" i="15"/>
  <c r="AN21" i="15"/>
  <c r="AO21" i="15" s="1"/>
  <c r="AK31" i="15"/>
  <c r="AN31" i="15"/>
  <c r="AO31" i="15" s="1"/>
  <c r="AK9" i="16"/>
  <c r="AN9" i="16"/>
  <c r="AO9" i="16" s="1"/>
  <c r="AK5" i="16"/>
  <c r="AN5" i="16"/>
  <c r="AK7" i="16"/>
  <c r="AN7" i="16"/>
  <c r="AO7" i="16" s="1"/>
  <c r="AN6" i="13"/>
  <c r="AQ6" i="13"/>
  <c r="AX200" i="13"/>
  <c r="AZ200" i="13"/>
  <c r="AX42" i="13"/>
  <c r="AZ42" i="13"/>
  <c r="AX105" i="13"/>
  <c r="AZ105" i="13"/>
  <c r="AX154" i="13"/>
  <c r="AZ154" i="13"/>
  <c r="AX47" i="13"/>
  <c r="AZ47" i="13"/>
  <c r="AX184" i="13"/>
  <c r="AZ184" i="13"/>
  <c r="AX112" i="13"/>
  <c r="AZ112" i="13"/>
  <c r="AX135" i="13"/>
  <c r="AZ135" i="13"/>
  <c r="AX63" i="13"/>
  <c r="AZ63" i="13"/>
  <c r="AX126" i="13"/>
  <c r="AZ126" i="13"/>
  <c r="AX113" i="13"/>
  <c r="AZ113" i="13"/>
  <c r="AX192" i="13"/>
  <c r="AZ192" i="13"/>
  <c r="AX51" i="13"/>
  <c r="AZ51" i="13"/>
  <c r="AX39" i="13"/>
  <c r="AZ39" i="13"/>
  <c r="AX150" i="13"/>
  <c r="AZ150" i="13"/>
  <c r="AX120" i="13"/>
  <c r="AZ120" i="13"/>
  <c r="AX107" i="13"/>
  <c r="AZ107" i="13"/>
  <c r="AX106" i="13"/>
  <c r="AZ106" i="13"/>
  <c r="AX118" i="13"/>
  <c r="AZ118" i="13"/>
  <c r="AX152" i="13"/>
  <c r="AZ152" i="13"/>
  <c r="AX127" i="13"/>
  <c r="AZ127" i="13"/>
  <c r="AX191" i="13"/>
  <c r="AZ191" i="13"/>
  <c r="AX140" i="13"/>
  <c r="AZ140" i="13"/>
  <c r="AX153" i="13"/>
  <c r="AZ153" i="13"/>
  <c r="AX148" i="13"/>
  <c r="AZ148" i="13"/>
  <c r="AX81" i="13"/>
  <c r="AZ81" i="13"/>
  <c r="AX119" i="13"/>
  <c r="AZ119" i="13"/>
  <c r="AX50" i="13"/>
  <c r="AZ50" i="13"/>
  <c r="AX193" i="13"/>
  <c r="AZ193" i="13"/>
  <c r="AX194" i="13"/>
  <c r="AZ194" i="13"/>
  <c r="AX207" i="13"/>
  <c r="AZ207" i="13"/>
  <c r="AX224" i="13"/>
  <c r="AZ224" i="13"/>
  <c r="AX220" i="13"/>
  <c r="AZ220" i="13"/>
  <c r="AX206" i="13"/>
  <c r="AZ206" i="13"/>
  <c r="AX222" i="13"/>
  <c r="AZ222" i="13"/>
  <c r="AT60" i="13"/>
  <c r="AW60" i="13"/>
  <c r="AT49" i="13"/>
  <c r="AW49" i="13"/>
  <c r="AT131" i="13"/>
  <c r="AW131" i="13"/>
  <c r="AT64" i="13"/>
  <c r="AW64" i="13"/>
  <c r="AT109" i="13"/>
  <c r="AW109" i="13"/>
  <c r="AL11" i="11"/>
  <c r="AO11" i="11"/>
  <c r="AP11" i="11" s="1"/>
  <c r="AV15" i="11"/>
  <c r="AX15" i="11"/>
  <c r="AY15" i="11" s="1"/>
  <c r="AL7" i="14"/>
  <c r="AO7" i="14"/>
  <c r="AP7" i="14" s="1"/>
  <c r="AL6" i="14"/>
  <c r="AO6" i="14"/>
  <c r="AP6" i="14" s="1"/>
  <c r="AL20" i="3"/>
  <c r="AO20" i="3"/>
  <c r="AP20" i="3" s="1"/>
  <c r="AU51" i="3"/>
  <c r="AV51" i="3" s="1"/>
  <c r="AU16" i="3"/>
  <c r="AV16" i="3" s="1"/>
  <c r="AL69" i="3"/>
  <c r="AO69" i="3"/>
  <c r="AP69" i="3" s="1"/>
  <c r="AL11" i="3"/>
  <c r="AO11" i="3"/>
  <c r="AP11" i="3" s="1"/>
  <c r="AU41" i="3"/>
  <c r="AV41" i="3" s="1"/>
  <c r="AU50" i="3"/>
  <c r="AV50" i="3" s="1"/>
  <c r="AU43" i="3"/>
  <c r="AV43" i="3" s="1"/>
  <c r="AL15" i="3"/>
  <c r="AO15" i="3"/>
  <c r="AP15" i="3" s="1"/>
  <c r="AL49" i="3"/>
  <c r="AO49" i="3"/>
  <c r="AP49" i="3" s="1"/>
  <c r="AL9" i="3"/>
  <c r="AO9" i="3"/>
  <c r="AP9" i="3" s="1"/>
  <c r="AL58" i="3"/>
  <c r="AO58" i="3"/>
  <c r="AP58" i="3" s="1"/>
  <c r="AU52" i="3"/>
  <c r="AV52" i="3" s="1"/>
  <c r="AL13" i="3"/>
  <c r="AO13" i="3"/>
  <c r="AP13" i="3" s="1"/>
  <c r="AL61" i="3"/>
  <c r="AO61" i="3"/>
  <c r="AP61" i="3" s="1"/>
  <c r="AU37" i="3"/>
  <c r="AV37" i="3" s="1"/>
  <c r="AL45" i="3"/>
  <c r="AO45" i="3"/>
  <c r="AP45" i="3" s="1"/>
  <c r="AL57" i="3"/>
  <c r="AO57" i="3"/>
  <c r="AP57" i="3" s="1"/>
  <c r="AL18" i="3"/>
  <c r="AO18" i="3"/>
  <c r="AP18" i="3" s="1"/>
  <c r="AL14" i="3"/>
  <c r="AO14" i="3"/>
  <c r="AP14" i="3" s="1"/>
  <c r="AK20" i="10"/>
  <c r="AN20" i="10"/>
  <c r="AK24" i="10"/>
  <c r="AN24" i="10"/>
  <c r="AK65" i="10"/>
  <c r="AN65" i="10"/>
  <c r="AK9" i="10"/>
  <c r="AN9" i="10"/>
  <c r="AK114" i="10"/>
  <c r="AN114" i="10"/>
  <c r="AK90" i="10"/>
  <c r="AN90" i="10"/>
  <c r="AK64" i="10"/>
  <c r="AN64" i="10"/>
  <c r="AK94" i="10"/>
  <c r="AN94" i="10"/>
  <c r="AK62" i="10"/>
  <c r="AN62" i="10"/>
  <c r="AK15" i="10"/>
  <c r="AN15" i="10"/>
  <c r="AK88" i="10"/>
  <c r="AN88" i="10"/>
  <c r="AL12" i="9"/>
  <c r="AO12" i="9"/>
  <c r="AL17" i="9"/>
  <c r="AO17" i="9"/>
  <c r="AL10" i="9"/>
  <c r="AO10" i="9"/>
  <c r="AL13" i="9"/>
  <c r="AO13" i="9"/>
  <c r="AL16" i="9"/>
  <c r="AL143" i="17"/>
  <c r="C109" i="17"/>
  <c r="AL20" i="10"/>
  <c r="AO20" i="10"/>
  <c r="AL24" i="10"/>
  <c r="AO24" i="10"/>
  <c r="AL65" i="10"/>
  <c r="AO65" i="10"/>
  <c r="AL9" i="10"/>
  <c r="AO9" i="10"/>
  <c r="AL114" i="10"/>
  <c r="AO114" i="10"/>
  <c r="AL90" i="10"/>
  <c r="AO90" i="10"/>
  <c r="AL64" i="10"/>
  <c r="AO64" i="10"/>
  <c r="AL94" i="10"/>
  <c r="AO94" i="10"/>
  <c r="AL62" i="10"/>
  <c r="AO62" i="10"/>
  <c r="AL15" i="10"/>
  <c r="AO15" i="10"/>
  <c r="AL88" i="10"/>
  <c r="AO88" i="10"/>
  <c r="AL28" i="15"/>
  <c r="AL26" i="15"/>
  <c r="AL30" i="15"/>
  <c r="AL40" i="15"/>
  <c r="AL13" i="15"/>
  <c r="AL18" i="15"/>
  <c r="AL22" i="15"/>
  <c r="AL16" i="15"/>
  <c r="AL41" i="15"/>
  <c r="AL29" i="15"/>
  <c r="AL42" i="15"/>
  <c r="AN42" i="15"/>
  <c r="AO42" i="15" s="1"/>
  <c r="AL12" i="15"/>
  <c r="AL48" i="15"/>
  <c r="AL23" i="15"/>
  <c r="AL17" i="15"/>
  <c r="AL25" i="15"/>
  <c r="AL33" i="15"/>
  <c r="AL21" i="15"/>
  <c r="AL31" i="15"/>
  <c r="AL9" i="16"/>
  <c r="AO5" i="16"/>
  <c r="AL7" i="16"/>
  <c r="AL60" i="13"/>
  <c r="AL200" i="13"/>
  <c r="AL42" i="13"/>
  <c r="AL105" i="13"/>
  <c r="AL49" i="13"/>
  <c r="AL154" i="13"/>
  <c r="AL131" i="13"/>
  <c r="AL47" i="13"/>
  <c r="AL64" i="13"/>
  <c r="AL184" i="13"/>
  <c r="AL112" i="13"/>
  <c r="AL135" i="13"/>
  <c r="AL63" i="13"/>
  <c r="AL126" i="13"/>
  <c r="AL113" i="13"/>
  <c r="AL192" i="13"/>
  <c r="AL109" i="13"/>
  <c r="AL51" i="13"/>
  <c r="AL39" i="13"/>
  <c r="AL150" i="13"/>
  <c r="AL120" i="13"/>
  <c r="AL107" i="13"/>
  <c r="AL106" i="13"/>
  <c r="AL118" i="13"/>
  <c r="AL152" i="13"/>
  <c r="AL127" i="13"/>
  <c r="AL191" i="13"/>
  <c r="AL140" i="13"/>
  <c r="AL153" i="13"/>
  <c r="AL148" i="13"/>
  <c r="AL81" i="13"/>
  <c r="AL119" i="13"/>
  <c r="AL50" i="13"/>
  <c r="AL193" i="13"/>
  <c r="AW6" i="13"/>
  <c r="AM11" i="11"/>
  <c r="AM10" i="11"/>
  <c r="AO10" i="11"/>
  <c r="AP10" i="11" s="1"/>
  <c r="AM12" i="11"/>
  <c r="AO12" i="11"/>
  <c r="AP12" i="11" s="1"/>
  <c r="AM7" i="14"/>
  <c r="AM6" i="14"/>
  <c r="AM20" i="3"/>
  <c r="AM69" i="3"/>
  <c r="AM11" i="3"/>
  <c r="AM15" i="3"/>
  <c r="AM49" i="3"/>
  <c r="AM9" i="3"/>
  <c r="AM58" i="3"/>
  <c r="AM13" i="3"/>
  <c r="AM61" i="3"/>
  <c r="AM45" i="3"/>
  <c r="AM57" i="3"/>
  <c r="AM18" i="3"/>
  <c r="AM14" i="3"/>
  <c r="AU34" i="3"/>
  <c r="AL35" i="3"/>
  <c r="AM34" i="3"/>
  <c r="X113" i="3"/>
  <c r="K120" i="17"/>
  <c r="AG120" i="17" s="1"/>
  <c r="AD104" i="3"/>
  <c r="AF104" i="3"/>
  <c r="AD96" i="3"/>
  <c r="AF96" i="3"/>
  <c r="V115" i="3"/>
  <c r="AC92" i="3"/>
  <c r="Y92" i="3"/>
  <c r="AE35" i="16"/>
  <c r="AC35" i="16"/>
  <c r="X115" i="3"/>
  <c r="C136" i="17" s="1"/>
  <c r="K136" i="17" s="1"/>
  <c r="AL136" i="17" s="1"/>
  <c r="C86" i="17"/>
  <c r="V113" i="3"/>
  <c r="AF173" i="13"/>
  <c r="AR35" i="15"/>
  <c r="AT35" i="15"/>
  <c r="AU35" i="15" s="1"/>
  <c r="AB262" i="13"/>
  <c r="X262" i="13"/>
  <c r="AL5" i="16"/>
  <c r="AC31" i="16"/>
  <c r="AE31" i="16"/>
  <c r="AK74" i="13"/>
  <c r="AQ74" i="13"/>
  <c r="AW74" i="13" s="1"/>
  <c r="AK174" i="13"/>
  <c r="AQ174" i="13"/>
  <c r="AW174" i="13" s="1"/>
  <c r="AK176" i="13"/>
  <c r="AQ176" i="13"/>
  <c r="AW176" i="13" s="1"/>
  <c r="AK77" i="13"/>
  <c r="AQ77" i="13"/>
  <c r="AW77" i="13" s="1"/>
  <c r="AK181" i="13"/>
  <c r="AQ181" i="13"/>
  <c r="AW181" i="13" s="1"/>
  <c r="AK183" i="13"/>
  <c r="AQ183" i="13"/>
  <c r="AW183" i="13" s="1"/>
  <c r="AK26" i="13"/>
  <c r="AQ26" i="13"/>
  <c r="AW26" i="13" s="1"/>
  <c r="AK12" i="13"/>
  <c r="AQ12" i="13"/>
  <c r="AW12" i="13" s="1"/>
  <c r="AK40" i="13"/>
  <c r="AQ40" i="13"/>
  <c r="AW40" i="13" s="1"/>
  <c r="AK146" i="13"/>
  <c r="AQ146" i="13"/>
  <c r="AW146" i="13" s="1"/>
  <c r="AK21" i="13"/>
  <c r="AQ21" i="13"/>
  <c r="AW21" i="13" s="1"/>
  <c r="AK73" i="13"/>
  <c r="AQ73" i="13"/>
  <c r="AW73" i="13" s="1"/>
  <c r="AK52" i="13"/>
  <c r="AQ52" i="13"/>
  <c r="AW52" i="13" s="1"/>
  <c r="AK31" i="13"/>
  <c r="AQ31" i="13"/>
  <c r="AW31" i="13" s="1"/>
  <c r="AK132" i="13"/>
  <c r="AQ132" i="13"/>
  <c r="AW132" i="13" s="1"/>
  <c r="AK56" i="13"/>
  <c r="AQ56" i="13"/>
  <c r="AW56" i="13" s="1"/>
  <c r="AK149" i="13"/>
  <c r="AQ149" i="13"/>
  <c r="AW149" i="13" s="1"/>
  <c r="AK180" i="13"/>
  <c r="AQ180" i="13"/>
  <c r="AW180" i="13" s="1"/>
  <c r="AK144" i="13"/>
  <c r="AQ144" i="13"/>
  <c r="AW144" i="13" s="1"/>
  <c r="AK29" i="13"/>
  <c r="AQ29" i="13"/>
  <c r="AW29" i="13" s="1"/>
  <c r="AK138" i="13"/>
  <c r="AQ138" i="13"/>
  <c r="AW138" i="13" s="1"/>
  <c r="AK19" i="13"/>
  <c r="AQ19" i="13"/>
  <c r="AW19" i="13" s="1"/>
  <c r="AK23" i="13"/>
  <c r="AQ23" i="13"/>
  <c r="AW23" i="13" s="1"/>
  <c r="AK108" i="13"/>
  <c r="AQ108" i="13"/>
  <c r="AW108" i="13" s="1"/>
  <c r="AK169" i="13"/>
  <c r="AQ169" i="13"/>
  <c r="AW169" i="13" s="1"/>
  <c r="AK55" i="13"/>
  <c r="AQ55" i="13"/>
  <c r="AW55" i="13" s="1"/>
  <c r="AK20" i="13"/>
  <c r="AQ20" i="13"/>
  <c r="AW20" i="13" s="1"/>
  <c r="AK59" i="13"/>
  <c r="AQ59" i="13"/>
  <c r="AW59" i="13" s="1"/>
  <c r="AK158" i="13"/>
  <c r="AQ158" i="13"/>
  <c r="AW158" i="13" s="1"/>
  <c r="AK36" i="13"/>
  <c r="AQ36" i="13"/>
  <c r="AW36" i="13" s="1"/>
  <c r="AK128" i="13"/>
  <c r="AQ128" i="13"/>
  <c r="AW128" i="13" s="1"/>
  <c r="AK116" i="13"/>
  <c r="AQ116" i="13"/>
  <c r="AW116" i="13" s="1"/>
  <c r="AK171" i="13"/>
  <c r="AQ171" i="13"/>
  <c r="AW171" i="13" s="1"/>
  <c r="AK163" i="13"/>
  <c r="AQ163" i="13"/>
  <c r="AW163" i="13" s="1"/>
  <c r="AK24" i="13"/>
  <c r="AQ24" i="13"/>
  <c r="AW24" i="13" s="1"/>
  <c r="AK129" i="13"/>
  <c r="AQ129" i="13"/>
  <c r="AW129" i="13" s="1"/>
  <c r="AK139" i="13"/>
  <c r="AQ139" i="13"/>
  <c r="AW139" i="13" s="1"/>
  <c r="AK157" i="13"/>
  <c r="AQ157" i="13"/>
  <c r="AW157" i="13" s="1"/>
  <c r="AK178" i="13"/>
  <c r="AQ178" i="13"/>
  <c r="AW178" i="13" s="1"/>
  <c r="AK57" i="13"/>
  <c r="AQ57" i="13"/>
  <c r="AW57" i="13" s="1"/>
  <c r="AK38" i="13"/>
  <c r="AQ38" i="13"/>
  <c r="AW38" i="13" s="1"/>
  <c r="AK99" i="13"/>
  <c r="AQ99" i="13"/>
  <c r="AW99" i="13" s="1"/>
  <c r="AK85" i="13"/>
  <c r="AQ85" i="13"/>
  <c r="AW85" i="13" s="1"/>
  <c r="AK86" i="13"/>
  <c r="AQ86" i="13"/>
  <c r="AW86" i="13" s="1"/>
  <c r="AK137" i="13"/>
  <c r="AQ137" i="13"/>
  <c r="AW137" i="13" s="1"/>
  <c r="AK44" i="13"/>
  <c r="AQ44" i="13"/>
  <c r="AW44" i="13" s="1"/>
  <c r="AK46" i="13"/>
  <c r="AQ46" i="13"/>
  <c r="AW46" i="13" s="1"/>
  <c r="AK75" i="13"/>
  <c r="AQ75" i="13"/>
  <c r="AW75" i="13" s="1"/>
  <c r="AK102" i="13"/>
  <c r="AQ102" i="13"/>
  <c r="AW102" i="13" s="1"/>
  <c r="AK182" i="13"/>
  <c r="AQ182" i="13"/>
  <c r="AW182" i="13" s="1"/>
  <c r="AK18" i="13"/>
  <c r="AQ18" i="13"/>
  <c r="AW18" i="13" s="1"/>
  <c r="AK123" i="13"/>
  <c r="AQ123" i="13"/>
  <c r="AW123" i="13" s="1"/>
  <c r="AK58" i="13"/>
  <c r="AQ58" i="13"/>
  <c r="AW58" i="13" s="1"/>
  <c r="AK117" i="13"/>
  <c r="AQ117" i="13"/>
  <c r="AW117" i="13" s="1"/>
  <c r="AK124" i="13"/>
  <c r="AQ124" i="13"/>
  <c r="AW124" i="13" s="1"/>
  <c r="AK122" i="13"/>
  <c r="AQ122" i="13"/>
  <c r="AW122" i="13" s="1"/>
  <c r="AK92" i="13"/>
  <c r="AQ92" i="13"/>
  <c r="AK141" i="13"/>
  <c r="AQ141" i="13"/>
  <c r="AW141" i="13" s="1"/>
  <c r="AK136" i="13"/>
  <c r="AQ136" i="13"/>
  <c r="AW136" i="13" s="1"/>
  <c r="AK168" i="13"/>
  <c r="AQ168" i="13"/>
  <c r="AW168" i="13" s="1"/>
  <c r="AK83" i="13"/>
  <c r="AQ83" i="13"/>
  <c r="AW83" i="13" s="1"/>
  <c r="AK130" i="13"/>
  <c r="AQ130" i="13"/>
  <c r="AW130" i="13" s="1"/>
  <c r="AK43" i="13"/>
  <c r="AQ43" i="13"/>
  <c r="AW43" i="13" s="1"/>
  <c r="AK35" i="13"/>
  <c r="AQ35" i="13"/>
  <c r="AW35" i="13" s="1"/>
  <c r="AK45" i="13"/>
  <c r="AQ45" i="13"/>
  <c r="AW45" i="13" s="1"/>
  <c r="AK134" i="13"/>
  <c r="AQ134" i="13"/>
  <c r="AW134" i="13" s="1"/>
  <c r="AK94" i="13"/>
  <c r="AQ94" i="13"/>
  <c r="AW94" i="13" s="1"/>
  <c r="AK41" i="13"/>
  <c r="AQ41" i="13"/>
  <c r="AW41" i="13" s="1"/>
  <c r="AK84" i="13"/>
  <c r="AQ84" i="13"/>
  <c r="AW84" i="13" s="1"/>
  <c r="AK114" i="13"/>
  <c r="AQ114" i="13"/>
  <c r="AW114" i="13" s="1"/>
  <c r="AK147" i="13"/>
  <c r="AQ147" i="13"/>
  <c r="AW147" i="13" s="1"/>
  <c r="AK33" i="13"/>
  <c r="AQ33" i="13"/>
  <c r="AW33" i="13" s="1"/>
  <c r="AK188" i="13"/>
  <c r="AQ188" i="13"/>
  <c r="AW188" i="13" s="1"/>
  <c r="AK101" i="13"/>
  <c r="AQ101" i="13"/>
  <c r="AW101" i="13" s="1"/>
  <c r="AK32" i="13"/>
  <c r="AQ32" i="13"/>
  <c r="AW32" i="13" s="1"/>
  <c r="AK164" i="13"/>
  <c r="AQ164" i="13"/>
  <c r="AW164" i="13" s="1"/>
  <c r="AK48" i="13"/>
  <c r="AQ48" i="13"/>
  <c r="AW48" i="13" s="1"/>
  <c r="AK145" i="13"/>
  <c r="AQ145" i="13"/>
  <c r="AW145" i="13" s="1"/>
  <c r="AK142" i="13"/>
  <c r="AQ142" i="13"/>
  <c r="AW142" i="13" s="1"/>
  <c r="AK170" i="13"/>
  <c r="AQ170" i="13"/>
  <c r="AW170" i="13" s="1"/>
  <c r="AK53" i="13"/>
  <c r="AQ53" i="13"/>
  <c r="AK115" i="13"/>
  <c r="AQ115" i="13"/>
  <c r="AW115" i="13" s="1"/>
  <c r="AK110" i="13"/>
  <c r="AQ110" i="13"/>
  <c r="AK125" i="13"/>
  <c r="AQ125" i="13"/>
  <c r="AW125" i="13" s="1"/>
  <c r="AK133" i="13"/>
  <c r="AQ133" i="13"/>
  <c r="AK121" i="13"/>
  <c r="AQ121" i="13"/>
  <c r="AW121" i="13" s="1"/>
  <c r="AK37" i="13"/>
  <c r="AQ37" i="13"/>
  <c r="AK173" i="13"/>
  <c r="AQ173" i="13"/>
  <c r="AW173" i="13" s="1"/>
  <c r="AT39" i="13"/>
  <c r="AU39" i="13" s="1"/>
  <c r="AT150" i="13"/>
  <c r="AU150" i="13" s="1"/>
  <c r="AT107" i="13"/>
  <c r="AU107" i="13" s="1"/>
  <c r="AT127" i="13"/>
  <c r="AU127" i="13" s="1"/>
  <c r="AT50" i="13"/>
  <c r="AU50" i="13" s="1"/>
  <c r="AT81" i="13"/>
  <c r="AU81" i="13" s="1"/>
  <c r="AT193" i="13"/>
  <c r="AU193" i="13" s="1"/>
  <c r="AT120" i="13"/>
  <c r="AU120" i="13" s="1"/>
  <c r="AT106" i="13"/>
  <c r="AU106" i="13" s="1"/>
  <c r="AT118" i="13"/>
  <c r="AU118" i="13" s="1"/>
  <c r="AT152" i="13"/>
  <c r="AU152" i="13" s="1"/>
  <c r="AT191" i="13"/>
  <c r="AU191" i="13" s="1"/>
  <c r="AT140" i="13"/>
  <c r="AU140" i="13" s="1"/>
  <c r="AT153" i="13"/>
  <c r="AU153" i="13" s="1"/>
  <c r="AT148" i="13"/>
  <c r="AU148" i="13" s="1"/>
  <c r="AT119" i="13"/>
  <c r="AU119" i="13" s="1"/>
  <c r="AT192" i="13"/>
  <c r="AU192" i="13" s="1"/>
  <c r="AT113" i="13"/>
  <c r="AU113" i="13" s="1"/>
  <c r="AT47" i="13"/>
  <c r="AU47" i="13" s="1"/>
  <c r="AT154" i="13"/>
  <c r="AU154" i="13" s="1"/>
  <c r="AT112" i="13"/>
  <c r="AU112" i="13" s="1"/>
  <c r="AT63" i="13"/>
  <c r="AU63" i="13" s="1"/>
  <c r="AT42" i="13"/>
  <c r="AU42" i="13" s="1"/>
  <c r="AK6" i="13"/>
  <c r="AL6" i="13"/>
  <c r="AR135" i="13"/>
  <c r="AU135" i="13"/>
  <c r="AR64" i="13"/>
  <c r="AU64" i="13"/>
  <c r="AR51" i="13"/>
  <c r="AU51" i="13"/>
  <c r="AR184" i="13"/>
  <c r="AU184" i="13"/>
  <c r="AR126" i="13"/>
  <c r="AU126" i="13"/>
  <c r="AR109" i="13"/>
  <c r="AU109" i="13"/>
  <c r="AR131" i="13"/>
  <c r="AU131" i="13"/>
  <c r="AR105" i="13"/>
  <c r="AU105" i="13"/>
  <c r="AR49" i="13"/>
  <c r="AU49" i="13"/>
  <c r="AR200" i="13"/>
  <c r="AU200" i="13"/>
  <c r="AR60" i="13"/>
  <c r="AU60" i="13"/>
  <c r="AS26" i="3"/>
  <c r="AU26" i="3"/>
  <c r="AV26" i="3" s="1"/>
  <c r="AS25" i="3"/>
  <c r="AU25" i="3"/>
  <c r="AV25" i="3" s="1"/>
  <c r="S120" i="17"/>
  <c r="AJ120" i="17"/>
  <c r="AE35" i="9"/>
  <c r="AC35" i="9"/>
  <c r="AC38" i="9"/>
  <c r="AE38" i="9"/>
  <c r="AE7" i="9"/>
  <c r="AC7" i="9"/>
  <c r="X32" i="9"/>
  <c r="X50" i="9" s="1"/>
  <c r="AB32" i="9"/>
  <c r="AI31" i="15"/>
  <c r="AQ31" i="15"/>
  <c r="AW31" i="15" s="1"/>
  <c r="AI46" i="15"/>
  <c r="AQ46" i="15"/>
  <c r="AR46" i="15" s="1"/>
  <c r="AZ46" i="15" s="1"/>
  <c r="AE15" i="16"/>
  <c r="AC15" i="16"/>
  <c r="AH13" i="16"/>
  <c r="AF13" i="16"/>
  <c r="AF23" i="16"/>
  <c r="AH23" i="16"/>
  <c r="X36" i="16"/>
  <c r="AB36" i="16"/>
  <c r="AH25" i="16"/>
  <c r="AF25" i="16"/>
  <c r="AH21" i="16"/>
  <c r="AF21" i="16"/>
  <c r="AR6" i="16"/>
  <c r="AF8" i="16"/>
  <c r="AH8" i="16"/>
  <c r="AQ27" i="16"/>
  <c r="AI27" i="16"/>
  <c r="AH37" i="16"/>
  <c r="AF37" i="16"/>
  <c r="AE24" i="16"/>
  <c r="AC24" i="16"/>
  <c r="AI17" i="16"/>
  <c r="AQ17" i="16"/>
  <c r="U43" i="16"/>
  <c r="AF18" i="16"/>
  <c r="AH18" i="16"/>
  <c r="AI7" i="16"/>
  <c r="AQ7" i="16"/>
  <c r="AT7" i="16" s="1"/>
  <c r="AU7" i="16" s="1"/>
  <c r="AI39" i="16"/>
  <c r="AQ39" i="16"/>
  <c r="AC26" i="16"/>
  <c r="AE26" i="16"/>
  <c r="AI33" i="16"/>
  <c r="AQ33" i="16"/>
  <c r="AF29" i="16"/>
  <c r="AH29" i="16"/>
  <c r="AE40" i="16"/>
  <c r="AC40" i="16"/>
  <c r="AH19" i="16"/>
  <c r="AF19" i="16"/>
  <c r="X16" i="16"/>
  <c r="AB16" i="16"/>
  <c r="AQ5" i="16"/>
  <c r="AT5" i="16" s="1"/>
  <c r="AI5" i="16"/>
  <c r="AE32" i="16"/>
  <c r="AC32" i="16"/>
  <c r="AE34" i="16"/>
  <c r="AC34" i="16"/>
  <c r="X14" i="16"/>
  <c r="AB14" i="16"/>
  <c r="W43" i="16"/>
  <c r="C140" i="17" s="1"/>
  <c r="K140" i="17" s="1"/>
  <c r="AL140" i="17" s="1"/>
  <c r="AC20" i="16"/>
  <c r="AE20" i="16"/>
  <c r="AF28" i="16"/>
  <c r="AH28" i="16"/>
  <c r="AC38" i="16"/>
  <c r="AE38" i="16"/>
  <c r="AQ22" i="16"/>
  <c r="AI22" i="16"/>
  <c r="AI9" i="16"/>
  <c r="AQ9" i="16"/>
  <c r="E54" i="16"/>
  <c r="F13" i="21"/>
  <c r="G13" i="21" s="1"/>
  <c r="F53" i="16"/>
  <c r="E124" i="17" s="1"/>
  <c r="K124" i="17" s="1"/>
  <c r="AJ124" i="17" s="1"/>
  <c r="AE30" i="16"/>
  <c r="AC30" i="16"/>
  <c r="AR12" i="11"/>
  <c r="AJ12" i="11"/>
  <c r="AI7" i="11"/>
  <c r="AG7" i="11"/>
  <c r="AC5" i="11"/>
  <c r="Y5" i="11"/>
  <c r="AD6" i="11"/>
  <c r="AF6" i="11"/>
  <c r="AJ10" i="11"/>
  <c r="AR10" i="11"/>
  <c r="AI23" i="11"/>
  <c r="AG23" i="11"/>
  <c r="E41" i="11"/>
  <c r="F17" i="21"/>
  <c r="G17" i="21" s="1"/>
  <c r="F40" i="11"/>
  <c r="E122" i="17" s="1"/>
  <c r="K122" i="17" s="1"/>
  <c r="AJ122" i="17" s="1"/>
  <c r="AS21" i="11"/>
  <c r="BD21" i="11" s="1"/>
  <c r="AC13" i="11"/>
  <c r="Y13" i="11"/>
  <c r="AR11" i="11"/>
  <c r="AJ11" i="11"/>
  <c r="X19" i="11"/>
  <c r="V19" i="11"/>
  <c r="V29" i="11" s="1"/>
  <c r="AI18" i="11"/>
  <c r="AG18" i="11"/>
  <c r="AS14" i="11"/>
  <c r="BD14" i="11" s="1"/>
  <c r="U29" i="11"/>
  <c r="C210" i="17" s="1"/>
  <c r="K210" i="17" s="1"/>
  <c r="S210" i="17" s="1"/>
  <c r="AJ34" i="14"/>
  <c r="AR34" i="14"/>
  <c r="AS34" i="14" s="1"/>
  <c r="BE34" i="14" s="1"/>
  <c r="AD16" i="14"/>
  <c r="AF16" i="14"/>
  <c r="AG8" i="14"/>
  <c r="AI8" i="14"/>
  <c r="Y19" i="14"/>
  <c r="AC19" i="14"/>
  <c r="AD29" i="14"/>
  <c r="AF29" i="14"/>
  <c r="AC10" i="14"/>
  <c r="Y10" i="14"/>
  <c r="X40" i="14"/>
  <c r="C137" i="17" s="1"/>
  <c r="K137" i="17" s="1"/>
  <c r="AF27" i="14"/>
  <c r="AD27" i="14"/>
  <c r="AJ17" i="14"/>
  <c r="AR17" i="14"/>
  <c r="AI30" i="14"/>
  <c r="AG30" i="14"/>
  <c r="AC11" i="14"/>
  <c r="Y11" i="14"/>
  <c r="AG21" i="14"/>
  <c r="AI21" i="14"/>
  <c r="AI25" i="14"/>
  <c r="AG25" i="14"/>
  <c r="V40" i="14"/>
  <c r="AC32" i="14"/>
  <c r="Y32" i="14"/>
  <c r="E51" i="14"/>
  <c r="F50" i="14"/>
  <c r="E193" i="17" s="1"/>
  <c r="E201" i="17" s="1"/>
  <c r="E205" i="17" s="1"/>
  <c r="C121" i="17"/>
  <c r="C129" i="17" s="1"/>
  <c r="C133" i="17" s="1"/>
  <c r="AI33" i="14"/>
  <c r="AG33" i="14"/>
  <c r="AC28" i="14"/>
  <c r="Y28" i="14"/>
  <c r="AD18" i="14"/>
  <c r="AF18" i="14"/>
  <c r="AJ20" i="14"/>
  <c r="AR20" i="14"/>
  <c r="AJ31" i="14"/>
  <c r="AR31" i="14"/>
  <c r="AF9" i="14"/>
  <c r="AD9" i="14"/>
  <c r="AJ26" i="14"/>
  <c r="AR26" i="14"/>
  <c r="AI7" i="3"/>
  <c r="AO7" i="3" s="1"/>
  <c r="AP7" i="3" s="1"/>
  <c r="AG7" i="3"/>
  <c r="E128" i="3"/>
  <c r="F127" i="3"/>
  <c r="E86" i="17" s="1"/>
  <c r="F10" i="22"/>
  <c r="G10" i="22" s="1"/>
  <c r="AC89" i="3"/>
  <c r="Y89" i="3"/>
  <c r="Y101" i="3"/>
  <c r="AC101" i="3"/>
  <c r="AC85" i="3"/>
  <c r="Y85" i="3"/>
  <c r="AI100" i="3"/>
  <c r="AG100" i="3"/>
  <c r="AR15" i="9"/>
  <c r="AI16" i="9"/>
  <c r="AQ16" i="9"/>
  <c r="AW16" i="9" s="1"/>
  <c r="AR24" i="9"/>
  <c r="AF37" i="9"/>
  <c r="AH37" i="9"/>
  <c r="AR39" i="9"/>
  <c r="AZ39" i="9" s="1"/>
  <c r="AI12" i="9"/>
  <c r="AQ12" i="9"/>
  <c r="AQ17" i="9"/>
  <c r="AI17" i="9"/>
  <c r="AH11" i="9"/>
  <c r="AF11" i="9"/>
  <c r="AI13" i="9"/>
  <c r="AQ13" i="9"/>
  <c r="AJ143" i="17"/>
  <c r="AE143" i="17"/>
  <c r="Y143" i="17"/>
  <c r="O143" i="17"/>
  <c r="S143" i="17"/>
  <c r="K109" i="17"/>
  <c r="AR19" i="9"/>
  <c r="AR34" i="9"/>
  <c r="AZ34" i="9" s="1"/>
  <c r="AI10" i="9"/>
  <c r="AQ10" i="9"/>
  <c r="AR14" i="9"/>
  <c r="AR25" i="9"/>
  <c r="AR18" i="9"/>
  <c r="AI33" i="9"/>
  <c r="AQ33" i="9"/>
  <c r="AR21" i="9"/>
  <c r="AI33" i="15"/>
  <c r="AQ33" i="15"/>
  <c r="AW33" i="15" s="1"/>
  <c r="AI21" i="15"/>
  <c r="AQ21" i="15"/>
  <c r="AH56" i="15"/>
  <c r="AF56" i="15"/>
  <c r="AQ52" i="15"/>
  <c r="AI52" i="15"/>
  <c r="AR34" i="15"/>
  <c r="AR61" i="15"/>
  <c r="AZ61" i="15"/>
  <c r="AH59" i="15"/>
  <c r="AF59" i="15"/>
  <c r="AF6" i="15"/>
  <c r="AH6" i="15"/>
  <c r="AF5" i="15"/>
  <c r="AH5" i="15"/>
  <c r="AE65" i="15"/>
  <c r="AI28" i="15"/>
  <c r="AQ28" i="15"/>
  <c r="AI13" i="15"/>
  <c r="AQ13" i="15"/>
  <c r="AI16" i="15"/>
  <c r="AQ16" i="15"/>
  <c r="AI41" i="15"/>
  <c r="AQ41" i="15"/>
  <c r="AI42" i="15"/>
  <c r="AQ42" i="15"/>
  <c r="AI12" i="15"/>
  <c r="AQ12" i="15"/>
  <c r="AQ23" i="15"/>
  <c r="AI23" i="15"/>
  <c r="AF19" i="15"/>
  <c r="AH19" i="15"/>
  <c r="AI25" i="15"/>
  <c r="AQ25" i="15"/>
  <c r="AR24" i="15"/>
  <c r="AF32" i="15"/>
  <c r="AH32" i="15"/>
  <c r="AH7" i="15"/>
  <c r="AF7" i="15"/>
  <c r="AI26" i="15"/>
  <c r="AQ26" i="15"/>
  <c r="AF58" i="15"/>
  <c r="AH58" i="15"/>
  <c r="AI30" i="15"/>
  <c r="AQ30" i="15"/>
  <c r="AI40" i="15"/>
  <c r="AQ40" i="15"/>
  <c r="AH11" i="15"/>
  <c r="AF11" i="15"/>
  <c r="AC51" i="15"/>
  <c r="AE51" i="15"/>
  <c r="AI29" i="15"/>
  <c r="AQ29" i="15"/>
  <c r="AC54" i="15"/>
  <c r="AE54" i="15"/>
  <c r="AC65" i="15"/>
  <c r="AF10" i="15"/>
  <c r="AH10" i="15"/>
  <c r="AI18" i="15"/>
  <c r="AQ18" i="15"/>
  <c r="AI22" i="15"/>
  <c r="AQ22" i="15"/>
  <c r="AC55" i="15"/>
  <c r="AE55" i="15"/>
  <c r="AH20" i="15"/>
  <c r="AF20" i="15"/>
  <c r="AH14" i="15"/>
  <c r="AF14" i="15"/>
  <c r="AB53" i="15"/>
  <c r="X53" i="15"/>
  <c r="W69" i="15"/>
  <c r="C141" i="17" s="1"/>
  <c r="K141" i="17" s="1"/>
  <c r="AL141" i="17" s="1"/>
  <c r="W66" i="15"/>
  <c r="AR36" i="15"/>
  <c r="AH9" i="15"/>
  <c r="AF9" i="15"/>
  <c r="AH57" i="15"/>
  <c r="AF57" i="15"/>
  <c r="AI48" i="15"/>
  <c r="AQ48" i="15"/>
  <c r="AW48" i="15" s="1"/>
  <c r="AI17" i="15"/>
  <c r="AQ17" i="15"/>
  <c r="AF8" i="15"/>
  <c r="AH8" i="15"/>
  <c r="AH15" i="15"/>
  <c r="AF15" i="15"/>
  <c r="U69" i="15"/>
  <c r="AQ88" i="10"/>
  <c r="AW88" i="10" s="1"/>
  <c r="AI88" i="10"/>
  <c r="AQ15" i="10"/>
  <c r="AI15" i="10"/>
  <c r="AD88" i="3"/>
  <c r="AF88" i="3"/>
  <c r="AR18" i="3"/>
  <c r="AJ18" i="3"/>
  <c r="AF93" i="3"/>
  <c r="AD93" i="3"/>
  <c r="AG48" i="3"/>
  <c r="AI48" i="3"/>
  <c r="AG53" i="3"/>
  <c r="AI53" i="3"/>
  <c r="AR14" i="3"/>
  <c r="AJ14" i="3"/>
  <c r="AH8" i="10"/>
  <c r="AF8" i="10"/>
  <c r="AF19" i="10"/>
  <c r="AH19" i="10"/>
  <c r="AF21" i="10"/>
  <c r="AH21" i="10"/>
  <c r="AH23" i="10"/>
  <c r="AF23" i="10"/>
  <c r="AH60" i="10"/>
  <c r="AF60" i="10"/>
  <c r="AQ62" i="10"/>
  <c r="AW62" i="10" s="1"/>
  <c r="AI62" i="10"/>
  <c r="AH11" i="10"/>
  <c r="AF11" i="10"/>
  <c r="AH25" i="10"/>
  <c r="AF25" i="10"/>
  <c r="AH93" i="10"/>
  <c r="AF93" i="10"/>
  <c r="AQ64" i="10"/>
  <c r="AI64" i="10"/>
  <c r="AI94" i="10"/>
  <c r="AQ94" i="10"/>
  <c r="AF86" i="10"/>
  <c r="AH86" i="10"/>
  <c r="AE78" i="13"/>
  <c r="AC78" i="13"/>
  <c r="AC268" i="13"/>
  <c r="AE268" i="13"/>
  <c r="AE82" i="13"/>
  <c r="AC82" i="13"/>
  <c r="AI121" i="13"/>
  <c r="AT121" i="13"/>
  <c r="AI37" i="13"/>
  <c r="AH96" i="13"/>
  <c r="AN96" i="13" s="1"/>
  <c r="AO96" i="13" s="1"/>
  <c r="AF96" i="13"/>
  <c r="C217" i="17"/>
  <c r="C219" i="17" s="1"/>
  <c r="AI133" i="13"/>
  <c r="AC245" i="13"/>
  <c r="AE245" i="13"/>
  <c r="AI53" i="13"/>
  <c r="AI110" i="13"/>
  <c r="AC255" i="13"/>
  <c r="AE255" i="13"/>
  <c r="AR42" i="13"/>
  <c r="AI115" i="13"/>
  <c r="AI159" i="13"/>
  <c r="AT125" i="13"/>
  <c r="AI125" i="13"/>
  <c r="AI92" i="13"/>
  <c r="AT173" i="13"/>
  <c r="AI173" i="13"/>
  <c r="AF266" i="13"/>
  <c r="AH266" i="13"/>
  <c r="AQ266" i="13" s="1"/>
  <c r="AR113" i="13"/>
  <c r="AI35" i="13"/>
  <c r="AI282" i="13"/>
  <c r="AT282" i="13"/>
  <c r="AF93" i="13"/>
  <c r="AH93" i="13"/>
  <c r="AN93" i="13" s="1"/>
  <c r="AO93" i="13" s="1"/>
  <c r="AI288" i="13"/>
  <c r="AT114" i="13"/>
  <c r="AI114" i="13"/>
  <c r="AF97" i="13"/>
  <c r="AH97" i="13"/>
  <c r="AN97" i="13" s="1"/>
  <c r="AO97" i="13" s="1"/>
  <c r="AF274" i="13"/>
  <c r="AH274" i="13"/>
  <c r="AQ274" i="13" s="1"/>
  <c r="AI164" i="13"/>
  <c r="AT164" i="13"/>
  <c r="AI48" i="13"/>
  <c r="AT48" i="13"/>
  <c r="AI58" i="13"/>
  <c r="AC281" i="13"/>
  <c r="AE281" i="13"/>
  <c r="AT141" i="13"/>
  <c r="AI141" i="13"/>
  <c r="AI83" i="13"/>
  <c r="AI130" i="13"/>
  <c r="AI290" i="13"/>
  <c r="AT290" i="13"/>
  <c r="AI45" i="13"/>
  <c r="AI134" i="13"/>
  <c r="AI41" i="13"/>
  <c r="AI84" i="13"/>
  <c r="AI188" i="13"/>
  <c r="AI32" i="13"/>
  <c r="AH79" i="13"/>
  <c r="AN79" i="13" s="1"/>
  <c r="AO79" i="13" s="1"/>
  <c r="AF79" i="13"/>
  <c r="AI170" i="13"/>
  <c r="AT170" i="13"/>
  <c r="AH177" i="13"/>
  <c r="AN177" i="13" s="1"/>
  <c r="AO177" i="13" s="1"/>
  <c r="AF177" i="13"/>
  <c r="AR192" i="13"/>
  <c r="AT168" i="13"/>
  <c r="AI168" i="13"/>
  <c r="AC261" i="13"/>
  <c r="AE261" i="13"/>
  <c r="AI123" i="13"/>
  <c r="AF270" i="13"/>
  <c r="AH270" i="13"/>
  <c r="AQ270" i="13" s="1"/>
  <c r="AI124" i="13"/>
  <c r="AF151" i="13"/>
  <c r="AH151" i="13"/>
  <c r="AN151" i="13" s="1"/>
  <c r="AO151" i="13" s="1"/>
  <c r="F11" i="23"/>
  <c r="G11" i="23" s="1"/>
  <c r="E329" i="13"/>
  <c r="F328" i="13"/>
  <c r="E50" i="17" s="1"/>
  <c r="AI100" i="13"/>
  <c r="AT100" i="13"/>
  <c r="AI43" i="13"/>
  <c r="K89" i="17"/>
  <c r="AT94" i="13"/>
  <c r="AI94" i="13"/>
  <c r="AF254" i="13"/>
  <c r="AH254" i="13"/>
  <c r="AQ254" i="13" s="1"/>
  <c r="AR154" i="13"/>
  <c r="AH28" i="13"/>
  <c r="AN28" i="13" s="1"/>
  <c r="AO28" i="13" s="1"/>
  <c r="AF28" i="13"/>
  <c r="AC264" i="13"/>
  <c r="AE264" i="13"/>
  <c r="AI33" i="13"/>
  <c r="AR112" i="13"/>
  <c r="AI101" i="13"/>
  <c r="AF250" i="13"/>
  <c r="AH250" i="13"/>
  <c r="AQ250" i="13" s="1"/>
  <c r="AT145" i="13"/>
  <c r="AI145" i="13"/>
  <c r="AI147" i="13"/>
  <c r="AI117" i="13"/>
  <c r="AI122" i="13"/>
  <c r="AI136" i="13"/>
  <c r="AE9" i="13"/>
  <c r="AC9" i="13"/>
  <c r="AR47" i="13"/>
  <c r="AF91" i="13"/>
  <c r="AH91" i="13"/>
  <c r="AN91" i="13" s="1"/>
  <c r="AO91" i="13" s="1"/>
  <c r="AR63" i="13"/>
  <c r="AF166" i="13"/>
  <c r="AH166" i="13"/>
  <c r="AN166" i="13" s="1"/>
  <c r="AO166" i="13" s="1"/>
  <c r="AI142" i="13"/>
  <c r="AC258" i="13"/>
  <c r="AE258" i="13"/>
  <c r="AI162" i="13"/>
  <c r="AT162" i="13"/>
  <c r="AI181" i="13"/>
  <c r="AR50" i="13"/>
  <c r="AT161" i="13"/>
  <c r="AI161" i="13"/>
  <c r="AI56" i="13"/>
  <c r="AF10" i="13"/>
  <c r="AH10" i="13"/>
  <c r="AQ10" i="13" s="1"/>
  <c r="AI158" i="13"/>
  <c r="AF271" i="13"/>
  <c r="AH271" i="13"/>
  <c r="AQ271" i="13" s="1"/>
  <c r="AI163" i="13"/>
  <c r="AR289" i="13"/>
  <c r="AZ289" i="13" s="1"/>
  <c r="AC244" i="13"/>
  <c r="AE244" i="13"/>
  <c r="AR152" i="13"/>
  <c r="AR191" i="13"/>
  <c r="AR153" i="13"/>
  <c r="AI74" i="13"/>
  <c r="AH54" i="13"/>
  <c r="AN54" i="13" s="1"/>
  <c r="AO54" i="13" s="1"/>
  <c r="AF54" i="13"/>
  <c r="AI12" i="13"/>
  <c r="AI189" i="13"/>
  <c r="AT189" i="13"/>
  <c r="AR291" i="13"/>
  <c r="AZ291" i="13" s="1"/>
  <c r="AH7" i="13"/>
  <c r="AN7" i="13" s="1"/>
  <c r="AO7" i="13" s="1"/>
  <c r="AF7" i="13"/>
  <c r="AI240" i="13"/>
  <c r="AT240" i="13"/>
  <c r="AI160" i="13"/>
  <c r="AT160" i="13"/>
  <c r="AF242" i="13"/>
  <c r="AH242" i="13"/>
  <c r="AQ242" i="13" s="1"/>
  <c r="AI138" i="13"/>
  <c r="AI95" i="13"/>
  <c r="AT95" i="13"/>
  <c r="AI178" i="13"/>
  <c r="AR203" i="13"/>
  <c r="AZ203" i="13" s="1"/>
  <c r="AR106" i="13"/>
  <c r="AI38" i="13"/>
  <c r="AI85" i="13"/>
  <c r="AF287" i="13"/>
  <c r="AH287" i="13"/>
  <c r="AQ287" i="13" s="1"/>
  <c r="AR140" i="13"/>
  <c r="AI46" i="13"/>
  <c r="AR119" i="13"/>
  <c r="AI18" i="13"/>
  <c r="AR150" i="13"/>
  <c r="AR107" i="13"/>
  <c r="C18" i="28"/>
  <c r="AT187" i="13"/>
  <c r="AI187" i="13"/>
  <c r="AF251" i="13"/>
  <c r="AH251" i="13"/>
  <c r="AQ251" i="13" s="1"/>
  <c r="AH277" i="13"/>
  <c r="AQ277" i="13" s="1"/>
  <c r="AF277" i="13"/>
  <c r="AF248" i="13"/>
  <c r="AH248" i="13"/>
  <c r="AQ248" i="13" s="1"/>
  <c r="AI52" i="13"/>
  <c r="AF280" i="13"/>
  <c r="AH280" i="13"/>
  <c r="AQ280" i="13" s="1"/>
  <c r="AF179" i="13"/>
  <c r="AH179" i="13"/>
  <c r="AN179" i="13" s="1"/>
  <c r="AO179" i="13" s="1"/>
  <c r="AF175" i="13"/>
  <c r="AH175" i="13"/>
  <c r="AN175" i="13" s="1"/>
  <c r="AO175" i="13" s="1"/>
  <c r="AC243" i="13"/>
  <c r="AE243" i="13"/>
  <c r="AC257" i="13"/>
  <c r="AE257" i="13"/>
  <c r="AI55" i="13"/>
  <c r="AR81" i="13"/>
  <c r="AI36" i="13"/>
  <c r="AI167" i="13"/>
  <c r="AT167" i="13"/>
  <c r="AI128" i="13"/>
  <c r="AI171" i="13"/>
  <c r="AF256" i="13"/>
  <c r="AH256" i="13"/>
  <c r="AQ256" i="13" s="1"/>
  <c r="AI129" i="13"/>
  <c r="AI6" i="13"/>
  <c r="AF172" i="13"/>
  <c r="AH172" i="13"/>
  <c r="AQ172" i="13" s="1"/>
  <c r="AI286" i="13"/>
  <c r="AT286" i="13"/>
  <c r="AI57" i="13"/>
  <c r="AR195" i="13"/>
  <c r="AZ195" i="13" s="1"/>
  <c r="AI102" i="13"/>
  <c r="AR148" i="13"/>
  <c r="AF253" i="13"/>
  <c r="AH253" i="13"/>
  <c r="AQ253" i="13" s="1"/>
  <c r="AI252" i="13"/>
  <c r="AT252" i="13"/>
  <c r="AI176" i="13"/>
  <c r="AI146" i="13"/>
  <c r="AR190" i="13"/>
  <c r="AZ190" i="13" s="1"/>
  <c r="AH265" i="13"/>
  <c r="AQ265" i="13" s="1"/>
  <c r="AF265" i="13"/>
  <c r="AF249" i="13"/>
  <c r="AH249" i="13"/>
  <c r="AQ249" i="13" s="1"/>
  <c r="AF103" i="13"/>
  <c r="AH103" i="13"/>
  <c r="AN103" i="13" s="1"/>
  <c r="AO103" i="13" s="1"/>
  <c r="AF155" i="13"/>
  <c r="AH155" i="13"/>
  <c r="AQ155" i="13" s="1"/>
  <c r="AI116" i="13"/>
  <c r="AC76" i="13"/>
  <c r="AE76" i="13"/>
  <c r="AI183" i="13"/>
  <c r="AR127" i="13"/>
  <c r="AI73" i="13"/>
  <c r="AC273" i="13"/>
  <c r="AE273" i="13"/>
  <c r="AF80" i="13"/>
  <c r="AH80" i="13"/>
  <c r="AQ80" i="13" s="1"/>
  <c r="AF259" i="13"/>
  <c r="AH259" i="13"/>
  <c r="AQ259" i="13" s="1"/>
  <c r="AI149" i="13"/>
  <c r="AI180" i="13"/>
  <c r="AI169" i="13"/>
  <c r="AF278" i="13"/>
  <c r="AH278" i="13"/>
  <c r="AQ278" i="13" s="1"/>
  <c r="AI20" i="13"/>
  <c r="AI165" i="13"/>
  <c r="AT165" i="13"/>
  <c r="AI186" i="13"/>
  <c r="AT186" i="13"/>
  <c r="AI260" i="13"/>
  <c r="AT260" i="13"/>
  <c r="AI86" i="13"/>
  <c r="AF87" i="13"/>
  <c r="AH87" i="13"/>
  <c r="AQ87" i="13" s="1"/>
  <c r="AB11" i="13"/>
  <c r="X11" i="13"/>
  <c r="C139" i="17"/>
  <c r="K139" i="17" s="1"/>
  <c r="AL139" i="17" s="1"/>
  <c r="AR39" i="13"/>
  <c r="AI174" i="13"/>
  <c r="AI77" i="13"/>
  <c r="AC247" i="13"/>
  <c r="AE247" i="13"/>
  <c r="AI26" i="13"/>
  <c r="AF272" i="13"/>
  <c r="AH272" i="13"/>
  <c r="AQ272" i="13" s="1"/>
  <c r="AF267" i="13"/>
  <c r="AH267" i="13"/>
  <c r="AQ267" i="13" s="1"/>
  <c r="AH279" i="13"/>
  <c r="AQ279" i="13" s="1"/>
  <c r="AF279" i="13"/>
  <c r="AI40" i="13"/>
  <c r="AF98" i="13"/>
  <c r="AH98" i="13"/>
  <c r="AQ98" i="13" s="1"/>
  <c r="AF285" i="13"/>
  <c r="AH285" i="13"/>
  <c r="AQ285" i="13" s="1"/>
  <c r="AI21" i="13"/>
  <c r="AH30" i="13"/>
  <c r="AN30" i="13" s="1"/>
  <c r="AO30" i="13" s="1"/>
  <c r="AF30" i="13"/>
  <c r="AI31" i="13"/>
  <c r="AI132" i="13"/>
  <c r="AI144" i="13"/>
  <c r="AF275" i="13"/>
  <c r="AH275" i="13"/>
  <c r="AQ275" i="13" s="1"/>
  <c r="AT284" i="13"/>
  <c r="AI284" i="13"/>
  <c r="AI29" i="13"/>
  <c r="AI19" i="13"/>
  <c r="AF269" i="13"/>
  <c r="AH269" i="13"/>
  <c r="AQ269" i="13" s="1"/>
  <c r="AI23" i="13"/>
  <c r="AI108" i="13"/>
  <c r="AF246" i="13"/>
  <c r="AH246" i="13"/>
  <c r="AQ246" i="13" s="1"/>
  <c r="AH241" i="13"/>
  <c r="AQ241" i="13" s="1"/>
  <c r="AF241" i="13"/>
  <c r="AF156" i="13"/>
  <c r="AH156" i="13"/>
  <c r="AQ156" i="13" s="1"/>
  <c r="AI59" i="13"/>
  <c r="AI24" i="13"/>
  <c r="AR193" i="13"/>
  <c r="AI139" i="13"/>
  <c r="AF263" i="13"/>
  <c r="AH263" i="13"/>
  <c r="AQ263" i="13" s="1"/>
  <c r="AI157" i="13"/>
  <c r="AR120" i="13"/>
  <c r="AR118" i="13"/>
  <c r="AI276" i="13"/>
  <c r="AT276" i="13"/>
  <c r="AI99" i="13"/>
  <c r="AF283" i="13"/>
  <c r="AH283" i="13"/>
  <c r="AQ283" i="13" s="1"/>
  <c r="AI137" i="13"/>
  <c r="AI44" i="13"/>
  <c r="AI75" i="13"/>
  <c r="AI182" i="13"/>
  <c r="AI8" i="3"/>
  <c r="AO8" i="3" s="1"/>
  <c r="AP8" i="3" s="1"/>
  <c r="AG8" i="3"/>
  <c r="AG114" i="3" s="1"/>
  <c r="AR57" i="3"/>
  <c r="AJ57" i="3"/>
  <c r="AS37" i="3"/>
  <c r="AR45" i="3"/>
  <c r="AJ45" i="3"/>
  <c r="AJ61" i="3"/>
  <c r="AR61" i="3"/>
  <c r="AG19" i="3"/>
  <c r="AI19" i="3"/>
  <c r="AG38" i="3"/>
  <c r="AI38" i="3"/>
  <c r="AR35" i="3"/>
  <c r="AJ35" i="3"/>
  <c r="AI84" i="3"/>
  <c r="AG84" i="3"/>
  <c r="AS34" i="3"/>
  <c r="AR97" i="3"/>
  <c r="AJ97" i="3"/>
  <c r="AI64" i="3"/>
  <c r="AG64" i="3"/>
  <c r="AI39" i="3"/>
  <c r="AG39" i="3"/>
  <c r="AR9" i="3"/>
  <c r="AJ9" i="3"/>
  <c r="AG83" i="3"/>
  <c r="AI83" i="3"/>
  <c r="AS16" i="3"/>
  <c r="Y136" i="17"/>
  <c r="O136" i="17"/>
  <c r="S136" i="17"/>
  <c r="AI17" i="3"/>
  <c r="AG17" i="3"/>
  <c r="AI90" i="3"/>
  <c r="AG90" i="3"/>
  <c r="AS43" i="3"/>
  <c r="AI102" i="3"/>
  <c r="AG102" i="3"/>
  <c r="AS76" i="3"/>
  <c r="AI98" i="3"/>
  <c r="AG98" i="3"/>
  <c r="AI86" i="3"/>
  <c r="AG86" i="3"/>
  <c r="AI94" i="3"/>
  <c r="AG94" i="3"/>
  <c r="AG103" i="3"/>
  <c r="AI103" i="3"/>
  <c r="AS41" i="3"/>
  <c r="AJ82" i="3"/>
  <c r="AR82" i="3"/>
  <c r="AI46" i="3"/>
  <c r="AG46" i="3"/>
  <c r="AR69" i="3"/>
  <c r="AJ69" i="3"/>
  <c r="AS50" i="3"/>
  <c r="AR91" i="3"/>
  <c r="AJ91" i="3"/>
  <c r="AR49" i="3"/>
  <c r="AJ49" i="3"/>
  <c r="AG95" i="3"/>
  <c r="AI95" i="3"/>
  <c r="AJ20" i="3"/>
  <c r="AR20" i="3"/>
  <c r="AS51" i="3"/>
  <c r="AG99" i="3"/>
  <c r="AI99" i="3"/>
  <c r="AR11" i="3"/>
  <c r="AJ11" i="3"/>
  <c r="AG67" i="3"/>
  <c r="AI67" i="3"/>
  <c r="AR15" i="3"/>
  <c r="AJ15" i="3"/>
  <c r="AR87" i="3"/>
  <c r="AJ87" i="3"/>
  <c r="AR58" i="3"/>
  <c r="AJ58" i="3"/>
  <c r="AS52" i="3"/>
  <c r="AR13" i="3"/>
  <c r="AJ13" i="3"/>
  <c r="AG36" i="3"/>
  <c r="AI36" i="3"/>
  <c r="AO36" i="3" s="1"/>
  <c r="AP36" i="3" s="1"/>
  <c r="AQ20" i="10"/>
  <c r="AI20" i="10"/>
  <c r="AR73" i="10"/>
  <c r="AH26" i="10"/>
  <c r="AF26" i="10"/>
  <c r="AR72" i="10"/>
  <c r="AF14" i="10"/>
  <c r="AH14" i="10"/>
  <c r="AF22" i="10"/>
  <c r="AH22" i="10"/>
  <c r="AF61" i="10"/>
  <c r="AH61" i="10"/>
  <c r="AI24" i="10"/>
  <c r="AQ24" i="10"/>
  <c r="AI9" i="10"/>
  <c r="AQ9" i="10"/>
  <c r="AI114" i="10"/>
  <c r="AQ114" i="10"/>
  <c r="AF16" i="10"/>
  <c r="AH16" i="10"/>
  <c r="AF10" i="10"/>
  <c r="AH10" i="10"/>
  <c r="AF92" i="10"/>
  <c r="AH92" i="10"/>
  <c r="AR96" i="10"/>
  <c r="AI65" i="10"/>
  <c r="AQ65" i="10"/>
  <c r="AF13" i="10"/>
  <c r="AH13" i="10"/>
  <c r="AC63" i="10"/>
  <c r="AC147" i="10" s="1"/>
  <c r="AE63" i="10"/>
  <c r="AH115" i="10"/>
  <c r="AF115" i="10"/>
  <c r="AF84" i="10"/>
  <c r="AH84" i="10"/>
  <c r="AH18" i="10"/>
  <c r="AF18" i="10"/>
  <c r="AH17" i="10"/>
  <c r="AF17" i="10"/>
  <c r="AF91" i="10"/>
  <c r="AH91" i="10"/>
  <c r="AQ90" i="10"/>
  <c r="AI90" i="10"/>
  <c r="AF12" i="10"/>
  <c r="AH12" i="10"/>
  <c r="AF83" i="10"/>
  <c r="AH83" i="10"/>
  <c r="AB147" i="10"/>
  <c r="K198" i="17"/>
  <c r="S198" i="17" s="1"/>
  <c r="E82" i="15"/>
  <c r="F81" i="15"/>
  <c r="E52" i="17" s="1"/>
  <c r="F12" i="23"/>
  <c r="G12" i="23" s="1"/>
  <c r="K91" i="17"/>
  <c r="AR140" i="10"/>
  <c r="AZ140" i="10" s="1"/>
  <c r="AF139" i="10"/>
  <c r="AH139" i="10"/>
  <c r="AC138" i="10"/>
  <c r="AE138" i="10"/>
  <c r="AC137" i="10"/>
  <c r="AE137" i="10"/>
  <c r="AC136" i="10"/>
  <c r="AE136" i="10"/>
  <c r="AE135" i="10"/>
  <c r="AC135" i="10"/>
  <c r="AC134" i="10"/>
  <c r="AE134" i="10"/>
  <c r="AF125" i="10"/>
  <c r="AH125" i="10"/>
  <c r="AE124" i="10"/>
  <c r="AC124" i="10"/>
  <c r="AC123" i="10"/>
  <c r="AE123" i="10"/>
  <c r="AE122" i="10"/>
  <c r="AC122" i="10"/>
  <c r="AC121" i="10"/>
  <c r="AE121" i="10"/>
  <c r="AC120" i="10"/>
  <c r="AE120" i="10"/>
  <c r="AC119" i="10"/>
  <c r="AE119" i="10"/>
  <c r="AE118" i="10"/>
  <c r="AC118" i="10"/>
  <c r="AH109" i="10"/>
  <c r="AF109" i="10"/>
  <c r="AH108" i="10"/>
  <c r="AF108" i="10"/>
  <c r="AQ95" i="10"/>
  <c r="AI95" i="10"/>
  <c r="AH89" i="10"/>
  <c r="AF89" i="10"/>
  <c r="AB87" i="10"/>
  <c r="W146" i="10"/>
  <c r="X87" i="10"/>
  <c r="W149" i="10"/>
  <c r="C142" i="17" s="1"/>
  <c r="U146" i="10"/>
  <c r="U149" i="10"/>
  <c r="E161" i="10"/>
  <c r="E162" i="10" s="1"/>
  <c r="E163" i="10" s="1"/>
  <c r="F163" i="10" s="1"/>
  <c r="F159" i="10"/>
  <c r="E126" i="17" s="1"/>
  <c r="F14" i="21"/>
  <c r="AD12" i="14"/>
  <c r="AF12" i="14"/>
  <c r="S209" i="17"/>
  <c r="K217" i="17"/>
  <c r="AJ7" i="14"/>
  <c r="AR7" i="14"/>
  <c r="AU7" i="14" s="1"/>
  <c r="AJ6" i="14"/>
  <c r="AR6" i="14"/>
  <c r="AU6" i="14" s="1"/>
  <c r="AG5" i="14"/>
  <c r="AI5" i="14"/>
  <c r="Y137" i="17"/>
  <c r="AT10" i="9" l="1"/>
  <c r="AU10" i="9" s="1"/>
  <c r="AW10" i="9"/>
  <c r="AT13" i="9"/>
  <c r="AU13" i="9" s="1"/>
  <c r="AW13" i="9"/>
  <c r="AT17" i="9"/>
  <c r="AU17" i="9" s="1"/>
  <c r="AW17" i="9"/>
  <c r="AT12" i="9"/>
  <c r="AU12" i="9" s="1"/>
  <c r="AW12" i="9"/>
  <c r="AX16" i="9"/>
  <c r="AZ16" i="9"/>
  <c r="AX24" i="9"/>
  <c r="AZ24" i="9"/>
  <c r="AX15" i="9"/>
  <c r="AZ15" i="9"/>
  <c r="AX21" i="9"/>
  <c r="AZ21" i="9"/>
  <c r="AX18" i="9"/>
  <c r="AZ18" i="9"/>
  <c r="AX25" i="9"/>
  <c r="AZ25" i="9"/>
  <c r="AX14" i="9"/>
  <c r="AZ14" i="9"/>
  <c r="AX19" i="9"/>
  <c r="AZ19" i="9"/>
  <c r="AX62" i="10"/>
  <c r="AZ62" i="10"/>
  <c r="AX88" i="10"/>
  <c r="AZ88" i="10"/>
  <c r="AX96" i="10"/>
  <c r="AZ96" i="10"/>
  <c r="AX72" i="10"/>
  <c r="AZ72" i="10"/>
  <c r="AX73" i="10"/>
  <c r="AZ73" i="10"/>
  <c r="F82" i="15"/>
  <c r="D88" i="32" s="1"/>
  <c r="J88" i="32" s="1"/>
  <c r="E83" i="15"/>
  <c r="F83" i="15" s="1"/>
  <c r="AT17" i="15"/>
  <c r="AU17" i="15" s="1"/>
  <c r="AW17" i="15"/>
  <c r="AX48" i="15"/>
  <c r="AZ48" i="15"/>
  <c r="AT22" i="15"/>
  <c r="AU22" i="15" s="1"/>
  <c r="AW22" i="15"/>
  <c r="AT18" i="15"/>
  <c r="AU18" i="15" s="1"/>
  <c r="AW18" i="15"/>
  <c r="AT29" i="15"/>
  <c r="AU29" i="15" s="1"/>
  <c r="AW29" i="15"/>
  <c r="AT40" i="15"/>
  <c r="AU40" i="15" s="1"/>
  <c r="AW40" i="15"/>
  <c r="AT30" i="15"/>
  <c r="AU30" i="15" s="1"/>
  <c r="AW30" i="15"/>
  <c r="AT26" i="15"/>
  <c r="AU26" i="15" s="1"/>
  <c r="AW26" i="15"/>
  <c r="AT25" i="15"/>
  <c r="AU25" i="15" s="1"/>
  <c r="AW25" i="15"/>
  <c r="AT23" i="15"/>
  <c r="AU23" i="15" s="1"/>
  <c r="AW23" i="15"/>
  <c r="AT12" i="15"/>
  <c r="AU12" i="15" s="1"/>
  <c r="AW12" i="15"/>
  <c r="AT42" i="15"/>
  <c r="AU42" i="15" s="1"/>
  <c r="AW42" i="15"/>
  <c r="AT41" i="15"/>
  <c r="AU41" i="15" s="1"/>
  <c r="AW41" i="15"/>
  <c r="AT16" i="15"/>
  <c r="AU16" i="15" s="1"/>
  <c r="AW16" i="15"/>
  <c r="AT13" i="15"/>
  <c r="AU13" i="15" s="1"/>
  <c r="AW13" i="15"/>
  <c r="AT28" i="15"/>
  <c r="AU28" i="15" s="1"/>
  <c r="AW28" i="15"/>
  <c r="AT21" i="15"/>
  <c r="AU21" i="15" s="1"/>
  <c r="AW21" i="15"/>
  <c r="AX33" i="15"/>
  <c r="AZ33" i="15"/>
  <c r="AX31" i="15"/>
  <c r="AZ31" i="15"/>
  <c r="AX36" i="15"/>
  <c r="AZ36" i="15"/>
  <c r="AX34" i="15"/>
  <c r="AZ34" i="15"/>
  <c r="AX24" i="15"/>
  <c r="AZ24" i="15"/>
  <c r="AU11" i="11"/>
  <c r="BA11" i="11"/>
  <c r="AU10" i="11"/>
  <c r="BA10" i="11"/>
  <c r="AU12" i="11"/>
  <c r="BA12" i="11"/>
  <c r="AT90" i="10"/>
  <c r="AU90" i="10" s="1"/>
  <c r="AW90" i="10"/>
  <c r="AT65" i="10"/>
  <c r="AU65" i="10" s="1"/>
  <c r="AW65" i="10"/>
  <c r="AT114" i="10"/>
  <c r="AU114" i="10" s="1"/>
  <c r="AW114" i="10"/>
  <c r="AT9" i="10"/>
  <c r="AU9" i="10" s="1"/>
  <c r="AW9" i="10"/>
  <c r="AT24" i="10"/>
  <c r="AU24" i="10" s="1"/>
  <c r="AW24" i="10"/>
  <c r="AT20" i="10"/>
  <c r="AU20" i="10" s="1"/>
  <c r="AW20" i="10"/>
  <c r="AT94" i="10"/>
  <c r="AU94" i="10" s="1"/>
  <c r="AW94" i="10"/>
  <c r="AT64" i="10"/>
  <c r="AU64" i="10" s="1"/>
  <c r="AW64" i="10"/>
  <c r="AT15" i="10"/>
  <c r="AU15" i="10" s="1"/>
  <c r="AW15" i="10"/>
  <c r="AK15" i="15"/>
  <c r="AN15" i="15"/>
  <c r="AO15" i="15" s="1"/>
  <c r="AK8" i="15"/>
  <c r="AN8" i="15"/>
  <c r="AO8" i="15" s="1"/>
  <c r="AK9" i="15"/>
  <c r="AN9" i="15"/>
  <c r="AO9" i="15" s="1"/>
  <c r="AK14" i="15"/>
  <c r="AN14" i="15"/>
  <c r="AO14" i="15" s="1"/>
  <c r="AK20" i="15"/>
  <c r="AN20" i="15"/>
  <c r="AO20" i="15" s="1"/>
  <c r="AK10" i="15"/>
  <c r="AN10" i="15"/>
  <c r="AO10" i="15" s="1"/>
  <c r="AK11" i="15"/>
  <c r="AN11" i="15"/>
  <c r="AO11" i="15" s="1"/>
  <c r="AK7" i="15"/>
  <c r="AN7" i="15"/>
  <c r="AO7" i="15" s="1"/>
  <c r="AK32" i="15"/>
  <c r="AN32" i="15"/>
  <c r="AO32" i="15" s="1"/>
  <c r="AK19" i="15"/>
  <c r="AN19" i="15"/>
  <c r="AO19" i="15" s="1"/>
  <c r="AK5" i="15"/>
  <c r="AN5" i="15"/>
  <c r="AK6" i="15"/>
  <c r="AN6" i="15"/>
  <c r="AO6" i="15" s="1"/>
  <c r="AK8" i="16"/>
  <c r="AN8" i="16"/>
  <c r="AO8" i="16" s="1"/>
  <c r="F329" i="13"/>
  <c r="E13" i="17" s="1"/>
  <c r="AX173" i="13"/>
  <c r="AZ173" i="13"/>
  <c r="AX121" i="13"/>
  <c r="AZ121" i="13"/>
  <c r="AX125" i="13"/>
  <c r="AZ125" i="13"/>
  <c r="AX115" i="13"/>
  <c r="AZ115" i="13"/>
  <c r="AX170" i="13"/>
  <c r="AZ170" i="13"/>
  <c r="AX142" i="13"/>
  <c r="AZ142" i="13"/>
  <c r="AX145" i="13"/>
  <c r="AZ145" i="13"/>
  <c r="AX48" i="13"/>
  <c r="AZ48" i="13"/>
  <c r="AX164" i="13"/>
  <c r="AZ164" i="13"/>
  <c r="AX32" i="13"/>
  <c r="AZ32" i="13"/>
  <c r="AX101" i="13"/>
  <c r="AZ101" i="13"/>
  <c r="AX188" i="13"/>
  <c r="AZ188" i="13"/>
  <c r="AX33" i="13"/>
  <c r="AZ33" i="13"/>
  <c r="AX147" i="13"/>
  <c r="AZ147" i="13"/>
  <c r="AX114" i="13"/>
  <c r="AZ114" i="13"/>
  <c r="AX84" i="13"/>
  <c r="AZ84" i="13"/>
  <c r="AX41" i="13"/>
  <c r="AZ41" i="13"/>
  <c r="AX94" i="13"/>
  <c r="AZ94" i="13"/>
  <c r="AX134" i="13"/>
  <c r="AZ134" i="13"/>
  <c r="AX45" i="13"/>
  <c r="AZ45" i="13"/>
  <c r="AX35" i="13"/>
  <c r="AZ35" i="13"/>
  <c r="AX43" i="13"/>
  <c r="AZ43" i="13"/>
  <c r="AX130" i="13"/>
  <c r="AZ130" i="13"/>
  <c r="AX83" i="13"/>
  <c r="AZ83" i="13"/>
  <c r="AX168" i="13"/>
  <c r="AZ168" i="13"/>
  <c r="AX136" i="13"/>
  <c r="AZ136" i="13"/>
  <c r="AX141" i="13"/>
  <c r="AZ141" i="13"/>
  <c r="AX122" i="13"/>
  <c r="AZ122" i="13"/>
  <c r="AX124" i="13"/>
  <c r="AZ124" i="13"/>
  <c r="AX117" i="13"/>
  <c r="AZ117" i="13"/>
  <c r="AX58" i="13"/>
  <c r="AZ58" i="13"/>
  <c r="AX123" i="13"/>
  <c r="AZ123" i="13"/>
  <c r="AX18" i="13"/>
  <c r="AZ18" i="13"/>
  <c r="AX182" i="13"/>
  <c r="AZ182" i="13"/>
  <c r="AX102" i="13"/>
  <c r="AZ102" i="13"/>
  <c r="AX75" i="13"/>
  <c r="AZ75" i="13"/>
  <c r="AX46" i="13"/>
  <c r="AZ46" i="13"/>
  <c r="AX44" i="13"/>
  <c r="AZ44" i="13"/>
  <c r="AX137" i="13"/>
  <c r="AZ137" i="13"/>
  <c r="AX86" i="13"/>
  <c r="AZ86" i="13"/>
  <c r="AX85" i="13"/>
  <c r="AZ85" i="13"/>
  <c r="AX99" i="13"/>
  <c r="AZ99" i="13"/>
  <c r="AX38" i="13"/>
  <c r="AZ38" i="13"/>
  <c r="AX57" i="13"/>
  <c r="AZ57" i="13"/>
  <c r="AX178" i="13"/>
  <c r="AZ178" i="13"/>
  <c r="AX157" i="13"/>
  <c r="AZ157" i="13"/>
  <c r="AX139" i="13"/>
  <c r="AZ139" i="13"/>
  <c r="AX129" i="13"/>
  <c r="AZ129" i="13"/>
  <c r="AX24" i="13"/>
  <c r="AZ24" i="13"/>
  <c r="AX163" i="13"/>
  <c r="AZ163" i="13"/>
  <c r="AX171" i="13"/>
  <c r="AZ171" i="13"/>
  <c r="AX116" i="13"/>
  <c r="AZ116" i="13"/>
  <c r="AX128" i="13"/>
  <c r="AZ128" i="13"/>
  <c r="AX36" i="13"/>
  <c r="AZ36" i="13"/>
  <c r="AX158" i="13"/>
  <c r="AZ158" i="13"/>
  <c r="AX59" i="13"/>
  <c r="AZ59" i="13"/>
  <c r="AX20" i="13"/>
  <c r="AZ20" i="13"/>
  <c r="AX55" i="13"/>
  <c r="AZ55" i="13"/>
  <c r="AX169" i="13"/>
  <c r="AZ169" i="13"/>
  <c r="AX108" i="13"/>
  <c r="AZ108" i="13"/>
  <c r="AX23" i="13"/>
  <c r="AZ23" i="13"/>
  <c r="AX19" i="13"/>
  <c r="AZ19" i="13"/>
  <c r="AX138" i="13"/>
  <c r="AZ138" i="13"/>
  <c r="AX29" i="13"/>
  <c r="AZ29" i="13"/>
  <c r="AX144" i="13"/>
  <c r="AZ144" i="13"/>
  <c r="AX180" i="13"/>
  <c r="AZ180" i="13"/>
  <c r="AX149" i="13"/>
  <c r="AZ149" i="13"/>
  <c r="AX56" i="13"/>
  <c r="AZ56" i="13"/>
  <c r="AX132" i="13"/>
  <c r="AZ132" i="13"/>
  <c r="AX31" i="13"/>
  <c r="AZ31" i="13"/>
  <c r="AX52" i="13"/>
  <c r="AZ52" i="13"/>
  <c r="AX73" i="13"/>
  <c r="AZ73" i="13"/>
  <c r="AX21" i="13"/>
  <c r="AZ21" i="13"/>
  <c r="AX146" i="13"/>
  <c r="AZ146" i="13"/>
  <c r="AX40" i="13"/>
  <c r="AZ40" i="13"/>
  <c r="AX12" i="13"/>
  <c r="AZ12" i="13"/>
  <c r="AX26" i="13"/>
  <c r="AZ26" i="13"/>
  <c r="AX183" i="13"/>
  <c r="AZ183" i="13"/>
  <c r="AX181" i="13"/>
  <c r="AZ181" i="13"/>
  <c r="AX77" i="13"/>
  <c r="AZ77" i="13"/>
  <c r="AX176" i="13"/>
  <c r="AZ176" i="13"/>
  <c r="AX174" i="13"/>
  <c r="AZ174" i="13"/>
  <c r="AX74" i="13"/>
  <c r="AZ74" i="13"/>
  <c r="AX109" i="13"/>
  <c r="AZ109" i="13"/>
  <c r="AX64" i="13"/>
  <c r="AZ64" i="13"/>
  <c r="AX131" i="13"/>
  <c r="AZ131" i="13"/>
  <c r="AX49" i="13"/>
  <c r="AZ49" i="13"/>
  <c r="AX60" i="13"/>
  <c r="AZ60" i="13"/>
  <c r="AT37" i="13"/>
  <c r="AW37" i="13"/>
  <c r="AT133" i="13"/>
  <c r="AW133" i="13"/>
  <c r="AT110" i="13"/>
  <c r="AW110" i="13"/>
  <c r="AT53" i="13"/>
  <c r="AW53" i="13"/>
  <c r="AT92" i="13"/>
  <c r="AW92" i="13"/>
  <c r="AX6" i="13"/>
  <c r="AZ6" i="13" s="1"/>
  <c r="AV10" i="11"/>
  <c r="AX10" i="11"/>
  <c r="AY10" i="11" s="1"/>
  <c r="AV12" i="11"/>
  <c r="AX12" i="11"/>
  <c r="AY12" i="11" s="1"/>
  <c r="AL5" i="14"/>
  <c r="AO5" i="14"/>
  <c r="AV6" i="14"/>
  <c r="AX6" i="14"/>
  <c r="AY6" i="14" s="1"/>
  <c r="AV7" i="14"/>
  <c r="AX7" i="14"/>
  <c r="AY7" i="14" s="1"/>
  <c r="AU13" i="3"/>
  <c r="AV13" i="3" s="1"/>
  <c r="AU58" i="3"/>
  <c r="AV58" i="3" s="1"/>
  <c r="AU15" i="3"/>
  <c r="AV15" i="3" s="1"/>
  <c r="AL67" i="3"/>
  <c r="AO67" i="3"/>
  <c r="AP67" i="3" s="1"/>
  <c r="AU11" i="3"/>
  <c r="AV11" i="3" s="1"/>
  <c r="AU20" i="3"/>
  <c r="AV20" i="3" s="1"/>
  <c r="AU49" i="3"/>
  <c r="AV49" i="3" s="1"/>
  <c r="AU69" i="3"/>
  <c r="AV69" i="3" s="1"/>
  <c r="AL46" i="3"/>
  <c r="AO46" i="3"/>
  <c r="AP46" i="3" s="1"/>
  <c r="AL17" i="3"/>
  <c r="AO17" i="3"/>
  <c r="AP17" i="3" s="1"/>
  <c r="AL39" i="3"/>
  <c r="AO39" i="3"/>
  <c r="AP39" i="3" s="1"/>
  <c r="AL64" i="3"/>
  <c r="AO64" i="3"/>
  <c r="AP64" i="3" s="1"/>
  <c r="AL38" i="3"/>
  <c r="AO38" i="3"/>
  <c r="AP38" i="3" s="1"/>
  <c r="AL19" i="3"/>
  <c r="AO19" i="3"/>
  <c r="AP19" i="3" s="1"/>
  <c r="AU61" i="3"/>
  <c r="AV61" i="3" s="1"/>
  <c r="AU45" i="3"/>
  <c r="AV45" i="3" s="1"/>
  <c r="AU57" i="3"/>
  <c r="AV57" i="3" s="1"/>
  <c r="AL53" i="3"/>
  <c r="AO53" i="3"/>
  <c r="AP53" i="3" s="1"/>
  <c r="AL48" i="3"/>
  <c r="AO48" i="3"/>
  <c r="AP48" i="3" s="1"/>
  <c r="AK83" i="10"/>
  <c r="AN83" i="10"/>
  <c r="AK12" i="10"/>
  <c r="AN12" i="10"/>
  <c r="AK91" i="10"/>
  <c r="AN91" i="10"/>
  <c r="AK17" i="10"/>
  <c r="AN17" i="10"/>
  <c r="AK18" i="10"/>
  <c r="AN18" i="10"/>
  <c r="AK84" i="10"/>
  <c r="AN84" i="10"/>
  <c r="AK115" i="10"/>
  <c r="AN115" i="10"/>
  <c r="AK13" i="10"/>
  <c r="AN13" i="10"/>
  <c r="AK92" i="10"/>
  <c r="AN92" i="10"/>
  <c r="AK10" i="10"/>
  <c r="AN10" i="10"/>
  <c r="AK16" i="10"/>
  <c r="AN16" i="10"/>
  <c r="AK61" i="10"/>
  <c r="AN61" i="10"/>
  <c r="AK22" i="10"/>
  <c r="AN22" i="10"/>
  <c r="AK14" i="10"/>
  <c r="AN14" i="10"/>
  <c r="AK26" i="10"/>
  <c r="AN26" i="10"/>
  <c r="AK86" i="10"/>
  <c r="AN86" i="10"/>
  <c r="AK93" i="10"/>
  <c r="AN93" i="10"/>
  <c r="AK25" i="10"/>
  <c r="AN25" i="10"/>
  <c r="AK11" i="10"/>
  <c r="AN11" i="10"/>
  <c r="AK60" i="10"/>
  <c r="AN60" i="10"/>
  <c r="AK23" i="10"/>
  <c r="AN23" i="10"/>
  <c r="AK21" i="10"/>
  <c r="AN21" i="10"/>
  <c r="AK19" i="10"/>
  <c r="AN19" i="10"/>
  <c r="AK8" i="10"/>
  <c r="AN8" i="10"/>
  <c r="AV11" i="11"/>
  <c r="AX11" i="11"/>
  <c r="AL83" i="10"/>
  <c r="AO83" i="10"/>
  <c r="AL12" i="10"/>
  <c r="AO12" i="10"/>
  <c r="AL91" i="10"/>
  <c r="AO91" i="10"/>
  <c r="AL17" i="10"/>
  <c r="AO17" i="10"/>
  <c r="AL18" i="10"/>
  <c r="AO18" i="10"/>
  <c r="AL84" i="10"/>
  <c r="AO84" i="10"/>
  <c r="AL115" i="10"/>
  <c r="AO115" i="10"/>
  <c r="AL13" i="10"/>
  <c r="AO13" i="10"/>
  <c r="AL92" i="10"/>
  <c r="AO92" i="10"/>
  <c r="AL10" i="10"/>
  <c r="AO10" i="10"/>
  <c r="AL16" i="10"/>
  <c r="AO16" i="10"/>
  <c r="AL61" i="10"/>
  <c r="AO61" i="10"/>
  <c r="AL22" i="10"/>
  <c r="AO22" i="10"/>
  <c r="AL14" i="10"/>
  <c r="AO14" i="10"/>
  <c r="AL26" i="10"/>
  <c r="AO26" i="10"/>
  <c r="AL86" i="10"/>
  <c r="AO86" i="10"/>
  <c r="AL93" i="10"/>
  <c r="AO93" i="10"/>
  <c r="AL25" i="10"/>
  <c r="AO25" i="10"/>
  <c r="AL11" i="10"/>
  <c r="AO11" i="10"/>
  <c r="AO60" i="10"/>
  <c r="AL23" i="10"/>
  <c r="AO23" i="10"/>
  <c r="AL21" i="10"/>
  <c r="AO21" i="10"/>
  <c r="AL19" i="10"/>
  <c r="AO19" i="10"/>
  <c r="AO8" i="10"/>
  <c r="AL15" i="15"/>
  <c r="AL8" i="15"/>
  <c r="AL9" i="15"/>
  <c r="AL14" i="15"/>
  <c r="AL20" i="15"/>
  <c r="AL10" i="15"/>
  <c r="AL11" i="15"/>
  <c r="AL7" i="15"/>
  <c r="AO66" i="15"/>
  <c r="AN66" i="15"/>
  <c r="AL19" i="15"/>
  <c r="AO5" i="15"/>
  <c r="AL6" i="15"/>
  <c r="E15" i="17"/>
  <c r="AO43" i="16"/>
  <c r="AN43" i="16"/>
  <c r="AO6" i="13"/>
  <c r="AL173" i="13"/>
  <c r="AL37" i="13"/>
  <c r="AL121" i="13"/>
  <c r="AL133" i="13"/>
  <c r="AL125" i="13"/>
  <c r="AL110" i="13"/>
  <c r="AL115" i="13"/>
  <c r="AL53" i="13"/>
  <c r="AL170" i="13"/>
  <c r="AL142" i="13"/>
  <c r="AL145" i="13"/>
  <c r="AL48" i="13"/>
  <c r="AL164" i="13"/>
  <c r="AL32" i="13"/>
  <c r="AL101" i="13"/>
  <c r="AL188" i="13"/>
  <c r="AL33" i="13"/>
  <c r="AL147" i="13"/>
  <c r="AL114" i="13"/>
  <c r="AL84" i="13"/>
  <c r="AL41" i="13"/>
  <c r="AL94" i="13"/>
  <c r="AL134" i="13"/>
  <c r="AL45" i="13"/>
  <c r="AL35" i="13"/>
  <c r="AL43" i="13"/>
  <c r="AL130" i="13"/>
  <c r="AL83" i="13"/>
  <c r="AL168" i="13"/>
  <c r="AL136" i="13"/>
  <c r="AL141" i="13"/>
  <c r="AL92" i="13"/>
  <c r="AL122" i="13"/>
  <c r="AL124" i="13"/>
  <c r="AL117" i="13"/>
  <c r="AL58" i="13"/>
  <c r="AL123" i="13"/>
  <c r="AL18" i="13"/>
  <c r="AL182" i="13"/>
  <c r="AL102" i="13"/>
  <c r="AL75" i="13"/>
  <c r="AL46" i="13"/>
  <c r="AL44" i="13"/>
  <c r="AL137" i="13"/>
  <c r="AL86" i="13"/>
  <c r="AL85" i="13"/>
  <c r="AL99" i="13"/>
  <c r="AL38" i="13"/>
  <c r="AL57" i="13"/>
  <c r="AL178" i="13"/>
  <c r="AL157" i="13"/>
  <c r="AL139" i="13"/>
  <c r="AL129" i="13"/>
  <c r="AL24" i="13"/>
  <c r="AL163" i="13"/>
  <c r="AL171" i="13"/>
  <c r="AL116" i="13"/>
  <c r="AL128" i="13"/>
  <c r="AL36" i="13"/>
  <c r="AL158" i="13"/>
  <c r="AL59" i="13"/>
  <c r="AL20" i="13"/>
  <c r="AL55" i="13"/>
  <c r="AL169" i="13"/>
  <c r="AL108" i="13"/>
  <c r="AL23" i="13"/>
  <c r="AL19" i="13"/>
  <c r="AL138" i="13"/>
  <c r="AL29" i="13"/>
  <c r="AL144" i="13"/>
  <c r="AL180" i="13"/>
  <c r="AL149" i="13"/>
  <c r="AL56" i="13"/>
  <c r="AL132" i="13"/>
  <c r="AL31" i="13"/>
  <c r="AL52" i="13"/>
  <c r="AL73" i="13"/>
  <c r="AL21" i="13"/>
  <c r="AL146" i="13"/>
  <c r="AL40" i="13"/>
  <c r="AL12" i="13"/>
  <c r="AL26" i="13"/>
  <c r="AL183" i="13"/>
  <c r="AL181" i="13"/>
  <c r="AL77" i="13"/>
  <c r="AL176" i="13"/>
  <c r="AL174" i="13"/>
  <c r="AL74" i="13"/>
  <c r="AQ7" i="13"/>
  <c r="AW7" i="13" s="1"/>
  <c r="AP5" i="14"/>
  <c r="AM67" i="3"/>
  <c r="AM46" i="3"/>
  <c r="AM17" i="3"/>
  <c r="AM39" i="3"/>
  <c r="AM64" i="3"/>
  <c r="AM38" i="3"/>
  <c r="AM19" i="3"/>
  <c r="AM53" i="3"/>
  <c r="AM48" i="3"/>
  <c r="AM35" i="3"/>
  <c r="AL36" i="3"/>
  <c r="AU35" i="3"/>
  <c r="AV35" i="3" s="1"/>
  <c r="AL7" i="3"/>
  <c r="AV34" i="3"/>
  <c r="AP109" i="17"/>
  <c r="AR109" i="17"/>
  <c r="Y113" i="3"/>
  <c r="AC115" i="3"/>
  <c r="F21" i="21" s="1"/>
  <c r="G21" i="21" s="1"/>
  <c r="L14" i="20" s="1"/>
  <c r="M14" i="20" s="1"/>
  <c r="U120" i="17"/>
  <c r="AG104" i="3"/>
  <c r="AI104" i="3"/>
  <c r="AI96" i="3"/>
  <c r="AG96" i="3"/>
  <c r="AD92" i="3"/>
  <c r="AF92" i="3"/>
  <c r="C102" i="17"/>
  <c r="K102" i="17" s="1"/>
  <c r="AK102" i="17" s="1"/>
  <c r="AC113" i="3"/>
  <c r="AL32" i="15"/>
  <c r="AL66" i="15" s="1"/>
  <c r="AK66" i="15"/>
  <c r="K86" i="17"/>
  <c r="AR9" i="16"/>
  <c r="AT9" i="16"/>
  <c r="AU9" i="16" s="1"/>
  <c r="AU5" i="16"/>
  <c r="AR88" i="10"/>
  <c r="AT88" i="10"/>
  <c r="AU88" i="10" s="1"/>
  <c r="AR48" i="15"/>
  <c r="AT48" i="15"/>
  <c r="AU48" i="15" s="1"/>
  <c r="AK65" i="15"/>
  <c r="AL5" i="15"/>
  <c r="AK69" i="15"/>
  <c r="AR31" i="15"/>
  <c r="AT31" i="15"/>
  <c r="AU31" i="15" s="1"/>
  <c r="AR62" i="10"/>
  <c r="AT62" i="10"/>
  <c r="AU62" i="10" s="1"/>
  <c r="AR16" i="9"/>
  <c r="AT16" i="9"/>
  <c r="AU16" i="9" s="1"/>
  <c r="AJ136" i="17"/>
  <c r="AR33" i="15"/>
  <c r="AT33" i="15"/>
  <c r="AU33" i="15" s="1"/>
  <c r="G16" i="28"/>
  <c r="AC262" i="13"/>
  <c r="AE262" i="13"/>
  <c r="AF35" i="16"/>
  <c r="AH35" i="16"/>
  <c r="AL60" i="10"/>
  <c r="AL8" i="10"/>
  <c r="AK146" i="10"/>
  <c r="AL8" i="16"/>
  <c r="AL43" i="16" s="1"/>
  <c r="AK43" i="16"/>
  <c r="AH31" i="16"/>
  <c r="AF31" i="16"/>
  <c r="AK30" i="13"/>
  <c r="AQ30" i="13"/>
  <c r="AW30" i="13" s="1"/>
  <c r="AK103" i="13"/>
  <c r="AQ103" i="13"/>
  <c r="AW103" i="13" s="1"/>
  <c r="AK175" i="13"/>
  <c r="AQ175" i="13"/>
  <c r="AW175" i="13" s="1"/>
  <c r="AK179" i="13"/>
  <c r="AQ179" i="13"/>
  <c r="AW179" i="13" s="1"/>
  <c r="AK54" i="13"/>
  <c r="AQ54" i="13"/>
  <c r="AW54" i="13" s="1"/>
  <c r="AK166" i="13"/>
  <c r="AQ166" i="13"/>
  <c r="AK91" i="13"/>
  <c r="AQ91" i="13"/>
  <c r="AW91" i="13" s="1"/>
  <c r="AK28" i="13"/>
  <c r="AQ28" i="13"/>
  <c r="AW28" i="13" s="1"/>
  <c r="AK151" i="13"/>
  <c r="AQ151" i="13"/>
  <c r="AW151" i="13" s="1"/>
  <c r="AK177" i="13"/>
  <c r="AQ177" i="13"/>
  <c r="AW177" i="13" s="1"/>
  <c r="AK79" i="13"/>
  <c r="AQ79" i="13"/>
  <c r="AW79" i="13" s="1"/>
  <c r="AK97" i="13"/>
  <c r="AQ97" i="13"/>
  <c r="AK93" i="13"/>
  <c r="AQ93" i="13"/>
  <c r="AK96" i="13"/>
  <c r="AQ96" i="13"/>
  <c r="AW96" i="13" s="1"/>
  <c r="AT182" i="13"/>
  <c r="AU182" i="13" s="1"/>
  <c r="AT75" i="13"/>
  <c r="AU75" i="13" s="1"/>
  <c r="AT44" i="13"/>
  <c r="AU44" i="13" s="1"/>
  <c r="AT137" i="13"/>
  <c r="AU137" i="13" s="1"/>
  <c r="AT99" i="13"/>
  <c r="AU99" i="13" s="1"/>
  <c r="AT157" i="13"/>
  <c r="AU157" i="13" s="1"/>
  <c r="AT139" i="13"/>
  <c r="AU139" i="13" s="1"/>
  <c r="AT24" i="13"/>
  <c r="AU24" i="13" s="1"/>
  <c r="AT59" i="13"/>
  <c r="AU59" i="13" s="1"/>
  <c r="AT108" i="13"/>
  <c r="AU108" i="13" s="1"/>
  <c r="AT23" i="13"/>
  <c r="AU23" i="13" s="1"/>
  <c r="AT19" i="13"/>
  <c r="AU19" i="13" s="1"/>
  <c r="AT29" i="13"/>
  <c r="AU29" i="13" s="1"/>
  <c r="AT144" i="13"/>
  <c r="AU144" i="13" s="1"/>
  <c r="AT132" i="13"/>
  <c r="AU132" i="13" s="1"/>
  <c r="AT31" i="13"/>
  <c r="AU31" i="13" s="1"/>
  <c r="AT21" i="13"/>
  <c r="AU21" i="13" s="1"/>
  <c r="AT40" i="13"/>
  <c r="AU40" i="13" s="1"/>
  <c r="AT26" i="13"/>
  <c r="AU26" i="13" s="1"/>
  <c r="AT77" i="13"/>
  <c r="AU77" i="13" s="1"/>
  <c r="AT174" i="13"/>
  <c r="AU174" i="13" s="1"/>
  <c r="AT86" i="13"/>
  <c r="AU86" i="13" s="1"/>
  <c r="AT20" i="13"/>
  <c r="AU20" i="13" s="1"/>
  <c r="AT169" i="13"/>
  <c r="AU169" i="13" s="1"/>
  <c r="AT180" i="13"/>
  <c r="AU180" i="13" s="1"/>
  <c r="AT149" i="13"/>
  <c r="AU149" i="13" s="1"/>
  <c r="AT73" i="13"/>
  <c r="AU73" i="13" s="1"/>
  <c r="AT183" i="13"/>
  <c r="AU183" i="13" s="1"/>
  <c r="AT116" i="13"/>
  <c r="AU116" i="13" s="1"/>
  <c r="AT146" i="13"/>
  <c r="AU146" i="13" s="1"/>
  <c r="AT176" i="13"/>
  <c r="AU176" i="13" s="1"/>
  <c r="AT102" i="13"/>
  <c r="AU102" i="13" s="1"/>
  <c r="AT57" i="13"/>
  <c r="AU57" i="13" s="1"/>
  <c r="AT129" i="13"/>
  <c r="AU129" i="13" s="1"/>
  <c r="AT171" i="13"/>
  <c r="AU171" i="13" s="1"/>
  <c r="AT128" i="13"/>
  <c r="AU128" i="13" s="1"/>
  <c r="AT36" i="13"/>
  <c r="AU36" i="13" s="1"/>
  <c r="AT55" i="13"/>
  <c r="AU55" i="13" s="1"/>
  <c r="AT52" i="13"/>
  <c r="AU52" i="13" s="1"/>
  <c r="AT18" i="13"/>
  <c r="AU18" i="13" s="1"/>
  <c r="AT46" i="13"/>
  <c r="AU46" i="13" s="1"/>
  <c r="AT85" i="13"/>
  <c r="AU85" i="13" s="1"/>
  <c r="AT38" i="13"/>
  <c r="AU38" i="13" s="1"/>
  <c r="AT178" i="13"/>
  <c r="AU178" i="13" s="1"/>
  <c r="AT138" i="13"/>
  <c r="AU138" i="13" s="1"/>
  <c r="AT12" i="13"/>
  <c r="AU12" i="13" s="1"/>
  <c r="AT74" i="13"/>
  <c r="AU74" i="13" s="1"/>
  <c r="AT163" i="13"/>
  <c r="AU163" i="13" s="1"/>
  <c r="AT158" i="13"/>
  <c r="AU158" i="13" s="1"/>
  <c r="AT56" i="13"/>
  <c r="AU56" i="13" s="1"/>
  <c r="AT181" i="13"/>
  <c r="AU181" i="13" s="1"/>
  <c r="AT142" i="13"/>
  <c r="AU142" i="13" s="1"/>
  <c r="AT136" i="13"/>
  <c r="AU136" i="13" s="1"/>
  <c r="AT122" i="13"/>
  <c r="AU122" i="13" s="1"/>
  <c r="AT117" i="13"/>
  <c r="AU117" i="13" s="1"/>
  <c r="AT147" i="13"/>
  <c r="AU147" i="13" s="1"/>
  <c r="AT101" i="13"/>
  <c r="AU101" i="13" s="1"/>
  <c r="AT33" i="13"/>
  <c r="AU33" i="13" s="1"/>
  <c r="AT43" i="13"/>
  <c r="AU43" i="13" s="1"/>
  <c r="AT124" i="13"/>
  <c r="AU124" i="13" s="1"/>
  <c r="AT123" i="13"/>
  <c r="AU123" i="13" s="1"/>
  <c r="AT32" i="13"/>
  <c r="AU32" i="13" s="1"/>
  <c r="AT188" i="13"/>
  <c r="AU188" i="13" s="1"/>
  <c r="AT84" i="13"/>
  <c r="AU84" i="13" s="1"/>
  <c r="AT41" i="13"/>
  <c r="AU41" i="13" s="1"/>
  <c r="AT134" i="13"/>
  <c r="AU134" i="13" s="1"/>
  <c r="AT45" i="13"/>
  <c r="AU45" i="13" s="1"/>
  <c r="AT130" i="13"/>
  <c r="AU130" i="13" s="1"/>
  <c r="AT83" i="13"/>
  <c r="AU83" i="13" s="1"/>
  <c r="AT58" i="13"/>
  <c r="AU58" i="13" s="1"/>
  <c r="AR288" i="13"/>
  <c r="AZ288" i="13" s="1"/>
  <c r="AT288" i="13"/>
  <c r="AT35" i="13"/>
  <c r="AU35" i="13" s="1"/>
  <c r="AR159" i="13"/>
  <c r="AZ159" i="13" s="1"/>
  <c r="AT159" i="13"/>
  <c r="AT115" i="13"/>
  <c r="AU115" i="13" s="1"/>
  <c r="AT6" i="13"/>
  <c r="AK7" i="13"/>
  <c r="AR145" i="13"/>
  <c r="AU145" i="13"/>
  <c r="AR94" i="13"/>
  <c r="AU94" i="13"/>
  <c r="AR168" i="13"/>
  <c r="AU168" i="13"/>
  <c r="AR170" i="13"/>
  <c r="AU170" i="13"/>
  <c r="AR141" i="13"/>
  <c r="AU141" i="13"/>
  <c r="AR48" i="13"/>
  <c r="AU48" i="13"/>
  <c r="AR164" i="13"/>
  <c r="AU164" i="13"/>
  <c r="AR114" i="13"/>
  <c r="AU114" i="13"/>
  <c r="AR173" i="13"/>
  <c r="AU173" i="13"/>
  <c r="AR92" i="13"/>
  <c r="AU92" i="13"/>
  <c r="AR125" i="13"/>
  <c r="AU125" i="13"/>
  <c r="AR110" i="13"/>
  <c r="AU110" i="13"/>
  <c r="AR53" i="13"/>
  <c r="AU53" i="13"/>
  <c r="AR133" i="13"/>
  <c r="AU133" i="13"/>
  <c r="AR37" i="13"/>
  <c r="AU37" i="13"/>
  <c r="AR121" i="13"/>
  <c r="AU121" i="13"/>
  <c r="AM5" i="14"/>
  <c r="C103" i="17"/>
  <c r="K103" i="17" s="1"/>
  <c r="AL137" i="17"/>
  <c r="AS9" i="3"/>
  <c r="AU9" i="3"/>
  <c r="AV9" i="3" s="1"/>
  <c r="AI114" i="3"/>
  <c r="AL8" i="3"/>
  <c r="AS14" i="3"/>
  <c r="AU14" i="3"/>
  <c r="AV14" i="3" s="1"/>
  <c r="AS18" i="3"/>
  <c r="AU18" i="3"/>
  <c r="AV18" i="3" s="1"/>
  <c r="AM7" i="3"/>
  <c r="Y115" i="3"/>
  <c r="AF35" i="9"/>
  <c r="AH35" i="9"/>
  <c r="AH38" i="9"/>
  <c r="AF38" i="9"/>
  <c r="AE32" i="9"/>
  <c r="G21" i="28"/>
  <c r="AC32" i="9"/>
  <c r="AC50" i="9" s="1"/>
  <c r="AB50" i="9"/>
  <c r="F26" i="21" s="1"/>
  <c r="G26" i="21" s="1"/>
  <c r="AH7" i="9"/>
  <c r="AF7" i="9"/>
  <c r="AC36" i="16"/>
  <c r="AE36" i="16"/>
  <c r="AQ25" i="16"/>
  <c r="AI25" i="16"/>
  <c r="AI13" i="16"/>
  <c r="AQ13" i="16"/>
  <c r="AR13" i="16" s="1"/>
  <c r="AZ13" i="16" s="1"/>
  <c r="AI23" i="16"/>
  <c r="AQ23" i="16"/>
  <c r="AR23" i="16" s="1"/>
  <c r="AZ23" i="16" s="1"/>
  <c r="AI21" i="16"/>
  <c r="AQ21" i="16"/>
  <c r="AH15" i="16"/>
  <c r="AF15" i="16"/>
  <c r="AG124" i="17"/>
  <c r="U124" i="17"/>
  <c r="C90" i="17"/>
  <c r="S124" i="17"/>
  <c r="AH30" i="16"/>
  <c r="AF30" i="16"/>
  <c r="AR22" i="16"/>
  <c r="AZ22" i="16" s="1"/>
  <c r="AR33" i="16"/>
  <c r="AZ33" i="16" s="1"/>
  <c r="AR39" i="16"/>
  <c r="AZ39" i="16" s="1"/>
  <c r="AR27" i="16"/>
  <c r="AZ27" i="16" s="1"/>
  <c r="AF38" i="16"/>
  <c r="AH38" i="16"/>
  <c r="AQ28" i="16"/>
  <c r="AI28" i="16"/>
  <c r="AJ140" i="17"/>
  <c r="Y140" i="17"/>
  <c r="S140" i="17"/>
  <c r="C106" i="17"/>
  <c r="K106" i="17" s="1"/>
  <c r="O140" i="17"/>
  <c r="AH34" i="16"/>
  <c r="AF34" i="16"/>
  <c r="AR5" i="16"/>
  <c r="AI8" i="16"/>
  <c r="AQ8" i="16"/>
  <c r="AT8" i="16" s="1"/>
  <c r="AU8" i="16" s="1"/>
  <c r="AI18" i="16"/>
  <c r="AQ18" i="16"/>
  <c r="AH24" i="16"/>
  <c r="AF24" i="16"/>
  <c r="AE14" i="16"/>
  <c r="AC14" i="16"/>
  <c r="C19" i="28"/>
  <c r="AB43" i="16"/>
  <c r="F24" i="21" s="1"/>
  <c r="G24" i="21" s="1"/>
  <c r="AQ19" i="16"/>
  <c r="AI19" i="16"/>
  <c r="AF40" i="16"/>
  <c r="AH40" i="16"/>
  <c r="AQ29" i="16"/>
  <c r="AI29" i="16"/>
  <c r="AF26" i="16"/>
  <c r="AH26" i="16"/>
  <c r="AR7" i="16"/>
  <c r="AI37" i="16"/>
  <c r="AQ37" i="16"/>
  <c r="F54" i="16"/>
  <c r="E90" i="17" s="1"/>
  <c r="F13" i="22"/>
  <c r="G13" i="22" s="1"/>
  <c r="F55" i="16"/>
  <c r="E51" i="17" s="1"/>
  <c r="AF20" i="16"/>
  <c r="AH20" i="16"/>
  <c r="X43" i="16"/>
  <c r="AF32" i="16"/>
  <c r="AH32" i="16"/>
  <c r="AC16" i="16"/>
  <c r="AE16" i="16"/>
  <c r="AR17" i="16"/>
  <c r="AZ17" i="16" s="1"/>
  <c r="AR7" i="11"/>
  <c r="AS7" i="11" s="1"/>
  <c r="BD7" i="11" s="1"/>
  <c r="AJ7" i="11"/>
  <c r="AF5" i="11"/>
  <c r="AD5" i="11"/>
  <c r="AS12" i="11"/>
  <c r="S122" i="17"/>
  <c r="C88" i="17"/>
  <c r="AG122" i="17"/>
  <c r="AB122" i="17"/>
  <c r="U122" i="17"/>
  <c r="AR23" i="11"/>
  <c r="AJ23" i="11"/>
  <c r="AJ18" i="11"/>
  <c r="AR18" i="11"/>
  <c r="AF13" i="11"/>
  <c r="G17" i="28"/>
  <c r="AD13" i="11"/>
  <c r="AG6" i="11"/>
  <c r="AI6" i="11"/>
  <c r="AS11" i="11"/>
  <c r="F17" i="22"/>
  <c r="G17" i="22" s="1"/>
  <c r="F41" i="11"/>
  <c r="E88" i="17" s="1"/>
  <c r="E42" i="11"/>
  <c r="AC19" i="11"/>
  <c r="Y19" i="11"/>
  <c r="Y29" i="11" s="1"/>
  <c r="X29" i="11"/>
  <c r="C138" i="17" s="1"/>
  <c r="K138" i="17" s="1"/>
  <c r="AL138" i="17" s="1"/>
  <c r="AS10" i="11"/>
  <c r="AI16" i="14"/>
  <c r="AG16" i="14"/>
  <c r="AC40" i="14"/>
  <c r="F27" i="21" s="1"/>
  <c r="AR8" i="14"/>
  <c r="AJ8" i="14"/>
  <c r="AD19" i="14"/>
  <c r="AF19" i="14"/>
  <c r="S137" i="17"/>
  <c r="O137" i="17"/>
  <c r="AJ137" i="17"/>
  <c r="K193" i="17"/>
  <c r="S193" i="17" s="1"/>
  <c r="Y40" i="14"/>
  <c r="AS31" i="14"/>
  <c r="BE31" i="14" s="1"/>
  <c r="AJ33" i="14"/>
  <c r="AR33" i="14"/>
  <c r="AJ25" i="14"/>
  <c r="AR25" i="14"/>
  <c r="AF11" i="14"/>
  <c r="AD11" i="14"/>
  <c r="AI27" i="14"/>
  <c r="AG27" i="14"/>
  <c r="AS20" i="14"/>
  <c r="BE20" i="14" s="1"/>
  <c r="AF32" i="14"/>
  <c r="AD32" i="14"/>
  <c r="AR21" i="14"/>
  <c r="AJ21" i="14"/>
  <c r="AS17" i="14"/>
  <c r="BE17" i="14" s="1"/>
  <c r="AF28" i="14"/>
  <c r="AD28" i="14"/>
  <c r="C16" i="28"/>
  <c r="AJ30" i="14"/>
  <c r="AR30" i="14"/>
  <c r="AI29" i="14"/>
  <c r="AG29" i="14"/>
  <c r="AS26" i="14"/>
  <c r="BE26" i="14" s="1"/>
  <c r="AG9" i="14"/>
  <c r="AI9" i="14"/>
  <c r="AI18" i="14"/>
  <c r="AG18" i="14"/>
  <c r="E52" i="14"/>
  <c r="F51" i="14"/>
  <c r="E121" i="17" s="1"/>
  <c r="K121" i="17" s="1"/>
  <c r="AJ121" i="17" s="1"/>
  <c r="F16" i="21"/>
  <c r="G16" i="21" s="1"/>
  <c r="AD10" i="14"/>
  <c r="AF10" i="14"/>
  <c r="F128" i="3"/>
  <c r="E47" i="17" s="1"/>
  <c r="F10" i="23"/>
  <c r="G10" i="23" s="1"/>
  <c r="E129" i="3"/>
  <c r="F129" i="3" s="1"/>
  <c r="E10" i="17" s="1"/>
  <c r="AJ7" i="3"/>
  <c r="AR7" i="3"/>
  <c r="AD85" i="3"/>
  <c r="AF85" i="3"/>
  <c r="AD89" i="3"/>
  <c r="AF89" i="3"/>
  <c r="AD101" i="3"/>
  <c r="AF101" i="3"/>
  <c r="C15" i="28"/>
  <c r="AR100" i="3"/>
  <c r="AS100" i="3" s="1"/>
  <c r="BB100" i="3" s="1"/>
  <c r="AJ100" i="3"/>
  <c r="AQ37" i="9"/>
  <c r="AI37" i="9"/>
  <c r="AR33" i="9"/>
  <c r="AZ33" i="9" s="1"/>
  <c r="AI11" i="9"/>
  <c r="AQ11" i="9"/>
  <c r="AR12" i="9"/>
  <c r="AK109" i="17"/>
  <c r="AE109" i="17"/>
  <c r="C70" i="17"/>
  <c r="K70" i="17" s="1"/>
  <c r="S109" i="17"/>
  <c r="Y109" i="17"/>
  <c r="AR13" i="9"/>
  <c r="AR10" i="9"/>
  <c r="AR17" i="9"/>
  <c r="AR21" i="15"/>
  <c r="AQ56" i="15"/>
  <c r="AR56" i="15" s="1"/>
  <c r="AZ56" i="15" s="1"/>
  <c r="AI56" i="15"/>
  <c r="AI9" i="15"/>
  <c r="AQ9" i="15"/>
  <c r="AJ141" i="17"/>
  <c r="C107" i="17"/>
  <c r="K107" i="17" s="1"/>
  <c r="O141" i="17"/>
  <c r="S141" i="17"/>
  <c r="Y141" i="17"/>
  <c r="AI14" i="15"/>
  <c r="AQ14" i="15"/>
  <c r="AR30" i="15"/>
  <c r="AR26" i="15"/>
  <c r="AR25" i="15"/>
  <c r="AR42" i="15"/>
  <c r="AR16" i="15"/>
  <c r="AR28" i="15"/>
  <c r="AH65" i="15"/>
  <c r="AI5" i="15"/>
  <c r="AQ5" i="15"/>
  <c r="AR17" i="15"/>
  <c r="X66" i="15"/>
  <c r="X69" i="15"/>
  <c r="AR22" i="15"/>
  <c r="AQ10" i="15"/>
  <c r="AI10" i="15"/>
  <c r="AH54" i="15"/>
  <c r="AF54" i="15"/>
  <c r="AF51" i="15"/>
  <c r="AH51" i="15"/>
  <c r="AI11" i="15"/>
  <c r="AQ11" i="15"/>
  <c r="AR23" i="15"/>
  <c r="AF65" i="15"/>
  <c r="AQ59" i="15"/>
  <c r="AI59" i="15"/>
  <c r="AI15" i="15"/>
  <c r="AQ15" i="15"/>
  <c r="AQ57" i="15"/>
  <c r="AI57" i="15"/>
  <c r="AC53" i="15"/>
  <c r="AE53" i="15"/>
  <c r="AE69" i="15" s="1"/>
  <c r="F23" i="22" s="1"/>
  <c r="G23" i="22" s="1"/>
  <c r="AB69" i="15"/>
  <c r="F23" i="21" s="1"/>
  <c r="G23" i="21" s="1"/>
  <c r="AB66" i="15"/>
  <c r="AI20" i="15"/>
  <c r="AQ20" i="15"/>
  <c r="C20" i="28"/>
  <c r="AR40" i="15"/>
  <c r="AI58" i="15"/>
  <c r="AQ58" i="15"/>
  <c r="AI7" i="15"/>
  <c r="AQ7" i="15"/>
  <c r="AQ19" i="15"/>
  <c r="AI19" i="15"/>
  <c r="AR12" i="15"/>
  <c r="AR41" i="15"/>
  <c r="AR13" i="15"/>
  <c r="AQ6" i="15"/>
  <c r="AI6" i="15"/>
  <c r="AI8" i="15"/>
  <c r="AQ8" i="15"/>
  <c r="AH55" i="15"/>
  <c r="AF55" i="15"/>
  <c r="AR18" i="15"/>
  <c r="AR29" i="15"/>
  <c r="AI32" i="15"/>
  <c r="AQ32" i="15"/>
  <c r="AR52" i="15"/>
  <c r="AZ52" i="15" s="1"/>
  <c r="AR15" i="10"/>
  <c r="H31" i="21"/>
  <c r="J31" i="21" s="1"/>
  <c r="AG88" i="3"/>
  <c r="AI88" i="3"/>
  <c r="AJ48" i="3"/>
  <c r="AR48" i="3"/>
  <c r="AJ53" i="3"/>
  <c r="AR53" i="3"/>
  <c r="AG93" i="3"/>
  <c r="AI93" i="3"/>
  <c r="AQ19" i="10"/>
  <c r="AI19" i="10"/>
  <c r="AR64" i="10"/>
  <c r="AI25" i="10"/>
  <c r="AQ25" i="10"/>
  <c r="AI23" i="10"/>
  <c r="AQ23" i="10"/>
  <c r="AW23" i="10" s="1"/>
  <c r="AI86" i="10"/>
  <c r="AQ86" i="10"/>
  <c r="AR94" i="10"/>
  <c r="AQ21" i="10"/>
  <c r="AI21" i="10"/>
  <c r="AI93" i="10"/>
  <c r="AQ93" i="10"/>
  <c r="AQ11" i="10"/>
  <c r="AI11" i="10"/>
  <c r="AQ60" i="10"/>
  <c r="AI60" i="10"/>
  <c r="AQ8" i="10"/>
  <c r="AI8" i="10"/>
  <c r="AF78" i="13"/>
  <c r="AH78" i="13"/>
  <c r="AQ78" i="13" s="1"/>
  <c r="AH268" i="13"/>
  <c r="AQ268" i="13" s="1"/>
  <c r="AF268" i="13"/>
  <c r="AH82" i="13"/>
  <c r="AQ82" i="13" s="1"/>
  <c r="AF82" i="13"/>
  <c r="AF245" i="13"/>
  <c r="AH245" i="13"/>
  <c r="AQ245" i="13" s="1"/>
  <c r="AT96" i="13"/>
  <c r="AI96" i="13"/>
  <c r="AF255" i="13"/>
  <c r="AH255" i="13"/>
  <c r="AQ255" i="13" s="1"/>
  <c r="AR115" i="13"/>
  <c r="AR117" i="13"/>
  <c r="AR33" i="13"/>
  <c r="AI254" i="13"/>
  <c r="S89" i="17"/>
  <c r="AG89" i="17"/>
  <c r="C50" i="17"/>
  <c r="K50" i="17" s="1"/>
  <c r="U89" i="17"/>
  <c r="AI151" i="13"/>
  <c r="AT270" i="13"/>
  <c r="AI270" i="13"/>
  <c r="AH261" i="13"/>
  <c r="AQ261" i="13" s="1"/>
  <c r="AF261" i="13"/>
  <c r="AR45" i="13"/>
  <c r="AI97" i="13"/>
  <c r="AR282" i="13"/>
  <c r="AZ282" i="13" s="1"/>
  <c r="AR142" i="13"/>
  <c r="AR136" i="13"/>
  <c r="AR101" i="13"/>
  <c r="AI28" i="13"/>
  <c r="AR32" i="13"/>
  <c r="AR188" i="13"/>
  <c r="AR41" i="13"/>
  <c r="AR130" i="13"/>
  <c r="AR58" i="13"/>
  <c r="AH258" i="13"/>
  <c r="AQ258" i="13" s="1"/>
  <c r="AF258" i="13"/>
  <c r="AI166" i="13"/>
  <c r="AI91" i="13"/>
  <c r="AR147" i="13"/>
  <c r="AI250" i="13"/>
  <c r="AT250" i="13"/>
  <c r="AF264" i="13"/>
  <c r="AH264" i="13"/>
  <c r="AQ264" i="13" s="1"/>
  <c r="AR43" i="13"/>
  <c r="AR123" i="13"/>
  <c r="AR84" i="13"/>
  <c r="AR134" i="13"/>
  <c r="AR290" i="13"/>
  <c r="AZ290" i="13" s="1"/>
  <c r="AR83" i="13"/>
  <c r="AH281" i="13"/>
  <c r="AQ281" i="13" s="1"/>
  <c r="AF281" i="13"/>
  <c r="AI274" i="13"/>
  <c r="AT274" i="13"/>
  <c r="AI93" i="13"/>
  <c r="AI266" i="13"/>
  <c r="AH9" i="13"/>
  <c r="AF9" i="13"/>
  <c r="AR122" i="13"/>
  <c r="AR100" i="13"/>
  <c r="AZ100" i="13" s="1"/>
  <c r="AR124" i="13"/>
  <c r="AI177" i="13"/>
  <c r="AI79" i="13"/>
  <c r="AR35" i="13"/>
  <c r="AI275" i="13"/>
  <c r="AT275" i="13"/>
  <c r="AI285" i="13"/>
  <c r="AT285" i="13"/>
  <c r="AR26" i="13"/>
  <c r="AR73" i="13"/>
  <c r="AR116" i="13"/>
  <c r="AR6" i="13"/>
  <c r="AR52" i="13"/>
  <c r="AR18" i="13"/>
  <c r="AI287" i="13"/>
  <c r="AT287" i="13"/>
  <c r="AR95" i="13"/>
  <c r="AZ95" i="13" s="1"/>
  <c r="AR74" i="13"/>
  <c r="AR161" i="13"/>
  <c r="AZ161" i="13" s="1"/>
  <c r="AR182" i="13"/>
  <c r="AR59" i="13"/>
  <c r="AI241" i="13"/>
  <c r="AT241" i="13"/>
  <c r="AI30" i="13"/>
  <c r="AI87" i="13"/>
  <c r="AT87" i="13"/>
  <c r="AR260" i="13"/>
  <c r="AZ260" i="13" s="1"/>
  <c r="AR165" i="13"/>
  <c r="AZ165" i="13" s="1"/>
  <c r="AR169" i="13"/>
  <c r="AR149" i="13"/>
  <c r="AI265" i="13"/>
  <c r="AT265" i="13"/>
  <c r="AR146" i="13"/>
  <c r="AR57" i="13"/>
  <c r="AR171" i="13"/>
  <c r="AR167" i="13"/>
  <c r="AZ167" i="13" s="1"/>
  <c r="AH257" i="13"/>
  <c r="AQ257" i="13" s="1"/>
  <c r="AF257" i="13"/>
  <c r="AI175" i="13"/>
  <c r="AI280" i="13"/>
  <c r="AT280" i="13"/>
  <c r="AR46" i="13"/>
  <c r="AR38" i="13"/>
  <c r="AR12" i="13"/>
  <c r="AR163" i="13"/>
  <c r="AR158" i="13"/>
  <c r="AR56" i="13"/>
  <c r="AR162" i="13"/>
  <c r="AZ162" i="13" s="1"/>
  <c r="AR99" i="13"/>
  <c r="AI263" i="13"/>
  <c r="AT263" i="13"/>
  <c r="AI269" i="13"/>
  <c r="AT269" i="13"/>
  <c r="AI267" i="13"/>
  <c r="AT267" i="13"/>
  <c r="AI103" i="13"/>
  <c r="AR252" i="13"/>
  <c r="AZ252" i="13" s="1"/>
  <c r="AI242" i="13"/>
  <c r="AT242" i="13"/>
  <c r="AR75" i="13"/>
  <c r="AR137" i="13"/>
  <c r="AI283" i="13"/>
  <c r="AT283" i="13"/>
  <c r="AR276" i="13"/>
  <c r="AZ276" i="13" s="1"/>
  <c r="AR157" i="13"/>
  <c r="AR139" i="13"/>
  <c r="AR24" i="13"/>
  <c r="AT156" i="13"/>
  <c r="AI156" i="13"/>
  <c r="AI246" i="13"/>
  <c r="AT246" i="13"/>
  <c r="AR144" i="13"/>
  <c r="AR21" i="13"/>
  <c r="AI98" i="13"/>
  <c r="AT98" i="13"/>
  <c r="AI272" i="13"/>
  <c r="AT272" i="13"/>
  <c r="AF247" i="13"/>
  <c r="AH247" i="13"/>
  <c r="AQ247" i="13" s="1"/>
  <c r="AR174" i="13"/>
  <c r="AJ139" i="17"/>
  <c r="C105" i="17"/>
  <c r="K105" i="17" s="1"/>
  <c r="S139" i="17"/>
  <c r="Y139" i="17"/>
  <c r="O139" i="17"/>
  <c r="AI278" i="13"/>
  <c r="AT278" i="13"/>
  <c r="AR180" i="13"/>
  <c r="AI259" i="13"/>
  <c r="AT259" i="13"/>
  <c r="AH273" i="13"/>
  <c r="AQ273" i="13" s="1"/>
  <c r="AF273" i="13"/>
  <c r="AR183" i="13"/>
  <c r="AH76" i="13"/>
  <c r="AQ76" i="13" s="1"/>
  <c r="AF76" i="13"/>
  <c r="AI155" i="13"/>
  <c r="AT155" i="13"/>
  <c r="AI249" i="13"/>
  <c r="AT249" i="13"/>
  <c r="AI253" i="13"/>
  <c r="AT253" i="13"/>
  <c r="AR102" i="13"/>
  <c r="AR286" i="13"/>
  <c r="AZ286" i="13" s="1"/>
  <c r="AR129" i="13"/>
  <c r="AI277" i="13"/>
  <c r="AT277" i="13"/>
  <c r="AR187" i="13"/>
  <c r="AZ187" i="13" s="1"/>
  <c r="AR85" i="13"/>
  <c r="AR138" i="13"/>
  <c r="AR160" i="13"/>
  <c r="AZ160" i="13" s="1"/>
  <c r="AR189" i="13"/>
  <c r="AZ189" i="13" s="1"/>
  <c r="AF244" i="13"/>
  <c r="AH244" i="13"/>
  <c r="AQ244" i="13" s="1"/>
  <c r="AR44" i="13"/>
  <c r="AR108" i="13"/>
  <c r="AR29" i="13"/>
  <c r="AR132" i="13"/>
  <c r="AR40" i="13"/>
  <c r="AR77" i="13"/>
  <c r="AC11" i="13"/>
  <c r="AE11" i="13"/>
  <c r="F22" i="21"/>
  <c r="G22" i="21" s="1"/>
  <c r="AR20" i="13"/>
  <c r="AI80" i="13"/>
  <c r="AT80" i="13"/>
  <c r="AI172" i="13"/>
  <c r="AT172" i="13"/>
  <c r="AR240" i="13"/>
  <c r="AZ240" i="13" s="1"/>
  <c r="AR23" i="13"/>
  <c r="AR19" i="13"/>
  <c r="AR284" i="13"/>
  <c r="AZ284" i="13" s="1"/>
  <c r="AR31" i="13"/>
  <c r="AI279" i="13"/>
  <c r="AT279" i="13"/>
  <c r="AR86" i="13"/>
  <c r="AR186" i="13"/>
  <c r="AZ186" i="13" s="1"/>
  <c r="AR176" i="13"/>
  <c r="AI256" i="13"/>
  <c r="AT256" i="13"/>
  <c r="AR128" i="13"/>
  <c r="AR36" i="13"/>
  <c r="AR55" i="13"/>
  <c r="AF243" i="13"/>
  <c r="AH243" i="13"/>
  <c r="AQ243" i="13" s="1"/>
  <c r="AI179" i="13"/>
  <c r="AI248" i="13"/>
  <c r="AT248" i="13"/>
  <c r="AI251" i="13"/>
  <c r="AT251" i="13"/>
  <c r="AR178" i="13"/>
  <c r="AI7" i="13"/>
  <c r="AI54" i="13"/>
  <c r="AI271" i="13"/>
  <c r="AT271" i="13"/>
  <c r="AT10" i="13"/>
  <c r="AI10" i="13"/>
  <c r="AR181" i="13"/>
  <c r="AS35" i="3"/>
  <c r="AS45" i="3"/>
  <c r="AS57" i="3"/>
  <c r="AR38" i="3"/>
  <c r="AJ38" i="3"/>
  <c r="AS61" i="3"/>
  <c r="AR84" i="3"/>
  <c r="AJ84" i="3"/>
  <c r="AJ8" i="3"/>
  <c r="AJ114" i="3" s="1"/>
  <c r="AR8" i="3"/>
  <c r="AR19" i="3"/>
  <c r="AJ19" i="3"/>
  <c r="AS11" i="3"/>
  <c r="AJ98" i="3"/>
  <c r="AR98" i="3"/>
  <c r="AJ39" i="3"/>
  <c r="AR39" i="3"/>
  <c r="AR67" i="3"/>
  <c r="AJ67" i="3"/>
  <c r="AR99" i="3"/>
  <c r="AJ99" i="3"/>
  <c r="AS20" i="3"/>
  <c r="AJ94" i="3"/>
  <c r="AR94" i="3"/>
  <c r="AJ102" i="3"/>
  <c r="AR102" i="3"/>
  <c r="AJ90" i="3"/>
  <c r="AR90" i="3"/>
  <c r="AR17" i="3"/>
  <c r="AJ17" i="3"/>
  <c r="AR36" i="3"/>
  <c r="AJ36" i="3"/>
  <c r="AS91" i="3"/>
  <c r="BB91" i="3" s="1"/>
  <c r="AJ46" i="3"/>
  <c r="AR46" i="3"/>
  <c r="AR103" i="3"/>
  <c r="AJ103" i="3"/>
  <c r="AJ86" i="3"/>
  <c r="AR86" i="3"/>
  <c r="AJ64" i="3"/>
  <c r="AR64" i="3"/>
  <c r="AS49" i="3"/>
  <c r="AS69" i="3"/>
  <c r="S102" i="17"/>
  <c r="Y102" i="17"/>
  <c r="AS97" i="3"/>
  <c r="BB97" i="3" s="1"/>
  <c r="AS87" i="3"/>
  <c r="BB87" i="3" s="1"/>
  <c r="AS13" i="3"/>
  <c r="AS58" i="3"/>
  <c r="AS15" i="3"/>
  <c r="AR95" i="3"/>
  <c r="AJ95" i="3"/>
  <c r="AS82" i="3"/>
  <c r="BB82" i="3" s="1"/>
  <c r="AR83" i="3"/>
  <c r="AJ83" i="3"/>
  <c r="AQ17" i="10"/>
  <c r="AI17" i="10"/>
  <c r="AI92" i="10"/>
  <c r="AQ92" i="10"/>
  <c r="AR114" i="10"/>
  <c r="AR24" i="10"/>
  <c r="AQ91" i="10"/>
  <c r="AI91" i="10"/>
  <c r="AQ13" i="10"/>
  <c r="AI13" i="10"/>
  <c r="AI83" i="10"/>
  <c r="AQ83" i="10"/>
  <c r="AQ84" i="10"/>
  <c r="AI84" i="10"/>
  <c r="AH63" i="10"/>
  <c r="AF63" i="10"/>
  <c r="AF147" i="10" s="1"/>
  <c r="AR65" i="10"/>
  <c r="AQ61" i="10"/>
  <c r="AI61" i="10"/>
  <c r="AQ22" i="10"/>
  <c r="AI22" i="10"/>
  <c r="AR90" i="10"/>
  <c r="AI16" i="10"/>
  <c r="AQ16" i="10"/>
  <c r="AQ12" i="10"/>
  <c r="AI12" i="10"/>
  <c r="AQ14" i="10"/>
  <c r="AI14" i="10"/>
  <c r="AI18" i="10"/>
  <c r="AQ18" i="10"/>
  <c r="AQ115" i="10"/>
  <c r="AI115" i="10"/>
  <c r="AI10" i="10"/>
  <c r="AQ10" i="10"/>
  <c r="AR9" i="10"/>
  <c r="AE147" i="10"/>
  <c r="AI26" i="10"/>
  <c r="AQ26" i="10"/>
  <c r="AR20" i="10"/>
  <c r="AG91" i="17"/>
  <c r="C52" i="17"/>
  <c r="K52" i="17" s="1"/>
  <c r="U91" i="17"/>
  <c r="S91" i="17"/>
  <c r="G14" i="21"/>
  <c r="F18" i="21"/>
  <c r="M12" i="20" s="1"/>
  <c r="E129" i="17"/>
  <c r="E133" i="17" s="1"/>
  <c r="K126" i="17"/>
  <c r="AJ126" i="17" s="1"/>
  <c r="F160" i="10"/>
  <c r="E92" i="17" s="1"/>
  <c r="F14" i="22"/>
  <c r="K142" i="17"/>
  <c r="AL142" i="17" s="1"/>
  <c r="C145" i="17"/>
  <c r="X146" i="10"/>
  <c r="X149" i="10"/>
  <c r="G20" i="28"/>
  <c r="AB146" i="10"/>
  <c r="AC87" i="10"/>
  <c r="AB149" i="10"/>
  <c r="F25" i="21" s="1"/>
  <c r="G25" i="21" s="1"/>
  <c r="AE87" i="10"/>
  <c r="AI89" i="10"/>
  <c r="AQ89" i="10"/>
  <c r="AR95" i="10"/>
  <c r="AZ95" i="10" s="1"/>
  <c r="AQ108" i="10"/>
  <c r="AI108" i="10"/>
  <c r="AQ109" i="10"/>
  <c r="AI109" i="10"/>
  <c r="AF118" i="10"/>
  <c r="AH118" i="10"/>
  <c r="AF119" i="10"/>
  <c r="AH119" i="10"/>
  <c r="AF120" i="10"/>
  <c r="AH120" i="10"/>
  <c r="AH121" i="10"/>
  <c r="AF121" i="10"/>
  <c r="AH122" i="10"/>
  <c r="AF122" i="10"/>
  <c r="AF123" i="10"/>
  <c r="AH123" i="10"/>
  <c r="AF124" i="10"/>
  <c r="AH124" i="10"/>
  <c r="AQ125" i="10"/>
  <c r="AI125" i="10"/>
  <c r="AF134" i="10"/>
  <c r="AH134" i="10"/>
  <c r="AF135" i="10"/>
  <c r="AH135" i="10"/>
  <c r="AH136" i="10"/>
  <c r="AF136" i="10"/>
  <c r="AF137" i="10"/>
  <c r="AH137" i="10"/>
  <c r="AF138" i="10"/>
  <c r="AH138" i="10"/>
  <c r="AI139" i="10"/>
  <c r="AQ139" i="10"/>
  <c r="AJ5" i="14"/>
  <c r="AR5" i="14"/>
  <c r="AU5" i="14" s="1"/>
  <c r="AX5" i="14" s="1"/>
  <c r="AS6" i="14"/>
  <c r="AS7" i="14"/>
  <c r="G27" i="21"/>
  <c r="AG12" i="14"/>
  <c r="AI12" i="14"/>
  <c r="AX12" i="9" l="1"/>
  <c r="AZ12" i="9"/>
  <c r="AX17" i="9"/>
  <c r="AZ17" i="9"/>
  <c r="AX13" i="9"/>
  <c r="AZ13" i="9"/>
  <c r="AX10" i="9"/>
  <c r="AZ10" i="9"/>
  <c r="AX23" i="10"/>
  <c r="AZ23" i="10"/>
  <c r="AX15" i="10"/>
  <c r="AZ15" i="10"/>
  <c r="AX64" i="10"/>
  <c r="AZ64" i="10"/>
  <c r="AX94" i="10"/>
  <c r="AZ94" i="10"/>
  <c r="AX20" i="10"/>
  <c r="AZ20" i="10"/>
  <c r="AX24" i="10"/>
  <c r="AZ24" i="10"/>
  <c r="AX9" i="10"/>
  <c r="AZ9" i="10"/>
  <c r="AX114" i="10"/>
  <c r="AZ114" i="10"/>
  <c r="AX65" i="10"/>
  <c r="AZ65" i="10"/>
  <c r="AX90" i="10"/>
  <c r="AZ90" i="10"/>
  <c r="AT32" i="15"/>
  <c r="AW32" i="15"/>
  <c r="AT8" i="15"/>
  <c r="AU8" i="15" s="1"/>
  <c r="AW8" i="15"/>
  <c r="AT6" i="15"/>
  <c r="AU6" i="15" s="1"/>
  <c r="AW6" i="15"/>
  <c r="AT19" i="15"/>
  <c r="AU19" i="15" s="1"/>
  <c r="AW19" i="15"/>
  <c r="AT7" i="15"/>
  <c r="AU7" i="15" s="1"/>
  <c r="AW7" i="15"/>
  <c r="AT20" i="15"/>
  <c r="AU20" i="15" s="1"/>
  <c r="AW20" i="15"/>
  <c r="AT15" i="15"/>
  <c r="AU15" i="15" s="1"/>
  <c r="AW15" i="15"/>
  <c r="AT11" i="15"/>
  <c r="AU11" i="15" s="1"/>
  <c r="AW11" i="15"/>
  <c r="AT10" i="15"/>
  <c r="AU10" i="15" s="1"/>
  <c r="AW10" i="15"/>
  <c r="AT5" i="15"/>
  <c r="AW5" i="15"/>
  <c r="AT14" i="15"/>
  <c r="AU14" i="15" s="1"/>
  <c r="AW14" i="15"/>
  <c r="AT9" i="15"/>
  <c r="AU9" i="15" s="1"/>
  <c r="AW9" i="15"/>
  <c r="AX21" i="15"/>
  <c r="AZ21" i="15"/>
  <c r="AX28" i="15"/>
  <c r="AZ28" i="15"/>
  <c r="AX13" i="15"/>
  <c r="AZ13" i="15"/>
  <c r="AX16" i="15"/>
  <c r="AZ16" i="15"/>
  <c r="AX41" i="15"/>
  <c r="AZ41" i="15"/>
  <c r="AX42" i="15"/>
  <c r="AZ42" i="15"/>
  <c r="AX12" i="15"/>
  <c r="AZ12" i="15"/>
  <c r="AX23" i="15"/>
  <c r="AZ23" i="15"/>
  <c r="AX25" i="15"/>
  <c r="AZ25" i="15"/>
  <c r="AX26" i="15"/>
  <c r="AZ26" i="15"/>
  <c r="AX30" i="15"/>
  <c r="AZ30" i="15"/>
  <c r="AX40" i="15"/>
  <c r="AZ40" i="15"/>
  <c r="AX29" i="15"/>
  <c r="AZ29" i="15"/>
  <c r="AX18" i="15"/>
  <c r="AZ18" i="15"/>
  <c r="AX22" i="15"/>
  <c r="AZ22" i="15"/>
  <c r="AX17" i="15"/>
  <c r="AZ17" i="15"/>
  <c r="BB12" i="11"/>
  <c r="BD12" i="11"/>
  <c r="BB10" i="11"/>
  <c r="BD10" i="11"/>
  <c r="BB11" i="11"/>
  <c r="BD11" i="11"/>
  <c r="AK7" i="9"/>
  <c r="AN7" i="9"/>
  <c r="AT26" i="10"/>
  <c r="AU26" i="10" s="1"/>
  <c r="AW26" i="10"/>
  <c r="AT10" i="10"/>
  <c r="AU10" i="10" s="1"/>
  <c r="AW10" i="10"/>
  <c r="AT115" i="10"/>
  <c r="AU115" i="10" s="1"/>
  <c r="AW115" i="10"/>
  <c r="AT18" i="10"/>
  <c r="AU18" i="10" s="1"/>
  <c r="AW18" i="10"/>
  <c r="AT14" i="10"/>
  <c r="AU14" i="10" s="1"/>
  <c r="AW14" i="10"/>
  <c r="AT12" i="10"/>
  <c r="AU12" i="10" s="1"/>
  <c r="AW12" i="10"/>
  <c r="AT16" i="10"/>
  <c r="AU16" i="10" s="1"/>
  <c r="AW16" i="10"/>
  <c r="AT22" i="10"/>
  <c r="AU22" i="10" s="1"/>
  <c r="AW22" i="10"/>
  <c r="AT61" i="10"/>
  <c r="AU61" i="10" s="1"/>
  <c r="AW61" i="10"/>
  <c r="AT84" i="10"/>
  <c r="AU84" i="10" s="1"/>
  <c r="AW84" i="10"/>
  <c r="AT83" i="10"/>
  <c r="AU83" i="10" s="1"/>
  <c r="AW83" i="10"/>
  <c r="AT13" i="10"/>
  <c r="AU13" i="10" s="1"/>
  <c r="AW13" i="10"/>
  <c r="AT91" i="10"/>
  <c r="AU91" i="10" s="1"/>
  <c r="AW91" i="10"/>
  <c r="AT92" i="10"/>
  <c r="AU92" i="10" s="1"/>
  <c r="AW92" i="10"/>
  <c r="AT17" i="10"/>
  <c r="AU17" i="10" s="1"/>
  <c r="AW17" i="10"/>
  <c r="AT8" i="10"/>
  <c r="AW8" i="10"/>
  <c r="AT60" i="10"/>
  <c r="AW60" i="10"/>
  <c r="AT11" i="10"/>
  <c r="AU11" i="10" s="1"/>
  <c r="AW11" i="10"/>
  <c r="AT93" i="10"/>
  <c r="AU93" i="10" s="1"/>
  <c r="AW93" i="10"/>
  <c r="AT21" i="10"/>
  <c r="AU21" i="10" s="1"/>
  <c r="AW21" i="10"/>
  <c r="AT86" i="10"/>
  <c r="AU86" i="10" s="1"/>
  <c r="AW86" i="10"/>
  <c r="AT25" i="10"/>
  <c r="AU25" i="10" s="1"/>
  <c r="AW25" i="10"/>
  <c r="AT19" i="10"/>
  <c r="AU19" i="10" s="1"/>
  <c r="AW19" i="10"/>
  <c r="AX96" i="13"/>
  <c r="AZ96" i="13"/>
  <c r="AX79" i="13"/>
  <c r="AZ79" i="13"/>
  <c r="AX177" i="13"/>
  <c r="AZ177" i="13"/>
  <c r="AX151" i="13"/>
  <c r="AZ151" i="13"/>
  <c r="AX28" i="13"/>
  <c r="AZ28" i="13"/>
  <c r="AX91" i="13"/>
  <c r="AZ91" i="13"/>
  <c r="AX54" i="13"/>
  <c r="AZ54" i="13"/>
  <c r="AX179" i="13"/>
  <c r="AZ179" i="13"/>
  <c r="AX175" i="13"/>
  <c r="AZ175" i="13"/>
  <c r="AX103" i="13"/>
  <c r="AZ103" i="13"/>
  <c r="AX30" i="13"/>
  <c r="AZ30" i="13"/>
  <c r="AX92" i="13"/>
  <c r="AZ92" i="13"/>
  <c r="AX53" i="13"/>
  <c r="AZ53" i="13"/>
  <c r="AX110" i="13"/>
  <c r="AZ110" i="13"/>
  <c r="AX133" i="13"/>
  <c r="AZ133" i="13"/>
  <c r="AX37" i="13"/>
  <c r="AZ37" i="13"/>
  <c r="AT93" i="13"/>
  <c r="AW93" i="13"/>
  <c r="AT97" i="13"/>
  <c r="AW97" i="13"/>
  <c r="AT166" i="13"/>
  <c r="AW166" i="13"/>
  <c r="AX7" i="13"/>
  <c r="AZ7" i="13" s="1"/>
  <c r="AL6" i="11"/>
  <c r="AO6" i="11"/>
  <c r="AL12" i="14"/>
  <c r="AO12" i="14"/>
  <c r="AP12" i="14" s="1"/>
  <c r="AY5" i="14"/>
  <c r="AU64" i="3"/>
  <c r="AV64" i="3" s="1"/>
  <c r="AU46" i="3"/>
  <c r="AV46" i="3" s="1"/>
  <c r="AU17" i="3"/>
  <c r="AV17" i="3" s="1"/>
  <c r="AU67" i="3"/>
  <c r="AV67" i="3" s="1"/>
  <c r="AU39" i="3"/>
  <c r="AV39" i="3" s="1"/>
  <c r="AU48" i="3"/>
  <c r="AV48" i="3" s="1"/>
  <c r="AK63" i="10"/>
  <c r="AN63" i="10"/>
  <c r="AY11" i="11"/>
  <c r="AN146" i="10"/>
  <c r="AN50" i="9"/>
  <c r="AO7" i="9"/>
  <c r="AO50" i="9" s="1"/>
  <c r="AR70" i="17"/>
  <c r="AO63" i="10"/>
  <c r="AO147" i="10" s="1"/>
  <c r="AN147" i="10"/>
  <c r="AN149" i="10"/>
  <c r="AO146" i="10"/>
  <c r="AT65" i="15"/>
  <c r="AN65" i="15"/>
  <c r="AN69" i="15"/>
  <c r="AO65" i="15"/>
  <c r="AO69" i="15"/>
  <c r="AP107" i="17"/>
  <c r="AR107" i="17"/>
  <c r="AP106" i="17"/>
  <c r="AR106" i="17"/>
  <c r="AU43" i="16"/>
  <c r="AL96" i="13"/>
  <c r="AL93" i="13"/>
  <c r="AL97" i="13"/>
  <c r="AL79" i="13"/>
  <c r="AL177" i="13"/>
  <c r="AL151" i="13"/>
  <c r="AL28" i="13"/>
  <c r="AL91" i="13"/>
  <c r="AL166" i="13"/>
  <c r="AL54" i="13"/>
  <c r="AL179" i="13"/>
  <c r="AL175" i="13"/>
  <c r="AL103" i="13"/>
  <c r="AL30" i="13"/>
  <c r="AQ9" i="13"/>
  <c r="AL7" i="13"/>
  <c r="AU6" i="13"/>
  <c r="AO29" i="11"/>
  <c r="AP6" i="11"/>
  <c r="AP29" i="11" s="1"/>
  <c r="AO40" i="14"/>
  <c r="AP40" i="14"/>
  <c r="AP103" i="17"/>
  <c r="AR103" i="17"/>
  <c r="AP114" i="3"/>
  <c r="AO114" i="3"/>
  <c r="AO115" i="3"/>
  <c r="AO113" i="3"/>
  <c r="AU36" i="3"/>
  <c r="AF113" i="3"/>
  <c r="AL115" i="3"/>
  <c r="AM36" i="3"/>
  <c r="AM113" i="3" s="1"/>
  <c r="AL113" i="3"/>
  <c r="AP105" i="17"/>
  <c r="AR105" i="17"/>
  <c r="AR96" i="3"/>
  <c r="AS96" i="3" s="1"/>
  <c r="BB96" i="3" s="1"/>
  <c r="AJ96" i="3"/>
  <c r="C63" i="17"/>
  <c r="K63" i="17" s="1"/>
  <c r="AJ104" i="3"/>
  <c r="AR104" i="3"/>
  <c r="AS104" i="3" s="1"/>
  <c r="BB104" i="3" s="1"/>
  <c r="AD115" i="3"/>
  <c r="AP102" i="17"/>
  <c r="AR102" i="17"/>
  <c r="AI92" i="3"/>
  <c r="AG92" i="3"/>
  <c r="AV5" i="14"/>
  <c r="AU32" i="15"/>
  <c r="AU66" i="15" s="1"/>
  <c r="AT66" i="15"/>
  <c r="AI35" i="16"/>
  <c r="AQ35" i="16"/>
  <c r="AR35" i="16" s="1"/>
  <c r="AZ35" i="16" s="1"/>
  <c r="AL69" i="15"/>
  <c r="AL65" i="15"/>
  <c r="AU8" i="10"/>
  <c r="AU60" i="10"/>
  <c r="AU5" i="15"/>
  <c r="AU65" i="15" s="1"/>
  <c r="AT69" i="15"/>
  <c r="AL29" i="11"/>
  <c r="AM6" i="11"/>
  <c r="AM29" i="11" s="1"/>
  <c r="AR23" i="10"/>
  <c r="AT23" i="10"/>
  <c r="AF262" i="13"/>
  <c r="AH262" i="13"/>
  <c r="AT43" i="16"/>
  <c r="S86" i="17"/>
  <c r="U86" i="17"/>
  <c r="C47" i="17"/>
  <c r="K47" i="17" s="1"/>
  <c r="AG86" i="17"/>
  <c r="AL7" i="9"/>
  <c r="AL50" i="9" s="1"/>
  <c r="AK50" i="9"/>
  <c r="AQ65" i="15"/>
  <c r="AL63" i="10"/>
  <c r="AL147" i="10" s="1"/>
  <c r="AK147" i="10"/>
  <c r="AK149" i="10"/>
  <c r="AL146" i="10"/>
  <c r="AR8" i="10"/>
  <c r="AI31" i="16"/>
  <c r="AQ31" i="16"/>
  <c r="AR31" i="16" s="1"/>
  <c r="AZ31" i="16" s="1"/>
  <c r="AT54" i="13"/>
  <c r="AU54" i="13" s="1"/>
  <c r="AT7" i="13"/>
  <c r="AT179" i="13"/>
  <c r="AU179" i="13" s="1"/>
  <c r="AT103" i="13"/>
  <c r="AU103" i="13" s="1"/>
  <c r="AT175" i="13"/>
  <c r="AU175" i="13" s="1"/>
  <c r="AT30" i="13"/>
  <c r="AU30" i="13" s="1"/>
  <c r="AT79" i="13"/>
  <c r="AU79" i="13" s="1"/>
  <c r="AT177" i="13"/>
  <c r="AU177" i="13" s="1"/>
  <c r="AR266" i="13"/>
  <c r="AZ266" i="13" s="1"/>
  <c r="AT266" i="13"/>
  <c r="AT91" i="13"/>
  <c r="AU91" i="13" s="1"/>
  <c r="AT28" i="13"/>
  <c r="AU28" i="13" s="1"/>
  <c r="AT151" i="13"/>
  <c r="AU151" i="13" s="1"/>
  <c r="AR254" i="13"/>
  <c r="AZ254" i="13" s="1"/>
  <c r="AT254" i="13"/>
  <c r="AU7" i="13"/>
  <c r="AR93" i="13"/>
  <c r="AR166" i="13"/>
  <c r="AU166" i="13"/>
  <c r="AR97" i="13"/>
  <c r="AU97" i="13"/>
  <c r="AR96" i="13"/>
  <c r="AU96" i="13"/>
  <c r="AM12" i="14"/>
  <c r="AL40" i="14"/>
  <c r="AM40" i="14"/>
  <c r="AS19" i="3"/>
  <c r="AU19" i="3"/>
  <c r="AV19" i="3" s="1"/>
  <c r="AR114" i="3"/>
  <c r="AU8" i="3"/>
  <c r="AS38" i="3"/>
  <c r="AU38" i="3"/>
  <c r="AV38" i="3" s="1"/>
  <c r="AS53" i="3"/>
  <c r="AU53" i="3"/>
  <c r="AV53" i="3" s="1"/>
  <c r="AS7" i="3"/>
  <c r="AU7" i="3"/>
  <c r="AU115" i="3" s="1"/>
  <c r="AM8" i="3"/>
  <c r="AM115" i="3" s="1"/>
  <c r="AL114" i="3"/>
  <c r="AD113" i="3"/>
  <c r="AQ35" i="9"/>
  <c r="AR35" i="9" s="1"/>
  <c r="AZ35" i="9" s="1"/>
  <c r="AI35" i="9"/>
  <c r="AI38" i="9"/>
  <c r="AQ38" i="9"/>
  <c r="AR38" i="9" s="1"/>
  <c r="AZ38" i="9" s="1"/>
  <c r="L19" i="20"/>
  <c r="M19" i="20" s="1"/>
  <c r="H35" i="21"/>
  <c r="J35" i="21" s="1"/>
  <c r="AQ7" i="9"/>
  <c r="AW7" i="9" s="1"/>
  <c r="AI7" i="9"/>
  <c r="BC7" i="9" s="1"/>
  <c r="AF32" i="9"/>
  <c r="AF50" i="9" s="1"/>
  <c r="AE50" i="9"/>
  <c r="F26" i="22" s="1"/>
  <c r="G26" i="22" s="1"/>
  <c r="AH32" i="9"/>
  <c r="AR21" i="16"/>
  <c r="AZ21" i="16"/>
  <c r="AQ15" i="16"/>
  <c r="AI15" i="16"/>
  <c r="AR25" i="16"/>
  <c r="AZ25" i="16"/>
  <c r="AF36" i="16"/>
  <c r="AH36" i="16"/>
  <c r="AC43" i="16"/>
  <c r="AR28" i="16"/>
  <c r="AZ28" i="16" s="1"/>
  <c r="AI34" i="16"/>
  <c r="AQ34" i="16"/>
  <c r="AQ32" i="16"/>
  <c r="AI32" i="16"/>
  <c r="AQ24" i="16"/>
  <c r="AI24" i="16"/>
  <c r="AR19" i="16"/>
  <c r="AZ19" i="16" s="1"/>
  <c r="AH16" i="16"/>
  <c r="AF16" i="16"/>
  <c r="AR37" i="16"/>
  <c r="AZ37" i="16" s="1"/>
  <c r="AI26" i="16"/>
  <c r="AQ26" i="16"/>
  <c r="AQ40" i="16"/>
  <c r="AI40" i="16"/>
  <c r="AH14" i="16"/>
  <c r="AF14" i="16"/>
  <c r="AE43" i="16"/>
  <c r="F24" i="22" s="1"/>
  <c r="G24" i="22" s="1"/>
  <c r="AR29" i="16"/>
  <c r="AZ29" i="16" s="1"/>
  <c r="AR18" i="16"/>
  <c r="AZ18" i="16" s="1"/>
  <c r="AQ38" i="16"/>
  <c r="AI38" i="16"/>
  <c r="K90" i="17"/>
  <c r="AQ20" i="16"/>
  <c r="AI20" i="16"/>
  <c r="L17" i="20"/>
  <c r="M17" i="20" s="1"/>
  <c r="H33" i="21"/>
  <c r="J33" i="21" s="1"/>
  <c r="AR8" i="16"/>
  <c r="Y106" i="17"/>
  <c r="AK106" i="17"/>
  <c r="S106" i="17"/>
  <c r="C67" i="17"/>
  <c r="K67" i="17" s="1"/>
  <c r="AI30" i="16"/>
  <c r="AQ30" i="16"/>
  <c r="AI5" i="11"/>
  <c r="AG5" i="11"/>
  <c r="AF19" i="11"/>
  <c r="AF29" i="11" s="1"/>
  <c r="F28" i="22" s="1"/>
  <c r="G28" i="22" s="1"/>
  <c r="AD19" i="11"/>
  <c r="AD29" i="11" s="1"/>
  <c r="C17" i="28"/>
  <c r="AC29" i="11"/>
  <c r="F28" i="21" s="1"/>
  <c r="G28" i="21" s="1"/>
  <c r="E43" i="11"/>
  <c r="F42" i="11"/>
  <c r="E49" i="17" s="1"/>
  <c r="F17" i="23"/>
  <c r="G17" i="23" s="1"/>
  <c r="AI13" i="11"/>
  <c r="AG13" i="11"/>
  <c r="AS23" i="11"/>
  <c r="BD23" i="11" s="1"/>
  <c r="K88" i="17"/>
  <c r="C104" i="17"/>
  <c r="K104" i="17" s="1"/>
  <c r="O138" i="17"/>
  <c r="Y138" i="17"/>
  <c r="S138" i="17"/>
  <c r="AJ138" i="17"/>
  <c r="AE138" i="17"/>
  <c r="AR6" i="11"/>
  <c r="AJ6" i="11"/>
  <c r="AS18" i="11"/>
  <c r="BD18" i="11" s="1"/>
  <c r="AR16" i="14"/>
  <c r="AS16" i="14" s="1"/>
  <c r="BE16" i="14" s="1"/>
  <c r="AJ16" i="14"/>
  <c r="AI19" i="14"/>
  <c r="AG19" i="14"/>
  <c r="K201" i="17"/>
  <c r="K205" i="17" s="1"/>
  <c r="K219" i="17" s="1"/>
  <c r="AS8" i="14"/>
  <c r="BE8" i="14" s="1"/>
  <c r="AD40" i="14"/>
  <c r="S121" i="17"/>
  <c r="C87" i="17"/>
  <c r="U121" i="17"/>
  <c r="AG121" i="17"/>
  <c r="AS30" i="14"/>
  <c r="BE30" i="14" s="1"/>
  <c r="AI28" i="14"/>
  <c r="AG28" i="14"/>
  <c r="AS21" i="14"/>
  <c r="BE21" i="14" s="1"/>
  <c r="AS33" i="14"/>
  <c r="BE33" i="14" s="1"/>
  <c r="AJ18" i="14"/>
  <c r="AR18" i="14"/>
  <c r="AI11" i="14"/>
  <c r="AG11" i="14"/>
  <c r="AR9" i="14"/>
  <c r="AJ9" i="14"/>
  <c r="AI32" i="14"/>
  <c r="AG32" i="14"/>
  <c r="AS25" i="14"/>
  <c r="BE25" i="14" s="1"/>
  <c r="AI10" i="14"/>
  <c r="AG10" i="14"/>
  <c r="AF40" i="14"/>
  <c r="F27" i="22" s="1"/>
  <c r="G27" i="22" s="1"/>
  <c r="H20" i="20" s="1"/>
  <c r="I20" i="20" s="1"/>
  <c r="E53" i="14"/>
  <c r="F52" i="14"/>
  <c r="E87" i="17" s="1"/>
  <c r="E95" i="17" s="1"/>
  <c r="E99" i="17" s="1"/>
  <c r="F16" i="22"/>
  <c r="G16" i="22" s="1"/>
  <c r="AJ29" i="14"/>
  <c r="AR29" i="14"/>
  <c r="AJ27" i="14"/>
  <c r="AR27" i="14"/>
  <c r="AI85" i="3"/>
  <c r="AG85" i="3"/>
  <c r="AG89" i="3"/>
  <c r="AI89" i="3"/>
  <c r="AG101" i="3"/>
  <c r="AI101" i="3"/>
  <c r="AF115" i="3"/>
  <c r="F21" i="22" s="1"/>
  <c r="G21" i="22" s="1"/>
  <c r="AK70" i="17"/>
  <c r="AE70" i="17"/>
  <c r="Y70" i="17"/>
  <c r="S70" i="17"/>
  <c r="C33" i="17"/>
  <c r="K33" i="17" s="1"/>
  <c r="AR37" i="9"/>
  <c r="AZ37" i="9" s="1"/>
  <c r="AR11" i="9"/>
  <c r="AI54" i="15"/>
  <c r="AQ54" i="15"/>
  <c r="AR8" i="15"/>
  <c r="AC69" i="15"/>
  <c r="AC66" i="15"/>
  <c r="AR11" i="15"/>
  <c r="Y107" i="17"/>
  <c r="S107" i="17"/>
  <c r="AK107" i="17"/>
  <c r="C68" i="17"/>
  <c r="K68" i="17" s="1"/>
  <c r="H16" i="20"/>
  <c r="I16" i="20" s="1"/>
  <c r="H33" i="22"/>
  <c r="J33" i="22" s="1"/>
  <c r="AR58" i="15"/>
  <c r="AZ58" i="15" s="1"/>
  <c r="I39" i="21"/>
  <c r="K39" i="21" s="1"/>
  <c r="L16" i="20"/>
  <c r="M16" i="20" s="1"/>
  <c r="AR57" i="15"/>
  <c r="AZ57" i="15" s="1"/>
  <c r="AR59" i="15"/>
  <c r="AZ59" i="15" s="1"/>
  <c r="AI51" i="15"/>
  <c r="AQ51" i="15"/>
  <c r="AR5" i="15"/>
  <c r="AR9" i="15"/>
  <c r="AR7" i="15"/>
  <c r="AI65" i="15"/>
  <c r="AR32" i="15"/>
  <c r="AQ55" i="15"/>
  <c r="AI55" i="15"/>
  <c r="AR6" i="15"/>
  <c r="AR19" i="15"/>
  <c r="AR20" i="15"/>
  <c r="AH53" i="15"/>
  <c r="AH69" i="15" s="1"/>
  <c r="F23" i="23" s="1"/>
  <c r="G23" i="23" s="1"/>
  <c r="I38" i="23" s="1"/>
  <c r="K38" i="23" s="1"/>
  <c r="AF53" i="15"/>
  <c r="AF69" i="15" s="1"/>
  <c r="AR15" i="15"/>
  <c r="AE66" i="15"/>
  <c r="AR10" i="15"/>
  <c r="AR14" i="15"/>
  <c r="AJ88" i="3"/>
  <c r="AR88" i="3"/>
  <c r="AJ93" i="3"/>
  <c r="AR93" i="3"/>
  <c r="AS48" i="3"/>
  <c r="AR60" i="10"/>
  <c r="AR93" i="10"/>
  <c r="AR86" i="10"/>
  <c r="AR25" i="10"/>
  <c r="AR11" i="10"/>
  <c r="AR21" i="10"/>
  <c r="AR19" i="10"/>
  <c r="AI78" i="13"/>
  <c r="AI268" i="13"/>
  <c r="AI82" i="13"/>
  <c r="AI245" i="13"/>
  <c r="AI255" i="13"/>
  <c r="AR79" i="13"/>
  <c r="AR274" i="13"/>
  <c r="AZ274" i="13" s="1"/>
  <c r="AT264" i="13"/>
  <c r="AI264" i="13"/>
  <c r="AI261" i="13"/>
  <c r="AT261" i="13"/>
  <c r="AR151" i="13"/>
  <c r="AR250" i="13"/>
  <c r="AZ250" i="13" s="1"/>
  <c r="AR91" i="13"/>
  <c r="AR177" i="13"/>
  <c r="AI9" i="13"/>
  <c r="AI281" i="13"/>
  <c r="AT258" i="13"/>
  <c r="AI258" i="13"/>
  <c r="AR28" i="13"/>
  <c r="AR270" i="13"/>
  <c r="AZ270" i="13" s="1"/>
  <c r="C13" i="17"/>
  <c r="K13" i="17" s="1"/>
  <c r="S50" i="17"/>
  <c r="AG50" i="17"/>
  <c r="U50" i="17"/>
  <c r="L15" i="20"/>
  <c r="M15" i="20" s="1"/>
  <c r="H32" i="21"/>
  <c r="J32" i="21" s="1"/>
  <c r="AR253" i="13"/>
  <c r="AZ253" i="13" s="1"/>
  <c r="AR275" i="13"/>
  <c r="AZ275" i="13" s="1"/>
  <c r="AR179" i="13"/>
  <c r="AH11" i="13"/>
  <c r="AF11" i="13"/>
  <c r="F22" i="22"/>
  <c r="G22" i="22" s="1"/>
  <c r="AK105" i="17"/>
  <c r="C66" i="17"/>
  <c r="K66" i="17" s="1"/>
  <c r="S105" i="17"/>
  <c r="Y105" i="17"/>
  <c r="AI247" i="13"/>
  <c r="AT247" i="13"/>
  <c r="AR98" i="13"/>
  <c r="AZ98" i="13" s="1"/>
  <c r="AR242" i="13"/>
  <c r="AZ242" i="13" s="1"/>
  <c r="AR267" i="13"/>
  <c r="AZ267" i="13" s="1"/>
  <c r="AR263" i="13"/>
  <c r="AZ263" i="13" s="1"/>
  <c r="AR175" i="13"/>
  <c r="AR265" i="13"/>
  <c r="AZ265" i="13" s="1"/>
  <c r="AR30" i="13"/>
  <c r="AR271" i="13"/>
  <c r="AZ271" i="13" s="1"/>
  <c r="AR251" i="13"/>
  <c r="AZ251" i="13" s="1"/>
  <c r="AR155" i="13"/>
  <c r="AZ155" i="13" s="1"/>
  <c r="AR259" i="13"/>
  <c r="AZ259" i="13" s="1"/>
  <c r="AR278" i="13"/>
  <c r="AZ278" i="13" s="1"/>
  <c r="AI257" i="13"/>
  <c r="AT257" i="13"/>
  <c r="AR54" i="13"/>
  <c r="AR248" i="13"/>
  <c r="AZ248" i="13" s="1"/>
  <c r="AI243" i="13"/>
  <c r="AT243" i="13"/>
  <c r="AR256" i="13"/>
  <c r="AZ256" i="13" s="1"/>
  <c r="AR279" i="13"/>
  <c r="AZ279" i="13" s="1"/>
  <c r="AR172" i="13"/>
  <c r="AZ172" i="13" s="1"/>
  <c r="AR249" i="13"/>
  <c r="AZ249" i="13" s="1"/>
  <c r="AR156" i="13"/>
  <c r="AZ156" i="13" s="1"/>
  <c r="AR103" i="13"/>
  <c r="AR285" i="13"/>
  <c r="AZ285" i="13" s="1"/>
  <c r="AR7" i="13"/>
  <c r="AR80" i="13"/>
  <c r="AZ80" i="13" s="1"/>
  <c r="AR10" i="13"/>
  <c r="AZ10" i="13" s="1"/>
  <c r="AI244" i="13"/>
  <c r="AT244" i="13"/>
  <c r="AR277" i="13"/>
  <c r="AZ277" i="13" s="1"/>
  <c r="AI76" i="13"/>
  <c r="AT76" i="13"/>
  <c r="AI273" i="13"/>
  <c r="AT273" i="13"/>
  <c r="AR272" i="13"/>
  <c r="AZ272" i="13" s="1"/>
  <c r="AR246" i="13"/>
  <c r="AZ246" i="13" s="1"/>
  <c r="AR283" i="13"/>
  <c r="AZ283" i="13" s="1"/>
  <c r="AR269" i="13"/>
  <c r="AZ269" i="13" s="1"/>
  <c r="AR280" i="13"/>
  <c r="AZ280" i="13" s="1"/>
  <c r="AR87" i="13"/>
  <c r="AZ87" i="13" s="1"/>
  <c r="AR241" i="13"/>
  <c r="AZ241" i="13" s="1"/>
  <c r="AR287" i="13"/>
  <c r="AZ287" i="13" s="1"/>
  <c r="AS8" i="3"/>
  <c r="AS84" i="3"/>
  <c r="BB84" i="3" s="1"/>
  <c r="AS83" i="3"/>
  <c r="BB83" i="3" s="1"/>
  <c r="AS46" i="3"/>
  <c r="AS102" i="3"/>
  <c r="BB102" i="3" s="1"/>
  <c r="AS67" i="3"/>
  <c r="AS103" i="3"/>
  <c r="BB103" i="3" s="1"/>
  <c r="AS17" i="3"/>
  <c r="AS39" i="3"/>
  <c r="AS64" i="3"/>
  <c r="AS95" i="3"/>
  <c r="BB95" i="3" s="1"/>
  <c r="AK63" i="17"/>
  <c r="C26" i="17"/>
  <c r="S63" i="17"/>
  <c r="AE63" i="17"/>
  <c r="Y63" i="17"/>
  <c r="AS86" i="3"/>
  <c r="BB86" i="3" s="1"/>
  <c r="AS36" i="3"/>
  <c r="AS90" i="3"/>
  <c r="BB90" i="3" s="1"/>
  <c r="AS94" i="3"/>
  <c r="BB94" i="3" s="1"/>
  <c r="AS99" i="3"/>
  <c r="BB99" i="3" s="1"/>
  <c r="AS98" i="3"/>
  <c r="BB98" i="3" s="1"/>
  <c r="AR83" i="10"/>
  <c r="AR26" i="10"/>
  <c r="AR115" i="10"/>
  <c r="AR14" i="10"/>
  <c r="AR16" i="10"/>
  <c r="AR61" i="10"/>
  <c r="AI63" i="10"/>
  <c r="AQ63" i="10"/>
  <c r="AR91" i="10"/>
  <c r="AR17" i="10"/>
  <c r="AR10" i="10"/>
  <c r="AR18" i="10"/>
  <c r="AR22" i="10"/>
  <c r="AR92" i="10"/>
  <c r="AR12" i="10"/>
  <c r="AH147" i="10"/>
  <c r="AR84" i="10"/>
  <c r="AR13" i="10"/>
  <c r="AG52" i="17"/>
  <c r="U52" i="17"/>
  <c r="S52" i="17"/>
  <c r="C15" i="17"/>
  <c r="K15" i="17" s="1"/>
  <c r="AR139" i="10"/>
  <c r="AZ139" i="10" s="1"/>
  <c r="AI138" i="10"/>
  <c r="AQ138" i="10"/>
  <c r="AQ137" i="10"/>
  <c r="AI137" i="10"/>
  <c r="AI136" i="10"/>
  <c r="AQ136" i="10"/>
  <c r="AI135" i="10"/>
  <c r="AQ135" i="10"/>
  <c r="AI134" i="10"/>
  <c r="AQ134" i="10"/>
  <c r="AR125" i="10"/>
  <c r="AZ125" i="10" s="1"/>
  <c r="AI124" i="10"/>
  <c r="AQ124" i="10"/>
  <c r="AI123" i="10"/>
  <c r="AQ123" i="10"/>
  <c r="AI122" i="10"/>
  <c r="AQ122" i="10"/>
  <c r="AI121" i="10"/>
  <c r="AQ121" i="10"/>
  <c r="AQ120" i="10"/>
  <c r="AI120" i="10"/>
  <c r="AI119" i="10"/>
  <c r="AQ119" i="10"/>
  <c r="AI118" i="10"/>
  <c r="AQ118" i="10"/>
  <c r="AR109" i="10"/>
  <c r="AZ109" i="10" s="1"/>
  <c r="AR108" i="10"/>
  <c r="AZ108" i="10" s="1"/>
  <c r="AR89" i="10"/>
  <c r="AZ89" i="10" s="1"/>
  <c r="AE146" i="10"/>
  <c r="AF87" i="10"/>
  <c r="AH87" i="10"/>
  <c r="AE149" i="10"/>
  <c r="F25" i="22" s="1"/>
  <c r="H34" i="21"/>
  <c r="J34" i="21" s="1"/>
  <c r="L18" i="20"/>
  <c r="M18" i="20" s="1"/>
  <c r="AC146" i="10"/>
  <c r="AC149" i="10"/>
  <c r="C184" i="17"/>
  <c r="C147" i="17"/>
  <c r="AJ142" i="17"/>
  <c r="Y142" i="17"/>
  <c r="S142" i="17"/>
  <c r="C108" i="17"/>
  <c r="O142" i="17"/>
  <c r="K145" i="17"/>
  <c r="G14" i="22"/>
  <c r="F162" i="10"/>
  <c r="F161" i="10"/>
  <c r="E53" i="17" s="1"/>
  <c r="F14" i="23"/>
  <c r="AG126" i="17"/>
  <c r="U126" i="17"/>
  <c r="K129" i="17"/>
  <c r="M126" i="17"/>
  <c r="S126" i="17"/>
  <c r="C92" i="17"/>
  <c r="AJ12" i="14"/>
  <c r="AR12" i="14"/>
  <c r="AU12" i="14" s="1"/>
  <c r="H36" i="21"/>
  <c r="L20" i="20"/>
  <c r="AS5" i="14"/>
  <c r="AK103" i="17"/>
  <c r="Y103" i="17"/>
  <c r="S103" i="17"/>
  <c r="C64" i="17"/>
  <c r="AX7" i="9" l="1"/>
  <c r="AX50" i="9" s="1"/>
  <c r="AZ7" i="9"/>
  <c r="AW50" i="9"/>
  <c r="AZ50" i="9" s="1"/>
  <c r="AX19" i="10"/>
  <c r="AZ19" i="10"/>
  <c r="AX25" i="10"/>
  <c r="AZ25" i="10"/>
  <c r="AX86" i="10"/>
  <c r="AZ86" i="10"/>
  <c r="AX21" i="10"/>
  <c r="AZ21" i="10"/>
  <c r="AX93" i="10"/>
  <c r="AZ93" i="10"/>
  <c r="AX11" i="10"/>
  <c r="AZ11" i="10"/>
  <c r="AX60" i="10"/>
  <c r="AZ60" i="10"/>
  <c r="AX8" i="10"/>
  <c r="AW146" i="10"/>
  <c r="AZ8" i="10"/>
  <c r="AX17" i="10"/>
  <c r="AZ17" i="10"/>
  <c r="AX92" i="10"/>
  <c r="AZ92" i="10"/>
  <c r="AX91" i="10"/>
  <c r="AZ91" i="10"/>
  <c r="AX13" i="10"/>
  <c r="AZ13" i="10"/>
  <c r="AX83" i="10"/>
  <c r="AZ83" i="10"/>
  <c r="AX84" i="10"/>
  <c r="AZ84" i="10"/>
  <c r="AX61" i="10"/>
  <c r="AZ61" i="10"/>
  <c r="AX22" i="10"/>
  <c r="AZ22" i="10"/>
  <c r="AX16" i="10"/>
  <c r="AZ16" i="10"/>
  <c r="AX12" i="10"/>
  <c r="AZ12" i="10"/>
  <c r="AX14" i="10"/>
  <c r="AZ14" i="10"/>
  <c r="AX18" i="10"/>
  <c r="AZ18" i="10"/>
  <c r="AX115" i="10"/>
  <c r="AZ115" i="10"/>
  <c r="AX10" i="10"/>
  <c r="AZ10" i="10"/>
  <c r="AX26" i="10"/>
  <c r="AZ26" i="10"/>
  <c r="AX9" i="15"/>
  <c r="AZ9" i="15"/>
  <c r="AX14" i="15"/>
  <c r="AZ14" i="15"/>
  <c r="AX5" i="15"/>
  <c r="AZ5" i="15"/>
  <c r="AW69" i="15"/>
  <c r="AW65" i="15"/>
  <c r="AX10" i="15"/>
  <c r="AZ10" i="15"/>
  <c r="AX11" i="15"/>
  <c r="AZ11" i="15"/>
  <c r="AX15" i="15"/>
  <c r="AZ15" i="15"/>
  <c r="AX20" i="15"/>
  <c r="AZ20" i="15"/>
  <c r="AX7" i="15"/>
  <c r="AZ7" i="15"/>
  <c r="AX19" i="15"/>
  <c r="AZ19" i="15"/>
  <c r="AX6" i="15"/>
  <c r="AZ6" i="15"/>
  <c r="AX8" i="15"/>
  <c r="AZ8" i="15"/>
  <c r="AX32" i="15"/>
  <c r="AX66" i="15" s="1"/>
  <c r="AZ32" i="15"/>
  <c r="AW66" i="15"/>
  <c r="AU6" i="11"/>
  <c r="AX6" i="11" s="1"/>
  <c r="BA6" i="11"/>
  <c r="F43" i="11"/>
  <c r="E12" i="17" s="1"/>
  <c r="E44" i="11"/>
  <c r="F44" i="11" s="1"/>
  <c r="B68" i="32"/>
  <c r="J68" i="32" s="1"/>
  <c r="B31" i="32"/>
  <c r="J31" i="32" s="1"/>
  <c r="AT63" i="10"/>
  <c r="AW63" i="10"/>
  <c r="B50" i="32"/>
  <c r="J50" i="32" s="1"/>
  <c r="B13" i="32"/>
  <c r="J13" i="32" s="1"/>
  <c r="AX166" i="13"/>
  <c r="AZ166" i="13"/>
  <c r="AX97" i="13"/>
  <c r="AZ97" i="13"/>
  <c r="AX93" i="13"/>
  <c r="AZ315" i="13" s="1"/>
  <c r="AZ93" i="13"/>
  <c r="B48" i="32"/>
  <c r="J48" i="32" s="1"/>
  <c r="B11" i="32"/>
  <c r="J11" i="32" s="1"/>
  <c r="AY6" i="11"/>
  <c r="AX29" i="11"/>
  <c r="AY29" i="11"/>
  <c r="AV12" i="14"/>
  <c r="AX12" i="14"/>
  <c r="E16" i="17"/>
  <c r="D89" i="32"/>
  <c r="L68" i="32"/>
  <c r="S68" i="32"/>
  <c r="AU63" i="10"/>
  <c r="AT147" i="10"/>
  <c r="AU23" i="10"/>
  <c r="AT146" i="10"/>
  <c r="AU147" i="10"/>
  <c r="AU146" i="10"/>
  <c r="AO149" i="10"/>
  <c r="AP113" i="3"/>
  <c r="AR33" i="17"/>
  <c r="AR68" i="17"/>
  <c r="AR67" i="17"/>
  <c r="AR66" i="17"/>
  <c r="AP115" i="3"/>
  <c r="AG113" i="3"/>
  <c r="AI113" i="3"/>
  <c r="AI115" i="3"/>
  <c r="AV36" i="3"/>
  <c r="AU113" i="3"/>
  <c r="AR63" i="17"/>
  <c r="AR92" i="3"/>
  <c r="AS92" i="3" s="1"/>
  <c r="BB92" i="3" s="1"/>
  <c r="AJ92" i="3"/>
  <c r="AP104" i="17"/>
  <c r="AR104" i="17"/>
  <c r="S47" i="17"/>
  <c r="U47" i="17"/>
  <c r="AG47" i="17"/>
  <c r="C10" i="17"/>
  <c r="K10" i="17" s="1"/>
  <c r="H37" i="22"/>
  <c r="AL149" i="10"/>
  <c r="AT149" i="10"/>
  <c r="F29" i="21"/>
  <c r="F30" i="21" s="1"/>
  <c r="AV6" i="11"/>
  <c r="AV29" i="11" s="1"/>
  <c r="AU29" i="11"/>
  <c r="AR7" i="9"/>
  <c r="AT7" i="9"/>
  <c r="AU69" i="15"/>
  <c r="AV40" i="14"/>
  <c r="AQ262" i="13"/>
  <c r="AI262" i="13"/>
  <c r="AU149" i="10"/>
  <c r="AU40" i="14"/>
  <c r="AQ147" i="10"/>
  <c r="AI147" i="10"/>
  <c r="F22" i="23"/>
  <c r="G22" i="23" s="1"/>
  <c r="H33" i="23" s="1"/>
  <c r="AQ11" i="13"/>
  <c r="AR281" i="13"/>
  <c r="AZ281" i="13" s="1"/>
  <c r="AT281" i="13"/>
  <c r="AT9" i="13"/>
  <c r="AR255" i="13"/>
  <c r="AZ255" i="13" s="1"/>
  <c r="AT255" i="13"/>
  <c r="AR245" i="13"/>
  <c r="AZ245" i="13" s="1"/>
  <c r="AT245" i="13"/>
  <c r="AR82" i="13"/>
  <c r="AZ82" i="13" s="1"/>
  <c r="AT82" i="13"/>
  <c r="AR268" i="13"/>
  <c r="AZ268" i="13" s="1"/>
  <c r="AT268" i="13"/>
  <c r="AR78" i="13"/>
  <c r="AZ78" i="13" s="1"/>
  <c r="AT78" i="13"/>
  <c r="AU93" i="13"/>
  <c r="AR9" i="13"/>
  <c r="AM114" i="3"/>
  <c r="AV7" i="3"/>
  <c r="AV8" i="3"/>
  <c r="AV114" i="3" s="1"/>
  <c r="AU114" i="3"/>
  <c r="AG115" i="3"/>
  <c r="AQ32" i="9"/>
  <c r="AR32" i="9" s="1"/>
  <c r="AZ32" i="9" s="1"/>
  <c r="AI32" i="9"/>
  <c r="AI50" i="9" s="1"/>
  <c r="AH50" i="9"/>
  <c r="F26" i="23" s="1"/>
  <c r="G26" i="23" s="1"/>
  <c r="H35" i="23" s="1"/>
  <c r="J35" i="23" s="1"/>
  <c r="H36" i="22"/>
  <c r="J36" i="22" s="1"/>
  <c r="H19" i="20"/>
  <c r="I19" i="20" s="1"/>
  <c r="AQ36" i="16"/>
  <c r="AI36" i="16"/>
  <c r="AF43" i="16"/>
  <c r="AR15" i="16"/>
  <c r="AZ15" i="16" s="1"/>
  <c r="AE67" i="17"/>
  <c r="Y67" i="17"/>
  <c r="AK67" i="17"/>
  <c r="C30" i="17"/>
  <c r="K30" i="17" s="1"/>
  <c r="S67" i="17"/>
  <c r="AR38" i="16"/>
  <c r="AZ38" i="16" s="1"/>
  <c r="AI14" i="16"/>
  <c r="AQ14" i="16"/>
  <c r="AH43" i="16"/>
  <c r="F24" i="23" s="1"/>
  <c r="G24" i="23" s="1"/>
  <c r="H34" i="23" s="1"/>
  <c r="J34" i="23" s="1"/>
  <c r="AQ16" i="16"/>
  <c r="AI16" i="16"/>
  <c r="AR30" i="16"/>
  <c r="AZ30" i="16" s="1"/>
  <c r="AR20" i="16"/>
  <c r="AZ20" i="16"/>
  <c r="H34" i="22"/>
  <c r="J34" i="22" s="1"/>
  <c r="H17" i="20"/>
  <c r="I17" i="20" s="1"/>
  <c r="AR40" i="16"/>
  <c r="AZ40" i="16" s="1"/>
  <c r="AR32" i="16"/>
  <c r="AZ32" i="16"/>
  <c r="AR24" i="16"/>
  <c r="AZ24" i="16" s="1"/>
  <c r="U90" i="17"/>
  <c r="AG90" i="17"/>
  <c r="S90" i="17"/>
  <c r="C51" i="17"/>
  <c r="K51" i="17" s="1"/>
  <c r="AR26" i="16"/>
  <c r="AZ26" i="16" s="1"/>
  <c r="AR34" i="16"/>
  <c r="AZ34" i="16" s="1"/>
  <c r="AR5" i="11"/>
  <c r="AJ5" i="11"/>
  <c r="Y104" i="17"/>
  <c r="C65" i="17"/>
  <c r="K65" i="17" s="1"/>
  <c r="S104" i="17"/>
  <c r="AK104" i="17"/>
  <c r="AE104" i="17"/>
  <c r="H38" i="22"/>
  <c r="J38" i="22" s="1"/>
  <c r="H21" i="20"/>
  <c r="I21" i="20" s="1"/>
  <c r="AI19" i="11"/>
  <c r="AG19" i="11"/>
  <c r="AG29" i="11" s="1"/>
  <c r="S88" i="17"/>
  <c r="C49" i="17"/>
  <c r="K49" i="17" s="1"/>
  <c r="U88" i="17"/>
  <c r="AG88" i="17"/>
  <c r="L21" i="20"/>
  <c r="M21" i="20" s="1"/>
  <c r="H37" i="21"/>
  <c r="J37" i="21" s="1"/>
  <c r="AS6" i="11"/>
  <c r="AJ13" i="11"/>
  <c r="AR13" i="11"/>
  <c r="AI29" i="11"/>
  <c r="F28" i="23" s="1"/>
  <c r="G28" i="23" s="1"/>
  <c r="H36" i="23" s="1"/>
  <c r="J36" i="23" s="1"/>
  <c r="AR19" i="14"/>
  <c r="AS19" i="14" s="1"/>
  <c r="BE19" i="14" s="1"/>
  <c r="AJ19" i="14"/>
  <c r="AG40" i="14"/>
  <c r="AI40" i="14"/>
  <c r="F18" i="22"/>
  <c r="AS27" i="14"/>
  <c r="BE27" i="14" s="1"/>
  <c r="AS18" i="14"/>
  <c r="BE18" i="14" s="1"/>
  <c r="AJ10" i="14"/>
  <c r="AR10" i="14"/>
  <c r="AR32" i="14"/>
  <c r="AJ32" i="14"/>
  <c r="AR28" i="14"/>
  <c r="AJ28" i="14"/>
  <c r="AS29" i="14"/>
  <c r="BE29" i="14" s="1"/>
  <c r="E54" i="14"/>
  <c r="F54" i="14" s="1"/>
  <c r="E11" i="17" s="1"/>
  <c r="E19" i="17" s="1"/>
  <c r="E23" i="17" s="1"/>
  <c r="F16" i="23"/>
  <c r="G16" i="23" s="1"/>
  <c r="F53" i="14"/>
  <c r="E48" i="17" s="1"/>
  <c r="K87" i="17"/>
  <c r="E56" i="17"/>
  <c r="E60" i="17" s="1"/>
  <c r="AS9" i="14"/>
  <c r="BE9" i="14" s="1"/>
  <c r="AR11" i="14"/>
  <c r="AJ11" i="14"/>
  <c r="AJ89" i="3"/>
  <c r="AR89" i="3"/>
  <c r="AS89" i="3" s="1"/>
  <c r="BB89" i="3" s="1"/>
  <c r="AJ85" i="3"/>
  <c r="AR85" i="3"/>
  <c r="F21" i="23"/>
  <c r="G21" i="23" s="1"/>
  <c r="H32" i="23" s="1"/>
  <c r="J32" i="23" s="1"/>
  <c r="AR101" i="3"/>
  <c r="AS101" i="3" s="1"/>
  <c r="BB101" i="3" s="1"/>
  <c r="AJ101" i="3"/>
  <c r="H14" i="20"/>
  <c r="I14" i="20" s="1"/>
  <c r="H31" i="22"/>
  <c r="J31" i="22" s="1"/>
  <c r="AZ11" i="9"/>
  <c r="AR54" i="15"/>
  <c r="AZ54" i="15" s="1"/>
  <c r="AR55" i="15"/>
  <c r="AZ55" i="15" s="1"/>
  <c r="AQ53" i="15"/>
  <c r="AQ66" i="15" s="1"/>
  <c r="AI53" i="15"/>
  <c r="AI69" i="15" s="1"/>
  <c r="AH66" i="15"/>
  <c r="AR51" i="15"/>
  <c r="AZ51" i="15" s="1"/>
  <c r="Y68" i="17"/>
  <c r="S68" i="17"/>
  <c r="AK68" i="17"/>
  <c r="C31" i="17"/>
  <c r="K31" i="17" s="1"/>
  <c r="AE68" i="17"/>
  <c r="AR65" i="15"/>
  <c r="AF66" i="15"/>
  <c r="AS88" i="3"/>
  <c r="BB88" i="3" s="1"/>
  <c r="AS93" i="3"/>
  <c r="BB93" i="3" s="1"/>
  <c r="K26" i="17"/>
  <c r="AG26" i="17"/>
  <c r="AR261" i="13"/>
  <c r="AZ261" i="13" s="1"/>
  <c r="AR258" i="13"/>
  <c r="AZ258" i="13" s="1"/>
  <c r="AR264" i="13"/>
  <c r="AZ264" i="13" s="1"/>
  <c r="AR257" i="13"/>
  <c r="AZ257" i="13" s="1"/>
  <c r="AR247" i="13"/>
  <c r="AZ247" i="13" s="1"/>
  <c r="AK66" i="17"/>
  <c r="AE66" i="17"/>
  <c r="S66" i="17"/>
  <c r="C29" i="17"/>
  <c r="K29" i="17" s="1"/>
  <c r="B27" i="32" s="1"/>
  <c r="J27" i="32" s="1"/>
  <c r="Y66" i="17"/>
  <c r="AI11" i="13"/>
  <c r="AR76" i="13"/>
  <c r="AZ76" i="13" s="1"/>
  <c r="AR273" i="13"/>
  <c r="AZ273" i="13" s="1"/>
  <c r="AR243" i="13"/>
  <c r="AZ243" i="13" s="1"/>
  <c r="AR244" i="13"/>
  <c r="AZ244" i="13" s="1"/>
  <c r="H32" i="22"/>
  <c r="J32" i="22" s="1"/>
  <c r="H15" i="20"/>
  <c r="I15" i="20" s="1"/>
  <c r="AS114" i="3"/>
  <c r="AR63" i="10"/>
  <c r="AR147" i="10" s="1"/>
  <c r="K92" i="17"/>
  <c r="C95" i="17"/>
  <c r="C99" i="17" s="1"/>
  <c r="M129" i="17"/>
  <c r="K133" i="17"/>
  <c r="K147" i="17" s="1"/>
  <c r="G14" i="23"/>
  <c r="K108" i="17"/>
  <c r="C111" i="17"/>
  <c r="G25" i="22"/>
  <c r="F29" i="22"/>
  <c r="F30" i="22" s="1"/>
  <c r="AI87" i="10"/>
  <c r="AI149" i="10" s="1"/>
  <c r="AH146" i="10"/>
  <c r="AH149" i="10"/>
  <c r="F25" i="23" s="1"/>
  <c r="G25" i="23" s="1"/>
  <c r="I39" i="23" s="1"/>
  <c r="K39" i="23" s="1"/>
  <c r="AQ87" i="10"/>
  <c r="AF146" i="10"/>
  <c r="AF149" i="10"/>
  <c r="AR118" i="10"/>
  <c r="AZ118" i="10" s="1"/>
  <c r="AR119" i="10"/>
  <c r="AZ119" i="10" s="1"/>
  <c r="AR120" i="10"/>
  <c r="AZ120" i="10"/>
  <c r="AR121" i="10"/>
  <c r="AZ121" i="10" s="1"/>
  <c r="AR122" i="10"/>
  <c r="AZ122" i="10" s="1"/>
  <c r="AR123" i="10"/>
  <c r="AZ123" i="10" s="1"/>
  <c r="AR124" i="10"/>
  <c r="AZ124" i="10" s="1"/>
  <c r="AR134" i="10"/>
  <c r="AZ134" i="10" s="1"/>
  <c r="AR135" i="10"/>
  <c r="AZ135" i="10"/>
  <c r="AR136" i="10"/>
  <c r="AZ136" i="10" s="1"/>
  <c r="AR137" i="10"/>
  <c r="AZ137" i="10" s="1"/>
  <c r="AR138" i="10"/>
  <c r="AZ138" i="10" s="1"/>
  <c r="K64" i="17"/>
  <c r="J37" i="22"/>
  <c r="M20" i="20"/>
  <c r="J36" i="21"/>
  <c r="I38" i="21"/>
  <c r="F27" i="23"/>
  <c r="AS12" i="14"/>
  <c r="AX63" i="10" l="1"/>
  <c r="AZ63" i="10"/>
  <c r="AW147" i="10"/>
  <c r="AW149" i="10"/>
  <c r="AX149" i="10"/>
  <c r="AX146" i="10"/>
  <c r="AX147" i="10"/>
  <c r="AX69" i="15"/>
  <c r="AZ69" i="15" s="1"/>
  <c r="AX65" i="15"/>
  <c r="BB6" i="11"/>
  <c r="BB29" i="11" s="1"/>
  <c r="BD6" i="11"/>
  <c r="BA29" i="11"/>
  <c r="BD29" i="11" s="1"/>
  <c r="B66" i="32"/>
  <c r="J66" i="32" s="1"/>
  <c r="B29" i="32"/>
  <c r="J29" i="32" s="1"/>
  <c r="B65" i="32"/>
  <c r="J65" i="32" s="1"/>
  <c r="B28" i="32"/>
  <c r="J28" i="32" s="1"/>
  <c r="AY12" i="14"/>
  <c r="AY40" i="14" s="1"/>
  <c r="AX40" i="14"/>
  <c r="B61" i="32"/>
  <c r="B24" i="32"/>
  <c r="B45" i="32"/>
  <c r="B8" i="32"/>
  <c r="J89" i="32"/>
  <c r="J92" i="32" s="1"/>
  <c r="J96" i="32" s="1"/>
  <c r="J111" i="32" s="1"/>
  <c r="D92" i="32"/>
  <c r="D96" i="32" s="1"/>
  <c r="L66" i="32"/>
  <c r="S66" i="32"/>
  <c r="L65" i="32"/>
  <c r="S65" i="32"/>
  <c r="AR29" i="17"/>
  <c r="B64" i="32"/>
  <c r="J64" i="32" s="1"/>
  <c r="S64" i="32" s="1"/>
  <c r="J61" i="32"/>
  <c r="S61" i="32" s="1"/>
  <c r="J45" i="32"/>
  <c r="AP108" i="17"/>
  <c r="AR108" i="17"/>
  <c r="AR31" i="17"/>
  <c r="AR30" i="17"/>
  <c r="AR65" i="17"/>
  <c r="AR64" i="17"/>
  <c r="AR26" i="17"/>
  <c r="AR113" i="3"/>
  <c r="AR115" i="3"/>
  <c r="AJ113" i="3"/>
  <c r="AJ115" i="3"/>
  <c r="AV115" i="3"/>
  <c r="AV113" i="3"/>
  <c r="H63" i="21"/>
  <c r="J63" i="21"/>
  <c r="AR50" i="9"/>
  <c r="AQ50" i="9"/>
  <c r="AT262" i="13"/>
  <c r="AR262" i="13"/>
  <c r="AZ262" i="13" s="1"/>
  <c r="AU7" i="9"/>
  <c r="AU50" i="9" s="1"/>
  <c r="AT50" i="9"/>
  <c r="AQ146" i="10"/>
  <c r="AQ149" i="10"/>
  <c r="AQ43" i="16"/>
  <c r="AT11" i="13"/>
  <c r="AZ9" i="13"/>
  <c r="AS85" i="3"/>
  <c r="AI43" i="16"/>
  <c r="AR36" i="16"/>
  <c r="AZ36" i="16" s="1"/>
  <c r="U51" i="17"/>
  <c r="AG51" i="17"/>
  <c r="S51" i="17"/>
  <c r="C14" i="17"/>
  <c r="K14" i="17" s="1"/>
  <c r="AR16" i="16"/>
  <c r="AZ16" i="16" s="1"/>
  <c r="AR14" i="16"/>
  <c r="AZ14" i="16" s="1"/>
  <c r="L22" i="20"/>
  <c r="AS5" i="11"/>
  <c r="BD5" i="11"/>
  <c r="M22" i="20"/>
  <c r="M23" i="20" s="1"/>
  <c r="AK65" i="17"/>
  <c r="S65" i="17"/>
  <c r="AE65" i="17"/>
  <c r="C28" i="17"/>
  <c r="K28" i="17" s="1"/>
  <c r="Y65" i="17"/>
  <c r="AS13" i="11"/>
  <c r="BD13" i="11" s="1"/>
  <c r="S49" i="17"/>
  <c r="C12" i="17"/>
  <c r="K12" i="17" s="1"/>
  <c r="U49" i="17"/>
  <c r="AG49" i="17"/>
  <c r="AR19" i="11"/>
  <c r="AJ19" i="11"/>
  <c r="AJ29" i="11" s="1"/>
  <c r="F18" i="23"/>
  <c r="AS32" i="14"/>
  <c r="BE32" i="14" s="1"/>
  <c r="AS10" i="14"/>
  <c r="BE10" i="14" s="1"/>
  <c r="AR40" i="14"/>
  <c r="AS28" i="14"/>
  <c r="AJ40" i="14"/>
  <c r="AS11" i="14"/>
  <c r="BE11" i="14" s="1"/>
  <c r="C48" i="17"/>
  <c r="K48" i="17" s="1"/>
  <c r="S87" i="17"/>
  <c r="AG87" i="17"/>
  <c r="U87" i="17"/>
  <c r="AR53" i="15"/>
  <c r="AR69" i="15" s="1"/>
  <c r="AQ69" i="15"/>
  <c r="AI66" i="15"/>
  <c r="AG29" i="17"/>
  <c r="J33" i="23"/>
  <c r="J63" i="23" s="1"/>
  <c r="H63" i="23"/>
  <c r="AR11" i="13"/>
  <c r="C113" i="17"/>
  <c r="AR87" i="10"/>
  <c r="AZ87" i="10" s="1"/>
  <c r="AI146" i="10"/>
  <c r="H18" i="20"/>
  <c r="I18" i="20" s="1"/>
  <c r="I22" i="20" s="1"/>
  <c r="H35" i="22"/>
  <c r="AK108" i="17"/>
  <c r="Y108" i="17"/>
  <c r="C69" i="17"/>
  <c r="S108" i="17"/>
  <c r="K111" i="17"/>
  <c r="AT113" i="17" s="1"/>
  <c r="AG92" i="17"/>
  <c r="U92" i="17"/>
  <c r="C53" i="17"/>
  <c r="S92" i="17"/>
  <c r="K95" i="17"/>
  <c r="AR95" i="17" s="1"/>
  <c r="G27" i="23"/>
  <c r="I40" i="23" s="1"/>
  <c r="F29" i="23"/>
  <c r="F30" i="23" s="1"/>
  <c r="F65" i="23" s="1"/>
  <c r="K38" i="21"/>
  <c r="I63" i="21"/>
  <c r="I64" i="21" s="1"/>
  <c r="AK64" i="17"/>
  <c r="AE64" i="17"/>
  <c r="Y64" i="17"/>
  <c r="C27" i="17"/>
  <c r="S64" i="17"/>
  <c r="AZ149" i="10" l="1"/>
  <c r="AZ147" i="10"/>
  <c r="B49" i="32"/>
  <c r="B12" i="32"/>
  <c r="J12" i="32" s="1"/>
  <c r="B10" i="32"/>
  <c r="J10" i="32" s="1"/>
  <c r="B47" i="32"/>
  <c r="J47" i="32" s="1"/>
  <c r="B26" i="32"/>
  <c r="J26" i="32" s="1"/>
  <c r="B63" i="32"/>
  <c r="J63" i="32" s="1"/>
  <c r="J8" i="32"/>
  <c r="J24" i="32"/>
  <c r="L64" i="32"/>
  <c r="J49" i="32"/>
  <c r="L61" i="32"/>
  <c r="AT317" i="13"/>
  <c r="AR28" i="17"/>
  <c r="AS113" i="3"/>
  <c r="AS115" i="3"/>
  <c r="BB85" i="3"/>
  <c r="AR43" i="16"/>
  <c r="AS19" i="11"/>
  <c r="BD19" i="11" s="1"/>
  <c r="AR29" i="11"/>
  <c r="AS40" i="14"/>
  <c r="S48" i="17"/>
  <c r="C11" i="17"/>
  <c r="K11" i="17" s="1"/>
  <c r="U48" i="17"/>
  <c r="AG48" i="17"/>
  <c r="BE28" i="14"/>
  <c r="AZ53" i="15"/>
  <c r="AR66" i="15"/>
  <c r="AZ11" i="13"/>
  <c r="M95" i="17"/>
  <c r="K99" i="17"/>
  <c r="K113" i="17" s="1"/>
  <c r="K53" i="17"/>
  <c r="C56" i="17"/>
  <c r="C60" i="17" s="1"/>
  <c r="K69" i="17"/>
  <c r="C72" i="17"/>
  <c r="J35" i="22"/>
  <c r="J62" i="22" s="1"/>
  <c r="I39" i="22"/>
  <c r="H62" i="22"/>
  <c r="AR146" i="10"/>
  <c r="AR149" i="10"/>
  <c r="K27" i="17"/>
  <c r="K63" i="21"/>
  <c r="J64" i="21" s="1"/>
  <c r="L24" i="20"/>
  <c r="M24" i="20" s="1"/>
  <c r="K40" i="23"/>
  <c r="I37" i="23"/>
  <c r="L63" i="32" l="1"/>
  <c r="S63" i="32"/>
  <c r="B25" i="32"/>
  <c r="B62" i="32"/>
  <c r="J62" i="32" s="1"/>
  <c r="B9" i="32"/>
  <c r="B46" i="32"/>
  <c r="J46" i="32" s="1"/>
  <c r="AR69" i="17"/>
  <c r="AR27" i="17"/>
  <c r="AS29" i="11"/>
  <c r="C74" i="17"/>
  <c r="C78" i="17" s="1"/>
  <c r="K39" i="22"/>
  <c r="K62" i="22" s="1"/>
  <c r="J63" i="22" s="1"/>
  <c r="I62" i="22"/>
  <c r="I63" i="22" s="1"/>
  <c r="AK69" i="17"/>
  <c r="AE69" i="17"/>
  <c r="Y69" i="17"/>
  <c r="C32" i="17"/>
  <c r="S69" i="17"/>
  <c r="K72" i="17"/>
  <c r="AG53" i="17"/>
  <c r="C16" i="17"/>
  <c r="S53" i="17"/>
  <c r="U53" i="17"/>
  <c r="K56" i="17"/>
  <c r="K37" i="23"/>
  <c r="K63" i="23" s="1"/>
  <c r="J64" i="23" s="1"/>
  <c r="I63" i="23"/>
  <c r="I64" i="23" s="1"/>
  <c r="J9" i="32" l="1"/>
  <c r="L62" i="32"/>
  <c r="S62" i="32"/>
  <c r="J25" i="32"/>
  <c r="AT76" i="17"/>
  <c r="K60" i="17"/>
  <c r="K74" i="17" s="1"/>
  <c r="K78" i="17" s="1"/>
  <c r="AR56" i="17"/>
  <c r="K16" i="17"/>
  <c r="C19" i="17"/>
  <c r="C23" i="17" s="1"/>
  <c r="K32" i="17"/>
  <c r="B30" i="32" s="1"/>
  <c r="C35" i="17"/>
  <c r="J30" i="32" l="1"/>
  <c r="B33" i="32"/>
  <c r="B51" i="32"/>
  <c r="B14" i="32"/>
  <c r="J33" i="32"/>
  <c r="AR32" i="17"/>
  <c r="B67" i="32"/>
  <c r="J51" i="32"/>
  <c r="J54" i="32" s="1"/>
  <c r="J58" i="32" s="1"/>
  <c r="B54" i="32"/>
  <c r="B58" i="32" s="1"/>
  <c r="K35" i="17"/>
  <c r="AT36" i="17" s="1"/>
  <c r="K19" i="17"/>
  <c r="K23" i="17" s="1"/>
  <c r="C37" i="17"/>
  <c r="J14" i="32" l="1"/>
  <c r="J17" i="32" s="1"/>
  <c r="J21" i="32" s="1"/>
  <c r="J35" i="32" s="1"/>
  <c r="B17" i="32"/>
  <c r="B21" i="32" s="1"/>
  <c r="B35" i="32" s="1"/>
  <c r="J67" i="32"/>
  <c r="S67" i="32" s="1"/>
  <c r="B70" i="32"/>
  <c r="B72" i="32" s="1"/>
  <c r="K37" i="17"/>
  <c r="AR19" i="17"/>
  <c r="L67" i="32" l="1"/>
  <c r="J70" i="32"/>
  <c r="J7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0" authorId="0" shapeId="0" xr:uid="{7D8EF0A6-128E-428D-B8D6-1420D33AC606}">
      <text>
        <r>
          <rPr>
            <b/>
            <sz val="9"/>
            <color indexed="81"/>
            <rFont val="Tahoma"/>
            <family val="2"/>
          </rPr>
          <t>Sdh masuk Revaluasi</t>
        </r>
      </text>
    </comment>
    <comment ref="B22" authorId="0" shapeId="0" xr:uid="{7EC3059F-C4A0-411B-9884-4D51C8B9FE68}">
      <text>
        <r>
          <rPr>
            <b/>
            <sz val="9"/>
            <color indexed="81"/>
            <rFont val="Tahoma"/>
            <family val="2"/>
          </rPr>
          <t>Dikurangi dari bangunan Renovasi sebesar 72 jt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6" authorId="0" shapeId="0" xr:uid="{7B41AAD5-151C-4584-9355-62E4A01817FA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ada perubahan pada hutang mnc karena ada berita acara bahwa hutang ki lebih kecin 3,360,936 pada ki 1
</t>
        </r>
      </text>
    </comment>
  </commentList>
</comments>
</file>

<file path=xl/sharedStrings.xml><?xml version="1.0" encoding="utf-8"?>
<sst xmlns="http://schemas.openxmlformats.org/spreadsheetml/2006/main" count="7036" uniqueCount="1319">
  <si>
    <t xml:space="preserve">Fixed Asset </t>
  </si>
  <si>
    <t>Tahun</t>
  </si>
  <si>
    <t>Umur</t>
  </si>
  <si>
    <t>Harga</t>
  </si>
  <si>
    <t>Penyusutan</t>
  </si>
  <si>
    <t>TOTAL  PENY 2020</t>
  </si>
  <si>
    <t xml:space="preserve">AK . PENY </t>
  </si>
  <si>
    <t>NILAI BUKU</t>
  </si>
  <si>
    <t>TOTAL  PENY 2021</t>
  </si>
  <si>
    <t>Perolehan</t>
  </si>
  <si>
    <t>Ekonomis</t>
  </si>
  <si>
    <t>Pertahun</t>
  </si>
  <si>
    <t>S/D TH 2020</t>
  </si>
  <si>
    <t>AKHIR 2020</t>
  </si>
  <si>
    <t>S/D TH 2021</t>
  </si>
  <si>
    <t>AKHIR 2021</t>
  </si>
  <si>
    <t xml:space="preserve">CONTROL </t>
  </si>
  <si>
    <t>No</t>
  </si>
  <si>
    <t>TOTAL PENYUSUTAN TAHUN 2018</t>
  </si>
  <si>
    <t>S/D TH 2018</t>
  </si>
  <si>
    <t>AKHIR 2018</t>
  </si>
  <si>
    <t>S/D TH 2019</t>
  </si>
  <si>
    <t>AKHIR 2019</t>
  </si>
  <si>
    <t>TOTAL  PENY 2022</t>
  </si>
  <si>
    <t>S/D TH 2022</t>
  </si>
  <si>
    <t>AKHIR 2022</t>
  </si>
  <si>
    <t>TOTAL PENYUSUTAN TAHUN 2017</t>
  </si>
  <si>
    <t>S/D TH 2017</t>
  </si>
  <si>
    <t>AKHIR 2017</t>
  </si>
  <si>
    <t>Penambahan</t>
  </si>
  <si>
    <t>Saldo Awal</t>
  </si>
  <si>
    <t>TANGGAL</t>
  </si>
  <si>
    <t>BLN</t>
  </si>
  <si>
    <t>DETAIL</t>
  </si>
  <si>
    <t>KETERANGAN</t>
  </si>
  <si>
    <t>DARI / KEPADA</t>
  </si>
  <si>
    <t>NO. BUKTI</t>
  </si>
  <si>
    <t>KODE ACC.</t>
  </si>
  <si>
    <t>NAMA ACC.</t>
  </si>
  <si>
    <t>DEBET</t>
  </si>
  <si>
    <t>KREDIT</t>
  </si>
  <si>
    <t>SALDO</t>
  </si>
  <si>
    <t>SUP.02/07/044</t>
  </si>
  <si>
    <t>BAYAR PT BINA OBOR ENGININDO NUSANTARA-PEMBUATAN TANKI CAP.1000 TON 1 UNIT</t>
  </si>
  <si>
    <t>BNI 8878</t>
  </si>
  <si>
    <t>JKK</t>
  </si>
  <si>
    <t>150-002-000</t>
  </si>
  <si>
    <t>Bangunan</t>
  </si>
  <si>
    <t>REKLAS ASET TANKI 1000 TON</t>
  </si>
  <si>
    <t>ADJ</t>
  </si>
  <si>
    <t>JURNAL KLAIM PERSEDIAAN ASURANSI</t>
  </si>
  <si>
    <t>AJE 1226</t>
  </si>
  <si>
    <t>ADJ GUDANG (A) KE BANGUNAN</t>
  </si>
  <si>
    <t>ADJ SARANA PRASARANA JALAN &amp; GORONG2</t>
  </si>
  <si>
    <t>ADJ SARANA GEDUNG BUNGKIL &amp; KOPRA BARU</t>
  </si>
  <si>
    <t>ADJ GEDUNG ISTIRAHAT TEKNISI/MEKANIK</t>
  </si>
  <si>
    <t>ADJ BANGUNAN PARKIRAN DEPAN &amp; BELAKANG</t>
  </si>
  <si>
    <t>SUP.02/09/013</t>
  </si>
  <si>
    <t>BAYAR PT BINA OBOR ENGININDO NUSANTARA KWITANSI NO.027/BOEN-IOP/IX/22 RENOVASI BONGKAR/PASANG GUDANG PT INDO OIL PERKASA 1 UNIT</t>
  </si>
  <si>
    <t>AJE 0104</t>
  </si>
  <si>
    <t>KAPITALISIR ASET JAN 2022</t>
  </si>
  <si>
    <t>150-004-000</t>
  </si>
  <si>
    <t xml:space="preserve">Mesin </t>
  </si>
  <si>
    <t>AJE 0115</t>
  </si>
  <si>
    <t>CV JAYA MAKMUR SENTOSA</t>
  </si>
  <si>
    <t>AJE 0204</t>
  </si>
  <si>
    <t>KAPITALISIR ASET FEB 2022</t>
  </si>
  <si>
    <t>AJE 0304</t>
  </si>
  <si>
    <t>KAPITALISIR ASET MARET 2022</t>
  </si>
  <si>
    <t>AJE 0404</t>
  </si>
  <si>
    <t>KAPITALISIR ASET APRIL 2022</t>
  </si>
  <si>
    <t>BAYAR PT KHARISMA PRATAMA ABADISEJATINDO  NO.002/0422</t>
  </si>
  <si>
    <t>BCA 8898</t>
  </si>
  <si>
    <t>AJE 0502</t>
  </si>
  <si>
    <t>KAPITALISIR ASET MEI 2022</t>
  </si>
  <si>
    <t>AJE 0602</t>
  </si>
  <si>
    <t>KAPITALISIR ASET JUNI 2022</t>
  </si>
  <si>
    <t>AJE 0702</t>
  </si>
  <si>
    <t>KAPITALISIR ASET JULI 2022</t>
  </si>
  <si>
    <t>KAPITALISIR ASET AGUSTUS 2022</t>
  </si>
  <si>
    <t>BAYAR CV TRI RAHARDJA FILTER PRESS 15 PCS PELUNASAN</t>
  </si>
  <si>
    <t>AJE 0902</t>
  </si>
  <si>
    <t>KAPITALISIR ASET SEPTEMBER 2022</t>
  </si>
  <si>
    <t>BAYAR ENCEP LELANG TERMIN 1 SILO KL</t>
  </si>
  <si>
    <t>BAYAR MESIN ENCEP SILO KL</t>
  </si>
  <si>
    <t>KAPITALISIR ASET OCTOBER 2022</t>
  </si>
  <si>
    <t>SUP.01/10/073</t>
  </si>
  <si>
    <t>BAYAR MESIN JAHIT NEWLONG 2 PCS</t>
  </si>
  <si>
    <t>BAYAR PT BINA OBOR NGININDO NUSANTARA KWITANSI.022/BOEN-IOP/VIII/22 TGL 02/08/22 -2 UNIT SILO VOLUME 7,2 M3</t>
  </si>
  <si>
    <t>BAYAR CV UTAMA JAYA TEKNIK NO.INV 22-005067 TGL 12 SEPT 22 -POMPA GC 100 1 PCS</t>
  </si>
  <si>
    <t>BAYAR PT INTERJAYA SURYAMEGAH NO.ISM/223592 TGL 15 SEPT 22 -EMMELEKTRIM THREE PHASE INDCTION MOTOR (B3)IE 1 UNIT</t>
  </si>
  <si>
    <t>BAYAR PT INTERJAYA SURYAMEGAH NO.ISM/223509 TGL 12 SEPT 22 -EMMELEKTRIM THREE PHASE INDUCTION MOTOR (B3)IE2</t>
  </si>
  <si>
    <t>BAYAR CV UTAMA JAYA TEKNIK NO.INVOICE 22-005194 TGL 19/09/22-POMPA GC 80 1 PCS</t>
  </si>
  <si>
    <t>BAYAR CV UTAMA JAYA TEKNIK NO.INV 22-005241 TGL 21/09/22 POMPA GC 80 1 PCS</t>
  </si>
  <si>
    <t>KAPITALISIR ASET NOVEMBER 2022</t>
  </si>
  <si>
    <t>BAYAR POMPA AIR SHIMIZU PS 230 BIT</t>
  </si>
  <si>
    <t>BAYAR PT INTERJAYA SURYAMEGAH NO.ISM/223913 TGL 07 OKT 22-(1 UNIT)EMMELTRIM THREE PHASE INDUCTION MOTOR(B3)IE 2/4P-10HP,380/660V,50HZ,1500RPM(1 UNIT)EMMELEKTRIM THEREE PHASE INDUCTION MOTOR (B3)IE2 4P-7,5HP,380/660,50HZ,1500RPM</t>
  </si>
  <si>
    <t xml:space="preserve">BAYAR PT INTERJAYA SURYAMEGAH NO.ISM/223863 TGL 04/10/22 -2 UNIT HANCO HELICA GEAR MOTOR HR-5,5-87-25 C/W 4P-5,5HP,220/380V/50 HZ </t>
  </si>
  <si>
    <t>BAYAR CV UTAMA JAYA TEKNIK NO.INV 22-005591 TGL 07/10/22 -GEARBOX WPA 120/60 1PCS,POMPA GC 80 2 PCS,POMPA KATO 3''/NS-80 1 PCS</t>
  </si>
  <si>
    <t>BAYAR UD MEGA SURYA TEKNIK TGL 18/10/22 - JASA PEMBUATAN GORENGAN 1 UNIT,JASA PEMBUATAN CYCLOON 1 UNIT</t>
  </si>
  <si>
    <t xml:space="preserve">BAYAR CV UTAMA JAYA TEKNIK NO.INV 22-005870 TGL 20/10/22 </t>
  </si>
  <si>
    <t xml:space="preserve">BAYAR PT INTERJAYA SURYAMEGAH NO.ISM/224133 TGL 24/10/22 </t>
  </si>
  <si>
    <t>REKLAS MESIN NIAGARA KUMAR METAL</t>
  </si>
  <si>
    <t>ADJ HYDRANT</t>
  </si>
  <si>
    <t>SUP.02/11/148</t>
  </si>
  <si>
    <t>BAYAR CV UTAMA JAYA  TEKNIK POMPA GC 100  NO.INV 22-006458 TGL 16/11/22</t>
  </si>
  <si>
    <t>BAYAR CV UTAMA JAYA TEKNIK POMPA GC 100 NO.INV 22-006458 TGL 16/11/22</t>
  </si>
  <si>
    <t>rekapan dari depresiasi</t>
  </si>
  <si>
    <t>SUP.01/04/011</t>
  </si>
  <si>
    <t>BAYAR CV YUTA ARTHA PERKASA-DP MESIN LAS 2X7 400 STRONG Z</t>
  </si>
  <si>
    <t>150-005-000</t>
  </si>
  <si>
    <t>Peralatan &amp; Perlengkapan</t>
  </si>
  <si>
    <t>SUP.01/04/075</t>
  </si>
  <si>
    <t>BAYAR CV YUTA ARTHA PERKASA NO.019/YAP/IV/2022-PELUNASAN MESIN LAS STRONG  Z ZX7-400</t>
  </si>
  <si>
    <t>SUP.01/08/045</t>
  </si>
  <si>
    <t>BAYAR PT KENKO ELEKTRIK INDONEISA-TIMBANGAN DIGITAL MERK SONIC 1 PCS</t>
  </si>
  <si>
    <t>SUP.01/09/098</t>
  </si>
  <si>
    <t>BAYAR TOKO PEDIA- MESIN BOR</t>
  </si>
  <si>
    <t>BAYAR PT ANDALAN BANGUN BHUANA BARU NO.INV 09639/AB3/08/2022 TGL 19 AGUST 2022(DP 1)</t>
  </si>
  <si>
    <t>PANEL-BAYAR PT ANDALAN BANGUN BHUANA BARU NO.INV 09639/AB3/08/2022 TGL 19 AGUST 2022(DP 2)</t>
  </si>
  <si>
    <t>BAYAR PT ANDALAN BANGUN BHUANA BARU(AB3)  NO.11910/AB3/10/2022 TGL 06/10/22 1 ROLL  KABEL NYYHY 3X 0,75</t>
  </si>
  <si>
    <t>BAYAR PT ANDALAN BANGUN BHUANA BARU NO.INV 09639/AB3/08/2022 TGL 19 AGUST 2022(DP 3)</t>
  </si>
  <si>
    <t>BAYAR PT ANDALAN BANGUN BHUANA BARU NO.INV 09639/AB3/08/2022 TGL 19 AGUST 2022(PELUNASAN)</t>
  </si>
  <si>
    <t xml:space="preserve">BAYAR PT ANDALAN BANGUN BHUANA BARU(AB3) NO.INV 11834/AB3/10/2022 TGL 04/10/2022 -KABEL NYY 4X 50 JB 168 M,KABEL SKUN 50 12 PCS,VINIL  </t>
  </si>
  <si>
    <t>BAYAR PT ANDALAN BANGUN BHUANA BARU NO</t>
  </si>
  <si>
    <t>BAYAR PT ANDALAN BANGUN BHUANA BARU NO.INV 09681/AB3/08/2022 TGL 22/08/22 (DP 1)</t>
  </si>
  <si>
    <t>BAYAR PT ANDALAN BANGUN BHUANA BARU NO.INV 09681/AB3/08/2022 TGL 22/08/22 (PELUNASAN)</t>
  </si>
  <si>
    <t>TOTAL PENYUSUTAN TAHUN 2015</t>
  </si>
  <si>
    <t>S/D TH 2015</t>
  </si>
  <si>
    <t>AKHIR 2015</t>
  </si>
  <si>
    <t>TOTAL PENYUSUTAN TAHUN 2016</t>
  </si>
  <si>
    <t>S/D TH 2016</t>
  </si>
  <si>
    <t>AKHIR 2016</t>
  </si>
  <si>
    <t>TOTAL PENYUSUTAN TAHUN 2014</t>
  </si>
  <si>
    <t>S/D TH 2014</t>
  </si>
  <si>
    <t>AKHIR 2014</t>
  </si>
  <si>
    <t>TOTAL  PENY 2019</t>
  </si>
  <si>
    <t>Aset Tetap Bangunan Tahun 2014</t>
  </si>
  <si>
    <t>Aset Tetap Bangunan Tahun 2015</t>
  </si>
  <si>
    <t>Aset Tetap Bangunan Tahun 2016</t>
  </si>
  <si>
    <t>Aset Tetap Bangunan Tahun 2017</t>
  </si>
  <si>
    <t>Aset Tetap Bangunan Tahun 2018</t>
  </si>
  <si>
    <t>Aset Tetap Bangunan Tahun 2019</t>
  </si>
  <si>
    <t>Aset Tetap Bangunan Tahun 2020</t>
  </si>
  <si>
    <t>Aset Tetap Bangunan Tahun 2021</t>
  </si>
  <si>
    <t>Aset Tetap Bangunan Tahun 2022</t>
  </si>
  <si>
    <t>Ice Box</t>
  </si>
  <si>
    <t>Aset Tetap Peralatan Kantor Tahun 2014</t>
  </si>
  <si>
    <t>Aset Tetap Peralatan Kantor Tahun 2015</t>
  </si>
  <si>
    <t>Aset Tetap Peralatan Kantor Tahun 2016</t>
  </si>
  <si>
    <t>Aset Tetap Peralatan Kantor Tahun 2017</t>
  </si>
  <si>
    <t>Aset Tetap Peralatan Kantor Tahun 2018</t>
  </si>
  <si>
    <t>Aset Tetap Peralatan Kantor Tahun 2019</t>
  </si>
  <si>
    <t>Aset Tetap Peralatan Kantor Tahun 2020</t>
  </si>
  <si>
    <t>Aset Tetap Peralatan Kantor Tahun 2021</t>
  </si>
  <si>
    <t>Aset Tetap Peralatan Kantor Tahun 2022</t>
  </si>
  <si>
    <t>Aset Tetap Peralatan Produksi Tahun 2014</t>
  </si>
  <si>
    <t>Aset Tetap Peralatan Produksi Tahun 2015</t>
  </si>
  <si>
    <t>Aset Tetap Peralatan Produksi Tahun 2016</t>
  </si>
  <si>
    <t>Aset Tetap Peralatan Produksi Tahun 2017</t>
  </si>
  <si>
    <t>Aset Tetap Peralatan Produksi Tahun 2018</t>
  </si>
  <si>
    <t>Aset Tetap Peralatan Produksi Tahun 2019</t>
  </si>
  <si>
    <t>Aset Tetap Peralatan Produksi Tahun 2020</t>
  </si>
  <si>
    <t>Aset Tetap Peralatan Produksi Tahun 2021</t>
  </si>
  <si>
    <t>Aset Tetap Peralatan Produksi Tahun 2022</t>
  </si>
  <si>
    <t>Aset Tetap Mesin Tahun 2014</t>
  </si>
  <si>
    <t>Aset Tetap Mesin Tahun 2015</t>
  </si>
  <si>
    <t>Aset Tetap Mesin Tahun 2016</t>
  </si>
  <si>
    <t>Aset Tetap Mesin Tahun 2017</t>
  </si>
  <si>
    <t>Aset Tetap Mesin Tahun 2018</t>
  </si>
  <si>
    <t>Aset Tetap Mesin Tahun 2019</t>
  </si>
  <si>
    <t>Aset Tetap Mesin Tahun 2020</t>
  </si>
  <si>
    <t>Aset Tetap Mesin Tahun 2021</t>
  </si>
  <si>
    <t>Aset Tetap Mesin Tahun 2022</t>
  </si>
  <si>
    <t>Mesin Lainnya</t>
  </si>
  <si>
    <t xml:space="preserve">Sumur Bor </t>
  </si>
  <si>
    <t>Submersible Pump</t>
  </si>
  <si>
    <t>Aset Tetap Sumur Bor Tahun 2014</t>
  </si>
  <si>
    <t>Aset Tetap Sumur Bor Tahun 2015</t>
  </si>
  <si>
    <t>Aset Tetap Sumur Bor Tahun 2016</t>
  </si>
  <si>
    <t>Aset Tetap Sumur Bor Tahun 2017</t>
  </si>
  <si>
    <t>Aset Tetap Sumur Bor Tahun 2018</t>
  </si>
  <si>
    <t>Aset Tetap Sumur Bor Tahun 2019</t>
  </si>
  <si>
    <t>Aset Tetap Sumur Bor Tahun 2020</t>
  </si>
  <si>
    <t>Aset Tetap Sumur Bor Tahun 2021</t>
  </si>
  <si>
    <t>Aset Tetap Sumur Bor Tahun 2022</t>
  </si>
  <si>
    <t>Aset Tetap Kendaraan Tahun 2014</t>
  </si>
  <si>
    <t>Aset Tetap Kendaraan Tahun 2015</t>
  </si>
  <si>
    <t>Aset Tetap Kendaraan Tahun 2016</t>
  </si>
  <si>
    <t>Aset Tetap Kendaraan Tahun 2017</t>
  </si>
  <si>
    <t>Aset Tetap Kendaraan Tahun 2018</t>
  </si>
  <si>
    <t>Aset Tetap Kendaraan Tahun 2019</t>
  </si>
  <si>
    <t>Aset Tetap Kendaraan Tahun 2020</t>
  </si>
  <si>
    <t>Aset Tetap Kendaraan Tahun 2021</t>
  </si>
  <si>
    <t>Aset Tetap Kendaraan Tahun 2022</t>
  </si>
  <si>
    <t>ASET TETAP</t>
  </si>
  <si>
    <t>Pengurangan</t>
  </si>
  <si>
    <t>Reklasifikasi</t>
  </si>
  <si>
    <t>Saldo Akhir</t>
  </si>
  <si>
    <t>C o n t r o l</t>
  </si>
  <si>
    <t>S e l i s i h</t>
  </si>
  <si>
    <t>Nilai Perolehan</t>
  </si>
  <si>
    <t>Peralatan Kantor</t>
  </si>
  <si>
    <t>Kendaraan</t>
  </si>
  <si>
    <t>Jumlah</t>
  </si>
  <si>
    <t>Akumulasi Penyusutan</t>
  </si>
  <si>
    <t>Nilai Buku</t>
  </si>
  <si>
    <t>Tanah</t>
  </si>
  <si>
    <t>Mesin</t>
  </si>
  <si>
    <t>Kendaraan Alat Berat</t>
  </si>
  <si>
    <t>Peralatan Produksi</t>
  </si>
  <si>
    <t>Sumur Bor</t>
  </si>
  <si>
    <t>Peralatan Laboratorium</t>
  </si>
  <si>
    <t>Aset Tetap Kendaraan Alat Berat Tahun 2014</t>
  </si>
  <si>
    <t>Aset Tetap Kendaraan Alat Berat Tahun 2015</t>
  </si>
  <si>
    <t>Aset Tetap Kendaraan Alat Berat Tahun 2016</t>
  </si>
  <si>
    <t>Aset Tetap Kendaraan Alat Berat Tahun 2017</t>
  </si>
  <si>
    <t>Aset Tetap Kendaraan Alat Berat Tahun 2018</t>
  </si>
  <si>
    <t>Aset Tetap Kendaraan Alat Berat Tahun 2019</t>
  </si>
  <si>
    <t>Aset Tetap Kendaraan Alat Berat Tahun 2020</t>
  </si>
  <si>
    <t>Aset Tetap Kendaraan Alat Berat Tahun 2021</t>
  </si>
  <si>
    <t>Aset Tetap Kendaraan Alat Berat Tahun 2022</t>
  </si>
  <si>
    <t>Aset Tetap Dalam Pembangunan</t>
  </si>
  <si>
    <t>Sub-Jumlah</t>
  </si>
  <si>
    <t>WS</t>
  </si>
  <si>
    <t>Selisih</t>
  </si>
  <si>
    <t>%</t>
  </si>
  <si>
    <t>Harga Perolehan</t>
  </si>
  <si>
    <t>Mutasi</t>
  </si>
  <si>
    <t>Akm. Penyusutan</t>
  </si>
  <si>
    <t xml:space="preserve">Per </t>
  </si>
  <si>
    <t>s/d</t>
  </si>
  <si>
    <t>1.1</t>
  </si>
  <si>
    <t>2.1</t>
  </si>
  <si>
    <t>BANGUNAN</t>
  </si>
  <si>
    <t>2.2</t>
  </si>
  <si>
    <t>PERALATAN DAN PERLENGKAPAN KANTOR</t>
  </si>
  <si>
    <t>2.3</t>
  </si>
  <si>
    <t>PERALATAN DAN PERLENGKAPAN PRODUKSI</t>
  </si>
  <si>
    <t>2.4</t>
  </si>
  <si>
    <t>2.5</t>
  </si>
  <si>
    <t>1.4</t>
  </si>
  <si>
    <t>SUMUR BOR</t>
  </si>
  <si>
    <t>Opex</t>
  </si>
  <si>
    <t xml:space="preserve">Bangunan </t>
  </si>
  <si>
    <t xml:space="preserve">Tanah </t>
  </si>
  <si>
    <t xml:space="preserve">Kendaraan </t>
  </si>
  <si>
    <t xml:space="preserve">Kendaraan Alat Berat </t>
  </si>
  <si>
    <t xml:space="preserve">Peralatan Kantor </t>
  </si>
  <si>
    <t xml:space="preserve">Peralatan Produksi </t>
  </si>
  <si>
    <t xml:space="preserve">Peralatan Labolatorium </t>
  </si>
  <si>
    <t xml:space="preserve">Akum Peny. Bangunan </t>
  </si>
  <si>
    <t>Aum. Peny. Mesin</t>
  </si>
  <si>
    <t xml:space="preserve">Akum. Peny. Kendaraan </t>
  </si>
  <si>
    <t>Akum. Peny. Kendaraan Alat Berat</t>
  </si>
  <si>
    <t>Akum. Peny. Peralatan Kantor</t>
  </si>
  <si>
    <t>Akum. Peny. Peralatan Produksi</t>
  </si>
  <si>
    <t>Akum. Peny. Sumur Bor</t>
  </si>
  <si>
    <t xml:space="preserve">Akum. Peny. Peralatan Labolatorium </t>
  </si>
  <si>
    <t>COGS</t>
  </si>
  <si>
    <t>Depreciation</t>
  </si>
  <si>
    <t>Beban Depresiasi Dan Amortisasi</t>
  </si>
  <si>
    <t>Debit</t>
  </si>
  <si>
    <t>Klien</t>
  </si>
  <si>
    <t>:</t>
  </si>
  <si>
    <t>Tahun Buku</t>
  </si>
  <si>
    <t>Adjustment Audited</t>
  </si>
  <si>
    <t>No.</t>
  </si>
  <si>
    <t>No. Akun</t>
  </si>
  <si>
    <t>Jurnal</t>
  </si>
  <si>
    <t>Kredit</t>
  </si>
  <si>
    <t>Efek Ke Neraca</t>
  </si>
  <si>
    <t>Efek ke LR</t>
  </si>
  <si>
    <t>Keterangan</t>
  </si>
  <si>
    <t>Harga perolehan</t>
  </si>
  <si>
    <t>Inhouse</t>
  </si>
  <si>
    <t>Daftar Aset Tetap</t>
  </si>
  <si>
    <t>(Penyesuaian akumulasi penyusutan aset tetap sesuai dengan daftar aset tetap)</t>
  </si>
  <si>
    <t>Beban Penyusutan</t>
  </si>
  <si>
    <t>(Penyesuaian beban penyusutan aset tetap sesuai dengan daftar aset tetap)</t>
  </si>
  <si>
    <t>Laba (Rugi) sebelum Audit</t>
  </si>
  <si>
    <t>Laba (Rugi) setelah Audit</t>
  </si>
  <si>
    <t>Disetujui Oleh,</t>
  </si>
  <si>
    <t>Direksi</t>
  </si>
  <si>
    <t>31 Desember 2020</t>
  </si>
  <si>
    <t>PT. INDO AMERICAN SEAFOODS</t>
  </si>
  <si>
    <t>R/E</t>
  </si>
  <si>
    <t>Penyusutan Peralatan Kantor</t>
  </si>
  <si>
    <t>Penyusutan Peralatan LAB</t>
  </si>
  <si>
    <t xml:space="preserve">Penyusutan Kendaraan </t>
  </si>
  <si>
    <t>tahun berjalan</t>
  </si>
  <si>
    <t>31 Desember 2021</t>
  </si>
  <si>
    <t>31 Desember 2022</t>
  </si>
  <si>
    <t>Tanah Divisi Cold Storage 1</t>
  </si>
  <si>
    <t>Tanah Divisi Cold Storage 2</t>
  </si>
  <si>
    <t>Tanah SHM NO.776,777,778</t>
  </si>
  <si>
    <t>Tanah Cold Storage</t>
  </si>
  <si>
    <t>Total</t>
  </si>
  <si>
    <t>Tanah Gebang</t>
  </si>
  <si>
    <t xml:space="preserve">Tanah Gebang </t>
  </si>
  <si>
    <t xml:space="preserve">Tanah Holding </t>
  </si>
  <si>
    <t>Tanah Divisi Holding</t>
  </si>
  <si>
    <t>Tanah Divisi Maringgai</t>
  </si>
  <si>
    <t>Tanah Ketapang</t>
  </si>
  <si>
    <t>Tanah Divisi Ketapang</t>
  </si>
  <si>
    <t>Bangunan Cold Storage</t>
  </si>
  <si>
    <t>Divisi ISP 1</t>
  </si>
  <si>
    <t>Bangunan ISP 1</t>
  </si>
  <si>
    <t>Bangunan Pos Satpam</t>
  </si>
  <si>
    <t>Bangunan Genset</t>
  </si>
  <si>
    <t>KM/WC</t>
  </si>
  <si>
    <t>Kantor 1</t>
  </si>
  <si>
    <t>Kantin &amp; KM/WC</t>
  </si>
  <si>
    <t>Mushola</t>
  </si>
  <si>
    <t>Cafetaria</t>
  </si>
  <si>
    <t>Panggung Ekspor</t>
  </si>
  <si>
    <t>Bangunan Receiver</t>
  </si>
  <si>
    <t>Kantor 3 (3lt)</t>
  </si>
  <si>
    <t>Parkir Terbuka</t>
  </si>
  <si>
    <t>Gudang Trafo (2 unit)</t>
  </si>
  <si>
    <t>Bangunan ATM</t>
  </si>
  <si>
    <t>Bangunan Baru</t>
  </si>
  <si>
    <t>Bangunan Renovasi</t>
  </si>
  <si>
    <t>DIVISI ISP 2</t>
  </si>
  <si>
    <t>1.2</t>
  </si>
  <si>
    <t>Mess 2</t>
  </si>
  <si>
    <t>Kantor 2</t>
  </si>
  <si>
    <t xml:space="preserve">Bangunan ISP 2 </t>
  </si>
  <si>
    <t>PABRIK ROTI</t>
  </si>
  <si>
    <t>1.3</t>
  </si>
  <si>
    <t>Kantor</t>
  </si>
  <si>
    <t>Gudang Roti</t>
  </si>
  <si>
    <t>Bangunan Gebang</t>
  </si>
  <si>
    <t>Bangunan Umum Tambak 1000</t>
  </si>
  <si>
    <t xml:space="preserve">Pos Satpam </t>
  </si>
  <si>
    <t>Kantor, Mess, Logistik &amp; Lab</t>
  </si>
  <si>
    <t>Mess Umum</t>
  </si>
  <si>
    <t>Bengkel +Mess</t>
  </si>
  <si>
    <t>Dapur + Kantin</t>
  </si>
  <si>
    <t>Gudang Barang</t>
  </si>
  <si>
    <t>Gudang Trafo</t>
  </si>
  <si>
    <t>Bangunan Tambak Blok A-C</t>
  </si>
  <si>
    <t>Rumah Genset Blok A-C</t>
  </si>
  <si>
    <t>Bak Colling Tower</t>
  </si>
  <si>
    <t>Mess Proses Blok C + KM/WC</t>
  </si>
  <si>
    <t>Mess Assisten + kantin Blok C</t>
  </si>
  <si>
    <t>Mess Assisten  Blok A</t>
  </si>
  <si>
    <t>Mess Feeder (14 Unit)</t>
  </si>
  <si>
    <t>Gudang Pakan ( 4 Unit)</t>
  </si>
  <si>
    <t>Kantin Blok A</t>
  </si>
  <si>
    <t>Rumah Proses</t>
  </si>
  <si>
    <t>Mess Karyawan  Blok A + WC</t>
  </si>
  <si>
    <t>Mess Baru Blok C</t>
  </si>
  <si>
    <t>Bangunan Tambak Blok D &amp; E</t>
  </si>
  <si>
    <t>Mess Asisten + Tempat Kultur + Wc</t>
  </si>
  <si>
    <t>Rumah Genset Blok D &amp; E</t>
  </si>
  <si>
    <t>Mess Asisten + Kantin</t>
  </si>
  <si>
    <t>Mess Feeder (11 Unit)</t>
  </si>
  <si>
    <t>Gudang Pakan ( 2 Unit)</t>
  </si>
  <si>
    <t>Mess + Gudang Pakan</t>
  </si>
  <si>
    <t>Bangunan Tambak Blok F-H</t>
  </si>
  <si>
    <t>Rumah Genset Blok F-H</t>
  </si>
  <si>
    <t>Mess Feeder ( 14 Unit)</t>
  </si>
  <si>
    <t>Mess Asisten + Gudang Pakan</t>
  </si>
  <si>
    <t>Mess Feeder 2015</t>
  </si>
  <si>
    <t>Gubuk Saprotan Blok F</t>
  </si>
  <si>
    <t>Bangunan Tambak Gebang</t>
  </si>
  <si>
    <t>Mess Karyawan</t>
  </si>
  <si>
    <t>Bangunan Tower Air</t>
  </si>
  <si>
    <t>Rumah Genset</t>
  </si>
  <si>
    <t>Pos Satpam</t>
  </si>
  <si>
    <t>Mess G9-13</t>
  </si>
  <si>
    <t>Mess, Gudang Pakan, Kantin G1-8 &amp; ABC</t>
  </si>
  <si>
    <t>Gubuk Pos Jaga</t>
  </si>
  <si>
    <t>Bangunan Ketapang</t>
  </si>
  <si>
    <t>Pos Satpam 1</t>
  </si>
  <si>
    <t>Bangunan m1</t>
  </si>
  <si>
    <t>Gudang Semi Permanen</t>
  </si>
  <si>
    <t>Rumah Genset 1</t>
  </si>
  <si>
    <t>Gudang Pakan 1</t>
  </si>
  <si>
    <t>Pos Jaga Pompa Laut</t>
  </si>
  <si>
    <t>Rumah Genset 2</t>
  </si>
  <si>
    <t>Gudang Pakan 2</t>
  </si>
  <si>
    <t>Kantor &amp; Lab</t>
  </si>
  <si>
    <t>Dapur</t>
  </si>
  <si>
    <t>Bengkel</t>
  </si>
  <si>
    <t>Parkir Motor</t>
  </si>
  <si>
    <t>Gudang Pakan 3</t>
  </si>
  <si>
    <t>Rumah Genset 3</t>
  </si>
  <si>
    <t>Gudang Pakan 4</t>
  </si>
  <si>
    <t>Rumah Genset 4</t>
  </si>
  <si>
    <t>Pos Satpam 2</t>
  </si>
  <si>
    <t>Gudang Pakan 5</t>
  </si>
  <si>
    <t>Rumah Genset 5</t>
  </si>
  <si>
    <t>Rumah Kultur</t>
  </si>
  <si>
    <t>Rumah Limbah Oli</t>
  </si>
  <si>
    <t>Rumah Pompa Laut</t>
  </si>
  <si>
    <t>Bangunan Pakan</t>
  </si>
  <si>
    <t>Bangunan - 2019</t>
  </si>
  <si>
    <t>Sumur Bor Cold Storage</t>
  </si>
  <si>
    <t>Pompa Submersible SP17</t>
  </si>
  <si>
    <t>Bare Pump Only</t>
  </si>
  <si>
    <t>Motor Deepwell 380 V</t>
  </si>
  <si>
    <t>Bare Pump Grundfos</t>
  </si>
  <si>
    <t>Pompa Submersible Type MS 4000</t>
  </si>
  <si>
    <t>DIVISI ISP 1</t>
  </si>
  <si>
    <t>Sumur Bor 2020</t>
  </si>
  <si>
    <t>Sumur Bor Ketapang</t>
  </si>
  <si>
    <t>Wavin AW 4"</t>
  </si>
  <si>
    <t>Pompa Panasonic</t>
  </si>
  <si>
    <t>Kran Sanho</t>
  </si>
  <si>
    <t>Tower Air</t>
  </si>
  <si>
    <t>Pompa Grundpost</t>
  </si>
  <si>
    <t>Pompa Air Simizu</t>
  </si>
  <si>
    <t>Paralon PVC 2"</t>
  </si>
  <si>
    <t>Pompa Marsible 0,5 HP Nasional 2020</t>
  </si>
  <si>
    <t>Sarana Dan Prasarana Cold Storage</t>
  </si>
  <si>
    <t>Divisi ISP</t>
  </si>
  <si>
    <t>Pagar</t>
  </si>
  <si>
    <t>Perkerasan Paving Blok</t>
  </si>
  <si>
    <t>Kolam Limbah</t>
  </si>
  <si>
    <t>Paving Blok Uni Abu-Abu</t>
  </si>
  <si>
    <t>Sarana &amp; Prasarana Lainnya</t>
  </si>
  <si>
    <t>Sarana Dan Prasarana  Gebang</t>
  </si>
  <si>
    <t>Talud</t>
  </si>
  <si>
    <t>Kolam Tambak</t>
  </si>
  <si>
    <t>Plat Hitam 5 mm u/Tanki Solar</t>
  </si>
  <si>
    <t>Feeder Premium</t>
  </si>
  <si>
    <t>Jembatan Automatis Feeder</t>
  </si>
  <si>
    <t>Frame Aerator</t>
  </si>
  <si>
    <t>Sept'18</t>
  </si>
  <si>
    <t>Okt'18</t>
  </si>
  <si>
    <t>Sarana Dan Prasarana  Ketapang</t>
  </si>
  <si>
    <t>Pagar Besi</t>
  </si>
  <si>
    <t>Plastik HDPE 0,5 mm</t>
  </si>
  <si>
    <t>Otomatis Feeder</t>
  </si>
  <si>
    <t>Otomatis Feeder 2020</t>
  </si>
  <si>
    <t>Kolam Blok E3-4 2022</t>
  </si>
  <si>
    <t>1. Mesin-Mesin Cold Storage</t>
  </si>
  <si>
    <t xml:space="preserve">MESIN NANTONG IQF </t>
  </si>
  <si>
    <t>1.1.1</t>
  </si>
  <si>
    <t xml:space="preserve">Mesin Nantong IQF </t>
  </si>
  <si>
    <t>Mesin Nantong IQF</t>
  </si>
  <si>
    <t xml:space="preserve">COLD STORAGE </t>
  </si>
  <si>
    <t>1.1.2</t>
  </si>
  <si>
    <t xml:space="preserve">Cold Storage </t>
  </si>
  <si>
    <t>Amonia Screw - 2021</t>
  </si>
  <si>
    <t>Grading Machine - 2021</t>
  </si>
  <si>
    <t>Racking System, PU Panel &amp; Flake Ice - 2021</t>
  </si>
  <si>
    <t>Shipon Receiver - 2021</t>
  </si>
  <si>
    <t>Nov 21</t>
  </si>
  <si>
    <t>8 thn</t>
  </si>
  <si>
    <t xml:space="preserve">16 thn </t>
  </si>
  <si>
    <t>GENERATOR/ GENSET</t>
  </si>
  <si>
    <t>1.1.3</t>
  </si>
  <si>
    <t>Genset Marcedes 500 KVA</t>
  </si>
  <si>
    <t xml:space="preserve">Panel Genset / Kabel Dll </t>
  </si>
  <si>
    <t xml:space="preserve">Genset 500 KVA Mercy </t>
  </si>
  <si>
    <t>Genset MWM 500 KVA</t>
  </si>
  <si>
    <t xml:space="preserve">WATER TREATMENT MACHINE </t>
  </si>
  <si>
    <t>1.1.4</t>
  </si>
  <si>
    <t xml:space="preserve">Water Treatment Machine </t>
  </si>
  <si>
    <t xml:space="preserve">PROCESSING MACHINE </t>
  </si>
  <si>
    <t>1.1.5</t>
  </si>
  <si>
    <t xml:space="preserve">Processing Machine </t>
  </si>
  <si>
    <t xml:space="preserve">COMPRESSOR </t>
  </si>
  <si>
    <t>1.1.6</t>
  </si>
  <si>
    <t xml:space="preserve">Compresor (Budiono) </t>
  </si>
  <si>
    <t xml:space="preserve">Compressor (Grasco) </t>
  </si>
  <si>
    <t>Asesoris Compressor</t>
  </si>
  <si>
    <t>Compressor  Mycom</t>
  </si>
  <si>
    <t>Cylinder Liner Comp. Grasso</t>
  </si>
  <si>
    <t>Compressor Mycom-Djunisanu</t>
  </si>
  <si>
    <t xml:space="preserve">MESIN LAINNYA </t>
  </si>
  <si>
    <t>1.1.7</t>
  </si>
  <si>
    <t>Material Inter Cooler</t>
  </si>
  <si>
    <t>Siku Conveyor</t>
  </si>
  <si>
    <t>Besi Conveyor</t>
  </si>
  <si>
    <t>Wayer  Pompa Grundfos</t>
  </si>
  <si>
    <t>Shrimp Cutter Machine</t>
  </si>
  <si>
    <t>Mesin Foot Impulse Sealer</t>
  </si>
  <si>
    <t>Meteran Solar 1 1/2"</t>
  </si>
  <si>
    <t>Steam Boiler Miura</t>
  </si>
  <si>
    <t>Inverter LS 20 HP</t>
  </si>
  <si>
    <t>Tangki Amoniak</t>
  </si>
  <si>
    <t>Blower Impeler</t>
  </si>
  <si>
    <t>Roots Blower Ty-100,4"</t>
  </si>
  <si>
    <t>Inverter Mitsubishi</t>
  </si>
  <si>
    <t>Travo Merk Trafindo</t>
  </si>
  <si>
    <t>Mesin Steam ( AC )  - 2015</t>
  </si>
  <si>
    <t>Mesin Steam Sunchin SCN 30 - 2015</t>
  </si>
  <si>
    <t>Dinamo 3HP - 2015</t>
  </si>
  <si>
    <t>Inverter Merk LS Korea</t>
  </si>
  <si>
    <t>Mesin Pompa Air</t>
  </si>
  <si>
    <t>Pompa Submersible HCP @ 1 uit</t>
  </si>
  <si>
    <t xml:space="preserve">Inventer </t>
  </si>
  <si>
    <t>Air Cooler 1 Unit</t>
  </si>
  <si>
    <t>Ante Room 1 Lot</t>
  </si>
  <si>
    <t>Cold Storage 1 Lot</t>
  </si>
  <si>
    <t>CPF Machine I Unit</t>
  </si>
  <si>
    <t>Flage Ice Room 1 Unit</t>
  </si>
  <si>
    <t>Dossing Pump Prominent @ 2 unit - 2017</t>
  </si>
  <si>
    <t>Bitzer S6J-16-2Y</t>
  </si>
  <si>
    <t>Bor Tangan Charger 18 V EDI18-13RC</t>
  </si>
  <si>
    <t>Inverter Tig Welding 200A Tig 200P</t>
  </si>
  <si>
    <t>Mesin Absen Amano Ex-3500N 2020</t>
  </si>
  <si>
    <t>Mesin Cuci Sharp 9kg 2tabung - 2020</t>
  </si>
  <si>
    <t>Pompa Grundfos NS - 30-18 T, 3 Phase - 2021</t>
  </si>
  <si>
    <t>Steam Boiler Cold Storage 2</t>
  </si>
  <si>
    <t>Roller Chains 40x1</t>
  </si>
  <si>
    <t>Sproket SS RS 40x60</t>
  </si>
  <si>
    <t xml:space="preserve">Mesin Cutter Zeppelin </t>
  </si>
  <si>
    <t>Double Chamber</t>
  </si>
  <si>
    <t xml:space="preserve">Conveyor </t>
  </si>
  <si>
    <t xml:space="preserve">Mesin NH3 (Hermetic) / Pompa Amoniak </t>
  </si>
  <si>
    <t xml:space="preserve">Mesin Cetak Bakso </t>
  </si>
  <si>
    <t>Conveyor</t>
  </si>
  <si>
    <t>Pompa Air Grunfos NF30-36 1unit</t>
  </si>
  <si>
    <t xml:space="preserve">Mesin CPF </t>
  </si>
  <si>
    <t>Mesin Sortir :</t>
  </si>
  <si>
    <t>Cold Room Baru Div.ISP2</t>
  </si>
  <si>
    <t>Mesin Soaking :</t>
  </si>
  <si>
    <t>Mesin Lainnya - Isp 2</t>
  </si>
  <si>
    <t>Refrigasi Isp 2</t>
  </si>
  <si>
    <t>2. Mesin-Mesin Gebang</t>
  </si>
  <si>
    <t>Mesin Tambak</t>
  </si>
  <si>
    <t>Mesin Genset</t>
  </si>
  <si>
    <t>Kapasitor MG 60 KVA</t>
  </si>
  <si>
    <t>NFB MG 3Phase 100A</t>
  </si>
  <si>
    <t>Scun SC 70mm</t>
  </si>
  <si>
    <t xml:space="preserve">Kabel Eterna NYAF </t>
  </si>
  <si>
    <t>Magnetic Kontraktor</t>
  </si>
  <si>
    <t>CT GAE 400/5A</t>
  </si>
  <si>
    <t>Volt Meter GAE 400A</t>
  </si>
  <si>
    <t>MCB MG 3Phase 4A</t>
  </si>
  <si>
    <t>Prequency Meter GAE 48-52H</t>
  </si>
  <si>
    <t>NFB MG 3Phase 400A</t>
  </si>
  <si>
    <t>Mesin Gerinda Tangan Hitachi</t>
  </si>
  <si>
    <t>Accu N-100</t>
  </si>
  <si>
    <t>Pompa Submersible</t>
  </si>
  <si>
    <t>NFB MG 250 A 3Phase</t>
  </si>
  <si>
    <t>Kabel NYY Jumbo 1 x 95 mm</t>
  </si>
  <si>
    <t>Kabel eterna NYY 3 x 2 1/2 mm</t>
  </si>
  <si>
    <t>AVR 52 A</t>
  </si>
  <si>
    <t>Pompa Submersible 5 HP</t>
  </si>
  <si>
    <t>Pompa Submersible 3 HP</t>
  </si>
  <si>
    <t>Accu N-120</t>
  </si>
  <si>
    <t>Kabel Mitsuba NYY 3x2 1/2</t>
  </si>
  <si>
    <t>Kabel eterna NYY 3 x 1 1/2 mm</t>
  </si>
  <si>
    <t>Breker MG EZC 250A 3Phase</t>
  </si>
  <si>
    <t>Kincir Padle Whell Actec 1HP</t>
  </si>
  <si>
    <t>Roots Blower In/Out</t>
  </si>
  <si>
    <t>Elektro Motor Yuema Foot Mounted</t>
  </si>
  <si>
    <t>Joint Couple SS Sc-0,75</t>
  </si>
  <si>
    <t>Porous Fine Bubless Diffuser</t>
  </si>
  <si>
    <t>Dinamo Futigal</t>
  </si>
  <si>
    <t>Kepala Turbo</t>
  </si>
  <si>
    <t>Elektron Membran</t>
  </si>
  <si>
    <t>Mesin Mitsubishi</t>
  </si>
  <si>
    <t>Accu</t>
  </si>
  <si>
    <t>Nanrong Paddle Whell</t>
  </si>
  <si>
    <t>Mesin Molen Phanter</t>
  </si>
  <si>
    <t>Paddle whell Aerator</t>
  </si>
  <si>
    <t>Motor Dinamo</t>
  </si>
  <si>
    <t>Reducer</t>
  </si>
  <si>
    <t>As ss 308</t>
  </si>
  <si>
    <t>Pipa Galvanis</t>
  </si>
  <si>
    <t>Contraktor LG</t>
  </si>
  <si>
    <t>Pipa Holo Kotak</t>
  </si>
  <si>
    <t>Gearbox 1HP</t>
  </si>
  <si>
    <t>Gearbox 2HP</t>
  </si>
  <si>
    <t>Kawat Suprime</t>
  </si>
  <si>
    <t>Pompa HCP 10"</t>
  </si>
  <si>
    <t>Kincir Futigal 1HP</t>
  </si>
  <si>
    <t>Kabel Kincir</t>
  </si>
  <si>
    <t>Genset 8.m20</t>
  </si>
  <si>
    <t>Capasitor Circutor + Travo</t>
  </si>
  <si>
    <t>Chemical Pump 1"</t>
  </si>
  <si>
    <t>Generator Leroy</t>
  </si>
  <si>
    <t>Pompa Submersible KS 332</t>
  </si>
  <si>
    <t>Terminition Outdoor</t>
  </si>
  <si>
    <t>Kincir 2014</t>
  </si>
  <si>
    <t>Pompa SS 8" KL-732 N</t>
  </si>
  <si>
    <t>Pompa Submersible 2 HP</t>
  </si>
  <si>
    <t>Stamper Tanada</t>
  </si>
  <si>
    <t>Mesin Cut Off (Potong Besi)</t>
  </si>
  <si>
    <t>Mesin Genset 8m20</t>
  </si>
  <si>
    <t>Mesin Sugu</t>
  </si>
  <si>
    <t>Radiator</t>
  </si>
  <si>
    <t>Gearbox Futigal</t>
  </si>
  <si>
    <t>Plat Stainless</t>
  </si>
  <si>
    <t>Kipas Kincir</t>
  </si>
  <si>
    <t>Kincir 1HP Futigal</t>
  </si>
  <si>
    <t>Dinamo CMG</t>
  </si>
  <si>
    <t>GerindaTangan</t>
  </si>
  <si>
    <t>Travo Las</t>
  </si>
  <si>
    <t>Dinamo Starter RE-10</t>
  </si>
  <si>
    <t>Pompa Submersible 2015</t>
  </si>
  <si>
    <t>Pompa Submersible 5" 2015</t>
  </si>
  <si>
    <t>Pompa Submersible 6" 2015</t>
  </si>
  <si>
    <t>Pompa Submersible 8" 2015</t>
  </si>
  <si>
    <t>Pompa Submersible KS</t>
  </si>
  <si>
    <t>Pompa Show Fou 4"</t>
  </si>
  <si>
    <t>Pompa TAY YIH SUN</t>
  </si>
  <si>
    <t>Mesin Twinny</t>
  </si>
  <si>
    <t>Kincir Dragon Mode FT</t>
  </si>
  <si>
    <t>Kincir 1 HP Dragon FT</t>
  </si>
  <si>
    <t>Genset Perkins 500 KVA</t>
  </si>
  <si>
    <t>Pompa TAY YIH SUN H-150</t>
  </si>
  <si>
    <t>Kincir 1 HP Futigal Aerator</t>
  </si>
  <si>
    <t>Mesin Twinny 230V/2900W</t>
  </si>
  <si>
    <t>Mesin Blower 230V/1600W</t>
  </si>
  <si>
    <t>Kincir Padle Whell Aerator</t>
  </si>
  <si>
    <t>Pompa Ebara</t>
  </si>
  <si>
    <t>Kincir 2017</t>
  </si>
  <si>
    <t>Kincir Futigal</t>
  </si>
  <si>
    <t>Nano Bubble Jet CY210</t>
  </si>
  <si>
    <t>Auto Feeder</t>
  </si>
  <si>
    <t>Turbo Jet</t>
  </si>
  <si>
    <t>Kincir Futigal Blok A-H</t>
  </si>
  <si>
    <t>Pompa Show Fou 3"</t>
  </si>
  <si>
    <t>Turbo</t>
  </si>
  <si>
    <t>Kincir Futigal Blok F1-14</t>
  </si>
  <si>
    <t>Kincir Futigal Blok G1-7</t>
  </si>
  <si>
    <t>Pompa Submersible HCP 10"</t>
  </si>
  <si>
    <t>Pompa Submersible HCP 8"</t>
  </si>
  <si>
    <t>Pompa Submersible 10"</t>
  </si>
  <si>
    <t>Pompa Submersible  8"</t>
  </si>
  <si>
    <t>Kincir Back Port Blok F1-14</t>
  </si>
  <si>
    <t>Pompa Tandon</t>
  </si>
  <si>
    <t>Pompa Submersible 3"</t>
  </si>
  <si>
    <t>Pompa TAI-YIH-SUN H-150 2022</t>
  </si>
  <si>
    <t>Mesin-Mesin Ketapang</t>
  </si>
  <si>
    <t>Dinamo 10 HP</t>
  </si>
  <si>
    <t>Mesin Mitsubishi 8 DC</t>
  </si>
  <si>
    <t>Kincir</t>
  </si>
  <si>
    <t>Panel Pompa</t>
  </si>
  <si>
    <t>Elmo</t>
  </si>
  <si>
    <t>AVR 50 A</t>
  </si>
  <si>
    <t>Dinamo Leroy</t>
  </si>
  <si>
    <t>Mesin Mitsubishi 6 D22</t>
  </si>
  <si>
    <t>Aerator Paddle Whell 1 HP</t>
  </si>
  <si>
    <t>Kabel Mitsuba NYY 3 x 2,5</t>
  </si>
  <si>
    <t>Dol Stater LG</t>
  </si>
  <si>
    <t>Compresor</t>
  </si>
  <si>
    <t xml:space="preserve">Roots Blower </t>
  </si>
  <si>
    <t>Mesin Mitsubishi + Kipas+ Guvernur</t>
  </si>
  <si>
    <t xml:space="preserve">Radiator </t>
  </si>
  <si>
    <t>Mesin 4 D 32 Korea</t>
  </si>
  <si>
    <t>Dinamo 1 HP</t>
  </si>
  <si>
    <t>Dinamo 5,5 HP</t>
  </si>
  <si>
    <t>Pompa Sifon (M.Sedot Lumpur)</t>
  </si>
  <si>
    <t>Kabel NYY 4 x 15</t>
  </si>
  <si>
    <t>Kabel NYY 3 x 2 1/2</t>
  </si>
  <si>
    <t>Doll Stater 2,8 - 4 A</t>
  </si>
  <si>
    <t>Kincir 1 HP + Kopel</t>
  </si>
  <si>
    <t>As Kincir 1 x 6 "</t>
  </si>
  <si>
    <t>Pipa Galvanis u/Kincir</t>
  </si>
  <si>
    <t>Generator Genset "Marelly" 3P-250 A</t>
  </si>
  <si>
    <t>Kabel NYY 3 x 1,5 MM</t>
  </si>
  <si>
    <t>Radiator Genset 8 DC</t>
  </si>
  <si>
    <t>Pompa Submersible Show Fou 8" KL 732</t>
  </si>
  <si>
    <t>Verder / Belgium Double Diagraph Pump VA 25</t>
  </si>
  <si>
    <t>Pompa Submersible 2 HP 3" Type 232 N</t>
  </si>
  <si>
    <t>Mesin Genset 8 M20</t>
  </si>
  <si>
    <t>Radiator 350 KVA</t>
  </si>
  <si>
    <t>Kincir 1 HP 2014</t>
  </si>
  <si>
    <t>Kabel Sutardo NYY 3x1,5 mm</t>
  </si>
  <si>
    <t>Kipas Kincir 2014</t>
  </si>
  <si>
    <t>Kincir 1 HP Futigal 2015</t>
  </si>
  <si>
    <t>Pompa Submersible KL 732 8"</t>
  </si>
  <si>
    <t>Travo 630 KVA</t>
  </si>
  <si>
    <t>Pompa Submersible 8"</t>
  </si>
  <si>
    <t>Pompa Submersible 10" KL 1032</t>
  </si>
  <si>
    <t>Mesin Alkon 3"</t>
  </si>
  <si>
    <t>Pompa Submersible 10 " KL 1032</t>
  </si>
  <si>
    <t>Pompa Ebara 250 SZ</t>
  </si>
  <si>
    <t>Mesin Genset 500 KVA</t>
  </si>
  <si>
    <t>Pompa JM 4"</t>
  </si>
  <si>
    <t>Pompa Submersible 8" Tai Yih Sun</t>
  </si>
  <si>
    <t>Kincir Back Port 3 P 1 HP</t>
  </si>
  <si>
    <t>Mesin Donfeng 24 PK</t>
  </si>
  <si>
    <t>Pipa Pompa Laut Line 2</t>
  </si>
  <si>
    <t>Mesin Gerinda Ukir</t>
  </si>
  <si>
    <t>Jalur Pompa Line 3</t>
  </si>
  <si>
    <t>Pompa Celup Multy Pro</t>
  </si>
  <si>
    <t>Pompa Steam Scn - 30</t>
  </si>
  <si>
    <t>Mesin Potong Rumput Daveka</t>
  </si>
  <si>
    <t>Jan'18</t>
  </si>
  <si>
    <t>Feb'18</t>
  </si>
  <si>
    <t>Mar'18</t>
  </si>
  <si>
    <t>Apr'18</t>
  </si>
  <si>
    <t>Jun'18</t>
  </si>
  <si>
    <t>Jul'18</t>
  </si>
  <si>
    <t>Agust'18</t>
  </si>
  <si>
    <t>Apr'22</t>
  </si>
  <si>
    <t>Mesin-Mesin Pakan</t>
  </si>
  <si>
    <t>Steam Boiler Miura - 2019</t>
  </si>
  <si>
    <t>Mesin Penepung Disk Mill, FFC-45 (Tanpa Engine)</t>
  </si>
  <si>
    <t>Electricity Instalation  Cold Storage</t>
  </si>
  <si>
    <t>Pipa Listrik</t>
  </si>
  <si>
    <t>Panel Listrik</t>
  </si>
  <si>
    <t>PLN- Tambah Daya</t>
  </si>
  <si>
    <t>Panel Satelit</t>
  </si>
  <si>
    <t>Electricity Instalation  Ketapang</t>
  </si>
  <si>
    <t>Instalasi Listrik PLN</t>
  </si>
  <si>
    <t>Trafo Starlite 400 Kva</t>
  </si>
  <si>
    <t>Kabel Twist</t>
  </si>
  <si>
    <t>Relay Spam</t>
  </si>
  <si>
    <t>Transformer / Travo 630 Kva</t>
  </si>
  <si>
    <t>Trafo Starlite 630 Kva</t>
  </si>
  <si>
    <t>Instalasi Panel Kapasitor</t>
  </si>
  <si>
    <t>Kapasitor Bank 400 V</t>
  </si>
  <si>
    <t>Kabel Twist 4 x 16</t>
  </si>
  <si>
    <t>Jaringan Listrik Blok H,I</t>
  </si>
  <si>
    <t>Kapasitor Circutor</t>
  </si>
  <si>
    <t>Rekondisi Travo Starlite 630 KVA</t>
  </si>
  <si>
    <t>Terminator Indoor + Jasa</t>
  </si>
  <si>
    <t>Transformer  630 KVA</t>
  </si>
  <si>
    <t>Breaker 630 A</t>
  </si>
  <si>
    <t>Kapasitor Bank 60 KVAR 400 V</t>
  </si>
  <si>
    <t>OHM Saklar 400 A 4 P</t>
  </si>
  <si>
    <t>Instalasi Listrik 2014</t>
  </si>
  <si>
    <t>Doll Stater Teco 4 A / 380 V</t>
  </si>
  <si>
    <t>Instalasi Listrik blk E</t>
  </si>
  <si>
    <t>Travo PLN</t>
  </si>
  <si>
    <t>Kendaraan Cold Storage</t>
  </si>
  <si>
    <t xml:space="preserve">XENIA </t>
  </si>
  <si>
    <t>Mitsubishi FE349</t>
  </si>
  <si>
    <t>Avanza 1.3 G</t>
  </si>
  <si>
    <t>BUS PS 100</t>
  </si>
  <si>
    <t>TOYOTA DYNA 115ST</t>
  </si>
  <si>
    <t>MITSUBISHI FE 74</t>
  </si>
  <si>
    <t>MITSUBISHI 220 PS</t>
  </si>
  <si>
    <t>HILUX 3.0 G</t>
  </si>
  <si>
    <t>MITSUBISHI 125 PS (FE74S)</t>
  </si>
  <si>
    <t>HINO DUTRO 130 HD</t>
  </si>
  <si>
    <t>TOYOTA DYNA 130 HT</t>
  </si>
  <si>
    <t>INNOVA G MATIC</t>
  </si>
  <si>
    <t>HINO 130 HD Mixer</t>
  </si>
  <si>
    <t xml:space="preserve">TERIOS </t>
  </si>
  <si>
    <t>FORTUNER 2.5 G A/T</t>
  </si>
  <si>
    <t>DATSUN GO</t>
  </si>
  <si>
    <t xml:space="preserve">INNOVA E DIESEL </t>
  </si>
  <si>
    <t>Mobil Cold Diesel FE 74 S BE XX ( 2 unit )</t>
  </si>
  <si>
    <t>Exsavator Second @ 3 unit</t>
  </si>
  <si>
    <t>Dumtruck Second @ 4 unit</t>
  </si>
  <si>
    <t>Mobil Pajero BE 1196 M - 2017</t>
  </si>
  <si>
    <t>Kendaraan Gebang</t>
  </si>
  <si>
    <t>GRAND MAX PICK UP</t>
  </si>
  <si>
    <t>Bak Mobil Budidaya</t>
  </si>
  <si>
    <t>Honda Beat FI</t>
  </si>
  <si>
    <t>Mobil Gran Max (Second)</t>
  </si>
  <si>
    <t>Kendaraan Ketapang</t>
  </si>
  <si>
    <t>MITSUBISHI 120 PS</t>
  </si>
  <si>
    <t>AVANZA G</t>
  </si>
  <si>
    <t>SASIS MOBIL PS 100 Cumplung</t>
  </si>
  <si>
    <t>Motor Second</t>
  </si>
  <si>
    <t>Motor Honda Second (3 Unt)</t>
  </si>
  <si>
    <t>Peralatan Dan Perlengkapan Cold Storage</t>
  </si>
  <si>
    <t>Laptop 2015</t>
  </si>
  <si>
    <t>Modem &amp; Perdana</t>
  </si>
  <si>
    <t>Power Suplay</t>
  </si>
  <si>
    <t>AC - 2015</t>
  </si>
  <si>
    <t>Hardisk External - 2015</t>
  </si>
  <si>
    <t>Camera - 2015</t>
  </si>
  <si>
    <t>HP Nokia N 105</t>
  </si>
  <si>
    <t>Mainboard - 2015</t>
  </si>
  <si>
    <t>Kamera CCTV - 2015</t>
  </si>
  <si>
    <t>Meja 1/2 Biro - 2015</t>
  </si>
  <si>
    <t>Printer - 2015</t>
  </si>
  <si>
    <t>Pesawat Telepon - 2015</t>
  </si>
  <si>
    <t>DVR 16 CH HMT - 2015</t>
  </si>
  <si>
    <t xml:space="preserve">Monitor LED - 2015 </t>
  </si>
  <si>
    <t>UPS - 2015</t>
  </si>
  <si>
    <t>CPU Rakitan - 2015</t>
  </si>
  <si>
    <t>Hardisk - 2015</t>
  </si>
  <si>
    <t>Kursi - 2015</t>
  </si>
  <si>
    <t>Kursi Putar (Indachi) - 2015</t>
  </si>
  <si>
    <t>AC Daikin 5 PK - 2019</t>
  </si>
  <si>
    <t>Laptop Acer Aspire 2467 QC - 2019</t>
  </si>
  <si>
    <t>AC Daikin 1.5 PK FTC 35 NV- 2019</t>
  </si>
  <si>
    <t>AC Daikin 1.5 PK R23 - 2019</t>
  </si>
  <si>
    <t>Meja 1/2 Biro - 2019</t>
  </si>
  <si>
    <t>Printer Canon Laserjet LBP - 6030 - 2019</t>
  </si>
  <si>
    <t>CPU Rakitan - 2019</t>
  </si>
  <si>
    <t>Lemari Gantung 2 Pintu - 2020</t>
  </si>
  <si>
    <t>Kursi Putar Ichiko - 2020</t>
  </si>
  <si>
    <t>CPU Rakitan - 2020</t>
  </si>
  <si>
    <t>Power Supplay Logic Magnum Pro-X 225 450W - 2020</t>
  </si>
  <si>
    <t>Power Supplay Imperion 550W - 2020</t>
  </si>
  <si>
    <t>DVR HIK DS-7216 HOHI-K1-E - 2021</t>
  </si>
  <si>
    <t>Monitor Varro Led 15,6" - 2021</t>
  </si>
  <si>
    <t>Monitor Varro Led 15,6" - 2022</t>
  </si>
  <si>
    <t>CPU Rakitan - 2022</t>
  </si>
  <si>
    <t>Printer Canon Laserjet LBP 6030 - 2022</t>
  </si>
  <si>
    <t>Monitor Led 19" Magix - 2022</t>
  </si>
  <si>
    <t>Kursi Indachi Inco Merah - 2022</t>
  </si>
  <si>
    <t>Laptop Asus A416JAO FHD325 - 2022</t>
  </si>
  <si>
    <t>AC Spilte Daikin 1PK Type FTC 25 NV - 2022</t>
  </si>
  <si>
    <t>Komputer Intel Pentium Dual Core G3250 -2022</t>
  </si>
  <si>
    <t>Kursi Susun Krohm Merah - 2022</t>
  </si>
  <si>
    <t>Keranjang</t>
  </si>
  <si>
    <t>Thermometer Jarum Atermo - 2015</t>
  </si>
  <si>
    <t>Thermometer Digital - 2015</t>
  </si>
  <si>
    <t>Timbangan Digital 5kg - 2015</t>
  </si>
  <si>
    <t>Loadcell Timbangan - 2015</t>
  </si>
  <si>
    <t>Kulkas - 2015</t>
  </si>
  <si>
    <t>Roda Hercules -2016</t>
  </si>
  <si>
    <t>Iner Pan + Tutup @2100 Pcs - 2016</t>
  </si>
  <si>
    <t>Long Pan @700Pcs - 2016</t>
  </si>
  <si>
    <t xml:space="preserve">Fiber Box - 2017 </t>
  </si>
  <si>
    <t>Vaccum pack @ 2 unit - 2017</t>
  </si>
  <si>
    <t>Printer Barcode "TSC Type TTP 246 Pro"</t>
  </si>
  <si>
    <t>Handystep - 2017</t>
  </si>
  <si>
    <t>Timbangan Digital Vibra AJ-4200E - 2017</t>
  </si>
  <si>
    <t>Timbangan Digital Avery Weight Tronix - 2019</t>
  </si>
  <si>
    <t>Pompa Air Morris M-Jet - 2019</t>
  </si>
  <si>
    <t>Timbangan Mekanik Type A-100W - 2022</t>
  </si>
  <si>
    <t>Printer Barcode Type: ZM411 I/F: USB - 2022</t>
  </si>
  <si>
    <t>Peralatan Dan Perlengkapan Gebang</t>
  </si>
  <si>
    <t>Komputer+UPS</t>
  </si>
  <si>
    <t>Televisi</t>
  </si>
  <si>
    <t>Laptop</t>
  </si>
  <si>
    <t>Notebook</t>
  </si>
  <si>
    <t>Proyektor</t>
  </si>
  <si>
    <t>AC</t>
  </si>
  <si>
    <t>Berangkas</t>
  </si>
  <si>
    <t>Kompor Gas + Regulator</t>
  </si>
  <si>
    <t>Kipas Angin National Greet 16"</t>
  </si>
  <si>
    <t>Printer</t>
  </si>
  <si>
    <t>UPS Prolink</t>
  </si>
  <si>
    <t>Komputer</t>
  </si>
  <si>
    <t>Laptop Asus</t>
  </si>
  <si>
    <t>Laptop Asus A4555LF</t>
  </si>
  <si>
    <t>Brangkas</t>
  </si>
  <si>
    <t>Laptop Acer ES1</t>
  </si>
  <si>
    <t>Laptop Acer E5</t>
  </si>
  <si>
    <t>Printer Epson L120</t>
  </si>
  <si>
    <t>Laptop Acer Aspire</t>
  </si>
  <si>
    <t>Mei'18</t>
  </si>
  <si>
    <t>Nov'20</t>
  </si>
  <si>
    <t>PERALATAN DAN PERLENGKAPAN BENGKEL</t>
  </si>
  <si>
    <t>Peralatan Bengkel</t>
  </si>
  <si>
    <t>Takel - 2015</t>
  </si>
  <si>
    <t>PERALATAN DAN PERLENGKAPAN TAMBAK</t>
  </si>
  <si>
    <t>Juli'18</t>
  </si>
  <si>
    <t>PERALATAN DAN PERLENGKAPAN HOLDING</t>
  </si>
  <si>
    <t>3.1</t>
  </si>
  <si>
    <t>CCTV 1 set</t>
  </si>
  <si>
    <t xml:space="preserve">1 unit AC </t>
  </si>
  <si>
    <t>Peralatan Dan Perlengkapan Ketapang</t>
  </si>
  <si>
    <t>PERALATAN DAN PERLENGKAPAN KETAPANG</t>
  </si>
  <si>
    <t>Peralatan dan Perlengkapan Kantor</t>
  </si>
  <si>
    <t>4.1</t>
  </si>
  <si>
    <t>Laptop Asus X 451 CA-067 d</t>
  </si>
  <si>
    <t>PC Rakitan</t>
  </si>
  <si>
    <t>Meja Kantor</t>
  </si>
  <si>
    <t>PC Computer Lengkap</t>
  </si>
  <si>
    <t>Computer 2014</t>
  </si>
  <si>
    <t>Brankas Kasir Type L 800</t>
  </si>
  <si>
    <t>AC Splite LG 1 PK</t>
  </si>
  <si>
    <t>AC Daikin 2 PK</t>
  </si>
  <si>
    <t>Printer Epson L 120</t>
  </si>
  <si>
    <t>AC Daikin 1 PK</t>
  </si>
  <si>
    <t>Sofa + Meja</t>
  </si>
  <si>
    <t>AC Daikin 1,5 PK</t>
  </si>
  <si>
    <t>Mesin Steam Ac</t>
  </si>
  <si>
    <t>Proyektor Mini Infokus HDMI</t>
  </si>
  <si>
    <t>Monitor Wearnes LED UK 15,6" 2021</t>
  </si>
  <si>
    <t>Peralatan Produksi/Tambak</t>
  </si>
  <si>
    <t>4.2</t>
  </si>
  <si>
    <t>Drum Plastik</t>
  </si>
  <si>
    <t>Photo Meter Nova 60 A</t>
  </si>
  <si>
    <t>Blong Panen Kap 200 Ltr</t>
  </si>
  <si>
    <t>Tangki Air Pinguin @1000 Ltr</t>
  </si>
  <si>
    <t>Tangki Molase Kap 10 Ton</t>
  </si>
  <si>
    <t>Blower Leister (M.Penyambung HDPE)</t>
  </si>
  <si>
    <t>DO Meter YSI Pro 20</t>
  </si>
  <si>
    <t>Hot Plate Cimarec</t>
  </si>
  <si>
    <t>Tower Air Pinguin 1000 Ltr</t>
  </si>
  <si>
    <t>Timbangan Cas HDI Kap 150 Kg</t>
  </si>
  <si>
    <t>Infrastruktur Cold Storage</t>
  </si>
  <si>
    <t>KWH Meter - 2015</t>
  </si>
  <si>
    <t>Kapasitor Bank - 2015</t>
  </si>
  <si>
    <t>Panel Condensor - 2015</t>
  </si>
  <si>
    <t>Infrastruktur Lainnya</t>
  </si>
  <si>
    <t>INFRASTRUKTUR TAMBAK GEBANG</t>
  </si>
  <si>
    <t>INFRASTRUKTUR COLD STORAGE</t>
  </si>
  <si>
    <t>Listrik</t>
  </si>
  <si>
    <t>Travo</t>
  </si>
  <si>
    <t>Kabel Listrik</t>
  </si>
  <si>
    <t>Plastik HDPE Blok D14-15</t>
  </si>
  <si>
    <t>Plastik HDPE Blok G13-19 &amp; H</t>
  </si>
  <si>
    <t>Plastik HDPE Blok H1-5</t>
  </si>
  <si>
    <t>Plastik HDPE Blok C&amp;G</t>
  </si>
  <si>
    <t>Pasang Baru &amp; SLO Listrik</t>
  </si>
  <si>
    <t>Plastik HDPE Blok E</t>
  </si>
  <si>
    <t>Plastik HDPE Blok A</t>
  </si>
  <si>
    <t>Plastik HDPE Blok A1-8</t>
  </si>
  <si>
    <t>Plastik HDPE Blok B1-7</t>
  </si>
  <si>
    <t>Plastik HDPE Blok D</t>
  </si>
  <si>
    <t>Plastik HDPE Blok F</t>
  </si>
  <si>
    <t>Infrastruktur</t>
  </si>
  <si>
    <t>Plastik HDPE Blok H</t>
  </si>
  <si>
    <t>Bak Talang Air F</t>
  </si>
  <si>
    <t>INFRASTRUKTUR HOLDING</t>
  </si>
  <si>
    <t>Kincir second</t>
  </si>
  <si>
    <t>EXCAVATOR SK 200-8</t>
  </si>
  <si>
    <t>Generator genset</t>
  </si>
  <si>
    <t>EXCAVATOR MINI</t>
  </si>
  <si>
    <t>INFRASTRUKTUR KETAPANG</t>
  </si>
  <si>
    <t>EXCAVATOR HITACHI HIDRAULIC ZX 200-5 G</t>
  </si>
  <si>
    <t>Tambah Daya &amp; SLO Listrik</t>
  </si>
  <si>
    <t>Jembatan Nelayan</t>
  </si>
  <si>
    <t>Inlet &amp; Outlet</t>
  </si>
  <si>
    <t>Pagar Bambu Keliling</t>
  </si>
  <si>
    <t>Subsoil Bok F - H</t>
  </si>
  <si>
    <t>Sumur Bor Gebang</t>
  </si>
  <si>
    <t>SUMUR BOR GEBANG</t>
  </si>
  <si>
    <t>Pompa Air Pedeclle</t>
  </si>
  <si>
    <t>SUMUR BOR KETAPANG</t>
  </si>
  <si>
    <t>Sarana dan Prasarana</t>
  </si>
  <si>
    <t>Instalasi Elektrik</t>
  </si>
  <si>
    <t xml:space="preserve">Peralatan dan Perlengkapan </t>
  </si>
  <si>
    <t>Audit 2021</t>
  </si>
  <si>
    <t>PT. INDOKOM SAMUDERA PERSADA</t>
  </si>
  <si>
    <t xml:space="preserve">DIVISI COLD STORAGE 1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</si>
  <si>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</si>
  <si>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DAFTAR ASET TETAP DAN PENYUSUTAN </t>
  </si>
  <si>
    <t>Bak mobil Budidaya</t>
  </si>
  <si>
    <t>DESEMBER 2022</t>
  </si>
  <si>
    <t>Dalam Rupiah (Rp)</t>
  </si>
  <si>
    <t>Nama Asset</t>
  </si>
  <si>
    <t>Penyusutan Desember 2021</t>
  </si>
  <si>
    <t>COLD STORAGE</t>
  </si>
  <si>
    <t>TANAH</t>
  </si>
  <si>
    <t>Subtotal Tanah Cold Storage</t>
  </si>
  <si>
    <t>GEBANG</t>
  </si>
  <si>
    <t>Tanah Divisi Gebang</t>
  </si>
  <si>
    <t>Subtotal Tanah Gebang</t>
  </si>
  <si>
    <t>HOLDING</t>
  </si>
  <si>
    <t>Tanah Holding</t>
  </si>
  <si>
    <t>Subtotal Tanah Holding</t>
  </si>
  <si>
    <t>KETAPANG</t>
  </si>
  <si>
    <t>Subtotal Tanah Ketapang</t>
  </si>
  <si>
    <t>PAKAN</t>
  </si>
  <si>
    <t>Tanah Pakan</t>
  </si>
  <si>
    <t>Tanah Divisi Pakan</t>
  </si>
  <si>
    <t>Subtotal Tanah Pakan</t>
  </si>
  <si>
    <t>TOTAL TANAH</t>
  </si>
  <si>
    <t>2.1.1</t>
  </si>
  <si>
    <t>Jumlah Bangunan Div.ISP 1</t>
  </si>
  <si>
    <t>2.1.2</t>
  </si>
  <si>
    <t>Jumlah Bangunan Div.ISP 2</t>
  </si>
  <si>
    <t>2.1.3</t>
  </si>
  <si>
    <t>Jumlah Bangunan Div. Pabrik Roti</t>
  </si>
  <si>
    <t>Subtotal Bangunan Cold Storage</t>
  </si>
  <si>
    <t>2.2.1</t>
  </si>
  <si>
    <t>Jumlah Bangunan Umum Tambak 1000</t>
  </si>
  <si>
    <t>2.2.2</t>
  </si>
  <si>
    <t>Jumlah Bangunan Tambak Blok A-C</t>
  </si>
  <si>
    <t>2.2.3</t>
  </si>
  <si>
    <t>Jumlah Bangunan Tambak Blok D &amp; E</t>
  </si>
  <si>
    <t>2.2.4</t>
  </si>
  <si>
    <t>Jumlah Bangunan Tambak Blok F-H</t>
  </si>
  <si>
    <t>2.2.5</t>
  </si>
  <si>
    <t>Jumlah Bangunan Tambak Gebang</t>
  </si>
  <si>
    <t>Subtotal Bangunan Gebang</t>
  </si>
  <si>
    <t>Subtotal Bangunan Ketapang</t>
  </si>
  <si>
    <t>Subtotal Bangunan Pakan</t>
  </si>
  <si>
    <t>TOTAL BANGUNAN</t>
  </si>
  <si>
    <t>3.1.1</t>
  </si>
  <si>
    <t>Jumlah Sumur Bor Div.ISP 1</t>
  </si>
  <si>
    <t>Subtotal Sumur Bor Cold Storage</t>
  </si>
  <si>
    <t>3.2</t>
  </si>
  <si>
    <t>Subtotal Sumur Bor Gebang</t>
  </si>
  <si>
    <t>3.3</t>
  </si>
  <si>
    <t>Subtotal Sumur Bor Ketapang</t>
  </si>
  <si>
    <t>TOTAL SUMUR BOR</t>
  </si>
  <si>
    <t>SARANA DAN PRASARANA</t>
  </si>
  <si>
    <t>4.1.1</t>
  </si>
  <si>
    <t>Jumlah Sarana Dan Prasarana Divisi Isp 1</t>
  </si>
  <si>
    <t>Subtotal Sarana Dan Prasarana Cold Storage</t>
  </si>
  <si>
    <t>Subtotal Sarana Dan Prasarana  Gebang</t>
  </si>
  <si>
    <t>4.3</t>
  </si>
  <si>
    <t>Subtotal Sarana Dan Prasarana  Ketapang</t>
  </si>
  <si>
    <t>TOTAL SARANA DAN PRASARANA</t>
  </si>
  <si>
    <t>MESIN-MESIN</t>
  </si>
  <si>
    <t>5.1</t>
  </si>
  <si>
    <t>Mesin-Mesin Cold Storage</t>
  </si>
  <si>
    <t>5.1.1</t>
  </si>
  <si>
    <t>5.1.1.1</t>
  </si>
  <si>
    <t>Sub Jumlah Mesin Nantong IQF</t>
  </si>
  <si>
    <t>5.1.1.2</t>
  </si>
  <si>
    <t>Sub Jumlah Cold Storage</t>
  </si>
  <si>
    <t>5.1.1.3</t>
  </si>
  <si>
    <t>Sub Jumlah Generator/ Genset</t>
  </si>
  <si>
    <t>5.1.1.4</t>
  </si>
  <si>
    <t xml:space="preserve">Sub Jumlah Water Treatment Machine </t>
  </si>
  <si>
    <t>5.1.1.5</t>
  </si>
  <si>
    <t>Sub Jumlah Processing Machine</t>
  </si>
  <si>
    <t>5.1.1.6</t>
  </si>
  <si>
    <t xml:space="preserve">Sub Jumlah Compressor </t>
  </si>
  <si>
    <t>5.1.1.7</t>
  </si>
  <si>
    <t>Sub Jumlah Mesin Lainnya</t>
  </si>
  <si>
    <t>Jumlah Mesin Div.ISP 1</t>
  </si>
  <si>
    <t>5.1.2</t>
  </si>
  <si>
    <t>Jumlah Mesin Div.ISP 2</t>
  </si>
  <si>
    <t>Subtotal Mesin-Mesin Cold Storage</t>
  </si>
  <si>
    <t>5.2</t>
  </si>
  <si>
    <t>Mesin-Mesin Gebang</t>
  </si>
  <si>
    <t>Subtotal Mesin-Mesin Gebang</t>
  </si>
  <si>
    <t>5.3</t>
  </si>
  <si>
    <t>Subtotal Mesin-Mesin Ketapang</t>
  </si>
  <si>
    <t>5.4</t>
  </si>
  <si>
    <t>Subtotal Mesin-Mesin Pakan</t>
  </si>
  <si>
    <t>TOTAL MESIN</t>
  </si>
  <si>
    <t xml:space="preserve">ELECTRICITY INSTALATION </t>
  </si>
  <si>
    <t>6.1</t>
  </si>
  <si>
    <t>6.1.1</t>
  </si>
  <si>
    <t>Jumlah Electricity Instalation Divisi Isp 1</t>
  </si>
  <si>
    <t>Subtotal Electricity Instalation  Cold Storage</t>
  </si>
  <si>
    <t>6.2</t>
  </si>
  <si>
    <t>Subtotal Electricity Instalation  Ketapang</t>
  </si>
  <si>
    <t xml:space="preserve">TOTAL ELECTRICITY INSTALATION </t>
  </si>
  <si>
    <t>KENDARAAN</t>
  </si>
  <si>
    <t>7.1</t>
  </si>
  <si>
    <t>7.1.1</t>
  </si>
  <si>
    <t>Subtotal Kendaraan Cold Storage</t>
  </si>
  <si>
    <t>7.2</t>
  </si>
  <si>
    <t>Subtotal Kendaraan Gebang</t>
  </si>
  <si>
    <t>7.3</t>
  </si>
  <si>
    <t>Subtotal Kendaraan Ketapang</t>
  </si>
  <si>
    <t>TOTAL KENDARAAN</t>
  </si>
  <si>
    <t>PERALATAN DAN PERLENGKAPAN</t>
  </si>
  <si>
    <t>8.1</t>
  </si>
  <si>
    <t>8.1.1</t>
  </si>
  <si>
    <t>Total Peralatan Dan Perlengkapan Kantor</t>
  </si>
  <si>
    <t>8.1.2</t>
  </si>
  <si>
    <t>Total Peralatan Dan Perlengkapan Produksi</t>
  </si>
  <si>
    <t>Subtotal Peralatan Dan Perlengkapan Cold Storage</t>
  </si>
  <si>
    <t>8.2</t>
  </si>
  <si>
    <t>8.2.1</t>
  </si>
  <si>
    <t>8.2.2</t>
  </si>
  <si>
    <t>Total Peralatan Dan Perlengkapan Bengkel</t>
  </si>
  <si>
    <t>8.2.3</t>
  </si>
  <si>
    <t>Total Peralatan Dan Perlengkapan Tambak</t>
  </si>
  <si>
    <t>Subtotal Peralatan Dan Perlengkapan Gebang</t>
  </si>
  <si>
    <t>8.3</t>
  </si>
  <si>
    <t>8.3.1</t>
  </si>
  <si>
    <t>Subtotal Peralatan Dan Perlengkapan Holding</t>
  </si>
  <si>
    <t>8.4</t>
  </si>
  <si>
    <t>8.4.1</t>
  </si>
  <si>
    <t>8.4.2</t>
  </si>
  <si>
    <t>PERALATAN PRODUKSI/TAMBAK</t>
  </si>
  <si>
    <t>Total Peralatan Produksi/Tambak</t>
  </si>
  <si>
    <t>Subtotal Peralatan Dan Perlengkapan Ketapang</t>
  </si>
  <si>
    <t>TOTAL PERALATAN DAN PERLENGKAPAN</t>
  </si>
  <si>
    <t>INFRASTRUKTUR</t>
  </si>
  <si>
    <t>9.1</t>
  </si>
  <si>
    <t>9.1.1</t>
  </si>
  <si>
    <t>Subtotal Infrastruktur Cold Storage</t>
  </si>
  <si>
    <t>9.2</t>
  </si>
  <si>
    <t>Subtotal Infrastruktur Tambak Gebang</t>
  </si>
  <si>
    <t>9.3</t>
  </si>
  <si>
    <t>Subtotal Infrastruktur Holding</t>
  </si>
  <si>
    <t>9.4</t>
  </si>
  <si>
    <t>Subtotal Infrastruktur Ketapang</t>
  </si>
  <si>
    <t>TOTAL INFRASTRUKTUR</t>
  </si>
  <si>
    <t xml:space="preserve">GRAND TOTAL </t>
  </si>
  <si>
    <t>2005-2014</t>
  </si>
  <si>
    <t>Penambahan Aset</t>
  </si>
  <si>
    <t>Penyusutan Desember 2022</t>
  </si>
  <si>
    <t>Workshop</t>
  </si>
  <si>
    <t>Pabrik Pakan</t>
  </si>
  <si>
    <t>Bangunan Pengolahan</t>
  </si>
  <si>
    <t>5.1.3</t>
  </si>
  <si>
    <t xml:space="preserve">Oven Rotary </t>
  </si>
  <si>
    <t xml:space="preserve">Hydraulic Divider </t>
  </si>
  <si>
    <t xml:space="preserve">Dought Moulder Long </t>
  </si>
  <si>
    <t xml:space="preserve">Dought Kneader 50Kg 3p </t>
  </si>
  <si>
    <t>Evaparator Gunther</t>
  </si>
  <si>
    <t xml:space="preserve">Dinamo Mesin Pembagi </t>
  </si>
  <si>
    <t xml:space="preserve">Dinamo Mesin Spiral Mixer </t>
  </si>
  <si>
    <t xml:space="preserve">Dought Kneader 75kg </t>
  </si>
  <si>
    <t xml:space="preserve">Gas Rotary Rack Oven </t>
  </si>
  <si>
    <t>Perakitan Oven Roti :</t>
  </si>
  <si>
    <t>Perakitan Mesin Giling Roti :</t>
  </si>
  <si>
    <t>Jumlah Mesin Pabrik Roti</t>
  </si>
  <si>
    <t xml:space="preserve">Mesin Silent Cutter QF6202 </t>
  </si>
  <si>
    <t>Mesin Silase</t>
  </si>
  <si>
    <t>Autometic Boiler (Mesin Boiler)</t>
  </si>
  <si>
    <t>Die For Pellet dan Packing Custom</t>
  </si>
  <si>
    <t>Mesin Hammer Mill</t>
  </si>
  <si>
    <t>CTRL</t>
  </si>
  <si>
    <t>Ctrl</t>
  </si>
  <si>
    <t>Aset Tetap Peralatan &amp; prasarana Tahun 2014</t>
  </si>
  <si>
    <t>Aset Tetap Peralatan &amp; prasarana Tahun 2015</t>
  </si>
  <si>
    <t>Aset Tetap Peralatan &amp; prasarana Tahun 2016</t>
  </si>
  <si>
    <t>Aset Tetap Peralatan &amp; prasarana Tahun 2017</t>
  </si>
  <si>
    <t>Aset Tetap Peralatan &amp; prasarana Tahun 2018</t>
  </si>
  <si>
    <t>Aset Tetap Peralatan &amp; prasarana Tahun 2019</t>
  </si>
  <si>
    <t>Aset Tetap Peralatan &amp; prasarana Tahun 2020</t>
  </si>
  <si>
    <t>Aset Tetap Peralatan &amp; prasarana Tahun 2021</t>
  </si>
  <si>
    <t>Aset Tetap Peralatan &amp; prasarana Tahun 2022</t>
  </si>
  <si>
    <t>Aset Tetap Peralatan &amp; prasarana Tahun 2023</t>
  </si>
  <si>
    <t>Gabung</t>
  </si>
  <si>
    <t xml:space="preserve">Aet Tambak Ketapang </t>
  </si>
  <si>
    <t>Sarana &amp; Prasarana</t>
  </si>
  <si>
    <t xml:space="preserve">Instalasi Elektrik </t>
  </si>
  <si>
    <t xml:space="preserve">Perlengkapan </t>
  </si>
  <si>
    <t>Aset Lainnya</t>
  </si>
  <si>
    <t xml:space="preserve">Total Aset yang akan di takeout </t>
  </si>
  <si>
    <t xml:space="preserve">Aset Lainnya </t>
  </si>
  <si>
    <t xml:space="preserve">Hutang Pak Usman </t>
  </si>
  <si>
    <t>Surplus RAT</t>
  </si>
  <si>
    <t>Akmulasi Penyusutan Tambak Ketapang 2020</t>
  </si>
  <si>
    <t>Akumulasi Penyusutan Aset Lainnya 2020</t>
  </si>
  <si>
    <t>Beban Penyusutan Tambak Ketapang 2020</t>
  </si>
  <si>
    <t>Beban Penyusutam Aset Lainnya 2020</t>
  </si>
  <si>
    <t>Penyusutan Peralatan Tambak ,Biaya</t>
  </si>
  <si>
    <t>Penyusutan Peralatan Produksi, Biaya</t>
  </si>
  <si>
    <t>Penyusutan Sarana &amp; Prasarana, Biaya</t>
  </si>
  <si>
    <t>Penyusutan Bangunan, Biaya</t>
  </si>
  <si>
    <t>Penyusutan Electricity Instalasi, Biaya</t>
  </si>
  <si>
    <t>Penyusutan Infrastruktur, Biaya</t>
  </si>
  <si>
    <t>Penyusutan Kendaraan, Biaya</t>
  </si>
  <si>
    <t>Penyusutan Mesin-Mesin, Biaya</t>
  </si>
  <si>
    <t>Penyusutan Peralatan Kantor, Biaya</t>
  </si>
  <si>
    <t>Penyusutan Sumur Bor, Biaya</t>
  </si>
  <si>
    <t>Biaya Penyusutan WBS - 2020</t>
  </si>
  <si>
    <t xml:space="preserve">Selisih </t>
  </si>
  <si>
    <t>Akm Peny WBS 2020</t>
  </si>
  <si>
    <t>Selisih karena, Harga Perolehan ada yg diganti</t>
  </si>
  <si>
    <t>Karena, ada harga perolehan yang diganti</t>
  </si>
  <si>
    <t>2020-Sesuai dgn list TA di SPT 2020</t>
  </si>
  <si>
    <t>Tally</t>
  </si>
  <si>
    <t>SPT 2021</t>
  </si>
  <si>
    <t xml:space="preserve">Ada perubahan Harga Perolehan </t>
  </si>
  <si>
    <t xml:space="preserve">Perubahan Harga Perolehan </t>
  </si>
  <si>
    <t xml:space="preserve">Ganti Harga Perolehan </t>
  </si>
  <si>
    <t>Uang ISP</t>
  </si>
  <si>
    <t>Mushola + KM/WC</t>
  </si>
  <si>
    <t>Mess Assisten + kantin Blok C dan Blok A</t>
  </si>
  <si>
    <t xml:space="preserve">Mess Feeder 2015 + mess asisten + kantin + mess feeder (14 Unit) + gudang pakan </t>
  </si>
  <si>
    <t>Gubuk Pos Jaga + pos satpam</t>
  </si>
  <si>
    <t>PMK &gt;&gt;</t>
  </si>
  <si>
    <t>Perubahan umur Ekonomis</t>
  </si>
  <si>
    <t>Mess Asisten + Tempat Kultur + Wc + Kantin + mess feeder (11u) + Gudang Pakan (2 unit)</t>
  </si>
  <si>
    <t>Mesin Cutter Zeppelin &amp; Shrimp Cutter Machine</t>
  </si>
  <si>
    <t>Refrigasi Isp 2 + Pompa Air Grunfos NF30-36 1unit</t>
  </si>
  <si>
    <t>Kincir 1HP Futigal + Kipas Kincir</t>
  </si>
  <si>
    <t>GRAND MAX TRUCK</t>
  </si>
  <si>
    <t>Angkel Mobil Budidaya</t>
  </si>
  <si>
    <t>Panel Condensor + Kapasitor Bank + KWH Meter - 2015</t>
  </si>
  <si>
    <t>Kincir Futigal Blok A-H + Kipas Kincir</t>
  </si>
  <si>
    <t>EXCAVATOR SK 200-8 + EXCAVATOR HITACHI HIDRAULIC ZX 200-5 G</t>
  </si>
  <si>
    <t>WBS</t>
  </si>
  <si>
    <t>AKM</t>
  </si>
  <si>
    <t>Biaya</t>
  </si>
  <si>
    <t xml:space="preserve">Total Keseluruhan </t>
  </si>
  <si>
    <t xml:space="preserve">Total Non Produksi </t>
  </si>
  <si>
    <t xml:space="preserve">Total Produksi </t>
  </si>
  <si>
    <t xml:space="preserve">Selisih karen ada yg di takeout </t>
  </si>
  <si>
    <t>SPT BADAN</t>
  </si>
  <si>
    <t>Akm Peny 2019</t>
  </si>
  <si>
    <t>NBV 2019</t>
  </si>
  <si>
    <t>SPT</t>
  </si>
  <si>
    <t>Mesin Sugu + Mesin Cut Off (Potong Besi)</t>
  </si>
  <si>
    <t>Magnetic Kontraktor + Scun SC 70mm + Volt Meter GAE 400A</t>
  </si>
  <si>
    <t xml:space="preserve">Akm Penyusutan 2016 </t>
  </si>
  <si>
    <t>Aset Tetap Dalam Proses</t>
  </si>
  <si>
    <t>Kendaraan Holding</t>
  </si>
  <si>
    <t>penilaian dr 2020-2022 khusus tambak, sehingga dibuku sdh ada nilai OCI</t>
  </si>
  <si>
    <t xml:space="preserve">SHM </t>
  </si>
  <si>
    <t>Coldstorage</t>
  </si>
  <si>
    <t>1.</t>
  </si>
  <si>
    <t>Jenis</t>
  </si>
  <si>
    <t xml:space="preserve">Hak Milik </t>
  </si>
  <si>
    <t xml:space="preserve">No </t>
  </si>
  <si>
    <t>Lokasi</t>
  </si>
  <si>
    <t>Ds. Sukanegara Kec. Tanjung Bintang Lampung Selatan</t>
  </si>
  <si>
    <t>Luas (M2)</t>
  </si>
  <si>
    <t>Tanggal Sertifikat</t>
  </si>
  <si>
    <t>Usman Saleh</t>
  </si>
  <si>
    <t xml:space="preserve">Saimi Saleh </t>
  </si>
  <si>
    <t>Sisa Luas (M2)</t>
  </si>
  <si>
    <t>0775</t>
  </si>
  <si>
    <t>01870</t>
  </si>
  <si>
    <t>Penyesuaian Tol</t>
  </si>
  <si>
    <t xml:space="preserve">Keterangan </t>
  </si>
  <si>
    <t>0777</t>
  </si>
  <si>
    <t>01867</t>
  </si>
  <si>
    <t>0778</t>
  </si>
  <si>
    <t>01869</t>
  </si>
  <si>
    <t>2.</t>
  </si>
  <si>
    <t>Tambak Gebang</t>
  </si>
  <si>
    <t>Ishak Saleh</t>
  </si>
  <si>
    <t xml:space="preserve">Ds. Gebang Kec. Padang Cermin Lampung Selatan </t>
  </si>
  <si>
    <t>Saimi Saleh</t>
  </si>
  <si>
    <t>Ir. Bahar</t>
  </si>
  <si>
    <t>Ismit Saleh</t>
  </si>
  <si>
    <t>Tambak Ketapang</t>
  </si>
  <si>
    <t xml:space="preserve">Ds. Sumber Nadi Kec. Ketapang Lampung Selatan </t>
  </si>
  <si>
    <t>Aset Hak Guna</t>
  </si>
  <si>
    <t xml:space="preserve">Rico Damona Usman </t>
  </si>
  <si>
    <t>Rima Rahmawati</t>
  </si>
  <si>
    <t>Sustinah</t>
  </si>
  <si>
    <t>Yusnaya Adisti</t>
  </si>
  <si>
    <t>Yubahar</t>
  </si>
  <si>
    <t xml:space="preserve">barang diterima, barang dlm penyelesaian </t>
  </si>
  <si>
    <t xml:space="preserve">flake ice </t>
  </si>
  <si>
    <t xml:space="preserve">refrigeration </t>
  </si>
  <si>
    <t xml:space="preserve">pembyaran-diterima um </t>
  </si>
  <si>
    <t xml:space="preserve">karena blm digunakan sehingga blm masuk aset tetap </t>
  </si>
  <si>
    <t xml:space="preserve">Peralatan &amp; Perlengkapan </t>
  </si>
  <si>
    <t>Vaccum Packing Machine Sumida DZ500/2SA-2023</t>
  </si>
  <si>
    <t>Mobil Xenia - 2023</t>
  </si>
  <si>
    <t>TOTAL  PENY 2023</t>
  </si>
  <si>
    <t>S/D TH 2023</t>
  </si>
  <si>
    <t>AKHIR 2023</t>
  </si>
  <si>
    <t>2023</t>
  </si>
  <si>
    <t>Aset Tetap Bangunan Tahun 2023</t>
  </si>
  <si>
    <t>Aset Tetap Sumur Bor Tahun 2023</t>
  </si>
  <si>
    <t>Aset Tetap Mesin Tahun 2023</t>
  </si>
  <si>
    <t>Aset Tetap Kendaraan Alat Berat Tahun 2023</t>
  </si>
  <si>
    <t>Aset Tetap Peralatan Kantor Tahun 2023</t>
  </si>
  <si>
    <t>Aset Tetap Kendaraan Tahun 2023</t>
  </si>
  <si>
    <t>Aset Tetap Peralatan Produksi Tahun 2023</t>
  </si>
  <si>
    <t xml:space="preserve">Tanggal </t>
  </si>
  <si>
    <t>Account No.</t>
  </si>
  <si>
    <t>Account Name</t>
  </si>
  <si>
    <t>WP Reff</t>
  </si>
  <si>
    <t>Balance Sheet</t>
  </si>
  <si>
    <t>Description</t>
  </si>
  <si>
    <t>Credit</t>
  </si>
  <si>
    <t>1-61.101</t>
  </si>
  <si>
    <t>Hak atas Tanah</t>
  </si>
  <si>
    <t>1-61.102</t>
  </si>
  <si>
    <t>Tanah (Tax Amnesty)</t>
  </si>
  <si>
    <t>1-61.103</t>
  </si>
  <si>
    <t>1-61.104</t>
  </si>
  <si>
    <t>1-61.105</t>
  </si>
  <si>
    <t>Mesin &amp; Perlengkapan</t>
  </si>
  <si>
    <t>1-61.106</t>
  </si>
  <si>
    <t>1-61.107</t>
  </si>
  <si>
    <t>1-61.108</t>
  </si>
  <si>
    <t>Instalasi Listrik</t>
  </si>
  <si>
    <t>1-61.109</t>
  </si>
  <si>
    <t>1-61.110</t>
  </si>
  <si>
    <t>1-61.201</t>
  </si>
  <si>
    <t>Akumulasi Bangunan</t>
  </si>
  <si>
    <t>1-61.202</t>
  </si>
  <si>
    <t>Akumulasi Sarana &amp; Prasarana</t>
  </si>
  <si>
    <t>1-61.203</t>
  </si>
  <si>
    <t>Akumulasi Mesin &amp; Perlengkapan</t>
  </si>
  <si>
    <t>1-61.204</t>
  </si>
  <si>
    <t>Akumulasi Kendaraan</t>
  </si>
  <si>
    <t>1-61.205</t>
  </si>
  <si>
    <t>Akumulasi Peralatan &amp; Perlengkapan</t>
  </si>
  <si>
    <t>1-61.206</t>
  </si>
  <si>
    <t>Akumulasi Instalasi Listrik</t>
  </si>
  <si>
    <t>1-61.207</t>
  </si>
  <si>
    <t>Akumulasi Infrastruktur</t>
  </si>
  <si>
    <t>1-61.208</t>
  </si>
  <si>
    <t>Akumulasi Sumur Bor</t>
  </si>
  <si>
    <t>5-11.700</t>
  </si>
  <si>
    <t>Depresiasi</t>
  </si>
  <si>
    <t>6-11.501</t>
  </si>
  <si>
    <t>Penyusutan Peralatan &amp; Perlengkapan, Biaya</t>
  </si>
  <si>
    <t>6-11.502</t>
  </si>
  <si>
    <t>6-11.503</t>
  </si>
  <si>
    <t>6-11.504</t>
  </si>
  <si>
    <t>6-11.505</t>
  </si>
  <si>
    <t>6-11.506</t>
  </si>
  <si>
    <t>6-11.507</t>
  </si>
  <si>
    <t>6-11.508</t>
  </si>
  <si>
    <t>OPEX</t>
  </si>
  <si>
    <t>COA</t>
  </si>
  <si>
    <t>Adjustment Penyusutan Aset Tetap Jan s.d Des 2023</t>
  </si>
  <si>
    <t>Reklas Penyusutan GA ke penyusutan COGS per 2023</t>
  </si>
  <si>
    <t xml:space="preserve">Selisih By Penyusutan </t>
  </si>
  <si>
    <t xml:space="preserve">Selisih Akm Penyusutan </t>
  </si>
  <si>
    <t>TOTAL  PENY JAN 2023</t>
  </si>
  <si>
    <t>S/D TH JAN 2023</t>
  </si>
  <si>
    <t>AKHIR JAN 2023</t>
  </si>
  <si>
    <t xml:space="preserve">Kategori Aset </t>
  </si>
  <si>
    <t xml:space="preserve">Tahun Perolehan </t>
  </si>
  <si>
    <t xml:space="preserve">Nilai Aset </t>
  </si>
  <si>
    <t xml:space="preserve">Nama Aset </t>
  </si>
  <si>
    <t>Kapitalisasi Biaya Pinjaman Bangunan tahun 2021</t>
  </si>
  <si>
    <t xml:space="preserve">Beban Penyusutan WBS </t>
  </si>
  <si>
    <t xml:space="preserve">Akumulasi akhir WBS </t>
  </si>
  <si>
    <t xml:space="preserve">Diff </t>
  </si>
  <si>
    <t>TOTAL  PENY MAR 2024</t>
  </si>
  <si>
    <t>S/D TH MAR 2024</t>
  </si>
  <si>
    <t>AKHIR MAR 2024</t>
  </si>
  <si>
    <t>AKHIR JUNI 2024</t>
  </si>
  <si>
    <t>TOTAL  PENY SEPT 2023</t>
  </si>
  <si>
    <t>S/D TH SEPT 2023</t>
  </si>
  <si>
    <t>AKHIR SEPT 2023</t>
  </si>
  <si>
    <t>TOTAL  PENY SEPT 2024</t>
  </si>
  <si>
    <t>S/D TH SEPT 2024</t>
  </si>
  <si>
    <t>AKHIR SEPT 2024</t>
  </si>
  <si>
    <t>TOTAL  PENY 2024</t>
  </si>
  <si>
    <t>S/D TH 2024</t>
  </si>
  <si>
    <t>AKHIR 2024</t>
  </si>
  <si>
    <t>Aset Tetap Bangunan Tahun 2024</t>
  </si>
  <si>
    <t>Aset Tetap Sumur Bor Tahun 2024</t>
  </si>
  <si>
    <t>Aset Tetap Peralatan &amp; prasarana Tahun 2024</t>
  </si>
  <si>
    <t>Aset Tetap Mesin Tahun 2024</t>
  </si>
  <si>
    <t>Aset Tetap Kendaraan Alat Berat Tahun 2024</t>
  </si>
  <si>
    <t>Aset Tetap Kendaraan Tahun 2024</t>
  </si>
  <si>
    <t>Aset Tetap Peralatan Kantor Tahun 2024</t>
  </si>
  <si>
    <t>Aset Tetap Peralatan Produksi Tahun 2024</t>
  </si>
  <si>
    <t>KATEGORI ASET YANG SUDAH HABIS NBV</t>
  </si>
  <si>
    <t>Peralatan dan Perlengkapan</t>
  </si>
  <si>
    <t>Boiler Miura 750Kg/h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</si>
</sst>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_-* #,##0.00_-;\-* #,##0.00_-;_-* &quot;-&quot;_-;_-@_-"/>
    <numFmt numFmtId="169" formatCode="_(* #,##0.00_);_(* \(#,##0.00\);_(* &quot;-&quot;_);_(@_)"/>
    <numFmt numFmtId="170" formatCode="0.0%"/>
    <numFmt numFmtId="171" formatCode="_-* #,##0_-;\-* #,##0_-;_-* &quot;-&quot;??_-;_-@_-"/>
    <numFmt numFmtId="172" formatCode="[$-421]dd\ mmmm\ yyyy;@"/>
    <numFmt numFmtId="173" formatCode="_(* #,##0.0_);_(* \(#,##0.0\);_(* &quot;-&quot;_);_(@_)"/>
    <numFmt numFmtId="174" formatCode="[$-409]mmm\-yy;@"/>
    <numFmt numFmtId="176" formatCode="#,##0.000"/>
  </numFmts>
  <fonts count="6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 Narrow"/>
      <family val="2"/>
    </font>
    <font>
      <sz val="7"/>
      <color theme="1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 "/>
      <charset val="1"/>
    </font>
    <font>
      <b/>
      <sz val="10"/>
      <color theme="1"/>
      <name val="Arial "/>
      <charset val="1"/>
    </font>
    <font>
      <b/>
      <sz val="10"/>
      <color rgb="FFC00000"/>
      <name val="Arial"/>
      <family val="2"/>
    </font>
    <font>
      <sz val="10"/>
      <name val="Arial "/>
      <charset val="1"/>
    </font>
    <font>
      <sz val="11"/>
      <color indexed="8"/>
      <name val="Arial Narrow"/>
      <family val="2"/>
      <charset val="1"/>
    </font>
    <font>
      <sz val="10"/>
      <name val="Arial"/>
      <family val="2"/>
      <charset val="1"/>
    </font>
    <font>
      <b/>
      <sz val="10"/>
      <name val="Arial "/>
      <charset val="1"/>
    </font>
    <font>
      <sz val="10"/>
      <color indexed="8"/>
      <name val="Arial "/>
      <charset val="1"/>
    </font>
    <font>
      <sz val="10"/>
      <color rgb="FFC00000"/>
      <name val="Arial"/>
      <family val="2"/>
    </font>
    <font>
      <sz val="9"/>
      <color theme="0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i/>
      <sz val="7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 "/>
    </font>
    <font>
      <b/>
      <sz val="10"/>
      <color theme="0"/>
      <name val="Arial "/>
    </font>
    <font>
      <sz val="10"/>
      <color theme="0"/>
      <name val="Arial "/>
    </font>
    <font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 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CE695"/>
        <bgColor indexed="64"/>
      </patternFill>
    </fill>
    <fill>
      <patternFill patternType="solid">
        <fgColor rgb="FF88425E"/>
        <bgColor rgb="FF0000FF"/>
      </patternFill>
    </fill>
    <fill>
      <patternFill patternType="solid">
        <fgColor rgb="FF88425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99FFCC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52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  <xf numFmtId="164" fontId="18" fillId="0" borderId="0" applyFont="0" applyFill="0" applyBorder="0" applyAlignment="0" applyProtection="0"/>
    <xf numFmtId="0" fontId="18" fillId="0" borderId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7" fillId="0" borderId="0"/>
    <xf numFmtId="9" fontId="8" fillId="0" borderId="0" applyFont="0" applyFill="0" applyBorder="0" applyAlignment="0" applyProtection="0"/>
    <xf numFmtId="0" fontId="7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9" fontId="53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5" fillId="0" borderId="0" applyFont="0" applyFill="0" applyBorder="0" applyAlignment="0" applyProtection="0"/>
    <xf numFmtId="0" fontId="54" fillId="0" borderId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2" fillId="0" borderId="0"/>
    <xf numFmtId="0" fontId="2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174" fontId="66" fillId="0" borderId="0"/>
    <xf numFmtId="43" fontId="8" fillId="0" borderId="0" applyFont="0" applyFill="0" applyBorder="0" applyAlignment="0" applyProtection="0"/>
  </cellStyleXfs>
  <cellXfs count="1335">
    <xf numFmtId="0" fontId="0" fillId="0" borderId="0" xfId="0"/>
    <xf numFmtId="0" fontId="10" fillId="2" borderId="1" xfId="3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0" fillId="2" borderId="3" xfId="2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4" fontId="11" fillId="0" borderId="1" xfId="2" applyFont="1" applyFill="1" applyBorder="1" applyAlignment="1">
      <alignment horizontal="left" vertical="center"/>
    </xf>
    <xf numFmtId="41" fontId="11" fillId="0" borderId="1" xfId="2" applyNumberFormat="1" applyFont="1" applyFill="1" applyBorder="1" applyAlignment="1">
      <alignment horizontal="center" vertical="center"/>
    </xf>
    <xf numFmtId="41" fontId="11" fillId="3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1" fillId="0" borderId="0" xfId="2" applyFont="1" applyAlignment="1">
      <alignment vertical="center"/>
    </xf>
    <xf numFmtId="165" fontId="11" fillId="0" borderId="0" xfId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11" fillId="0" borderId="1" xfId="3" applyFont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41" fontId="11" fillId="0" borderId="0" xfId="0" applyNumberFormat="1" applyFont="1" applyAlignment="1">
      <alignment vertical="center"/>
    </xf>
    <xf numFmtId="167" fontId="11" fillId="0" borderId="1" xfId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 vertical="center"/>
    </xf>
    <xf numFmtId="169" fontId="12" fillId="2" borderId="1" xfId="2" applyNumberFormat="1" applyFont="1" applyFill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8" fontId="13" fillId="0" borderId="1" xfId="2" applyNumberFormat="1" applyFont="1" applyFill="1" applyBorder="1" applyAlignment="1">
      <alignment horizontal="center" vertical="center" wrapText="1"/>
    </xf>
    <xf numFmtId="169" fontId="13" fillId="6" borderId="1" xfId="2" applyNumberFormat="1" applyFont="1" applyFill="1" applyBorder="1" applyAlignment="1">
      <alignment vertical="center"/>
    </xf>
    <xf numFmtId="165" fontId="0" fillId="0" borderId="0" xfId="1" applyFont="1"/>
    <xf numFmtId="165" fontId="0" fillId="0" borderId="0" xfId="0" applyNumberFormat="1"/>
    <xf numFmtId="168" fontId="0" fillId="0" borderId="0" xfId="0" applyNumberFormat="1"/>
    <xf numFmtId="165" fontId="0" fillId="7" borderId="0" xfId="1" applyFont="1" applyFill="1"/>
    <xf numFmtId="41" fontId="16" fillId="3" borderId="1" xfId="2" applyNumberFormat="1" applyFont="1" applyFill="1" applyBorder="1" applyAlignment="1">
      <alignment horizontal="center" vertical="center" wrapText="1"/>
    </xf>
    <xf numFmtId="41" fontId="13" fillId="3" borderId="1" xfId="2" applyNumberFormat="1" applyFont="1" applyFill="1" applyBorder="1" applyAlignment="1">
      <alignment horizontal="center" vertical="center" wrapText="1"/>
    </xf>
    <xf numFmtId="41" fontId="13" fillId="0" borderId="1" xfId="2" applyNumberFormat="1" applyFont="1" applyFill="1" applyBorder="1" applyAlignment="1">
      <alignment horizontal="center" vertical="center" wrapText="1"/>
    </xf>
    <xf numFmtId="15" fontId="13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vertical="center"/>
    </xf>
    <xf numFmtId="41" fontId="13" fillId="7" borderId="1" xfId="2" applyNumberFormat="1" applyFont="1" applyFill="1" applyBorder="1" applyAlignment="1">
      <alignment horizontal="center" vertical="center" wrapText="1"/>
    </xf>
    <xf numFmtId="168" fontId="13" fillId="7" borderId="1" xfId="2" applyNumberFormat="1" applyFont="1" applyFill="1" applyBorder="1" applyAlignment="1">
      <alignment horizontal="center" vertical="center" wrapText="1"/>
    </xf>
    <xf numFmtId="169" fontId="13" fillId="7" borderId="1" xfId="2" applyNumberFormat="1" applyFont="1" applyFill="1" applyBorder="1" applyAlignment="1">
      <alignment vertical="center"/>
    </xf>
    <xf numFmtId="0" fontId="0" fillId="7" borderId="0" xfId="0" applyFill="1"/>
    <xf numFmtId="165" fontId="0" fillId="7" borderId="0" xfId="0" applyNumberFormat="1" applyFill="1"/>
    <xf numFmtId="164" fontId="0" fillId="0" borderId="0" xfId="0" applyNumberFormat="1"/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vertical="center"/>
    </xf>
    <xf numFmtId="164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164" fontId="11" fillId="5" borderId="0" xfId="2" applyFont="1" applyFill="1" applyAlignment="1">
      <alignment vertical="center"/>
    </xf>
    <xf numFmtId="0" fontId="17" fillId="0" borderId="1" xfId="3" applyFont="1" applyBorder="1" applyAlignment="1">
      <alignment horizontal="left" vertical="center" wrapText="1"/>
    </xf>
    <xf numFmtId="166" fontId="17" fillId="0" borderId="1" xfId="3" applyNumberFormat="1" applyFont="1" applyBorder="1" applyAlignment="1">
      <alignment horizontal="center" vertical="center"/>
    </xf>
    <xf numFmtId="0" fontId="17" fillId="0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7" fontId="11" fillId="0" borderId="0" xfId="1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41" fontId="11" fillId="3" borderId="1" xfId="2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/>
    </xf>
    <xf numFmtId="41" fontId="10" fillId="3" borderId="0" xfId="0" applyNumberFormat="1" applyFont="1" applyFill="1" applyAlignment="1">
      <alignment vertical="center"/>
    </xf>
    <xf numFmtId="0" fontId="19" fillId="8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9" borderId="0" xfId="0" applyFont="1" applyFill="1" applyAlignment="1">
      <alignment horizontal="center" vertical="center"/>
    </xf>
    <xf numFmtId="0" fontId="23" fillId="0" borderId="0" xfId="0" applyFont="1"/>
    <xf numFmtId="0" fontId="24" fillId="0" borderId="4" xfId="0" applyFont="1" applyBorder="1" applyAlignment="1">
      <alignment horizontal="center"/>
    </xf>
    <xf numFmtId="167" fontId="23" fillId="0" borderId="0" xfId="1" applyNumberFormat="1" applyFont="1"/>
    <xf numFmtId="0" fontId="24" fillId="0" borderId="0" xfId="0" applyFont="1" applyAlignment="1">
      <alignment horizontal="center"/>
    </xf>
    <xf numFmtId="0" fontId="25" fillId="0" borderId="0" xfId="5" applyFont="1" applyAlignment="1">
      <alignment horizontal="center" vertical="center"/>
    </xf>
    <xf numFmtId="3" fontId="23" fillId="0" borderId="0" xfId="0" applyNumberFormat="1" applyFont="1"/>
    <xf numFmtId="0" fontId="24" fillId="0" borderId="0" xfId="0" applyFont="1"/>
    <xf numFmtId="164" fontId="26" fillId="0" borderId="0" xfId="2" applyFont="1"/>
    <xf numFmtId="0" fontId="26" fillId="0" borderId="0" xfId="0" applyFont="1"/>
    <xf numFmtId="164" fontId="26" fillId="0" borderId="0" xfId="2" applyFont="1" applyAlignment="1">
      <alignment horizontal="center"/>
    </xf>
    <xf numFmtId="164" fontId="26" fillId="0" borderId="0" xfId="6" applyFont="1" applyAlignment="1"/>
    <xf numFmtId="164" fontId="26" fillId="0" borderId="0" xfId="6" applyFont="1" applyAlignment="1">
      <alignment horizontal="right"/>
    </xf>
    <xf numFmtId="0" fontId="19" fillId="0" borderId="0" xfId="0" applyFont="1" applyAlignment="1">
      <alignment horizontal="center" vertical="center"/>
    </xf>
    <xf numFmtId="164" fontId="28" fillId="0" borderId="5" xfId="6" applyFont="1" applyFill="1" applyBorder="1"/>
    <xf numFmtId="0" fontId="28" fillId="0" borderId="0" xfId="0" applyFont="1"/>
    <xf numFmtId="167" fontId="28" fillId="0" borderId="0" xfId="7" applyNumberFormat="1" applyFont="1" applyFill="1" applyBorder="1"/>
    <xf numFmtId="164" fontId="29" fillId="0" borderId="0" xfId="2" applyFont="1"/>
    <xf numFmtId="3" fontId="29" fillId="0" borderId="0" xfId="0" applyNumberFormat="1" applyFont="1"/>
    <xf numFmtId="0" fontId="26" fillId="0" borderId="5" xfId="0" applyFont="1" applyBorder="1"/>
    <xf numFmtId="164" fontId="26" fillId="0" borderId="0" xfId="6" applyFont="1" applyBorder="1"/>
    <xf numFmtId="164" fontId="26" fillId="0" borderId="0" xfId="6" applyFont="1"/>
    <xf numFmtId="164" fontId="29" fillId="0" borderId="6" xfId="2" applyFont="1" applyBorder="1"/>
    <xf numFmtId="164" fontId="30" fillId="0" borderId="0" xfId="6" applyFont="1" applyAlignment="1">
      <alignment horizontal="right"/>
    </xf>
    <xf numFmtId="165" fontId="23" fillId="0" borderId="0" xfId="0" applyNumberFormat="1" applyFont="1"/>
    <xf numFmtId="167" fontId="23" fillId="0" borderId="0" xfId="0" applyNumberFormat="1" applyFont="1"/>
    <xf numFmtId="0" fontId="25" fillId="0" borderId="0" xfId="5" applyFont="1" applyAlignment="1">
      <alignment vertical="center"/>
    </xf>
    <xf numFmtId="164" fontId="25" fillId="0" borderId="0" xfId="0" applyNumberFormat="1" applyFont="1"/>
    <xf numFmtId="0" fontId="31" fillId="0" borderId="0" xfId="0" applyFont="1"/>
    <xf numFmtId="164" fontId="31" fillId="0" borderId="0" xfId="0" applyNumberFormat="1" applyFont="1"/>
    <xf numFmtId="167" fontId="25" fillId="0" borderId="0" xfId="7" applyNumberFormat="1" applyFont="1" applyAlignment="1">
      <alignment horizontal="center" vertical="center"/>
    </xf>
    <xf numFmtId="167" fontId="25" fillId="0" borderId="0" xfId="5" applyNumberFormat="1" applyFont="1" applyAlignment="1">
      <alignment horizontal="center" vertical="center"/>
    </xf>
    <xf numFmtId="167" fontId="24" fillId="0" borderId="0" xfId="1" applyNumberFormat="1" applyFont="1"/>
    <xf numFmtId="0" fontId="32" fillId="8" borderId="0" xfId="0" applyFont="1" applyFill="1" applyAlignment="1">
      <alignment horizontal="center" vertical="center"/>
    </xf>
    <xf numFmtId="167" fontId="33" fillId="0" borderId="0" xfId="1" applyNumberFormat="1" applyFont="1"/>
    <xf numFmtId="164" fontId="29" fillId="0" borderId="7" xfId="2" applyFont="1" applyBorder="1"/>
    <xf numFmtId="167" fontId="23" fillId="0" borderId="0" xfId="1" applyNumberFormat="1" applyFont="1" applyAlignment="1">
      <alignment horizontal="right"/>
    </xf>
    <xf numFmtId="167" fontId="23" fillId="0" borderId="0" xfId="1" applyNumberFormat="1" applyFont="1" applyBorder="1"/>
    <xf numFmtId="167" fontId="28" fillId="0" borderId="5" xfId="1" applyNumberFormat="1" applyFont="1" applyFill="1" applyBorder="1"/>
    <xf numFmtId="167" fontId="29" fillId="0" borderId="7" xfId="1" applyNumberFormat="1" applyFont="1" applyBorder="1"/>
    <xf numFmtId="0" fontId="24" fillId="0" borderId="0" xfId="1" applyNumberFormat="1" applyFont="1" applyAlignment="1">
      <alignment horizontal="center"/>
    </xf>
    <xf numFmtId="0" fontId="24" fillId="0" borderId="7" xfId="0" applyFont="1" applyBorder="1" applyAlignment="1">
      <alignment horizontal="center"/>
    </xf>
    <xf numFmtId="37" fontId="35" fillId="0" borderId="8" xfId="0" applyNumberFormat="1" applyFont="1" applyBorder="1" applyAlignment="1">
      <alignment horizontal="right" readingOrder="2"/>
    </xf>
    <xf numFmtId="37" fontId="35" fillId="0" borderId="11" xfId="0" applyNumberFormat="1" applyFont="1" applyBorder="1" applyAlignment="1">
      <alignment horizontal="right" readingOrder="2"/>
    </xf>
    <xf numFmtId="167" fontId="0" fillId="0" borderId="0" xfId="1" applyNumberFormat="1" applyFont="1"/>
    <xf numFmtId="164" fontId="23" fillId="0" borderId="0" xfId="2" applyFont="1"/>
    <xf numFmtId="0" fontId="40" fillId="0" borderId="0" xfId="0" applyFont="1"/>
    <xf numFmtId="0" fontId="40" fillId="0" borderId="0" xfId="0" applyFont="1" applyAlignment="1">
      <alignment horizontal="center"/>
    </xf>
    <xf numFmtId="0" fontId="37" fillId="0" borderId="0" xfId="0" applyFont="1"/>
    <xf numFmtId="171" fontId="37" fillId="0" borderId="0" xfId="1" applyNumberFormat="1" applyFont="1"/>
    <xf numFmtId="171" fontId="37" fillId="0" borderId="0" xfId="1" applyNumberFormat="1" applyFont="1" applyAlignment="1">
      <alignment horizontal="center"/>
    </xf>
    <xf numFmtId="171" fontId="40" fillId="0" borderId="0" xfId="0" applyNumberFormat="1" applyFont="1" applyAlignment="1">
      <alignment horizontal="center"/>
    </xf>
    <xf numFmtId="171" fontId="40" fillId="0" borderId="0" xfId="1" applyNumberFormat="1" applyFont="1"/>
    <xf numFmtId="171" fontId="0" fillId="0" borderId="0" xfId="1" applyNumberFormat="1" applyFont="1"/>
    <xf numFmtId="171" fontId="0" fillId="0" borderId="0" xfId="0" applyNumberFormat="1"/>
    <xf numFmtId="0" fontId="41" fillId="0" borderId="0" xfId="0" applyFont="1" applyAlignment="1">
      <alignment horizontal="center"/>
    </xf>
    <xf numFmtId="164" fontId="0" fillId="0" borderId="0" xfId="2" applyFont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7" xfId="0" applyBorder="1"/>
    <xf numFmtId="0" fontId="40" fillId="0" borderId="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165" fontId="40" fillId="0" borderId="0" xfId="1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65" fontId="37" fillId="0" borderId="0" xfId="1" applyFont="1" applyBorder="1" applyAlignment="1">
      <alignment horizontal="center" vertical="center"/>
    </xf>
    <xf numFmtId="164" fontId="37" fillId="0" borderId="0" xfId="2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164" fontId="37" fillId="0" borderId="0" xfId="2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37" fillId="0" borderId="0" xfId="0" applyFont="1" applyAlignment="1">
      <alignment vertical="center"/>
    </xf>
    <xf numFmtId="164" fontId="37" fillId="0" borderId="0" xfId="2" applyFont="1"/>
    <xf numFmtId="0" fontId="37" fillId="0" borderId="0" xfId="0" applyFont="1" applyAlignment="1">
      <alignment horizontal="left" vertical="center" indent="1"/>
    </xf>
    <xf numFmtId="0" fontId="42" fillId="0" borderId="0" xfId="0" applyFont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164" fontId="40" fillId="0" borderId="0" xfId="2" applyFont="1"/>
    <xf numFmtId="164" fontId="40" fillId="0" borderId="0" xfId="2" applyFont="1" applyFill="1"/>
    <xf numFmtId="164" fontId="40" fillId="0" borderId="0" xfId="0" applyNumberFormat="1" applyFont="1"/>
    <xf numFmtId="0" fontId="40" fillId="0" borderId="4" xfId="0" applyFont="1" applyBorder="1" applyAlignment="1">
      <alignment horizontal="center"/>
    </xf>
    <xf numFmtId="0" fontId="40" fillId="0" borderId="4" xfId="0" applyFont="1" applyBorder="1"/>
    <xf numFmtId="164" fontId="40" fillId="0" borderId="4" xfId="2" applyFont="1" applyBorder="1"/>
    <xf numFmtId="164" fontId="0" fillId="0" borderId="0" xfId="2" applyFont="1" applyFill="1"/>
    <xf numFmtId="164" fontId="0" fillId="0" borderId="0" xfId="2" applyFont="1" applyBorder="1"/>
    <xf numFmtId="164" fontId="0" fillId="0" borderId="0" xfId="2" applyFont="1" applyFill="1" applyBorder="1"/>
    <xf numFmtId="164" fontId="0" fillId="0" borderId="7" xfId="2" applyFont="1" applyFill="1" applyBorder="1"/>
    <xf numFmtId="164" fontId="43" fillId="0" borderId="0" xfId="2" applyFont="1" applyFill="1" applyBorder="1"/>
    <xf numFmtId="164" fontId="39" fillId="0" borderId="0" xfId="2" applyFont="1" applyFill="1" applyBorder="1"/>
    <xf numFmtId="165" fontId="37" fillId="0" borderId="0" xfId="1" applyFont="1" applyAlignment="1">
      <alignment horizontal="center" vertical="center"/>
    </xf>
    <xf numFmtId="165" fontId="37" fillId="0" borderId="0" xfId="1" applyFont="1"/>
    <xf numFmtId="167" fontId="37" fillId="0" borderId="0" xfId="1" applyNumberFormat="1" applyFont="1" applyBorder="1" applyAlignment="1">
      <alignment horizontal="center" vertical="center"/>
    </xf>
    <xf numFmtId="167" fontId="37" fillId="0" borderId="0" xfId="1" applyNumberFormat="1" applyFont="1"/>
    <xf numFmtId="167" fontId="37" fillId="0" borderId="0" xfId="1" applyNumberFormat="1" applyFont="1" applyAlignment="1">
      <alignment horizontal="center" vertical="center"/>
    </xf>
    <xf numFmtId="171" fontId="40" fillId="0" borderId="0" xfId="0" applyNumberFormat="1" applyFont="1"/>
    <xf numFmtId="167" fontId="40" fillId="0" borderId="0" xfId="1" applyNumberFormat="1" applyFont="1"/>
    <xf numFmtId="167" fontId="37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167" fontId="40" fillId="0" borderId="0" xfId="0" applyNumberFormat="1" applyFont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164" fontId="40" fillId="0" borderId="0" xfId="2" applyFont="1" applyBorder="1" applyAlignment="1">
      <alignment horizontal="center" vertical="center"/>
    </xf>
    <xf numFmtId="164" fontId="40" fillId="0" borderId="0" xfId="2" applyFont="1" applyFill="1" applyBorder="1" applyAlignment="1">
      <alignment horizontal="center" vertical="center"/>
    </xf>
    <xf numFmtId="164" fontId="44" fillId="0" borderId="0" xfId="2" applyFont="1" applyBorder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171" fontId="37" fillId="0" borderId="0" xfId="0" applyNumberFormat="1" applyFont="1"/>
    <xf numFmtId="0" fontId="45" fillId="0" borderId="0" xfId="0" applyFont="1" applyAlignment="1">
      <alignment vertical="center"/>
    </xf>
    <xf numFmtId="165" fontId="40" fillId="0" borderId="0" xfId="1" applyFont="1"/>
    <xf numFmtId="165" fontId="40" fillId="0" borderId="0" xfId="1" applyFont="1" applyAlignment="1">
      <alignment horizontal="center"/>
    </xf>
    <xf numFmtId="167" fontId="0" fillId="0" borderId="0" xfId="0" applyNumberFormat="1"/>
    <xf numFmtId="167" fontId="40" fillId="0" borderId="0" xfId="1" applyNumberFormat="1" applyFont="1" applyAlignment="1">
      <alignment horizontal="center" vertical="center"/>
    </xf>
    <xf numFmtId="167" fontId="44" fillId="0" borderId="0" xfId="1" applyNumberFormat="1" applyFont="1" applyBorder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0" fontId="11" fillId="10" borderId="0" xfId="0" applyFont="1" applyFill="1" applyAlignment="1">
      <alignment vertical="center"/>
    </xf>
    <xf numFmtId="0" fontId="10" fillId="2" borderId="14" xfId="3" applyFont="1" applyFill="1" applyBorder="1" applyAlignment="1">
      <alignment horizontal="center" vertical="center"/>
    </xf>
    <xf numFmtId="41" fontId="11" fillId="0" borderId="0" xfId="2" applyNumberFormat="1" applyFont="1" applyFill="1" applyBorder="1" applyAlignment="1">
      <alignment horizontal="center" vertical="center"/>
    </xf>
    <xf numFmtId="0" fontId="17" fillId="0" borderId="0" xfId="2" applyNumberFormat="1" applyFont="1" applyFill="1" applyBorder="1" applyAlignment="1">
      <alignment horizontal="center" vertical="center"/>
    </xf>
    <xf numFmtId="164" fontId="11" fillId="0" borderId="0" xfId="2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167" fontId="11" fillId="0" borderId="0" xfId="1" applyNumberFormat="1" applyFont="1" applyFill="1" applyAlignment="1">
      <alignment vertical="center"/>
    </xf>
    <xf numFmtId="164" fontId="21" fillId="0" borderId="0" xfId="2" applyFont="1"/>
    <xf numFmtId="167" fontId="33" fillId="0" borderId="0" xfId="1" applyNumberFormat="1" applyFont="1" applyFill="1"/>
    <xf numFmtId="0" fontId="10" fillId="0" borderId="1" xfId="3" applyFont="1" applyBorder="1" applyAlignment="1">
      <alignment horizontal="center" vertical="center"/>
    </xf>
    <xf numFmtId="164" fontId="47" fillId="2" borderId="2" xfId="2" applyFont="1" applyFill="1" applyBorder="1" applyAlignment="1">
      <alignment horizontal="center" vertical="center"/>
    </xf>
    <xf numFmtId="164" fontId="47" fillId="2" borderId="3" xfId="2" applyFont="1" applyFill="1" applyBorder="1" applyAlignment="1">
      <alignment horizontal="center" vertical="center"/>
    </xf>
    <xf numFmtId="0" fontId="47" fillId="0" borderId="1" xfId="3" applyFont="1" applyBorder="1" applyAlignment="1">
      <alignment horizontal="left" vertical="center"/>
    </xf>
    <xf numFmtId="0" fontId="47" fillId="0" borderId="1" xfId="3" applyFont="1" applyBorder="1" applyAlignment="1">
      <alignment horizontal="center" vertical="center" wrapText="1"/>
    </xf>
    <xf numFmtId="164" fontId="47" fillId="0" borderId="3" xfId="2" applyFont="1" applyFill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/>
    </xf>
    <xf numFmtId="164" fontId="18" fillId="0" borderId="1" xfId="2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64" fontId="21" fillId="0" borderId="1" xfId="2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48" fillId="0" borderId="1" xfId="0" applyFont="1" applyBorder="1"/>
    <xf numFmtId="164" fontId="48" fillId="0" borderId="1" xfId="2" applyFont="1" applyFill="1" applyBorder="1"/>
    <xf numFmtId="0" fontId="48" fillId="0" borderId="0" xfId="0" applyFont="1"/>
    <xf numFmtId="0" fontId="21" fillId="0" borderId="1" xfId="0" applyFont="1" applyBorder="1"/>
    <xf numFmtId="0" fontId="48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3" applyFont="1" applyBorder="1" applyAlignment="1">
      <alignment horizontal="center" vertical="center"/>
    </xf>
    <xf numFmtId="164" fontId="48" fillId="0" borderId="1" xfId="2" applyFont="1" applyBorder="1" applyAlignment="1">
      <alignment vertical="center"/>
    </xf>
    <xf numFmtId="0" fontId="10" fillId="0" borderId="1" xfId="3" applyFont="1" applyBorder="1" applyAlignment="1">
      <alignment horizontal="left" vertical="center"/>
    </xf>
    <xf numFmtId="0" fontId="46" fillId="0" borderId="1" xfId="3" applyFont="1" applyBorder="1" applyAlignment="1">
      <alignment horizontal="left" vertical="center" wrapText="1"/>
    </xf>
    <xf numFmtId="166" fontId="46" fillId="0" borderId="1" xfId="3" applyNumberFormat="1" applyFont="1" applyBorder="1" applyAlignment="1">
      <alignment horizontal="center" vertical="center"/>
    </xf>
    <xf numFmtId="0" fontId="46" fillId="0" borderId="1" xfId="2" applyNumberFormat="1" applyFont="1" applyFill="1" applyBorder="1" applyAlignment="1">
      <alignment horizontal="center" vertical="center"/>
    </xf>
    <xf numFmtId="164" fontId="10" fillId="0" borderId="1" xfId="2" applyFont="1" applyFill="1" applyBorder="1" applyAlignment="1">
      <alignment horizontal="left" vertical="center"/>
    </xf>
    <xf numFmtId="167" fontId="10" fillId="0" borderId="1" xfId="1" applyNumberFormat="1" applyFont="1" applyFill="1" applyBorder="1" applyAlignment="1">
      <alignment horizontal="center" vertical="center"/>
    </xf>
    <xf numFmtId="41" fontId="10" fillId="0" borderId="1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7" fontId="10" fillId="0" borderId="0" xfId="1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1" fontId="17" fillId="0" borderId="1" xfId="15" applyNumberFormat="1" applyFont="1" applyBorder="1" applyAlignment="1">
      <alignment horizontal="center" vertical="center"/>
    </xf>
    <xf numFmtId="1" fontId="46" fillId="0" borderId="1" xfId="15" applyNumberFormat="1" applyFont="1" applyBorder="1" applyAlignment="1">
      <alignment horizontal="center" vertical="center"/>
    </xf>
    <xf numFmtId="14" fontId="17" fillId="0" borderId="23" xfId="15" applyNumberFormat="1" applyFont="1" applyBorder="1" applyAlignment="1">
      <alignment horizontal="center" vertical="center"/>
    </xf>
    <xf numFmtId="14" fontId="17" fillId="0" borderId="30" xfId="15" applyNumberFormat="1" applyFont="1" applyBorder="1" applyAlignment="1">
      <alignment horizontal="center" vertical="center"/>
    </xf>
    <xf numFmtId="41" fontId="10" fillId="0" borderId="0" xfId="2" applyNumberFormat="1" applyFont="1" applyFill="1" applyBorder="1" applyAlignment="1">
      <alignment horizontal="center" vertical="center"/>
    </xf>
    <xf numFmtId="14" fontId="11" fillId="0" borderId="1" xfId="15" applyNumberFormat="1" applyFont="1" applyBorder="1" applyAlignment="1">
      <alignment horizontal="center" vertical="center"/>
    </xf>
    <xf numFmtId="167" fontId="10" fillId="0" borderId="0" xfId="1" applyNumberFormat="1" applyFont="1" applyFill="1" applyAlignment="1">
      <alignment vertical="center"/>
    </xf>
    <xf numFmtId="0" fontId="46" fillId="0" borderId="1" xfId="0" applyFont="1" applyBorder="1" applyAlignment="1">
      <alignment horizontal="left" vertical="center"/>
    </xf>
    <xf numFmtId="0" fontId="46" fillId="0" borderId="1" xfId="3" applyFont="1" applyBorder="1" applyAlignment="1">
      <alignment horizontal="left" vertical="center"/>
    </xf>
    <xf numFmtId="1" fontId="10" fillId="2" borderId="2" xfId="2" applyNumberFormat="1" applyFont="1" applyFill="1" applyBorder="1" applyAlignment="1">
      <alignment horizontal="center" vertical="center"/>
    </xf>
    <xf numFmtId="1" fontId="10" fillId="2" borderId="3" xfId="2" applyNumberFormat="1" applyFont="1" applyFill="1" applyBorder="1" applyAlignment="1">
      <alignment horizontal="center" vertical="center"/>
    </xf>
    <xf numFmtId="1" fontId="46" fillId="0" borderId="1" xfId="3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vertical="center"/>
    </xf>
    <xf numFmtId="1" fontId="11" fillId="4" borderId="0" xfId="0" applyNumberFormat="1" applyFont="1" applyFill="1" applyAlignment="1">
      <alignment vertical="center"/>
    </xf>
    <xf numFmtId="1" fontId="11" fillId="5" borderId="0" xfId="0" applyNumberFormat="1" applyFont="1" applyFill="1" applyAlignment="1">
      <alignment vertical="center"/>
    </xf>
    <xf numFmtId="14" fontId="17" fillId="0" borderId="1" xfId="15" applyNumberFormat="1" applyFont="1" applyBorder="1" applyAlignment="1">
      <alignment horizontal="center" vertical="center"/>
    </xf>
    <xf numFmtId="41" fontId="10" fillId="3" borderId="1" xfId="2" applyNumberFormat="1" applyFont="1" applyFill="1" applyBorder="1" applyAlignment="1">
      <alignment horizontal="center" vertical="center"/>
    </xf>
    <xf numFmtId="166" fontId="46" fillId="0" borderId="1" xfId="3" applyNumberFormat="1" applyFont="1" applyBorder="1" applyAlignment="1">
      <alignment horizontal="left" vertical="center"/>
    </xf>
    <xf numFmtId="0" fontId="46" fillId="0" borderId="1" xfId="2" applyNumberFormat="1" applyFont="1" applyFill="1" applyBorder="1" applyAlignment="1">
      <alignment horizontal="left" vertical="center"/>
    </xf>
    <xf numFmtId="41" fontId="10" fillId="0" borderId="1" xfId="2" applyNumberFormat="1" applyFont="1" applyFill="1" applyBorder="1" applyAlignment="1">
      <alignment horizontal="left" vertical="center"/>
    </xf>
    <xf numFmtId="4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7" fontId="10" fillId="0" borderId="0" xfId="1" applyNumberFormat="1" applyFont="1" applyAlignment="1">
      <alignment horizontal="left" vertical="center"/>
    </xf>
    <xf numFmtId="41" fontId="10" fillId="0" borderId="14" xfId="2" applyNumberFormat="1" applyFont="1" applyFill="1" applyBorder="1" applyAlignment="1">
      <alignment horizontal="center" vertical="center"/>
    </xf>
    <xf numFmtId="15" fontId="35" fillId="0" borderId="8" xfId="16" quotePrefix="1" applyNumberFormat="1" applyFont="1" applyFill="1" applyBorder="1" applyAlignment="1">
      <alignment horizontal="center"/>
    </xf>
    <xf numFmtId="15" fontId="35" fillId="0" borderId="31" xfId="16" quotePrefix="1" applyNumberFormat="1" applyFont="1" applyFill="1" applyBorder="1" applyAlignment="1">
      <alignment horizontal="center"/>
    </xf>
    <xf numFmtId="15" fontId="35" fillId="0" borderId="31" xfId="16" applyNumberFormat="1" applyFont="1" applyFill="1" applyBorder="1" applyAlignment="1">
      <alignment horizontal="center"/>
    </xf>
    <xf numFmtId="1" fontId="35" fillId="0" borderId="9" xfId="16" applyNumberFormat="1" applyFont="1" applyFill="1" applyBorder="1" applyAlignment="1">
      <alignment horizontal="center" vertical="center"/>
    </xf>
    <xf numFmtId="14" fontId="35" fillId="0" borderId="9" xfId="16" applyNumberFormat="1" applyFont="1" applyFill="1" applyBorder="1" applyAlignment="1">
      <alignment horizontal="center" vertical="center"/>
    </xf>
    <xf numFmtId="14" fontId="35" fillId="0" borderId="12" xfId="16" applyNumberFormat="1" applyFont="1" applyFill="1" applyBorder="1" applyAlignment="1">
      <alignment horizontal="center" vertical="center"/>
    </xf>
    <xf numFmtId="15" fontId="35" fillId="0" borderId="32" xfId="16" quotePrefix="1" applyNumberFormat="1" applyFont="1" applyFill="1" applyBorder="1" applyAlignment="1">
      <alignment horizontal="center"/>
    </xf>
    <xf numFmtId="14" fontId="11" fillId="0" borderId="1" xfId="16" applyNumberFormat="1" applyFont="1" applyFill="1" applyBorder="1" applyAlignment="1">
      <alignment horizontal="center" vertical="center"/>
    </xf>
    <xf numFmtId="15" fontId="10" fillId="0" borderId="1" xfId="16" quotePrefix="1" applyNumberFormat="1" applyFont="1" applyFill="1" applyBorder="1" applyAlignment="1">
      <alignment horizontal="center"/>
    </xf>
    <xf numFmtId="15" fontId="10" fillId="0" borderId="1" xfId="16" quotePrefix="1" applyNumberFormat="1" applyFont="1" applyFill="1" applyBorder="1" applyAlignment="1">
      <alignment horizontal="left"/>
    </xf>
    <xf numFmtId="1" fontId="35" fillId="0" borderId="8" xfId="16" applyNumberFormat="1" applyFont="1" applyFill="1" applyBorder="1" applyAlignment="1">
      <alignment horizontal="center" vertical="center"/>
    </xf>
    <xf numFmtId="15" fontId="35" fillId="0" borderId="8" xfId="16" applyNumberFormat="1" applyFont="1" applyFill="1" applyBorder="1" applyAlignment="1">
      <alignment horizontal="center" vertical="center"/>
    </xf>
    <xf numFmtId="15" fontId="35" fillId="0" borderId="11" xfId="16" applyNumberFormat="1" applyFont="1" applyFill="1" applyBorder="1" applyAlignment="1">
      <alignment horizontal="center" vertical="center"/>
    </xf>
    <xf numFmtId="17" fontId="35" fillId="0" borderId="24" xfId="17" applyNumberFormat="1" applyFont="1" applyFill="1" applyBorder="1" applyAlignment="1">
      <alignment horizontal="center"/>
    </xf>
    <xf numFmtId="0" fontId="34" fillId="0" borderId="31" xfId="16" applyNumberFormat="1" applyFont="1" applyFill="1" applyBorder="1" applyAlignment="1">
      <alignment horizontal="left" vertical="center"/>
    </xf>
    <xf numFmtId="0" fontId="35" fillId="0" borderId="24" xfId="16" applyNumberFormat="1" applyFont="1" applyFill="1" applyBorder="1" applyAlignment="1">
      <alignment horizontal="center"/>
    </xf>
    <xf numFmtId="0" fontId="34" fillId="0" borderId="12" xfId="18" applyNumberFormat="1" applyFont="1" applyFill="1" applyBorder="1" applyAlignment="1">
      <alignment horizontal="left" vertical="center"/>
    </xf>
    <xf numFmtId="14" fontId="10" fillId="0" borderId="1" xfId="15" applyNumberFormat="1" applyFont="1" applyBorder="1" applyAlignment="1">
      <alignment horizontal="center" vertical="center"/>
    </xf>
    <xf numFmtId="164" fontId="21" fillId="0" borderId="0" xfId="0" applyNumberFormat="1" applyFont="1"/>
    <xf numFmtId="0" fontId="35" fillId="0" borderId="0" xfId="19" applyFont="1" applyAlignment="1">
      <alignment horizontal="left" vertical="center"/>
    </xf>
    <xf numFmtId="164" fontId="34" fillId="0" borderId="0" xfId="16" applyFont="1" applyFill="1" applyAlignment="1">
      <alignment horizontal="left" vertical="center"/>
    </xf>
    <xf numFmtId="49" fontId="34" fillId="0" borderId="0" xfId="16" applyNumberFormat="1" applyFont="1" applyFill="1" applyAlignment="1">
      <alignment horizontal="left" vertical="center"/>
    </xf>
    <xf numFmtId="0" fontId="35" fillId="0" borderId="0" xfId="16" applyNumberFormat="1" applyFont="1" applyFill="1" applyAlignment="1">
      <alignment horizontal="left" vertical="center"/>
    </xf>
    <xf numFmtId="0" fontId="35" fillId="0" borderId="0" xfId="16" applyNumberFormat="1" applyFont="1" applyFill="1" applyAlignment="1">
      <alignment vertical="center"/>
    </xf>
    <xf numFmtId="164" fontId="35" fillId="0" borderId="0" xfId="16" applyFont="1" applyFill="1" applyAlignment="1">
      <alignment horizontal="center" vertical="center"/>
    </xf>
    <xf numFmtId="167" fontId="49" fillId="0" borderId="0" xfId="20" applyNumberFormat="1" applyFont="1" applyFill="1" applyAlignment="1">
      <alignment vertical="center"/>
    </xf>
    <xf numFmtId="167" fontId="35" fillId="0" borderId="0" xfId="20" applyNumberFormat="1" applyFont="1" applyFill="1" applyAlignment="1">
      <alignment vertical="center"/>
    </xf>
    <xf numFmtId="167" fontId="34" fillId="0" borderId="0" xfId="20" applyNumberFormat="1" applyFont="1" applyFill="1" applyAlignment="1">
      <alignment vertical="center"/>
    </xf>
    <xf numFmtId="0" fontId="35" fillId="0" borderId="0" xfId="19" applyFont="1" applyAlignment="1">
      <alignment vertical="center"/>
    </xf>
    <xf numFmtId="167" fontId="50" fillId="0" borderId="0" xfId="20" applyNumberFormat="1" applyFont="1" applyFill="1" applyAlignment="1">
      <alignment vertical="center"/>
    </xf>
    <xf numFmtId="167" fontId="51" fillId="0" borderId="0" xfId="20" applyNumberFormat="1" applyFont="1" applyFill="1" applyAlignment="1">
      <alignment vertical="center"/>
    </xf>
    <xf numFmtId="167" fontId="38" fillId="0" borderId="0" xfId="20" applyNumberFormat="1" applyFont="1" applyFill="1" applyAlignment="1">
      <alignment vertical="center"/>
    </xf>
    <xf numFmtId="164" fontId="34" fillId="0" borderId="0" xfId="16" quotePrefix="1" applyFont="1" applyFill="1" applyAlignment="1">
      <alignment horizontal="left" vertical="center"/>
    </xf>
    <xf numFmtId="49" fontId="34" fillId="0" borderId="0" xfId="16" quotePrefix="1" applyNumberFormat="1" applyFont="1" applyFill="1" applyAlignment="1">
      <alignment horizontal="left" vertical="center"/>
    </xf>
    <xf numFmtId="167" fontId="52" fillId="0" borderId="0" xfId="20" applyNumberFormat="1" applyFont="1" applyFill="1" applyAlignment="1">
      <alignment vertical="center"/>
    </xf>
    <xf numFmtId="167" fontId="35" fillId="0" borderId="0" xfId="20" applyNumberFormat="1" applyFont="1" applyFill="1" applyAlignment="1">
      <alignment horizontal="right" vertical="center"/>
    </xf>
    <xf numFmtId="164" fontId="35" fillId="0" borderId="6" xfId="16" applyFont="1" applyFill="1" applyBorder="1" applyAlignment="1">
      <alignment horizontal="left" vertical="center"/>
    </xf>
    <xf numFmtId="49" fontId="35" fillId="0" borderId="6" xfId="16" applyNumberFormat="1" applyFont="1" applyFill="1" applyBorder="1" applyAlignment="1">
      <alignment horizontal="left" vertical="center"/>
    </xf>
    <xf numFmtId="0" fontId="35" fillId="0" borderId="6" xfId="16" applyNumberFormat="1" applyFont="1" applyFill="1" applyBorder="1" applyAlignment="1">
      <alignment horizontal="left" vertical="center"/>
    </xf>
    <xf numFmtId="0" fontId="35" fillId="0" borderId="6" xfId="16" applyNumberFormat="1" applyFont="1" applyFill="1" applyBorder="1" applyAlignment="1">
      <alignment vertical="center"/>
    </xf>
    <xf numFmtId="167" fontId="50" fillId="0" borderId="0" xfId="20" quotePrefix="1" applyNumberFormat="1" applyFont="1" applyFill="1" applyAlignment="1">
      <alignment horizontal="center" vertical="center"/>
    </xf>
    <xf numFmtId="167" fontId="50" fillId="0" borderId="0" xfId="20" quotePrefix="1" applyNumberFormat="1" applyFont="1" applyFill="1" applyAlignment="1">
      <alignment horizontal="right" vertical="center"/>
    </xf>
    <xf numFmtId="167" fontId="36" fillId="0" borderId="0" xfId="20" applyNumberFormat="1" applyFont="1" applyFill="1" applyAlignment="1">
      <alignment horizontal="right" vertical="center"/>
    </xf>
    <xf numFmtId="164" fontId="34" fillId="0" borderId="20" xfId="16" applyFont="1" applyFill="1" applyBorder="1" applyAlignment="1">
      <alignment horizontal="center" vertical="center"/>
    </xf>
    <xf numFmtId="49" fontId="34" fillId="0" borderId="35" xfId="16" applyNumberFormat="1" applyFont="1" applyFill="1" applyBorder="1" applyAlignment="1">
      <alignment horizontal="center" vertical="center"/>
    </xf>
    <xf numFmtId="49" fontId="35" fillId="0" borderId="20" xfId="19" applyNumberFormat="1" applyFont="1" applyBorder="1" applyAlignment="1">
      <alignment vertical="center"/>
    </xf>
    <xf numFmtId="167" fontId="34" fillId="0" borderId="19" xfId="20" applyNumberFormat="1" applyFont="1" applyFill="1" applyBorder="1" applyAlignment="1">
      <alignment horizontal="center" vertical="center"/>
    </xf>
    <xf numFmtId="0" fontId="34" fillId="0" borderId="21" xfId="19" applyFont="1" applyBorder="1" applyAlignment="1">
      <alignment horizontal="center" vertical="center"/>
    </xf>
    <xf numFmtId="49" fontId="35" fillId="0" borderId="38" xfId="19" applyNumberFormat="1" applyFont="1" applyBorder="1" applyAlignment="1">
      <alignment vertical="center"/>
    </xf>
    <xf numFmtId="164" fontId="34" fillId="0" borderId="7" xfId="16" applyFont="1" applyFill="1" applyBorder="1" applyAlignment="1">
      <alignment vertical="center"/>
    </xf>
    <xf numFmtId="164" fontId="34" fillId="0" borderId="30" xfId="16" applyFont="1" applyFill="1" applyBorder="1" applyAlignment="1">
      <alignment horizontal="center" vertical="center"/>
    </xf>
    <xf numFmtId="0" fontId="34" fillId="0" borderId="30" xfId="19" applyFont="1" applyBorder="1" applyAlignment="1">
      <alignment horizontal="center" vertical="center"/>
    </xf>
    <xf numFmtId="167" fontId="34" fillId="0" borderId="3" xfId="20" quotePrefix="1" applyNumberFormat="1" applyFont="1" applyFill="1" applyBorder="1" applyAlignment="1">
      <alignment horizontal="center" vertical="center" wrapText="1"/>
    </xf>
    <xf numFmtId="167" fontId="34" fillId="0" borderId="1" xfId="20" applyNumberFormat="1" applyFont="1" applyFill="1" applyBorder="1" applyAlignment="1">
      <alignment horizontal="center" vertical="center" wrapText="1"/>
    </xf>
    <xf numFmtId="49" fontId="34" fillId="0" borderId="20" xfId="16" applyNumberFormat="1" applyFont="1" applyFill="1" applyBorder="1" applyAlignment="1">
      <alignment horizontal="center" vertical="center"/>
    </xf>
    <xf numFmtId="0" fontId="34" fillId="0" borderId="16" xfId="16" applyNumberFormat="1" applyFont="1" applyFill="1" applyBorder="1" applyAlignment="1">
      <alignment horizontal="left" vertical="center"/>
    </xf>
    <xf numFmtId="0" fontId="34" fillId="0" borderId="39" xfId="16" applyNumberFormat="1" applyFont="1" applyFill="1" applyBorder="1" applyAlignment="1">
      <alignment horizontal="left" vertical="center"/>
    </xf>
    <xf numFmtId="0" fontId="34" fillId="0" borderId="40" xfId="16" applyNumberFormat="1" applyFont="1" applyFill="1" applyBorder="1" applyAlignment="1">
      <alignment horizontal="center" vertical="center"/>
    </xf>
    <xf numFmtId="15" fontId="34" fillId="0" borderId="2" xfId="19" applyNumberFormat="1" applyFont="1" applyBorder="1" applyAlignment="1">
      <alignment horizontal="center" vertical="center"/>
    </xf>
    <xf numFmtId="0" fontId="34" fillId="0" borderId="2" xfId="19" applyFont="1" applyBorder="1" applyAlignment="1">
      <alignment horizontal="center" vertical="center"/>
    </xf>
    <xf numFmtId="167" fontId="34" fillId="0" borderId="2" xfId="20" applyNumberFormat="1" applyFont="1" applyFill="1" applyBorder="1" applyAlignment="1">
      <alignment horizontal="right" vertical="center" readingOrder="2"/>
    </xf>
    <xf numFmtId="49" fontId="35" fillId="0" borderId="0" xfId="19" applyNumberFormat="1" applyFont="1" applyAlignment="1">
      <alignment horizontal="left" vertical="center"/>
    </xf>
    <xf numFmtId="164" fontId="34" fillId="0" borderId="20" xfId="16" applyFont="1" applyFill="1" applyBorder="1" applyAlignment="1">
      <alignment horizontal="left" vertical="center"/>
    </xf>
    <xf numFmtId="49" fontId="34" fillId="0" borderId="9" xfId="16" applyNumberFormat="1" applyFont="1" applyFill="1" applyBorder="1" applyAlignment="1">
      <alignment horizontal="left" vertical="center"/>
    </xf>
    <xf numFmtId="0" fontId="34" fillId="0" borderId="41" xfId="16" applyNumberFormat="1" applyFont="1" applyFill="1" applyBorder="1" applyAlignment="1">
      <alignment horizontal="left" vertical="center"/>
    </xf>
    <xf numFmtId="0" fontId="34" fillId="0" borderId="42" xfId="16" applyNumberFormat="1" applyFont="1" applyFill="1" applyBorder="1" applyAlignment="1">
      <alignment vertical="center"/>
    </xf>
    <xf numFmtId="0" fontId="35" fillId="0" borderId="8" xfId="16" applyNumberFormat="1" applyFont="1" applyFill="1" applyBorder="1" applyAlignment="1">
      <alignment horizontal="center" vertical="center"/>
    </xf>
    <xf numFmtId="167" fontId="35" fillId="0" borderId="8" xfId="20" applyNumberFormat="1" applyFont="1" applyFill="1" applyBorder="1" applyAlignment="1">
      <alignment vertical="center"/>
    </xf>
    <xf numFmtId="167" fontId="34" fillId="0" borderId="8" xfId="20" applyNumberFormat="1" applyFont="1" applyFill="1" applyBorder="1" applyAlignment="1">
      <alignment vertical="center"/>
    </xf>
    <xf numFmtId="49" fontId="34" fillId="0" borderId="20" xfId="16" applyNumberFormat="1" applyFont="1" applyFill="1" applyBorder="1" applyAlignment="1">
      <alignment horizontal="left" vertical="center"/>
    </xf>
    <xf numFmtId="0" fontId="34" fillId="0" borderId="0" xfId="19" applyFont="1" applyAlignment="1">
      <alignment vertical="center"/>
    </xf>
    <xf numFmtId="0" fontId="34" fillId="0" borderId="43" xfId="16" applyNumberFormat="1" applyFont="1" applyFill="1" applyBorder="1" applyAlignment="1">
      <alignment horizontal="left" vertical="center"/>
    </xf>
    <xf numFmtId="0" fontId="34" fillId="0" borderId="44" xfId="16" applyNumberFormat="1" applyFont="1" applyFill="1" applyBorder="1" applyAlignment="1">
      <alignment vertical="center"/>
    </xf>
    <xf numFmtId="15" fontId="34" fillId="0" borderId="11" xfId="16" applyNumberFormat="1" applyFont="1" applyFill="1" applyBorder="1" applyAlignment="1">
      <alignment horizontal="center" vertical="center"/>
    </xf>
    <xf numFmtId="0" fontId="34" fillId="0" borderId="11" xfId="16" applyNumberFormat="1" applyFont="1" applyFill="1" applyBorder="1" applyAlignment="1">
      <alignment horizontal="center" vertical="center"/>
    </xf>
    <xf numFmtId="167" fontId="34" fillId="0" borderId="11" xfId="20" applyNumberFormat="1" applyFont="1" applyFill="1" applyBorder="1" applyAlignment="1">
      <alignment vertical="center"/>
    </xf>
    <xf numFmtId="164" fontId="35" fillId="0" borderId="20" xfId="16" applyFont="1" applyFill="1" applyBorder="1" applyAlignment="1">
      <alignment horizontal="left" vertical="center"/>
    </xf>
    <xf numFmtId="49" fontId="35" fillId="0" borderId="20" xfId="16" applyNumberFormat="1" applyFont="1" applyFill="1" applyBorder="1" applyAlignment="1">
      <alignment horizontal="left" vertical="center"/>
    </xf>
    <xf numFmtId="0" fontId="35" fillId="0" borderId="12" xfId="16" applyNumberFormat="1" applyFont="1" applyFill="1" applyBorder="1" applyAlignment="1">
      <alignment horizontal="left" vertical="center"/>
    </xf>
    <xf numFmtId="0" fontId="35" fillId="0" borderId="43" xfId="16" applyNumberFormat="1" applyFont="1" applyFill="1" applyBorder="1" applyAlignment="1">
      <alignment horizontal="left" vertical="center"/>
    </xf>
    <xf numFmtId="0" fontId="35" fillId="0" borderId="44" xfId="16" applyNumberFormat="1" applyFont="1" applyFill="1" applyBorder="1" applyAlignment="1">
      <alignment horizontal="left" vertical="center"/>
    </xf>
    <xf numFmtId="0" fontId="35" fillId="0" borderId="11" xfId="16" applyNumberFormat="1" applyFont="1" applyFill="1" applyBorder="1" applyAlignment="1">
      <alignment horizontal="center" vertical="center"/>
    </xf>
    <xf numFmtId="167" fontId="35" fillId="0" borderId="11" xfId="20" applyNumberFormat="1" applyFont="1" applyFill="1" applyBorder="1" applyAlignment="1">
      <alignment horizontal="right" vertical="center" readingOrder="2"/>
    </xf>
    <xf numFmtId="0" fontId="35" fillId="0" borderId="9" xfId="16" applyNumberFormat="1" applyFont="1" applyFill="1" applyBorder="1" applyAlignment="1">
      <alignment horizontal="left" vertical="center"/>
    </xf>
    <xf numFmtId="0" fontId="35" fillId="0" borderId="41" xfId="16" applyNumberFormat="1" applyFont="1" applyFill="1" applyBorder="1" applyAlignment="1">
      <alignment horizontal="left" vertical="center"/>
    </xf>
    <xf numFmtId="0" fontId="35" fillId="0" borderId="42" xfId="16" applyNumberFormat="1" applyFont="1" applyFill="1" applyBorder="1" applyAlignment="1">
      <alignment horizontal="left" vertical="center"/>
    </xf>
    <xf numFmtId="167" fontId="35" fillId="0" borderId="8" xfId="20" applyNumberFormat="1" applyFont="1" applyFill="1" applyBorder="1" applyAlignment="1">
      <alignment horizontal="right" vertical="center" readingOrder="2"/>
    </xf>
    <xf numFmtId="0" fontId="35" fillId="0" borderId="45" xfId="16" applyNumberFormat="1" applyFont="1" applyFill="1" applyBorder="1" applyAlignment="1">
      <alignment horizontal="left" vertical="center"/>
    </xf>
    <xf numFmtId="0" fontId="35" fillId="0" borderId="46" xfId="16" applyNumberFormat="1" applyFont="1" applyFill="1" applyBorder="1" applyAlignment="1">
      <alignment horizontal="left" vertical="center"/>
    </xf>
    <xf numFmtId="0" fontId="35" fillId="0" borderId="47" xfId="16" applyNumberFormat="1" applyFont="1" applyFill="1" applyBorder="1" applyAlignment="1">
      <alignment horizontal="left" vertical="center"/>
    </xf>
    <xf numFmtId="0" fontId="35" fillId="0" borderId="22" xfId="16" applyNumberFormat="1" applyFont="1" applyFill="1" applyBorder="1" applyAlignment="1">
      <alignment horizontal="center" vertical="center"/>
    </xf>
    <xf numFmtId="0" fontId="35" fillId="0" borderId="24" xfId="16" applyNumberFormat="1" applyFont="1" applyFill="1" applyBorder="1" applyAlignment="1">
      <alignment horizontal="center" vertical="center"/>
    </xf>
    <xf numFmtId="167" fontId="35" fillId="0" borderId="24" xfId="20" applyNumberFormat="1" applyFont="1" applyFill="1" applyBorder="1" applyAlignment="1">
      <alignment horizontal="right" vertical="center" readingOrder="2"/>
    </xf>
    <xf numFmtId="0" fontId="34" fillId="0" borderId="14" xfId="16" applyNumberFormat="1" applyFont="1" applyFill="1" applyBorder="1" applyAlignment="1">
      <alignment horizontal="left" vertical="center"/>
    </xf>
    <xf numFmtId="0" fontId="34" fillId="0" borderId="4" xfId="16" applyNumberFormat="1" applyFont="1" applyFill="1" applyBorder="1" applyAlignment="1">
      <alignment horizontal="left" vertical="center"/>
    </xf>
    <xf numFmtId="167" fontId="34" fillId="0" borderId="1" xfId="20" applyNumberFormat="1" applyFont="1" applyFill="1" applyBorder="1" applyAlignment="1">
      <alignment horizontal="right" vertical="center" readingOrder="2"/>
    </xf>
    <xf numFmtId="0" fontId="35" fillId="0" borderId="20" xfId="16" applyNumberFormat="1" applyFont="1" applyFill="1" applyBorder="1" applyAlignment="1">
      <alignment horizontal="left" vertical="center"/>
    </xf>
    <xf numFmtId="0" fontId="35" fillId="0" borderId="48" xfId="16" applyNumberFormat="1" applyFont="1" applyFill="1" applyBorder="1" applyAlignment="1">
      <alignment horizontal="left" vertical="center"/>
    </xf>
    <xf numFmtId="0" fontId="35" fillId="0" borderId="49" xfId="16" applyNumberFormat="1" applyFont="1" applyFill="1" applyBorder="1" applyAlignment="1">
      <alignment horizontal="left" vertical="center"/>
    </xf>
    <xf numFmtId="0" fontId="35" fillId="0" borderId="2" xfId="16" applyNumberFormat="1" applyFont="1" applyFill="1" applyBorder="1" applyAlignment="1">
      <alignment horizontal="center" vertical="center"/>
    </xf>
    <xf numFmtId="0" fontId="35" fillId="0" borderId="19" xfId="16" applyNumberFormat="1" applyFont="1" applyFill="1" applyBorder="1" applyAlignment="1">
      <alignment horizontal="center" vertical="center"/>
    </xf>
    <xf numFmtId="167" fontId="35" fillId="0" borderId="19" xfId="20" applyNumberFormat="1" applyFont="1" applyFill="1" applyBorder="1" applyAlignment="1">
      <alignment horizontal="right" vertical="center" readingOrder="2"/>
    </xf>
    <xf numFmtId="0" fontId="34" fillId="0" borderId="44" xfId="16" applyNumberFormat="1" applyFont="1" applyFill="1" applyBorder="1" applyAlignment="1">
      <alignment horizontal="left" vertical="center"/>
    </xf>
    <xf numFmtId="167" fontId="34" fillId="0" borderId="11" xfId="20" applyNumberFormat="1" applyFont="1" applyFill="1" applyBorder="1" applyAlignment="1">
      <alignment horizontal="right" vertical="center" readingOrder="2"/>
    </xf>
    <xf numFmtId="0" fontId="34" fillId="0" borderId="0" xfId="16" applyNumberFormat="1" applyFont="1" applyFill="1" applyAlignment="1">
      <alignment horizontal="left" vertical="center"/>
    </xf>
    <xf numFmtId="0" fontId="35" fillId="0" borderId="13" xfId="16" applyNumberFormat="1" applyFont="1" applyFill="1" applyBorder="1" applyAlignment="1">
      <alignment horizontal="center" vertical="center"/>
    </xf>
    <xf numFmtId="0" fontId="34" fillId="0" borderId="9" xfId="16" applyNumberFormat="1" applyFont="1" applyFill="1" applyBorder="1" applyAlignment="1">
      <alignment horizontal="left" vertical="center"/>
    </xf>
    <xf numFmtId="15" fontId="35" fillId="0" borderId="33" xfId="16" applyNumberFormat="1" applyFont="1" applyFill="1" applyBorder="1" applyAlignment="1">
      <alignment horizontal="center" vertical="center"/>
    </xf>
    <xf numFmtId="0" fontId="35" fillId="0" borderId="18" xfId="16" applyNumberFormat="1" applyFont="1" applyFill="1" applyBorder="1" applyAlignment="1">
      <alignment horizontal="center" vertical="center"/>
    </xf>
    <xf numFmtId="167" fontId="34" fillId="0" borderId="18" xfId="20" applyNumberFormat="1" applyFont="1" applyFill="1" applyBorder="1" applyAlignment="1">
      <alignment horizontal="right" vertical="center" readingOrder="2"/>
    </xf>
    <xf numFmtId="37" fontId="34" fillId="0" borderId="20" xfId="16" applyNumberFormat="1" applyFont="1" applyFill="1" applyBorder="1" applyAlignment="1">
      <alignment horizontal="center" vertical="center"/>
    </xf>
    <xf numFmtId="167" fontId="34" fillId="0" borderId="8" xfId="20" applyNumberFormat="1" applyFont="1" applyFill="1" applyBorder="1" applyAlignment="1">
      <alignment horizontal="right" vertical="center" readingOrder="2"/>
    </xf>
    <xf numFmtId="0" fontId="34" fillId="0" borderId="50" xfId="16" applyNumberFormat="1" applyFont="1" applyFill="1" applyBorder="1" applyAlignment="1">
      <alignment horizontal="left" vertical="center"/>
    </xf>
    <xf numFmtId="0" fontId="35" fillId="0" borderId="44" xfId="19" applyFont="1" applyBorder="1" applyAlignment="1">
      <alignment vertical="center"/>
    </xf>
    <xf numFmtId="0" fontId="35" fillId="0" borderId="42" xfId="19" applyFont="1" applyBorder="1" applyAlignment="1">
      <alignment horizontal="left" vertical="center"/>
    </xf>
    <xf numFmtId="0" fontId="49" fillId="0" borderId="42" xfId="19" applyFont="1" applyBorder="1" applyAlignment="1">
      <alignment vertical="center"/>
    </xf>
    <xf numFmtId="0" fontId="49" fillId="0" borderId="8" xfId="19" applyFont="1" applyBorder="1" applyAlignment="1">
      <alignment horizontal="center" vertical="center"/>
    </xf>
    <xf numFmtId="9" fontId="35" fillId="0" borderId="21" xfId="12" applyFont="1" applyFill="1" applyBorder="1" applyAlignment="1">
      <alignment horizontal="center" vertical="center"/>
    </xf>
    <xf numFmtId="167" fontId="35" fillId="0" borderId="11" xfId="20" applyNumberFormat="1" applyFont="1" applyFill="1" applyBorder="1" applyAlignment="1">
      <alignment vertical="center"/>
    </xf>
    <xf numFmtId="9" fontId="35" fillId="0" borderId="10" xfId="12" applyFont="1" applyFill="1" applyBorder="1" applyAlignment="1">
      <alignment horizontal="center" vertical="center"/>
    </xf>
    <xf numFmtId="167" fontId="35" fillId="0" borderId="10" xfId="20" applyNumberFormat="1" applyFont="1" applyFill="1" applyBorder="1" applyAlignment="1">
      <alignment horizontal="right" vertical="center" readingOrder="2"/>
    </xf>
    <xf numFmtId="9" fontId="35" fillId="0" borderId="17" xfId="12" applyFont="1" applyFill="1" applyBorder="1" applyAlignment="1">
      <alignment horizontal="center" vertical="center"/>
    </xf>
    <xf numFmtId="167" fontId="35" fillId="3" borderId="8" xfId="20" applyNumberFormat="1" applyFont="1" applyFill="1" applyBorder="1" applyAlignment="1">
      <alignment horizontal="right" vertical="center" readingOrder="2"/>
    </xf>
    <xf numFmtId="0" fontId="35" fillId="0" borderId="41" xfId="19" applyFont="1" applyBorder="1" applyAlignment="1">
      <alignment horizontal="left" vertical="center"/>
    </xf>
    <xf numFmtId="0" fontId="35" fillId="0" borderId="43" xfId="19" applyFont="1" applyBorder="1" applyAlignment="1">
      <alignment horizontal="left" vertical="center"/>
    </xf>
    <xf numFmtId="0" fontId="49" fillId="0" borderId="44" xfId="19" applyFont="1" applyBorder="1" applyAlignment="1">
      <alignment vertical="center"/>
    </xf>
    <xf numFmtId="0" fontId="49" fillId="0" borderId="11" xfId="19" applyFont="1" applyBorder="1" applyAlignment="1">
      <alignment horizontal="center" vertical="center"/>
    </xf>
    <xf numFmtId="9" fontId="35" fillId="0" borderId="13" xfId="12" applyFont="1" applyFill="1" applyBorder="1" applyAlignment="1">
      <alignment horizontal="center" vertical="center"/>
    </xf>
    <xf numFmtId="0" fontId="49" fillId="0" borderId="32" xfId="19" applyFont="1" applyBorder="1" applyAlignment="1">
      <alignment vertical="center"/>
    </xf>
    <xf numFmtId="14" fontId="49" fillId="0" borderId="32" xfId="19" applyNumberFormat="1" applyFont="1" applyBorder="1" applyAlignment="1">
      <alignment horizontal="center" vertical="center"/>
    </xf>
    <xf numFmtId="9" fontId="35" fillId="0" borderId="11" xfId="12" applyFont="1" applyFill="1" applyBorder="1" applyAlignment="1">
      <alignment horizontal="center" vertical="center"/>
    </xf>
    <xf numFmtId="167" fontId="35" fillId="0" borderId="21" xfId="20" applyNumberFormat="1" applyFont="1" applyFill="1" applyBorder="1" applyAlignment="1">
      <alignment horizontal="right" vertical="center" readingOrder="2"/>
    </xf>
    <xf numFmtId="0" fontId="35" fillId="0" borderId="22" xfId="16" applyNumberFormat="1" applyFont="1" applyFill="1" applyBorder="1" applyAlignment="1">
      <alignment horizontal="left" vertical="center"/>
    </xf>
    <xf numFmtId="0" fontId="35" fillId="0" borderId="46" xfId="19" applyFont="1" applyBorder="1" applyAlignment="1">
      <alignment horizontal="left" vertical="center"/>
    </xf>
    <xf numFmtId="0" fontId="49" fillId="0" borderId="34" xfId="19" applyFont="1" applyBorder="1" applyAlignment="1">
      <alignment vertical="center"/>
    </xf>
    <xf numFmtId="14" fontId="49" fillId="0" borderId="34" xfId="19" applyNumberFormat="1" applyFont="1" applyBorder="1" applyAlignment="1">
      <alignment horizontal="center" vertical="center"/>
    </xf>
    <xf numFmtId="9" fontId="35" fillId="0" borderId="24" xfId="12" applyFont="1" applyFill="1" applyBorder="1" applyAlignment="1">
      <alignment horizontal="center" vertical="center"/>
    </xf>
    <xf numFmtId="167" fontId="35" fillId="0" borderId="23" xfId="20" applyNumberFormat="1" applyFont="1" applyFill="1" applyBorder="1" applyAlignment="1">
      <alignment horizontal="right" vertical="center" readingOrder="2"/>
    </xf>
    <xf numFmtId="167" fontId="35" fillId="0" borderId="24" xfId="20" applyNumberFormat="1" applyFont="1" applyFill="1" applyBorder="1" applyAlignment="1">
      <alignment vertical="center"/>
    </xf>
    <xf numFmtId="167" fontId="35" fillId="3" borderId="24" xfId="20" applyNumberFormat="1" applyFont="1" applyFill="1" applyBorder="1" applyAlignment="1">
      <alignment horizontal="right" vertical="center" readingOrder="2"/>
    </xf>
    <xf numFmtId="37" fontId="34" fillId="0" borderId="20" xfId="18" applyNumberFormat="1" applyFont="1" applyFill="1" applyBorder="1" applyAlignment="1">
      <alignment horizontal="center" vertical="center"/>
    </xf>
    <xf numFmtId="49" fontId="34" fillId="0" borderId="20" xfId="18" applyNumberFormat="1" applyFont="1" applyFill="1" applyBorder="1" applyAlignment="1">
      <alignment horizontal="center" vertical="center"/>
    </xf>
    <xf numFmtId="0" fontId="34" fillId="0" borderId="51" xfId="19" applyFont="1" applyBorder="1" applyAlignment="1">
      <alignment horizontal="left" vertical="center"/>
    </xf>
    <xf numFmtId="0" fontId="35" fillId="0" borderId="52" xfId="19" applyFont="1" applyBorder="1" applyAlignment="1">
      <alignment vertical="center"/>
    </xf>
    <xf numFmtId="0" fontId="35" fillId="0" borderId="21" xfId="18" applyNumberFormat="1" applyFont="1" applyFill="1" applyBorder="1" applyAlignment="1">
      <alignment horizontal="center" vertical="center"/>
    </xf>
    <xf numFmtId="0" fontId="35" fillId="0" borderId="19" xfId="18" applyNumberFormat="1" applyFont="1" applyFill="1" applyBorder="1" applyAlignment="1">
      <alignment horizontal="center" vertical="center"/>
    </xf>
    <xf numFmtId="9" fontId="35" fillId="0" borderId="8" xfId="12" applyFont="1" applyFill="1" applyBorder="1" applyAlignment="1">
      <alignment horizontal="center" vertical="center"/>
    </xf>
    <xf numFmtId="0" fontId="49" fillId="0" borderId="7" xfId="19" applyFont="1" applyBorder="1" applyAlignment="1">
      <alignment vertical="center"/>
    </xf>
    <xf numFmtId="0" fontId="49" fillId="0" borderId="3" xfId="19" applyFont="1" applyBorder="1" applyAlignment="1">
      <alignment horizontal="center" vertical="center"/>
    </xf>
    <xf numFmtId="9" fontId="35" fillId="0" borderId="18" xfId="12" applyFont="1" applyFill="1" applyBorder="1" applyAlignment="1">
      <alignment horizontal="center" vertical="center"/>
    </xf>
    <xf numFmtId="0" fontId="35" fillId="0" borderId="53" xfId="19" applyFont="1" applyBorder="1" applyAlignment="1">
      <alignment vertical="center"/>
    </xf>
    <xf numFmtId="0" fontId="35" fillId="0" borderId="54" xfId="18" applyNumberFormat="1" applyFont="1" applyFill="1" applyBorder="1" applyAlignment="1">
      <alignment horizontal="center" vertical="center"/>
    </xf>
    <xf numFmtId="9" fontId="35" fillId="0" borderId="33" xfId="12" applyFont="1" applyFill="1" applyBorder="1" applyAlignment="1">
      <alignment horizontal="center" vertical="center"/>
    </xf>
    <xf numFmtId="167" fontId="35" fillId="0" borderId="18" xfId="20" applyNumberFormat="1" applyFont="1" applyFill="1" applyBorder="1" applyAlignment="1">
      <alignment horizontal="right" vertical="center" readingOrder="2"/>
    </xf>
    <xf numFmtId="15" fontId="34" fillId="0" borderId="13" xfId="16" applyNumberFormat="1" applyFont="1" applyFill="1" applyBorder="1" applyAlignment="1">
      <alignment horizontal="center" vertical="center"/>
    </xf>
    <xf numFmtId="167" fontId="34" fillId="0" borderId="31" xfId="20" applyNumberFormat="1" applyFont="1" applyFill="1" applyBorder="1" applyAlignment="1">
      <alignment horizontal="right" vertical="center" readingOrder="2"/>
    </xf>
    <xf numFmtId="167" fontId="35" fillId="0" borderId="31" xfId="20" applyNumberFormat="1" applyFont="1" applyFill="1" applyBorder="1" applyAlignment="1">
      <alignment vertical="center"/>
    </xf>
    <xf numFmtId="0" fontId="49" fillId="0" borderId="24" xfId="19" applyFont="1" applyBorder="1" applyAlignment="1">
      <alignment horizontal="center" vertical="center"/>
    </xf>
    <xf numFmtId="0" fontId="49" fillId="0" borderId="13" xfId="19" applyFont="1" applyBorder="1" applyAlignment="1">
      <alignment horizontal="center" vertical="center"/>
    </xf>
    <xf numFmtId="167" fontId="35" fillId="0" borderId="32" xfId="20" applyNumberFormat="1" applyFont="1" applyFill="1" applyBorder="1" applyAlignment="1">
      <alignment vertical="center"/>
    </xf>
    <xf numFmtId="0" fontId="35" fillId="0" borderId="9" xfId="19" applyFont="1" applyBorder="1" applyAlignment="1">
      <alignment vertical="center"/>
    </xf>
    <xf numFmtId="0" fontId="49" fillId="0" borderId="0" xfId="19" applyFont="1" applyAlignment="1">
      <alignment vertical="center"/>
    </xf>
    <xf numFmtId="1" fontId="49" fillId="0" borderId="8" xfId="19" applyNumberFormat="1" applyFont="1" applyBorder="1" applyAlignment="1">
      <alignment horizontal="center" vertical="center"/>
    </xf>
    <xf numFmtId="0" fontId="49" fillId="0" borderId="31" xfId="19" applyFont="1" applyBorder="1" applyAlignment="1">
      <alignment vertical="center"/>
    </xf>
    <xf numFmtId="1" fontId="49" fillId="0" borderId="24" xfId="19" applyNumberFormat="1" applyFont="1" applyBorder="1" applyAlignment="1">
      <alignment horizontal="center" vertical="center"/>
    </xf>
    <xf numFmtId="167" fontId="35" fillId="0" borderId="34" xfId="20" applyNumberFormat="1" applyFont="1" applyFill="1" applyBorder="1" applyAlignment="1">
      <alignment vertical="center"/>
    </xf>
    <xf numFmtId="0" fontId="49" fillId="0" borderId="10" xfId="19" applyFont="1" applyBorder="1" applyAlignment="1">
      <alignment horizontal="center" vertical="center"/>
    </xf>
    <xf numFmtId="0" fontId="49" fillId="0" borderId="33" xfId="19" applyFont="1" applyBorder="1" applyAlignment="1">
      <alignment horizontal="center" vertical="center"/>
    </xf>
    <xf numFmtId="164" fontId="35" fillId="0" borderId="8" xfId="20" applyNumberFormat="1" applyFont="1" applyFill="1" applyBorder="1" applyAlignment="1">
      <alignment horizontal="right" vertical="center" readingOrder="2"/>
    </xf>
    <xf numFmtId="164" fontId="35" fillId="0" borderId="11" xfId="20" applyNumberFormat="1" applyFont="1" applyFill="1" applyBorder="1" applyAlignment="1">
      <alignment horizontal="right" vertical="center" readingOrder="2"/>
    </xf>
    <xf numFmtId="0" fontId="35" fillId="0" borderId="55" xfId="16" applyNumberFormat="1" applyFont="1" applyFill="1" applyBorder="1" applyAlignment="1">
      <alignment horizontal="left" vertical="center"/>
    </xf>
    <xf numFmtId="0" fontId="49" fillId="0" borderId="9" xfId="19" applyFont="1" applyBorder="1" applyAlignment="1">
      <alignment horizontal="center" vertical="center"/>
    </xf>
    <xf numFmtId="167" fontId="35" fillId="0" borderId="50" xfId="20" applyNumberFormat="1" applyFont="1" applyFill="1" applyBorder="1" applyAlignment="1">
      <alignment vertical="center"/>
    </xf>
    <xf numFmtId="0" fontId="49" fillId="0" borderId="56" xfId="19" applyFont="1" applyBorder="1" applyAlignment="1">
      <alignment vertical="center"/>
    </xf>
    <xf numFmtId="0" fontId="49" fillId="0" borderId="22" xfId="19" applyFont="1" applyBorder="1" applyAlignment="1">
      <alignment horizontal="center" vertical="center"/>
    </xf>
    <xf numFmtId="167" fontId="35" fillId="0" borderId="47" xfId="20" applyNumberFormat="1" applyFont="1" applyFill="1" applyBorder="1" applyAlignment="1">
      <alignment vertical="center"/>
    </xf>
    <xf numFmtId="0" fontId="35" fillId="0" borderId="56" xfId="19" applyFont="1" applyBorder="1" applyAlignment="1">
      <alignment horizontal="left" vertical="center"/>
    </xf>
    <xf numFmtId="14" fontId="49" fillId="0" borderId="23" xfId="19" applyNumberFormat="1" applyFont="1" applyBorder="1" applyAlignment="1">
      <alignment horizontal="center" vertical="center"/>
    </xf>
    <xf numFmtId="0" fontId="35" fillId="0" borderId="4" xfId="19" applyFont="1" applyBorder="1" applyAlignment="1">
      <alignment vertical="center"/>
    </xf>
    <xf numFmtId="0" fontId="34" fillId="0" borderId="48" xfId="16" applyNumberFormat="1" applyFont="1" applyFill="1" applyBorder="1" applyAlignment="1">
      <alignment horizontal="left" vertical="center"/>
    </xf>
    <xf numFmtId="15" fontId="35" fillId="0" borderId="2" xfId="16" applyNumberFormat="1" applyFont="1" applyFill="1" applyBorder="1" applyAlignment="1">
      <alignment horizontal="center" vertical="center"/>
    </xf>
    <xf numFmtId="9" fontId="35" fillId="0" borderId="19" xfId="12" applyFont="1" applyFill="1" applyBorder="1" applyAlignment="1">
      <alignment horizontal="center" vertical="center"/>
    </xf>
    <xf numFmtId="167" fontId="34" fillId="0" borderId="19" xfId="20" applyNumberFormat="1" applyFont="1" applyFill="1" applyBorder="1" applyAlignment="1">
      <alignment horizontal="right" vertical="center" readingOrder="2"/>
    </xf>
    <xf numFmtId="170" fontId="35" fillId="0" borderId="8" xfId="12" applyNumberFormat="1" applyFont="1" applyFill="1" applyBorder="1" applyAlignment="1">
      <alignment horizontal="center" vertical="center"/>
    </xf>
    <xf numFmtId="0" fontId="49" fillId="0" borderId="19" xfId="19" applyFont="1" applyBorder="1" applyAlignment="1">
      <alignment horizontal="center" vertical="center"/>
    </xf>
    <xf numFmtId="170" fontId="35" fillId="0" borderId="19" xfId="12" applyNumberFormat="1" applyFont="1" applyFill="1" applyBorder="1" applyAlignment="1">
      <alignment horizontal="center" vertical="center"/>
    </xf>
    <xf numFmtId="0" fontId="35" fillId="0" borderId="49" xfId="19" applyFont="1" applyBorder="1" applyAlignment="1">
      <alignment vertical="center"/>
    </xf>
    <xf numFmtId="1" fontId="35" fillId="0" borderId="11" xfId="19" applyNumberFormat="1" applyFont="1" applyBorder="1" applyAlignment="1">
      <alignment horizontal="center" vertical="center"/>
    </xf>
    <xf numFmtId="170" fontId="35" fillId="0" borderId="11" xfId="12" applyNumberFormat="1" applyFont="1" applyFill="1" applyBorder="1" applyAlignment="1">
      <alignment horizontal="center" vertical="center"/>
    </xf>
    <xf numFmtId="167" fontId="35" fillId="0" borderId="12" xfId="20" applyNumberFormat="1" applyFont="1" applyFill="1" applyBorder="1" applyAlignment="1">
      <alignment vertical="center"/>
    </xf>
    <xf numFmtId="0" fontId="35" fillId="0" borderId="56" xfId="16" applyNumberFormat="1" applyFont="1" applyFill="1" applyBorder="1" applyAlignment="1">
      <alignment horizontal="left" vertical="center"/>
    </xf>
    <xf numFmtId="0" fontId="35" fillId="0" borderId="56" xfId="19" applyFont="1" applyBorder="1" applyAlignment="1">
      <alignment vertical="center"/>
    </xf>
    <xf numFmtId="14" fontId="35" fillId="0" borderId="24" xfId="19" applyNumberFormat="1" applyFont="1" applyBorder="1" applyAlignment="1">
      <alignment horizontal="center" vertical="center"/>
    </xf>
    <xf numFmtId="170" fontId="35" fillId="0" borderId="24" xfId="12" applyNumberFormat="1" applyFont="1" applyFill="1" applyBorder="1" applyAlignment="1">
      <alignment horizontal="center" vertical="center"/>
    </xf>
    <xf numFmtId="167" fontId="35" fillId="0" borderId="22" xfId="20" applyNumberFormat="1" applyFont="1" applyFill="1" applyBorder="1" applyAlignment="1">
      <alignment vertical="center"/>
    </xf>
    <xf numFmtId="164" fontId="35" fillId="0" borderId="13" xfId="16" applyFont="1" applyFill="1" applyBorder="1" applyAlignment="1">
      <alignment horizontal="left" vertical="center"/>
    </xf>
    <xf numFmtId="0" fontId="35" fillId="0" borderId="11" xfId="16" applyNumberFormat="1" applyFont="1" applyFill="1" applyBorder="1" applyAlignment="1">
      <alignment horizontal="center"/>
    </xf>
    <xf numFmtId="170" fontId="35" fillId="0" borderId="11" xfId="21" applyNumberFormat="1" applyFont="1" applyFill="1" applyBorder="1" applyAlignment="1">
      <alignment horizontal="center"/>
    </xf>
    <xf numFmtId="164" fontId="35" fillId="0" borderId="11" xfId="16" applyFont="1" applyFill="1" applyBorder="1" applyAlignment="1">
      <alignment horizontal="right" vertical="center" readingOrder="2"/>
    </xf>
    <xf numFmtId="164" fontId="35" fillId="0" borderId="23" xfId="16" applyFont="1" applyFill="1" applyBorder="1" applyAlignment="1">
      <alignment horizontal="left" vertical="center"/>
    </xf>
    <xf numFmtId="164" fontId="35" fillId="0" borderId="24" xfId="16" applyFont="1" applyFill="1" applyBorder="1" applyAlignment="1">
      <alignment horizontal="right" vertical="center" readingOrder="2"/>
    </xf>
    <xf numFmtId="0" fontId="35" fillId="0" borderId="40" xfId="16" applyNumberFormat="1" applyFont="1" applyFill="1" applyBorder="1" applyAlignment="1">
      <alignment horizontal="left" vertical="center"/>
    </xf>
    <xf numFmtId="0" fontId="34" fillId="0" borderId="20" xfId="16" applyNumberFormat="1" applyFont="1" applyFill="1" applyBorder="1" applyAlignment="1">
      <alignment horizontal="left" vertical="center"/>
    </xf>
    <xf numFmtId="0" fontId="34" fillId="0" borderId="46" xfId="16" applyNumberFormat="1" applyFont="1" applyFill="1" applyBorder="1" applyAlignment="1">
      <alignment horizontal="left" vertical="center"/>
    </xf>
    <xf numFmtId="0" fontId="49" fillId="0" borderId="23" xfId="19" applyFont="1" applyBorder="1" applyAlignment="1">
      <alignment horizontal="center" vertical="center"/>
    </xf>
    <xf numFmtId="0" fontId="49" fillId="0" borderId="30" xfId="19" applyFont="1" applyBorder="1" applyAlignment="1">
      <alignment horizontal="center" vertical="center"/>
    </xf>
    <xf numFmtId="1" fontId="35" fillId="0" borderId="11" xfId="22" applyNumberFormat="1" applyFont="1" applyFill="1" applyBorder="1" applyAlignment="1">
      <alignment horizontal="center"/>
    </xf>
    <xf numFmtId="0" fontId="34" fillId="0" borderId="55" xfId="16" applyNumberFormat="1" applyFont="1" applyFill="1" applyBorder="1" applyAlignment="1">
      <alignment horizontal="left" vertical="center"/>
    </xf>
    <xf numFmtId="0" fontId="34" fillId="0" borderId="45" xfId="16" applyNumberFormat="1" applyFont="1" applyFill="1" applyBorder="1" applyAlignment="1">
      <alignment horizontal="left" vertical="center"/>
    </xf>
    <xf numFmtId="0" fontId="34" fillId="0" borderId="12" xfId="16" applyNumberFormat="1" applyFont="1" applyFill="1" applyBorder="1" applyAlignment="1">
      <alignment horizontal="left" vertical="center"/>
    </xf>
    <xf numFmtId="1" fontId="49" fillId="0" borderId="11" xfId="19" applyNumberFormat="1" applyFont="1" applyBorder="1" applyAlignment="1">
      <alignment horizontal="center" vertical="center"/>
    </xf>
    <xf numFmtId="14" fontId="49" fillId="0" borderId="31" xfId="19" applyNumberFormat="1" applyFont="1" applyBorder="1" applyAlignment="1">
      <alignment horizontal="center" vertical="center"/>
    </xf>
    <xf numFmtId="164" fontId="35" fillId="0" borderId="10" xfId="16" applyFont="1" applyFill="1" applyBorder="1" applyAlignment="1">
      <alignment horizontal="left"/>
    </xf>
    <xf numFmtId="0" fontId="35" fillId="0" borderId="8" xfId="16" applyNumberFormat="1" applyFont="1" applyFill="1" applyBorder="1" applyAlignment="1">
      <alignment horizontal="center"/>
    </xf>
    <xf numFmtId="9" fontId="35" fillId="0" borderId="8" xfId="21" applyFont="1" applyFill="1" applyBorder="1" applyAlignment="1">
      <alignment horizontal="center"/>
    </xf>
    <xf numFmtId="0" fontId="34" fillId="0" borderId="22" xfId="16" applyNumberFormat="1" applyFont="1" applyFill="1" applyBorder="1" applyAlignment="1">
      <alignment horizontal="left" vertical="center"/>
    </xf>
    <xf numFmtId="164" fontId="35" fillId="0" borderId="23" xfId="16" applyFont="1" applyFill="1" applyBorder="1" applyAlignment="1">
      <alignment horizontal="left"/>
    </xf>
    <xf numFmtId="9" fontId="35" fillId="0" borderId="24" xfId="21" applyFont="1" applyFill="1" applyBorder="1" applyAlignment="1">
      <alignment horizontal="center"/>
    </xf>
    <xf numFmtId="164" fontId="35" fillId="0" borderId="24" xfId="16" applyFont="1" applyFill="1" applyBorder="1" applyAlignment="1">
      <alignment horizontal="right" readingOrder="2"/>
    </xf>
    <xf numFmtId="0" fontId="34" fillId="0" borderId="19" xfId="16" applyNumberFormat="1" applyFont="1" applyFill="1" applyBorder="1" applyAlignment="1">
      <alignment horizontal="left" vertical="center"/>
    </xf>
    <xf numFmtId="0" fontId="34" fillId="0" borderId="8" xfId="16" applyNumberFormat="1" applyFont="1" applyFill="1" applyBorder="1" applyAlignment="1">
      <alignment horizontal="left" vertical="center"/>
    </xf>
    <xf numFmtId="0" fontId="34" fillId="0" borderId="31" xfId="16" applyNumberFormat="1" applyFont="1" applyFill="1" applyBorder="1" applyAlignment="1">
      <alignment vertical="center"/>
    </xf>
    <xf numFmtId="0" fontId="35" fillId="0" borderId="19" xfId="16" applyNumberFormat="1" applyFont="1" applyFill="1" applyBorder="1" applyAlignment="1">
      <alignment horizontal="left" vertical="center"/>
    </xf>
    <xf numFmtId="0" fontId="35" fillId="0" borderId="8" xfId="16" applyNumberFormat="1" applyFont="1" applyFill="1" applyBorder="1" applyAlignment="1">
      <alignment horizontal="left" vertical="center"/>
    </xf>
    <xf numFmtId="10" fontId="35" fillId="0" borderId="8" xfId="12" applyNumberFormat="1" applyFont="1" applyFill="1" applyBorder="1" applyAlignment="1">
      <alignment horizontal="center" vertical="center"/>
    </xf>
    <xf numFmtId="37" fontId="35" fillId="0" borderId="11" xfId="20" applyNumberFormat="1" applyFont="1" applyFill="1" applyBorder="1" applyAlignment="1">
      <alignment horizontal="right" vertical="center" readingOrder="2"/>
    </xf>
    <xf numFmtId="0" fontId="34" fillId="0" borderId="11" xfId="16" applyNumberFormat="1" applyFont="1" applyFill="1" applyBorder="1" applyAlignment="1">
      <alignment horizontal="left" vertical="center"/>
    </xf>
    <xf numFmtId="0" fontId="34" fillId="0" borderId="18" xfId="16" applyNumberFormat="1" applyFont="1" applyFill="1" applyBorder="1" applyAlignment="1">
      <alignment horizontal="left" vertical="center"/>
    </xf>
    <xf numFmtId="0" fontId="34" fillId="0" borderId="57" xfId="16" applyNumberFormat="1" applyFont="1" applyFill="1" applyBorder="1" applyAlignment="1">
      <alignment vertical="center"/>
    </xf>
    <xf numFmtId="0" fontId="35" fillId="0" borderId="33" xfId="16" applyNumberFormat="1" applyFont="1" applyFill="1" applyBorder="1" applyAlignment="1">
      <alignment horizontal="center" vertical="center"/>
    </xf>
    <xf numFmtId="167" fontId="35" fillId="0" borderId="18" xfId="20" applyNumberFormat="1" applyFont="1" applyFill="1" applyBorder="1" applyAlignment="1">
      <alignment vertical="center"/>
    </xf>
    <xf numFmtId="10" fontId="35" fillId="0" borderId="11" xfId="12" applyNumberFormat="1" applyFont="1" applyFill="1" applyBorder="1" applyAlignment="1">
      <alignment horizontal="center" vertical="center"/>
    </xf>
    <xf numFmtId="0" fontId="34" fillId="0" borderId="19" xfId="19" applyFont="1" applyBorder="1" applyAlignment="1">
      <alignment horizontal="left" vertical="center"/>
    </xf>
    <xf numFmtId="0" fontId="34" fillId="0" borderId="8" xfId="19" applyFont="1" applyBorder="1" applyAlignment="1">
      <alignment horizontal="left" vertical="center"/>
    </xf>
    <xf numFmtId="0" fontId="35" fillId="0" borderId="8" xfId="16" applyNumberFormat="1" applyFont="1" applyFill="1" applyBorder="1"/>
    <xf numFmtId="15" fontId="35" fillId="0" borderId="8" xfId="16" applyNumberFormat="1" applyFont="1" applyFill="1" applyBorder="1" applyAlignment="1">
      <alignment horizontal="center"/>
    </xf>
    <xf numFmtId="10" fontId="35" fillId="0" borderId="8" xfId="12" applyNumberFormat="1" applyFont="1" applyFill="1" applyBorder="1" applyAlignment="1">
      <alignment horizontal="center"/>
    </xf>
    <xf numFmtId="37" fontId="35" fillId="0" borderId="8" xfId="20" applyNumberFormat="1" applyFont="1" applyFill="1" applyBorder="1" applyAlignment="1">
      <alignment horizontal="right" vertical="center" readingOrder="2"/>
    </xf>
    <xf numFmtId="0" fontId="34" fillId="0" borderId="17" xfId="16" applyNumberFormat="1" applyFont="1" applyFill="1" applyBorder="1" applyAlignment="1">
      <alignment horizontal="center" vertical="center"/>
    </xf>
    <xf numFmtId="9" fontId="34" fillId="0" borderId="18" xfId="12" applyFont="1" applyFill="1" applyBorder="1" applyAlignment="1">
      <alignment horizontal="center" vertical="center"/>
    </xf>
    <xf numFmtId="0" fontId="49" fillId="0" borderId="50" xfId="19" applyFont="1" applyBorder="1"/>
    <xf numFmtId="15" fontId="35" fillId="0" borderId="21" xfId="16" applyNumberFormat="1" applyFont="1" applyFill="1" applyBorder="1" applyAlignment="1">
      <alignment horizontal="center" vertical="center"/>
    </xf>
    <xf numFmtId="0" fontId="35" fillId="0" borderId="11" xfId="16" applyNumberFormat="1" applyFont="1" applyFill="1" applyBorder="1" applyAlignment="1">
      <alignment horizontal="left" vertical="center"/>
    </xf>
    <xf numFmtId="0" fontId="34" fillId="0" borderId="0" xfId="16" applyNumberFormat="1" applyFont="1" applyFill="1" applyAlignment="1">
      <alignment vertical="center"/>
    </xf>
    <xf numFmtId="0" fontId="35" fillId="0" borderId="21" xfId="16" applyNumberFormat="1" applyFont="1" applyFill="1" applyBorder="1" applyAlignment="1">
      <alignment horizontal="center" vertical="center"/>
    </xf>
    <xf numFmtId="15" fontId="34" fillId="0" borderId="18" xfId="16" applyNumberFormat="1" applyFont="1" applyFill="1" applyBorder="1" applyAlignment="1">
      <alignment horizontal="center" vertical="center"/>
    </xf>
    <xf numFmtId="0" fontId="49" fillId="0" borderId="9" xfId="19" applyFont="1" applyBorder="1" applyAlignment="1">
      <alignment vertical="center"/>
    </xf>
    <xf numFmtId="0" fontId="49" fillId="0" borderId="8" xfId="19" applyFont="1" applyBorder="1" applyAlignment="1">
      <alignment vertical="center"/>
    </xf>
    <xf numFmtId="0" fontId="49" fillId="0" borderId="19" xfId="19" applyFont="1" applyBorder="1" applyAlignment="1">
      <alignment vertical="center"/>
    </xf>
    <xf numFmtId="0" fontId="49" fillId="0" borderId="21" xfId="19" applyFont="1" applyBorder="1" applyAlignment="1">
      <alignment horizontal="center" vertical="center"/>
    </xf>
    <xf numFmtId="0" fontId="49" fillId="0" borderId="11" xfId="19" applyFont="1" applyBorder="1" applyAlignment="1">
      <alignment vertical="center"/>
    </xf>
    <xf numFmtId="0" fontId="34" fillId="0" borderId="11" xfId="19" applyFont="1" applyBorder="1" applyAlignment="1">
      <alignment horizontal="left" vertical="center"/>
    </xf>
    <xf numFmtId="0" fontId="35" fillId="0" borderId="19" xfId="16" applyNumberFormat="1" applyFont="1" applyFill="1" applyBorder="1" applyAlignment="1">
      <alignment vertical="center"/>
    </xf>
    <xf numFmtId="15" fontId="49" fillId="0" borderId="10" xfId="19" applyNumberFormat="1" applyFont="1" applyBorder="1" applyAlignment="1">
      <alignment horizontal="center" vertical="center"/>
    </xf>
    <xf numFmtId="0" fontId="35" fillId="0" borderId="11" xfId="16" applyNumberFormat="1" applyFont="1" applyFill="1" applyBorder="1" applyAlignment="1">
      <alignment vertical="center"/>
    </xf>
    <xf numFmtId="0" fontId="35" fillId="0" borderId="8" xfId="16" applyNumberFormat="1" applyFont="1" applyFill="1" applyBorder="1" applyAlignment="1">
      <alignment vertical="center"/>
    </xf>
    <xf numFmtId="15" fontId="49" fillId="0" borderId="8" xfId="19" applyNumberFormat="1" applyFont="1" applyBorder="1" applyAlignment="1">
      <alignment horizontal="center" vertical="center"/>
    </xf>
    <xf numFmtId="15" fontId="49" fillId="0" borderId="11" xfId="19" applyNumberFormat="1" applyFont="1" applyBorder="1" applyAlignment="1">
      <alignment horizontal="center" vertical="center"/>
    </xf>
    <xf numFmtId="0" fontId="34" fillId="0" borderId="9" xfId="19" applyFont="1" applyBorder="1" applyAlignment="1">
      <alignment horizontal="left" vertical="center"/>
    </xf>
    <xf numFmtId="0" fontId="35" fillId="0" borderId="9" xfId="16" applyNumberFormat="1" applyFont="1" applyFill="1" applyBorder="1" applyAlignment="1">
      <alignment vertical="center"/>
    </xf>
    <xf numFmtId="15" fontId="49" fillId="0" borderId="31" xfId="19" applyNumberFormat="1" applyFont="1" applyBorder="1" applyAlignment="1">
      <alignment horizontal="center" vertical="center"/>
    </xf>
    <xf numFmtId="3" fontId="35" fillId="0" borderId="11" xfId="0" applyNumberFormat="1" applyFont="1" applyBorder="1" applyAlignment="1">
      <alignment horizontal="right" readingOrder="2"/>
    </xf>
    <xf numFmtId="0" fontId="34" fillId="0" borderId="12" xfId="19" applyFont="1" applyBorder="1" applyAlignment="1">
      <alignment horizontal="left" vertical="center"/>
    </xf>
    <xf numFmtId="0" fontId="35" fillId="0" borderId="12" xfId="16" applyNumberFormat="1" applyFont="1" applyFill="1" applyBorder="1" applyAlignment="1">
      <alignment vertical="center"/>
    </xf>
    <xf numFmtId="15" fontId="49" fillId="0" borderId="32" xfId="19" applyNumberFormat="1" applyFont="1" applyBorder="1" applyAlignment="1">
      <alignment horizontal="center" vertical="center"/>
    </xf>
    <xf numFmtId="167" fontId="35" fillId="0" borderId="11" xfId="0" applyNumberFormat="1" applyFont="1" applyBorder="1" applyAlignment="1">
      <alignment horizontal="right" readingOrder="2"/>
    </xf>
    <xf numFmtId="0" fontId="35" fillId="0" borderId="11" xfId="16" applyNumberFormat="1" applyFont="1" applyFill="1" applyBorder="1"/>
    <xf numFmtId="15" fontId="35" fillId="0" borderId="11" xfId="16" applyNumberFormat="1" applyFont="1" applyFill="1" applyBorder="1" applyAlignment="1">
      <alignment horizontal="center"/>
    </xf>
    <xf numFmtId="10" fontId="35" fillId="0" borderId="11" xfId="12" applyNumberFormat="1" applyFont="1" applyFill="1" applyBorder="1" applyAlignment="1">
      <alignment horizontal="center"/>
    </xf>
    <xf numFmtId="0" fontId="35" fillId="0" borderId="5" xfId="19" applyFont="1" applyBorder="1" applyAlignment="1">
      <alignment vertical="center"/>
    </xf>
    <xf numFmtId="164" fontId="34" fillId="0" borderId="20" xfId="18" applyFont="1" applyFill="1" applyBorder="1" applyAlignment="1">
      <alignment horizontal="left" vertical="center"/>
    </xf>
    <xf numFmtId="49" fontId="34" fillId="0" borderId="20" xfId="18" applyNumberFormat="1" applyFont="1" applyFill="1" applyBorder="1" applyAlignment="1">
      <alignment horizontal="left" vertical="center"/>
    </xf>
    <xf numFmtId="0" fontId="34" fillId="0" borderId="42" xfId="18" applyNumberFormat="1" applyFont="1" applyFill="1" applyBorder="1" applyAlignment="1">
      <alignment horizontal="left" vertical="center"/>
    </xf>
    <xf numFmtId="0" fontId="49" fillId="0" borderId="58" xfId="19" applyFont="1" applyBorder="1" applyAlignment="1">
      <alignment vertical="center"/>
    </xf>
    <xf numFmtId="0" fontId="49" fillId="0" borderId="50" xfId="19" applyFont="1" applyBorder="1" applyAlignment="1">
      <alignment vertical="center"/>
    </xf>
    <xf numFmtId="0" fontId="49" fillId="0" borderId="51" xfId="19" applyFont="1" applyBorder="1" applyAlignment="1">
      <alignment vertical="center"/>
    </xf>
    <xf numFmtId="0" fontId="49" fillId="0" borderId="59" xfId="19" applyFont="1" applyBorder="1" applyAlignment="1">
      <alignment vertical="center"/>
    </xf>
    <xf numFmtId="0" fontId="49" fillId="0" borderId="17" xfId="19" applyFont="1" applyBorder="1" applyAlignment="1">
      <alignment horizontal="center" vertical="center"/>
    </xf>
    <xf numFmtId="0" fontId="34" fillId="0" borderId="44" xfId="18" applyNumberFormat="1" applyFont="1" applyFill="1" applyBorder="1" applyAlignment="1">
      <alignment horizontal="left" vertical="center"/>
    </xf>
    <xf numFmtId="0" fontId="34" fillId="0" borderId="9" xfId="18" applyNumberFormat="1" applyFont="1" applyFill="1" applyBorder="1" applyAlignment="1">
      <alignment horizontal="left" vertical="center"/>
    </xf>
    <xf numFmtId="14" fontId="49" fillId="0" borderId="10" xfId="19" applyNumberFormat="1" applyFont="1" applyBorder="1" applyAlignment="1">
      <alignment horizontal="center" vertical="center"/>
    </xf>
    <xf numFmtId="0" fontId="35" fillId="0" borderId="3" xfId="16" applyNumberFormat="1" applyFont="1" applyFill="1" applyBorder="1" applyAlignment="1">
      <alignment horizontal="left" vertical="center"/>
    </xf>
    <xf numFmtId="0" fontId="34" fillId="0" borderId="22" xfId="18" applyNumberFormat="1" applyFont="1" applyFill="1" applyBorder="1" applyAlignment="1">
      <alignment horizontal="left" vertical="center"/>
    </xf>
    <xf numFmtId="0" fontId="49" fillId="0" borderId="47" xfId="19" applyFont="1" applyBorder="1" applyAlignment="1">
      <alignment vertical="center"/>
    </xf>
    <xf numFmtId="10" fontId="35" fillId="0" borderId="24" xfId="12" applyNumberFormat="1" applyFont="1" applyFill="1" applyBorder="1" applyAlignment="1">
      <alignment horizontal="center" vertical="center"/>
    </xf>
    <xf numFmtId="164" fontId="35" fillId="0" borderId="24" xfId="20" applyNumberFormat="1" applyFont="1" applyFill="1" applyBorder="1" applyAlignment="1">
      <alignment horizontal="right" vertical="center" readingOrder="2"/>
    </xf>
    <xf numFmtId="37" fontId="35" fillId="0" borderId="24" xfId="0" applyNumberFormat="1" applyFont="1" applyBorder="1" applyAlignment="1">
      <alignment horizontal="right" readingOrder="2"/>
    </xf>
    <xf numFmtId="164" fontId="35" fillId="0" borderId="20" xfId="18" applyFont="1" applyFill="1" applyBorder="1" applyAlignment="1">
      <alignment horizontal="left" vertical="center"/>
    </xf>
    <xf numFmtId="49" fontId="35" fillId="0" borderId="20" xfId="18" applyNumberFormat="1" applyFont="1" applyFill="1" applyBorder="1" applyAlignment="1">
      <alignment horizontal="left" vertical="center"/>
    </xf>
    <xf numFmtId="167" fontId="34" fillId="0" borderId="1" xfId="20" applyNumberFormat="1" applyFont="1" applyFill="1" applyBorder="1" applyAlignment="1">
      <alignment horizontal="right" vertical="center"/>
    </xf>
    <xf numFmtId="15" fontId="35" fillId="0" borderId="10" xfId="16" applyNumberFormat="1" applyFont="1" applyFill="1" applyBorder="1" applyAlignment="1">
      <alignment horizontal="center" vertical="center"/>
    </xf>
    <xf numFmtId="164" fontId="35" fillId="0" borderId="20" xfId="18" applyFont="1" applyFill="1" applyBorder="1" applyAlignment="1">
      <alignment horizontal="center" vertical="center"/>
    </xf>
    <xf numFmtId="49" fontId="35" fillId="0" borderId="20" xfId="18" applyNumberFormat="1" applyFont="1" applyFill="1" applyBorder="1" applyAlignment="1">
      <alignment horizontal="center" vertical="center"/>
    </xf>
    <xf numFmtId="0" fontId="35" fillId="0" borderId="41" xfId="18" applyNumberFormat="1" applyFont="1" applyFill="1" applyBorder="1" applyAlignment="1">
      <alignment horizontal="left" vertical="center"/>
    </xf>
    <xf numFmtId="0" fontId="35" fillId="0" borderId="43" xfId="18" applyNumberFormat="1" applyFont="1" applyFill="1" applyBorder="1" applyAlignment="1">
      <alignment horizontal="left" vertical="center"/>
    </xf>
    <xf numFmtId="49" fontId="35" fillId="0" borderId="8" xfId="18" applyNumberFormat="1" applyFont="1" applyFill="1" applyBorder="1" applyAlignment="1">
      <alignment horizontal="center" vertical="center"/>
    </xf>
    <xf numFmtId="0" fontId="35" fillId="0" borderId="8" xfId="18" applyNumberFormat="1" applyFont="1" applyFill="1" applyBorder="1" applyAlignment="1">
      <alignment horizontal="left" vertical="center"/>
    </xf>
    <xf numFmtId="0" fontId="35" fillId="0" borderId="11" xfId="18" applyNumberFormat="1" applyFont="1" applyFill="1" applyBorder="1" applyAlignment="1">
      <alignment horizontal="left" vertical="center"/>
    </xf>
    <xf numFmtId="15" fontId="49" fillId="0" borderId="0" xfId="19" applyNumberFormat="1" applyFont="1" applyAlignment="1">
      <alignment horizontal="center" vertical="center"/>
    </xf>
    <xf numFmtId="49" fontId="35" fillId="0" borderId="24" xfId="18" applyNumberFormat="1" applyFont="1" applyFill="1" applyBorder="1" applyAlignment="1">
      <alignment horizontal="center" vertical="center"/>
    </xf>
    <xf numFmtId="0" fontId="34" fillId="0" borderId="24" xfId="16" applyNumberFormat="1" applyFont="1" applyFill="1" applyBorder="1" applyAlignment="1">
      <alignment horizontal="left" vertical="center"/>
    </xf>
    <xf numFmtId="0" fontId="35" fillId="0" borderId="24" xfId="18" applyNumberFormat="1" applyFont="1" applyFill="1" applyBorder="1" applyAlignment="1">
      <alignment horizontal="left" vertical="center"/>
    </xf>
    <xf numFmtId="0" fontId="49" fillId="0" borderId="24" xfId="19" applyFont="1" applyBorder="1" applyAlignment="1">
      <alignment vertical="center"/>
    </xf>
    <xf numFmtId="17" fontId="49" fillId="0" borderId="24" xfId="19" applyNumberFormat="1" applyFont="1" applyBorder="1" applyAlignment="1">
      <alignment horizontal="center" vertical="center"/>
    </xf>
    <xf numFmtId="37" fontId="35" fillId="0" borderId="24" xfId="20" applyNumberFormat="1" applyFont="1" applyFill="1" applyBorder="1" applyAlignment="1">
      <alignment horizontal="right" vertical="center" readingOrder="2"/>
    </xf>
    <xf numFmtId="164" fontId="35" fillId="0" borderId="19" xfId="18" applyFont="1" applyFill="1" applyBorder="1" applyAlignment="1">
      <alignment horizontal="center" vertical="center"/>
    </xf>
    <xf numFmtId="49" fontId="35" fillId="0" borderId="19" xfId="18" applyNumberFormat="1" applyFont="1" applyFill="1" applyBorder="1" applyAlignment="1">
      <alignment horizontal="center" vertical="center"/>
    </xf>
    <xf numFmtId="170" fontId="35" fillId="0" borderId="10" xfId="12" applyNumberFormat="1" applyFont="1" applyFill="1" applyBorder="1" applyAlignment="1">
      <alignment horizontal="center" vertical="center"/>
    </xf>
    <xf numFmtId="49" fontId="35" fillId="0" borderId="3" xfId="18" applyNumberFormat="1" applyFont="1" applyFill="1" applyBorder="1" applyAlignment="1">
      <alignment horizontal="center" vertical="center"/>
    </xf>
    <xf numFmtId="0" fontId="34" fillId="0" borderId="3" xfId="16" applyNumberFormat="1" applyFont="1" applyFill="1" applyBorder="1" applyAlignment="1">
      <alignment horizontal="left" vertical="center"/>
    </xf>
    <xf numFmtId="170" fontId="35" fillId="0" borderId="13" xfId="12" applyNumberFormat="1" applyFont="1" applyFill="1" applyBorder="1" applyAlignment="1">
      <alignment horizontal="center" vertical="center"/>
    </xf>
    <xf numFmtId="0" fontId="35" fillId="0" borderId="13" xfId="16" applyNumberFormat="1" applyFont="1" applyFill="1" applyBorder="1"/>
    <xf numFmtId="0" fontId="35" fillId="0" borderId="10" xfId="16" applyNumberFormat="1" applyFont="1" applyFill="1" applyBorder="1"/>
    <xf numFmtId="0" fontId="35" fillId="0" borderId="21" xfId="16" applyNumberFormat="1" applyFont="1" applyFill="1" applyBorder="1"/>
    <xf numFmtId="0" fontId="35" fillId="0" borderId="55" xfId="18" applyNumberFormat="1" applyFont="1" applyFill="1" applyBorder="1" applyAlignment="1">
      <alignment horizontal="left" vertical="center"/>
    </xf>
    <xf numFmtId="167" fontId="49" fillId="0" borderId="8" xfId="20" applyNumberFormat="1" applyFont="1" applyFill="1" applyBorder="1" applyAlignment="1">
      <alignment vertical="center"/>
    </xf>
    <xf numFmtId="0" fontId="35" fillId="0" borderId="60" xfId="18" applyNumberFormat="1" applyFont="1" applyFill="1" applyBorder="1" applyAlignment="1">
      <alignment horizontal="left" vertical="center"/>
    </xf>
    <xf numFmtId="14" fontId="49" fillId="0" borderId="7" xfId="19" applyNumberFormat="1" applyFont="1" applyBorder="1" applyAlignment="1">
      <alignment horizontal="center" vertical="center"/>
    </xf>
    <xf numFmtId="170" fontId="35" fillId="0" borderId="3" xfId="12" applyNumberFormat="1" applyFont="1" applyFill="1" applyBorder="1" applyAlignment="1">
      <alignment horizontal="center" vertical="center"/>
    </xf>
    <xf numFmtId="167" fontId="35" fillId="0" borderId="3" xfId="20" applyNumberFormat="1" applyFont="1" applyFill="1" applyBorder="1" applyAlignment="1">
      <alignment horizontal="right" vertical="center" readingOrder="2"/>
    </xf>
    <xf numFmtId="164" fontId="35" fillId="0" borderId="3" xfId="20" applyNumberFormat="1" applyFont="1" applyFill="1" applyBorder="1" applyAlignment="1">
      <alignment horizontal="right" vertical="center" readingOrder="2"/>
    </xf>
    <xf numFmtId="167" fontId="49" fillId="0" borderId="3" xfId="20" applyNumberFormat="1" applyFont="1" applyFill="1" applyBorder="1" applyAlignment="1">
      <alignment vertical="center"/>
    </xf>
    <xf numFmtId="49" fontId="34" fillId="3" borderId="20" xfId="16" applyNumberFormat="1" applyFont="1" applyFill="1" applyBorder="1" applyAlignment="1">
      <alignment horizontal="left" vertical="center"/>
    </xf>
    <xf numFmtId="164" fontId="35" fillId="0" borderId="20" xfId="18" applyFont="1" applyFill="1" applyBorder="1" applyAlignment="1">
      <alignment vertical="center"/>
    </xf>
    <xf numFmtId="49" fontId="35" fillId="0" borderId="20" xfId="18" applyNumberFormat="1" applyFont="1" applyFill="1" applyBorder="1" applyAlignment="1">
      <alignment vertical="center"/>
    </xf>
    <xf numFmtId="167" fontId="34" fillId="0" borderId="1" xfId="20" applyNumberFormat="1" applyFont="1" applyFill="1" applyBorder="1" applyAlignment="1">
      <alignment vertical="center"/>
    </xf>
    <xf numFmtId="15" fontId="35" fillId="0" borderId="17" xfId="16" applyNumberFormat="1" applyFont="1" applyFill="1" applyBorder="1" applyAlignment="1">
      <alignment horizontal="center" vertical="center"/>
    </xf>
    <xf numFmtId="15" fontId="35" fillId="0" borderId="13" xfId="16" applyNumberFormat="1" applyFont="1" applyFill="1" applyBorder="1" applyAlignment="1">
      <alignment horizontal="center" vertical="center"/>
    </xf>
    <xf numFmtId="1" fontId="35" fillId="0" borderId="3" xfId="16" applyNumberFormat="1" applyFont="1" applyFill="1" applyBorder="1" applyAlignment="1">
      <alignment horizontal="center" vertical="center"/>
    </xf>
    <xf numFmtId="0" fontId="35" fillId="0" borderId="31" xfId="16" applyNumberFormat="1" applyFont="1" applyFill="1" applyBorder="1" applyAlignment="1">
      <alignment horizontal="left" vertical="center"/>
    </xf>
    <xf numFmtId="17" fontId="35" fillId="0" borderId="8" xfId="16" applyNumberFormat="1" applyFont="1" applyFill="1" applyBorder="1" applyAlignment="1">
      <alignment horizontal="center" vertical="center"/>
    </xf>
    <xf numFmtId="0" fontId="35" fillId="0" borderId="34" xfId="16" applyNumberFormat="1" applyFont="1" applyFill="1" applyBorder="1" applyAlignment="1">
      <alignment horizontal="left" vertical="center"/>
    </xf>
    <xf numFmtId="17" fontId="35" fillId="0" borderId="24" xfId="16" applyNumberFormat="1" applyFont="1" applyFill="1" applyBorder="1" applyAlignment="1">
      <alignment horizontal="center" vertical="center"/>
    </xf>
    <xf numFmtId="0" fontId="35" fillId="0" borderId="16" xfId="16" applyNumberFormat="1" applyFont="1" applyFill="1" applyBorder="1" applyAlignment="1">
      <alignment horizontal="left" vertical="center"/>
    </xf>
    <xf numFmtId="0" fontId="49" fillId="0" borderId="57" xfId="19" applyFont="1" applyBorder="1" applyAlignment="1">
      <alignment vertical="center"/>
    </xf>
    <xf numFmtId="14" fontId="49" fillId="0" borderId="24" xfId="19" applyNumberFormat="1" applyFont="1" applyBorder="1" applyAlignment="1">
      <alignment horizontal="center" vertical="center"/>
    </xf>
    <xf numFmtId="0" fontId="34" fillId="0" borderId="61" xfId="16" applyNumberFormat="1" applyFont="1" applyFill="1" applyBorder="1" applyAlignment="1">
      <alignment horizontal="left" vertical="center"/>
    </xf>
    <xf numFmtId="0" fontId="35" fillId="0" borderId="31" xfId="16" applyNumberFormat="1" applyFont="1" applyFill="1" applyBorder="1" applyAlignment="1">
      <alignment vertical="center"/>
    </xf>
    <xf numFmtId="0" fontId="34" fillId="0" borderId="62" xfId="16" applyNumberFormat="1" applyFont="1" applyFill="1" applyBorder="1" applyAlignment="1">
      <alignment horizontal="left" vertical="center"/>
    </xf>
    <xf numFmtId="0" fontId="35" fillId="0" borderId="42" xfId="16" applyNumberFormat="1" applyFont="1" applyFill="1" applyBorder="1" applyAlignment="1">
      <alignment vertical="center"/>
    </xf>
    <xf numFmtId="0" fontId="35" fillId="0" borderId="44" xfId="16" applyNumberFormat="1" applyFont="1" applyFill="1" applyBorder="1" applyAlignment="1">
      <alignment vertical="center"/>
    </xf>
    <xf numFmtId="0" fontId="34" fillId="0" borderId="63" xfId="16" applyNumberFormat="1" applyFont="1" applyFill="1" applyBorder="1" applyAlignment="1">
      <alignment horizontal="left" vertical="center"/>
    </xf>
    <xf numFmtId="0" fontId="34" fillId="0" borderId="64" xfId="16" applyNumberFormat="1" applyFont="1" applyFill="1" applyBorder="1" applyAlignment="1">
      <alignment horizontal="left" vertical="center"/>
    </xf>
    <xf numFmtId="0" fontId="35" fillId="0" borderId="32" xfId="16" applyNumberFormat="1" applyFont="1" applyFill="1" applyBorder="1" applyAlignment="1">
      <alignment vertical="center"/>
    </xf>
    <xf numFmtId="37" fontId="35" fillId="0" borderId="8" xfId="16" applyNumberFormat="1" applyFont="1" applyFill="1" applyBorder="1" applyAlignment="1">
      <alignment horizontal="right" readingOrder="2"/>
    </xf>
    <xf numFmtId="0" fontId="35" fillId="0" borderId="7" xfId="16" applyNumberFormat="1" applyFont="1" applyFill="1" applyBorder="1" applyAlignment="1">
      <alignment vertical="center"/>
    </xf>
    <xf numFmtId="9" fontId="35" fillId="0" borderId="3" xfId="12" applyFont="1" applyFill="1" applyBorder="1" applyAlignment="1">
      <alignment horizontal="center" vertical="center"/>
    </xf>
    <xf numFmtId="15" fontId="35" fillId="0" borderId="4" xfId="16" applyNumberFormat="1" applyFont="1" applyFill="1" applyBorder="1" applyAlignment="1">
      <alignment horizontal="center" vertical="center"/>
    </xf>
    <xf numFmtId="9" fontId="35" fillId="0" borderId="1" xfId="12" applyFont="1" applyFill="1" applyBorder="1" applyAlignment="1">
      <alignment horizontal="center" vertical="center"/>
    </xf>
    <xf numFmtId="49" fontId="34" fillId="0" borderId="2" xfId="16" applyNumberFormat="1" applyFont="1" applyFill="1" applyBorder="1" applyAlignment="1">
      <alignment horizontal="left" vertical="center"/>
    </xf>
    <xf numFmtId="0" fontId="34" fillId="0" borderId="65" xfId="16" applyNumberFormat="1" applyFont="1" applyFill="1" applyBorder="1" applyAlignment="1">
      <alignment vertical="center"/>
    </xf>
    <xf numFmtId="0" fontId="34" fillId="0" borderId="66" xfId="16" applyNumberFormat="1" applyFont="1" applyFill="1" applyBorder="1" applyAlignment="1">
      <alignment horizontal="left" vertical="center"/>
    </xf>
    <xf numFmtId="0" fontId="35" fillId="0" borderId="57" xfId="16" applyNumberFormat="1" applyFont="1" applyFill="1" applyBorder="1" applyAlignment="1">
      <alignment vertical="center"/>
    </xf>
    <xf numFmtId="0" fontId="34" fillId="0" borderId="38" xfId="16" applyNumberFormat="1" applyFont="1" applyFill="1" applyBorder="1" applyAlignment="1">
      <alignment horizontal="left" vertical="center"/>
    </xf>
    <xf numFmtId="0" fontId="35" fillId="0" borderId="34" xfId="16" applyNumberFormat="1" applyFont="1" applyFill="1" applyBorder="1" applyAlignment="1">
      <alignment vertical="center"/>
    </xf>
    <xf numFmtId="14" fontId="35" fillId="0" borderId="22" xfId="16" applyNumberFormat="1" applyFont="1" applyFill="1" applyBorder="1" applyAlignment="1">
      <alignment horizontal="center" vertical="center"/>
    </xf>
    <xf numFmtId="15" fontId="35" fillId="0" borderId="14" xfId="16" applyNumberFormat="1" applyFont="1" applyFill="1" applyBorder="1" applyAlignment="1">
      <alignment horizontal="center" vertical="center"/>
    </xf>
    <xf numFmtId="0" fontId="35" fillId="0" borderId="63" xfId="19" applyFont="1" applyBorder="1" applyAlignment="1">
      <alignment horizontal="left" vertical="center"/>
    </xf>
    <xf numFmtId="167" fontId="49" fillId="0" borderId="11" xfId="20" applyNumberFormat="1" applyFont="1" applyFill="1" applyBorder="1" applyAlignment="1">
      <alignment vertical="center"/>
    </xf>
    <xf numFmtId="49" fontId="34" fillId="0" borderId="19" xfId="16" applyNumberFormat="1" applyFont="1" applyFill="1" applyBorder="1" applyAlignment="1">
      <alignment horizontal="left" vertical="center"/>
    </xf>
    <xf numFmtId="0" fontId="35" fillId="0" borderId="10" xfId="16" applyNumberFormat="1" applyFont="1" applyFill="1" applyBorder="1" applyAlignment="1">
      <alignment vertical="center"/>
    </xf>
    <xf numFmtId="0" fontId="35" fillId="0" borderId="13" xfId="16" applyNumberFormat="1" applyFont="1" applyFill="1" applyBorder="1" applyAlignment="1">
      <alignment vertical="center"/>
    </xf>
    <xf numFmtId="9" fontId="35" fillId="0" borderId="24" xfId="23" applyFont="1" applyFill="1" applyBorder="1" applyAlignment="1">
      <alignment horizontal="center"/>
    </xf>
    <xf numFmtId="49" fontId="35" fillId="0" borderId="12" xfId="16" applyNumberFormat="1" applyFont="1" applyFill="1" applyBorder="1" applyAlignment="1">
      <alignment horizontal="left" vertical="center"/>
    </xf>
    <xf numFmtId="166" fontId="49" fillId="0" borderId="11" xfId="19" applyNumberFormat="1" applyFont="1" applyBorder="1" applyAlignment="1">
      <alignment horizontal="center" vertical="center"/>
    </xf>
    <xf numFmtId="49" fontId="34" fillId="0" borderId="1" xfId="16" applyNumberFormat="1" applyFont="1" applyFill="1" applyBorder="1" applyAlignment="1">
      <alignment horizontal="left" vertical="center"/>
    </xf>
    <xf numFmtId="0" fontId="34" fillId="0" borderId="67" xfId="16" applyNumberFormat="1" applyFont="1" applyFill="1" applyBorder="1" applyAlignment="1">
      <alignment vertical="center"/>
    </xf>
    <xf numFmtId="166" fontId="35" fillId="0" borderId="15" xfId="16" applyNumberFormat="1" applyFont="1" applyFill="1" applyBorder="1" applyAlignment="1">
      <alignment horizontal="center" vertical="center"/>
    </xf>
    <xf numFmtId="0" fontId="49" fillId="0" borderId="18" xfId="19" applyFont="1" applyBorder="1" applyAlignment="1">
      <alignment horizontal="center" vertical="center"/>
    </xf>
    <xf numFmtId="21" fontId="34" fillId="0" borderId="4" xfId="16" quotePrefix="1" applyNumberFormat="1" applyFont="1" applyFill="1" applyBorder="1" applyAlignment="1">
      <alignment horizontal="left" vertical="center"/>
    </xf>
    <xf numFmtId="9" fontId="35" fillId="0" borderId="15" xfId="12" applyFont="1" applyFill="1" applyBorder="1" applyAlignment="1">
      <alignment horizontal="center" vertical="center"/>
    </xf>
    <xf numFmtId="0" fontId="35" fillId="0" borderId="4" xfId="16" applyNumberFormat="1" applyFont="1" applyFill="1" applyBorder="1" applyAlignment="1">
      <alignment horizontal="left" vertical="center"/>
    </xf>
    <xf numFmtId="167" fontId="35" fillId="0" borderId="1" xfId="20" applyNumberFormat="1" applyFont="1" applyFill="1" applyBorder="1" applyAlignment="1">
      <alignment horizontal="right" vertical="center" readingOrder="2"/>
    </xf>
    <xf numFmtId="49" fontId="35" fillId="0" borderId="9" xfId="16" applyNumberFormat="1" applyFont="1" applyFill="1" applyBorder="1" applyAlignment="1">
      <alignment horizontal="left" vertical="center"/>
    </xf>
    <xf numFmtId="49" fontId="49" fillId="0" borderId="8" xfId="19" applyNumberFormat="1" applyFont="1" applyBorder="1" applyAlignment="1">
      <alignment horizontal="center" vertical="center"/>
    </xf>
    <xf numFmtId="49" fontId="49" fillId="0" borderId="11" xfId="19" applyNumberFormat="1" applyFont="1" applyBorder="1" applyAlignment="1">
      <alignment horizontal="center" vertical="center"/>
    </xf>
    <xf numFmtId="164" fontId="34" fillId="0" borderId="19" xfId="16" applyFont="1" applyFill="1" applyBorder="1" applyAlignment="1">
      <alignment horizontal="left" vertical="center"/>
    </xf>
    <xf numFmtId="14" fontId="49" fillId="0" borderId="12" xfId="19" applyNumberFormat="1" applyFont="1" applyBorder="1" applyAlignment="1">
      <alignment horizontal="center" vertical="center"/>
    </xf>
    <xf numFmtId="49" fontId="34" fillId="0" borderId="22" xfId="16" applyNumberFormat="1" applyFont="1" applyFill="1" applyBorder="1" applyAlignment="1">
      <alignment horizontal="left" vertical="center"/>
    </xf>
    <xf numFmtId="0" fontId="34" fillId="0" borderId="34" xfId="16" applyNumberFormat="1" applyFont="1" applyFill="1" applyBorder="1" applyAlignment="1">
      <alignment horizontal="left" vertical="center"/>
    </xf>
    <xf numFmtId="0" fontId="34" fillId="0" borderId="7" xfId="16" applyNumberFormat="1" applyFont="1" applyFill="1" applyBorder="1" applyAlignment="1">
      <alignment horizontal="left" vertical="center"/>
    </xf>
    <xf numFmtId="15" fontId="35" fillId="0" borderId="7" xfId="16" applyNumberFormat="1" applyFont="1" applyFill="1" applyBorder="1" applyAlignment="1">
      <alignment horizontal="center" vertical="center"/>
    </xf>
    <xf numFmtId="167" fontId="34" fillId="0" borderId="3" xfId="20" applyNumberFormat="1" applyFont="1" applyFill="1" applyBorder="1" applyAlignment="1">
      <alignment horizontal="right" vertical="center" readingOrder="2"/>
    </xf>
    <xf numFmtId="49" fontId="34" fillId="0" borderId="3" xfId="16" applyNumberFormat="1" applyFont="1" applyFill="1" applyBorder="1" applyAlignment="1">
      <alignment horizontal="left" vertical="center"/>
    </xf>
    <xf numFmtId="49" fontId="34" fillId="0" borderId="38" xfId="16" applyNumberFormat="1" applyFont="1" applyFill="1" applyBorder="1" applyAlignment="1">
      <alignment horizontal="left" vertical="center"/>
    </xf>
    <xf numFmtId="0" fontId="34" fillId="0" borderId="40" xfId="16" applyNumberFormat="1" applyFont="1" applyFill="1" applyBorder="1" applyAlignment="1">
      <alignment vertical="center"/>
    </xf>
    <xf numFmtId="0" fontId="34" fillId="0" borderId="57" xfId="16" applyNumberFormat="1" applyFont="1" applyFill="1" applyBorder="1" applyAlignment="1">
      <alignment horizontal="left" vertical="center"/>
    </xf>
    <xf numFmtId="0" fontId="34" fillId="0" borderId="43" xfId="18" applyNumberFormat="1" applyFont="1" applyFill="1" applyBorder="1" applyAlignment="1">
      <alignment horizontal="left" vertical="center"/>
    </xf>
    <xf numFmtId="0" fontId="35" fillId="0" borderId="44" xfId="18" applyNumberFormat="1" applyFont="1" applyFill="1" applyBorder="1" applyAlignment="1">
      <alignment vertical="center"/>
    </xf>
    <xf numFmtId="0" fontId="34" fillId="0" borderId="41" xfId="18" applyNumberFormat="1" applyFont="1" applyFill="1" applyBorder="1" applyAlignment="1">
      <alignment horizontal="left" vertical="center"/>
    </xf>
    <xf numFmtId="0" fontId="35" fillId="0" borderId="42" xfId="18" applyNumberFormat="1" applyFont="1" applyFill="1" applyBorder="1" applyAlignment="1">
      <alignment vertical="center"/>
    </xf>
    <xf numFmtId="0" fontId="34" fillId="0" borderId="55" xfId="18" applyNumberFormat="1" applyFont="1" applyFill="1" applyBorder="1" applyAlignment="1">
      <alignment horizontal="left" vertical="center"/>
    </xf>
    <xf numFmtId="167" fontId="35" fillId="0" borderId="61" xfId="20" applyNumberFormat="1" applyFont="1" applyFill="1" applyBorder="1" applyAlignment="1">
      <alignment horizontal="right" vertical="center" readingOrder="2"/>
    </xf>
    <xf numFmtId="167" fontId="35" fillId="0" borderId="55" xfId="20" applyNumberFormat="1" applyFont="1" applyFill="1" applyBorder="1" applyAlignment="1">
      <alignment horizontal="right" vertical="center" readingOrder="2"/>
    </xf>
    <xf numFmtId="0" fontId="35" fillId="0" borderId="32" xfId="18" applyNumberFormat="1" applyFont="1" applyFill="1" applyBorder="1" applyAlignment="1">
      <alignment vertical="center"/>
    </xf>
    <xf numFmtId="167" fontId="35" fillId="0" borderId="63" xfId="20" applyNumberFormat="1" applyFont="1" applyFill="1" applyBorder="1" applyAlignment="1">
      <alignment horizontal="right" vertical="center" readingOrder="2"/>
    </xf>
    <xf numFmtId="167" fontId="35" fillId="0" borderId="12" xfId="20" applyNumberFormat="1" applyFont="1" applyFill="1" applyBorder="1" applyAlignment="1">
      <alignment horizontal="right" vertical="center" readingOrder="2"/>
    </xf>
    <xf numFmtId="0" fontId="35" fillId="0" borderId="56" xfId="18" applyNumberFormat="1" applyFont="1" applyFill="1" applyBorder="1" applyAlignment="1">
      <alignment vertical="center"/>
    </xf>
    <xf numFmtId="167" fontId="35" fillId="0" borderId="68" xfId="20" applyNumberFormat="1" applyFont="1" applyFill="1" applyBorder="1" applyAlignment="1">
      <alignment horizontal="right" vertical="center" readingOrder="2"/>
    </xf>
    <xf numFmtId="167" fontId="35" fillId="0" borderId="22" xfId="20" applyNumberFormat="1" applyFont="1" applyFill="1" applyBorder="1" applyAlignment="1">
      <alignment horizontal="right" vertical="center" readingOrder="2"/>
    </xf>
    <xf numFmtId="0" fontId="34" fillId="0" borderId="20" xfId="18" applyNumberFormat="1" applyFont="1" applyFill="1" applyBorder="1" applyAlignment="1">
      <alignment horizontal="left" vertical="center"/>
    </xf>
    <xf numFmtId="37" fontId="34" fillId="0" borderId="8" xfId="16" applyNumberFormat="1" applyFont="1" applyFill="1" applyBorder="1" applyAlignment="1">
      <alignment horizontal="right" vertical="center" readingOrder="2"/>
    </xf>
    <xf numFmtId="15" fontId="35" fillId="0" borderId="13" xfId="18" applyNumberFormat="1" applyFont="1" applyFill="1" applyBorder="1" applyAlignment="1">
      <alignment horizontal="center" vertical="center"/>
    </xf>
    <xf numFmtId="0" fontId="35" fillId="0" borderId="51" xfId="18" applyNumberFormat="1" applyFont="1" applyFill="1" applyBorder="1" applyAlignment="1">
      <alignment vertical="center"/>
    </xf>
    <xf numFmtId="1" fontId="49" fillId="0" borderId="18" xfId="19" applyNumberFormat="1" applyFont="1" applyBorder="1" applyAlignment="1">
      <alignment horizontal="center" vertical="center"/>
    </xf>
    <xf numFmtId="0" fontId="35" fillId="0" borderId="50" xfId="18" applyNumberFormat="1" applyFont="1" applyFill="1" applyBorder="1" applyAlignment="1">
      <alignment vertical="center"/>
    </xf>
    <xf numFmtId="0" fontId="34" fillId="0" borderId="64" xfId="18" applyNumberFormat="1" applyFont="1" applyFill="1" applyBorder="1" applyAlignment="1">
      <alignment horizontal="left" vertical="center"/>
    </xf>
    <xf numFmtId="0" fontId="35" fillId="0" borderId="58" xfId="18" applyNumberFormat="1" applyFont="1" applyFill="1" applyBorder="1" applyAlignment="1">
      <alignment vertical="center"/>
    </xf>
    <xf numFmtId="1" fontId="49" fillId="0" borderId="19" xfId="19" applyNumberFormat="1" applyFont="1" applyBorder="1" applyAlignment="1">
      <alignment horizontal="center" vertical="center"/>
    </xf>
    <xf numFmtId="0" fontId="35" fillId="0" borderId="10" xfId="18" applyNumberFormat="1" applyFont="1" applyFill="1" applyBorder="1" applyAlignment="1">
      <alignment vertical="center"/>
    </xf>
    <xf numFmtId="0" fontId="34" fillId="0" borderId="46" xfId="18" applyNumberFormat="1" applyFont="1" applyFill="1" applyBorder="1" applyAlignment="1">
      <alignment horizontal="left" vertical="center"/>
    </xf>
    <xf numFmtId="0" fontId="35" fillId="0" borderId="23" xfId="18" applyNumberFormat="1" applyFont="1" applyFill="1" applyBorder="1" applyAlignment="1">
      <alignment vertical="center"/>
    </xf>
    <xf numFmtId="15" fontId="49" fillId="0" borderId="24" xfId="19" applyNumberFormat="1" applyFont="1" applyBorder="1" applyAlignment="1">
      <alignment horizontal="center" vertical="center"/>
    </xf>
    <xf numFmtId="164" fontId="34" fillId="0" borderId="19" xfId="18" applyFont="1" applyFill="1" applyBorder="1" applyAlignment="1">
      <alignment horizontal="left" vertical="center"/>
    </xf>
    <xf numFmtId="49" fontId="34" fillId="0" borderId="19" xfId="18" applyNumberFormat="1" applyFont="1" applyFill="1" applyBorder="1" applyAlignment="1">
      <alignment horizontal="left" vertical="center"/>
    </xf>
    <xf numFmtId="49" fontId="34" fillId="0" borderId="38" xfId="18" applyNumberFormat="1" applyFont="1" applyFill="1" applyBorder="1" applyAlignment="1">
      <alignment horizontal="left" vertical="center"/>
    </xf>
    <xf numFmtId="0" fontId="34" fillId="0" borderId="45" xfId="18" applyNumberFormat="1" applyFont="1" applyFill="1" applyBorder="1" applyAlignment="1">
      <alignment horizontal="left" vertical="center"/>
    </xf>
    <xf numFmtId="0" fontId="35" fillId="0" borderId="34" xfId="18" applyNumberFormat="1" applyFont="1" applyFill="1" applyBorder="1" applyAlignment="1">
      <alignment vertical="center"/>
    </xf>
    <xf numFmtId="167" fontId="34" fillId="0" borderId="25" xfId="20" applyNumberFormat="1" applyFont="1" applyFill="1" applyBorder="1" applyAlignment="1">
      <alignment horizontal="right" vertical="center" readingOrder="2"/>
    </xf>
    <xf numFmtId="37" fontId="34" fillId="0" borderId="0" xfId="19" applyNumberFormat="1" applyFont="1" applyAlignment="1">
      <alignment vertical="center"/>
    </xf>
    <xf numFmtId="37" fontId="34" fillId="0" borderId="0" xfId="19" applyNumberFormat="1" applyFont="1" applyAlignment="1">
      <alignment horizontal="left" vertical="center"/>
    </xf>
    <xf numFmtId="49" fontId="35" fillId="0" borderId="0" xfId="19" applyNumberFormat="1" applyFont="1" applyAlignment="1">
      <alignment vertical="center"/>
    </xf>
    <xf numFmtId="0" fontId="35" fillId="0" borderId="0" xfId="19" applyFont="1" applyAlignment="1">
      <alignment horizontal="center" vertical="center"/>
    </xf>
    <xf numFmtId="0" fontId="10" fillId="0" borderId="1" xfId="2" applyNumberFormat="1" applyFont="1" applyFill="1" applyBorder="1" applyAlignment="1">
      <alignment horizontal="center" vertical="center"/>
    </xf>
    <xf numFmtId="14" fontId="17" fillId="0" borderId="1" xfId="3" applyNumberFormat="1" applyFont="1" applyBorder="1" applyAlignment="1">
      <alignment horizontal="center" vertical="center"/>
    </xf>
    <xf numFmtId="164" fontId="10" fillId="4" borderId="2" xfId="2" applyFont="1" applyFill="1" applyBorder="1" applyAlignment="1">
      <alignment horizontal="center" vertical="center"/>
    </xf>
    <xf numFmtId="164" fontId="10" fillId="4" borderId="3" xfId="2" applyFont="1" applyFill="1" applyBorder="1" applyAlignment="1">
      <alignment horizontal="center" vertical="center"/>
    </xf>
    <xf numFmtId="164" fontId="26" fillId="0" borderId="0" xfId="2" applyFont="1" applyFill="1"/>
    <xf numFmtId="0" fontId="35" fillId="0" borderId="0" xfId="24" applyFont="1" applyAlignment="1">
      <alignment horizontal="left" vertical="center"/>
    </xf>
    <xf numFmtId="167" fontId="49" fillId="0" borderId="0" xfId="25" applyNumberFormat="1" applyFont="1" applyFill="1" applyAlignment="1">
      <alignment vertical="center"/>
    </xf>
    <xf numFmtId="167" fontId="35" fillId="0" borderId="0" xfId="25" applyNumberFormat="1" applyFont="1" applyFill="1" applyAlignment="1">
      <alignment vertical="center"/>
    </xf>
    <xf numFmtId="167" fontId="34" fillId="0" borderId="0" xfId="25" applyNumberFormat="1" applyFont="1" applyFill="1" applyAlignment="1">
      <alignment vertical="center"/>
    </xf>
    <xf numFmtId="0" fontId="35" fillId="0" borderId="0" xfId="24" applyFont="1" applyAlignment="1">
      <alignment vertical="center"/>
    </xf>
    <xf numFmtId="167" fontId="50" fillId="0" borderId="0" xfId="25" applyNumberFormat="1" applyFont="1" applyFill="1" applyAlignment="1">
      <alignment vertical="center"/>
    </xf>
    <xf numFmtId="167" fontId="51" fillId="0" borderId="0" xfId="25" applyNumberFormat="1" applyFont="1" applyFill="1" applyAlignment="1">
      <alignment vertical="center"/>
    </xf>
    <xf numFmtId="167" fontId="38" fillId="0" borderId="0" xfId="25" applyNumberFormat="1" applyFont="1" applyFill="1" applyAlignment="1">
      <alignment vertical="center"/>
    </xf>
    <xf numFmtId="167" fontId="52" fillId="0" borderId="0" xfId="25" applyNumberFormat="1" applyFont="1" applyFill="1" applyAlignment="1">
      <alignment vertical="center"/>
    </xf>
    <xf numFmtId="167" fontId="35" fillId="0" borderId="0" xfId="25" applyNumberFormat="1" applyFont="1" applyFill="1" applyAlignment="1">
      <alignment horizontal="right" vertical="center"/>
    </xf>
    <xf numFmtId="167" fontId="50" fillId="0" borderId="0" xfId="25" quotePrefix="1" applyNumberFormat="1" applyFont="1" applyFill="1" applyAlignment="1">
      <alignment horizontal="center" vertical="center"/>
    </xf>
    <xf numFmtId="167" fontId="50" fillId="0" borderId="0" xfId="25" quotePrefix="1" applyNumberFormat="1" applyFont="1" applyFill="1" applyAlignment="1">
      <alignment horizontal="right" vertical="center"/>
    </xf>
    <xf numFmtId="167" fontId="36" fillId="0" borderId="0" xfId="25" applyNumberFormat="1" applyFont="1" applyFill="1" applyAlignment="1">
      <alignment horizontal="right" vertical="center"/>
    </xf>
    <xf numFmtId="0" fontId="35" fillId="0" borderId="20" xfId="24" applyFont="1" applyBorder="1" applyAlignment="1">
      <alignment vertical="center"/>
    </xf>
    <xf numFmtId="49" fontId="35" fillId="0" borderId="20" xfId="24" applyNumberFormat="1" applyFont="1" applyBorder="1" applyAlignment="1">
      <alignment vertical="center"/>
    </xf>
    <xf numFmtId="167" fontId="34" fillId="0" borderId="19" xfId="25" applyNumberFormat="1" applyFont="1" applyFill="1" applyBorder="1" applyAlignment="1">
      <alignment horizontal="center" vertical="center"/>
    </xf>
    <xf numFmtId="0" fontId="34" fillId="0" borderId="21" xfId="24" applyFont="1" applyBorder="1" applyAlignment="1">
      <alignment horizontal="center" vertical="center"/>
    </xf>
    <xf numFmtId="49" fontId="35" fillId="0" borderId="38" xfId="24" applyNumberFormat="1" applyFont="1" applyBorder="1" applyAlignment="1">
      <alignment vertical="center"/>
    </xf>
    <xf numFmtId="0" fontId="34" fillId="0" borderId="30" xfId="24" applyFont="1" applyBorder="1" applyAlignment="1">
      <alignment horizontal="center" vertical="center"/>
    </xf>
    <xf numFmtId="172" fontId="34" fillId="0" borderId="3" xfId="25" applyNumberFormat="1" applyFont="1" applyFill="1" applyBorder="1" applyAlignment="1">
      <alignment horizontal="center" vertical="center" wrapText="1"/>
    </xf>
    <xf numFmtId="167" fontId="34" fillId="0" borderId="1" xfId="25" applyNumberFormat="1" applyFont="1" applyFill="1" applyBorder="1" applyAlignment="1">
      <alignment horizontal="center" vertical="center" wrapText="1"/>
    </xf>
    <xf numFmtId="167" fontId="34" fillId="0" borderId="3" xfId="25" quotePrefix="1" applyNumberFormat="1" applyFont="1" applyFill="1" applyBorder="1" applyAlignment="1">
      <alignment horizontal="center" vertical="center" wrapText="1"/>
    </xf>
    <xf numFmtId="15" fontId="34" fillId="0" borderId="2" xfId="24" applyNumberFormat="1" applyFont="1" applyBorder="1" applyAlignment="1">
      <alignment horizontal="center" vertical="center"/>
    </xf>
    <xf numFmtId="0" fontId="34" fillId="0" borderId="2" xfId="24" applyFont="1" applyBorder="1" applyAlignment="1">
      <alignment horizontal="center" vertical="center"/>
    </xf>
    <xf numFmtId="167" fontId="34" fillId="0" borderId="2" xfId="25" applyNumberFormat="1" applyFont="1" applyFill="1" applyBorder="1" applyAlignment="1">
      <alignment horizontal="right" vertical="center" readingOrder="2"/>
    </xf>
    <xf numFmtId="49" fontId="35" fillId="0" borderId="0" xfId="24" applyNumberFormat="1" applyFont="1" applyAlignment="1">
      <alignment horizontal="left" vertical="center"/>
    </xf>
    <xf numFmtId="167" fontId="35" fillId="0" borderId="8" xfId="25" applyNumberFormat="1" applyFont="1" applyFill="1" applyBorder="1" applyAlignment="1">
      <alignment vertical="center"/>
    </xf>
    <xf numFmtId="167" fontId="34" fillId="0" borderId="8" xfId="25" applyNumberFormat="1" applyFont="1" applyFill="1" applyBorder="1" applyAlignment="1">
      <alignment vertical="center"/>
    </xf>
    <xf numFmtId="0" fontId="34" fillId="0" borderId="0" xfId="24" applyFont="1" applyAlignment="1">
      <alignment vertical="center"/>
    </xf>
    <xf numFmtId="167" fontId="34" fillId="0" borderId="11" xfId="25" applyNumberFormat="1" applyFont="1" applyFill="1" applyBorder="1" applyAlignment="1">
      <alignment vertical="center"/>
    </xf>
    <xf numFmtId="167" fontId="35" fillId="0" borderId="11" xfId="25" applyNumberFormat="1" applyFont="1" applyFill="1" applyBorder="1" applyAlignment="1">
      <alignment horizontal="right" vertical="center" readingOrder="2"/>
    </xf>
    <xf numFmtId="167" fontId="35" fillId="0" borderId="8" xfId="25" applyNumberFormat="1" applyFont="1" applyFill="1" applyBorder="1" applyAlignment="1">
      <alignment horizontal="right" vertical="center" readingOrder="2"/>
    </xf>
    <xf numFmtId="167" fontId="35" fillId="0" borderId="24" xfId="25" applyNumberFormat="1" applyFont="1" applyFill="1" applyBorder="1" applyAlignment="1">
      <alignment horizontal="right" vertical="center" readingOrder="2"/>
    </xf>
    <xf numFmtId="167" fontId="34" fillId="0" borderId="1" xfId="25" applyNumberFormat="1" applyFont="1" applyFill="1" applyBorder="1" applyAlignment="1">
      <alignment horizontal="right" vertical="center" readingOrder="2"/>
    </xf>
    <xf numFmtId="167" fontId="35" fillId="0" borderId="19" xfId="25" applyNumberFormat="1" applyFont="1" applyFill="1" applyBorder="1" applyAlignment="1">
      <alignment horizontal="right" vertical="center" readingOrder="2"/>
    </xf>
    <xf numFmtId="167" fontId="34" fillId="0" borderId="11" xfId="25" applyNumberFormat="1" applyFont="1" applyFill="1" applyBorder="1" applyAlignment="1">
      <alignment horizontal="right" vertical="center" readingOrder="2"/>
    </xf>
    <xf numFmtId="167" fontId="34" fillId="0" borderId="18" xfId="25" applyNumberFormat="1" applyFont="1" applyFill="1" applyBorder="1" applyAlignment="1">
      <alignment horizontal="right" vertical="center" readingOrder="2"/>
    </xf>
    <xf numFmtId="167" fontId="34" fillId="0" borderId="8" xfId="25" applyNumberFormat="1" applyFont="1" applyFill="1" applyBorder="1" applyAlignment="1">
      <alignment horizontal="right" vertical="center" readingOrder="2"/>
    </xf>
    <xf numFmtId="0" fontId="35" fillId="0" borderId="44" xfId="24" applyFont="1" applyBorder="1" applyAlignment="1">
      <alignment vertical="center"/>
    </xf>
    <xf numFmtId="0" fontId="35" fillId="0" borderId="42" xfId="24" applyFont="1" applyBorder="1" applyAlignment="1">
      <alignment horizontal="left" vertical="center"/>
    </xf>
    <xf numFmtId="0" fontId="49" fillId="0" borderId="42" xfId="24" applyFont="1" applyBorder="1" applyAlignment="1">
      <alignment vertical="center"/>
    </xf>
    <xf numFmtId="0" fontId="49" fillId="0" borderId="8" xfId="24" applyFont="1" applyBorder="1" applyAlignment="1">
      <alignment horizontal="center" vertical="center"/>
    </xf>
    <xf numFmtId="167" fontId="35" fillId="0" borderId="11" xfId="25" applyNumberFormat="1" applyFont="1" applyFill="1" applyBorder="1" applyAlignment="1">
      <alignment vertical="center"/>
    </xf>
    <xf numFmtId="37" fontId="35" fillId="0" borderId="11" xfId="25" applyNumberFormat="1" applyFont="1" applyFill="1" applyBorder="1" applyAlignment="1">
      <alignment horizontal="right" vertical="center" readingOrder="2"/>
    </xf>
    <xf numFmtId="37" fontId="35" fillId="0" borderId="8" xfId="26" applyNumberFormat="1" applyFont="1" applyBorder="1" applyAlignment="1">
      <alignment horizontal="right" readingOrder="2"/>
    </xf>
    <xf numFmtId="167" fontId="35" fillId="0" borderId="10" xfId="25" applyNumberFormat="1" applyFont="1" applyFill="1" applyBorder="1" applyAlignment="1">
      <alignment horizontal="right" vertical="center" readingOrder="2"/>
    </xf>
    <xf numFmtId="0" fontId="35" fillId="0" borderId="41" xfId="24" applyFont="1" applyBorder="1" applyAlignment="1">
      <alignment horizontal="left" vertical="center"/>
    </xf>
    <xf numFmtId="0" fontId="35" fillId="0" borderId="43" xfId="24" applyFont="1" applyBorder="1" applyAlignment="1">
      <alignment horizontal="left" vertical="center"/>
    </xf>
    <xf numFmtId="0" fontId="49" fillId="0" borderId="44" xfId="24" applyFont="1" applyBorder="1" applyAlignment="1">
      <alignment vertical="center"/>
    </xf>
    <xf numFmtId="0" fontId="49" fillId="0" borderId="11" xfId="24" applyFont="1" applyBorder="1" applyAlignment="1">
      <alignment horizontal="center" vertical="center"/>
    </xf>
    <xf numFmtId="0" fontId="49" fillId="0" borderId="32" xfId="24" applyFont="1" applyBorder="1" applyAlignment="1">
      <alignment vertical="center"/>
    </xf>
    <xf numFmtId="14" fontId="49" fillId="0" borderId="32" xfId="24" applyNumberFormat="1" applyFont="1" applyBorder="1" applyAlignment="1">
      <alignment horizontal="center" vertical="center"/>
    </xf>
    <xf numFmtId="0" fontId="35" fillId="0" borderId="46" xfId="24" applyFont="1" applyBorder="1" applyAlignment="1">
      <alignment horizontal="left" vertical="center"/>
    </xf>
    <xf numFmtId="0" fontId="49" fillId="0" borderId="34" xfId="24" applyFont="1" applyBorder="1" applyAlignment="1">
      <alignment vertical="center"/>
    </xf>
    <xf numFmtId="14" fontId="49" fillId="0" borderId="34" xfId="24" applyNumberFormat="1" applyFont="1" applyBorder="1" applyAlignment="1">
      <alignment horizontal="center" vertical="center"/>
    </xf>
    <xf numFmtId="0" fontId="34" fillId="0" borderId="51" xfId="24" applyFont="1" applyBorder="1" applyAlignment="1">
      <alignment horizontal="left" vertical="center"/>
    </xf>
    <xf numFmtId="0" fontId="35" fillId="0" borderId="52" xfId="24" applyFont="1" applyBorder="1" applyAlignment="1">
      <alignment vertical="center"/>
    </xf>
    <xf numFmtId="0" fontId="49" fillId="0" borderId="7" xfId="24" applyFont="1" applyBorder="1" applyAlignment="1">
      <alignment vertical="center"/>
    </xf>
    <xf numFmtId="0" fontId="49" fillId="0" borderId="3" xfId="24" applyFont="1" applyBorder="1" applyAlignment="1">
      <alignment horizontal="center" vertical="center"/>
    </xf>
    <xf numFmtId="0" fontId="35" fillId="0" borderId="53" xfId="24" applyFont="1" applyBorder="1" applyAlignment="1">
      <alignment vertical="center"/>
    </xf>
    <xf numFmtId="167" fontId="35" fillId="0" borderId="18" xfId="25" applyNumberFormat="1" applyFont="1" applyFill="1" applyBorder="1" applyAlignment="1">
      <alignment horizontal="right" vertical="center" readingOrder="2"/>
    </xf>
    <xf numFmtId="167" fontId="34" fillId="0" borderId="31" xfId="25" applyNumberFormat="1" applyFont="1" applyFill="1" applyBorder="1" applyAlignment="1">
      <alignment horizontal="right" vertical="center" readingOrder="2"/>
    </xf>
    <xf numFmtId="167" fontId="35" fillId="0" borderId="31" xfId="25" applyNumberFormat="1" applyFont="1" applyFill="1" applyBorder="1" applyAlignment="1">
      <alignment vertical="center"/>
    </xf>
    <xf numFmtId="167" fontId="35" fillId="12" borderId="8" xfId="25" applyNumberFormat="1" applyFont="1" applyFill="1" applyBorder="1" applyAlignment="1">
      <alignment horizontal="right" vertical="center" readingOrder="2"/>
    </xf>
    <xf numFmtId="0" fontId="49" fillId="0" borderId="24" xfId="24" applyFont="1" applyBorder="1" applyAlignment="1">
      <alignment horizontal="center" vertical="center"/>
    </xf>
    <xf numFmtId="0" fontId="49" fillId="0" borderId="13" xfId="24" applyFont="1" applyBorder="1" applyAlignment="1">
      <alignment horizontal="center" vertical="center"/>
    </xf>
    <xf numFmtId="167" fontId="35" fillId="0" borderId="32" xfId="25" applyNumberFormat="1" applyFont="1" applyFill="1" applyBorder="1" applyAlignment="1">
      <alignment vertical="center"/>
    </xf>
    <xf numFmtId="0" fontId="35" fillId="0" borderId="9" xfId="24" applyFont="1" applyBorder="1" applyAlignment="1">
      <alignment vertical="center"/>
    </xf>
    <xf numFmtId="0" fontId="49" fillId="0" borderId="0" xfId="24" applyFont="1" applyAlignment="1">
      <alignment vertical="center"/>
    </xf>
    <xf numFmtId="1" fontId="49" fillId="0" borderId="8" xfId="24" applyNumberFormat="1" applyFont="1" applyBorder="1" applyAlignment="1">
      <alignment horizontal="center" vertical="center"/>
    </xf>
    <xf numFmtId="0" fontId="49" fillId="0" borderId="31" xfId="24" applyFont="1" applyBorder="1" applyAlignment="1">
      <alignment vertical="center"/>
    </xf>
    <xf numFmtId="1" fontId="49" fillId="0" borderId="24" xfId="24" applyNumberFormat="1" applyFont="1" applyBorder="1" applyAlignment="1">
      <alignment horizontal="center" vertical="center"/>
    </xf>
    <xf numFmtId="167" fontId="35" fillId="0" borderId="34" xfId="25" applyNumberFormat="1" applyFont="1" applyFill="1" applyBorder="1" applyAlignment="1">
      <alignment vertical="center"/>
    </xf>
    <xf numFmtId="167" fontId="35" fillId="0" borderId="24" xfId="25" applyNumberFormat="1" applyFont="1" applyFill="1" applyBorder="1" applyAlignment="1">
      <alignment vertical="center"/>
    </xf>
    <xf numFmtId="167" fontId="35" fillId="12" borderId="24" xfId="25" applyNumberFormat="1" applyFont="1" applyFill="1" applyBorder="1" applyAlignment="1">
      <alignment horizontal="right" vertical="center" readingOrder="2"/>
    </xf>
    <xf numFmtId="0" fontId="49" fillId="0" borderId="10" xfId="24" applyFont="1" applyBorder="1" applyAlignment="1">
      <alignment horizontal="center" vertical="center"/>
    </xf>
    <xf numFmtId="0" fontId="49" fillId="0" borderId="33" xfId="24" applyFont="1" applyBorder="1" applyAlignment="1">
      <alignment horizontal="center" vertical="center"/>
    </xf>
    <xf numFmtId="164" fontId="35" fillId="0" borderId="8" xfId="25" applyNumberFormat="1" applyFont="1" applyFill="1" applyBorder="1" applyAlignment="1">
      <alignment horizontal="right" vertical="center" readingOrder="2"/>
    </xf>
    <xf numFmtId="164" fontId="35" fillId="0" borderId="11" xfId="25" applyNumberFormat="1" applyFont="1" applyFill="1" applyBorder="1" applyAlignment="1">
      <alignment horizontal="right" vertical="center" readingOrder="2"/>
    </xf>
    <xf numFmtId="0" fontId="49" fillId="0" borderId="9" xfId="24" applyFont="1" applyBorder="1" applyAlignment="1">
      <alignment horizontal="center" vertical="center"/>
    </xf>
    <xf numFmtId="167" fontId="35" fillId="0" borderId="50" xfId="25" applyNumberFormat="1" applyFont="1" applyFill="1" applyBorder="1" applyAlignment="1">
      <alignment vertical="center"/>
    </xf>
    <xf numFmtId="0" fontId="49" fillId="0" borderId="56" xfId="24" applyFont="1" applyBorder="1" applyAlignment="1">
      <alignment vertical="center"/>
    </xf>
    <xf numFmtId="0" fontId="49" fillId="0" borderId="22" xfId="24" applyFont="1" applyBorder="1" applyAlignment="1">
      <alignment horizontal="center" vertical="center"/>
    </xf>
    <xf numFmtId="167" fontId="35" fillId="0" borderId="47" xfId="25" applyNumberFormat="1" applyFont="1" applyFill="1" applyBorder="1" applyAlignment="1">
      <alignment vertical="center"/>
    </xf>
    <xf numFmtId="0" fontId="35" fillId="0" borderId="56" xfId="24" applyFont="1" applyBorder="1" applyAlignment="1">
      <alignment horizontal="left" vertical="center"/>
    </xf>
    <xf numFmtId="14" fontId="49" fillId="0" borderId="23" xfId="24" applyNumberFormat="1" applyFont="1" applyBorder="1" applyAlignment="1">
      <alignment horizontal="center" vertical="center"/>
    </xf>
    <xf numFmtId="167" fontId="35" fillId="0" borderId="0" xfId="25" applyNumberFormat="1" applyFont="1" applyFill="1" applyBorder="1" applyAlignment="1">
      <alignment vertical="center"/>
    </xf>
    <xf numFmtId="167" fontId="35" fillId="0" borderId="19" xfId="25" applyNumberFormat="1" applyFont="1" applyFill="1" applyBorder="1" applyAlignment="1">
      <alignment vertical="center"/>
    </xf>
    <xf numFmtId="0" fontId="35" fillId="0" borderId="4" xfId="24" applyFont="1" applyBorder="1" applyAlignment="1">
      <alignment vertical="center"/>
    </xf>
    <xf numFmtId="167" fontId="34" fillId="0" borderId="19" xfId="25" applyNumberFormat="1" applyFont="1" applyFill="1" applyBorder="1" applyAlignment="1">
      <alignment horizontal="right" vertical="center" readingOrder="2"/>
    </xf>
    <xf numFmtId="0" fontId="49" fillId="0" borderId="19" xfId="24" applyFont="1" applyBorder="1" applyAlignment="1">
      <alignment horizontal="center" vertical="center"/>
    </xf>
    <xf numFmtId="0" fontId="35" fillId="0" borderId="49" xfId="24" applyFont="1" applyBorder="1" applyAlignment="1">
      <alignment vertical="center"/>
    </xf>
    <xf numFmtId="1" fontId="35" fillId="0" borderId="11" xfId="24" applyNumberFormat="1" applyFont="1" applyBorder="1" applyAlignment="1">
      <alignment horizontal="center" vertical="center"/>
    </xf>
    <xf numFmtId="167" fontId="35" fillId="0" borderId="12" xfId="25" applyNumberFormat="1" applyFont="1" applyFill="1" applyBorder="1" applyAlignment="1">
      <alignment vertical="center"/>
    </xf>
    <xf numFmtId="0" fontId="35" fillId="0" borderId="56" xfId="24" applyFont="1" applyBorder="1" applyAlignment="1">
      <alignment vertical="center"/>
    </xf>
    <xf numFmtId="14" fontId="35" fillId="0" borderId="24" xfId="24" applyNumberFormat="1" applyFont="1" applyBorder="1" applyAlignment="1">
      <alignment horizontal="center" vertical="center"/>
    </xf>
    <xf numFmtId="167" fontId="35" fillId="0" borderId="22" xfId="25" applyNumberFormat="1" applyFont="1" applyFill="1" applyBorder="1" applyAlignment="1">
      <alignment vertical="center"/>
    </xf>
    <xf numFmtId="170" fontId="35" fillId="0" borderId="11" xfId="27" applyNumberFormat="1" applyFont="1" applyFill="1" applyBorder="1" applyAlignment="1">
      <alignment horizontal="center"/>
    </xf>
    <xf numFmtId="0" fontId="49" fillId="0" borderId="23" xfId="24" applyFont="1" applyBorder="1" applyAlignment="1">
      <alignment horizontal="center" vertical="center"/>
    </xf>
    <xf numFmtId="1" fontId="49" fillId="0" borderId="11" xfId="24" applyNumberFormat="1" applyFont="1" applyBorder="1" applyAlignment="1">
      <alignment horizontal="center" vertical="center"/>
    </xf>
    <xf numFmtId="172" fontId="49" fillId="0" borderId="8" xfId="24" applyNumberFormat="1" applyFont="1" applyBorder="1" applyAlignment="1">
      <alignment horizontal="center" vertical="center"/>
    </xf>
    <xf numFmtId="172" fontId="49" fillId="0" borderId="11" xfId="24" applyNumberFormat="1" applyFont="1" applyBorder="1" applyAlignment="1">
      <alignment horizontal="center" vertical="center"/>
    </xf>
    <xf numFmtId="164" fontId="35" fillId="0" borderId="31" xfId="16" applyFont="1" applyFill="1" applyBorder="1" applyAlignment="1">
      <alignment horizontal="left"/>
    </xf>
    <xf numFmtId="172" fontId="35" fillId="0" borderId="8" xfId="16" applyNumberFormat="1" applyFont="1" applyFill="1" applyBorder="1" applyAlignment="1">
      <alignment horizontal="center"/>
    </xf>
    <xf numFmtId="9" fontId="35" fillId="0" borderId="10" xfId="27" applyFont="1" applyFill="1" applyBorder="1" applyAlignment="1">
      <alignment horizontal="center"/>
    </xf>
    <xf numFmtId="164" fontId="35" fillId="0" borderId="7" xfId="16" applyFont="1" applyFill="1" applyBorder="1" applyAlignment="1">
      <alignment horizontal="left"/>
    </xf>
    <xf numFmtId="0" fontId="35" fillId="0" borderId="3" xfId="16" applyNumberFormat="1" applyFont="1" applyFill="1" applyBorder="1" applyAlignment="1">
      <alignment horizontal="center"/>
    </xf>
    <xf numFmtId="9" fontId="35" fillId="0" borderId="21" xfId="27" applyFont="1" applyFill="1" applyBorder="1" applyAlignment="1">
      <alignment horizontal="center"/>
    </xf>
    <xf numFmtId="167" fontId="35" fillId="0" borderId="3" xfId="25" applyNumberFormat="1" applyFont="1" applyFill="1" applyBorder="1" applyAlignment="1">
      <alignment horizontal="right" vertical="center" readingOrder="2"/>
    </xf>
    <xf numFmtId="164" fontId="35" fillId="0" borderId="3" xfId="25" applyNumberFormat="1" applyFont="1" applyFill="1" applyBorder="1" applyAlignment="1">
      <alignment horizontal="right" vertical="center" readingOrder="2"/>
    </xf>
    <xf numFmtId="167" fontId="35" fillId="0" borderId="18" xfId="25" applyNumberFormat="1" applyFont="1" applyFill="1" applyBorder="1" applyAlignment="1">
      <alignment vertical="center"/>
    </xf>
    <xf numFmtId="0" fontId="34" fillId="0" borderId="19" xfId="24" applyFont="1" applyBorder="1" applyAlignment="1">
      <alignment horizontal="left" vertical="center"/>
    </xf>
    <xf numFmtId="0" fontId="34" fillId="0" borderId="8" xfId="24" applyFont="1" applyBorder="1" applyAlignment="1">
      <alignment horizontal="left" vertical="center"/>
    </xf>
    <xf numFmtId="0" fontId="49" fillId="0" borderId="50" xfId="24" applyFont="1" applyBorder="1"/>
    <xf numFmtId="0" fontId="49" fillId="0" borderId="9" xfId="24" applyFont="1" applyBorder="1" applyAlignment="1">
      <alignment vertical="center"/>
    </xf>
    <xf numFmtId="0" fontId="49" fillId="0" borderId="8" xfId="24" applyFont="1" applyBorder="1" applyAlignment="1">
      <alignment vertical="center"/>
    </xf>
    <xf numFmtId="0" fontId="49" fillId="0" borderId="19" xfId="24" applyFont="1" applyBorder="1" applyAlignment="1">
      <alignment vertical="center"/>
    </xf>
    <xf numFmtId="0" fontId="49" fillId="0" borderId="21" xfId="24" applyFont="1" applyBorder="1" applyAlignment="1">
      <alignment horizontal="center" vertical="center"/>
    </xf>
    <xf numFmtId="0" fontId="49" fillId="0" borderId="11" xfId="24" applyFont="1" applyBorder="1" applyAlignment="1">
      <alignment vertical="center"/>
    </xf>
    <xf numFmtId="0" fontId="34" fillId="0" borderId="11" xfId="24" applyFont="1" applyBorder="1" applyAlignment="1">
      <alignment horizontal="left" vertical="center"/>
    </xf>
    <xf numFmtId="15" fontId="49" fillId="0" borderId="10" xfId="24" applyNumberFormat="1" applyFont="1" applyBorder="1" applyAlignment="1">
      <alignment horizontal="center" vertical="center"/>
    </xf>
    <xf numFmtId="37" fontId="35" fillId="0" borderId="8" xfId="25" applyNumberFormat="1" applyFont="1" applyFill="1" applyBorder="1" applyAlignment="1">
      <alignment horizontal="right" vertical="center" readingOrder="2"/>
    </xf>
    <xf numFmtId="37" fontId="35" fillId="0" borderId="11" xfId="26" applyNumberFormat="1" applyFont="1" applyBorder="1" applyAlignment="1">
      <alignment horizontal="right" readingOrder="2"/>
    </xf>
    <xf numFmtId="15" fontId="49" fillId="0" borderId="8" xfId="24" applyNumberFormat="1" applyFont="1" applyBorder="1" applyAlignment="1">
      <alignment horizontal="center" vertical="center"/>
    </xf>
    <xf numFmtId="15" fontId="49" fillId="0" borderId="11" xfId="24" applyNumberFormat="1" applyFont="1" applyBorder="1" applyAlignment="1">
      <alignment horizontal="center" vertical="center"/>
    </xf>
    <xf numFmtId="0" fontId="34" fillId="0" borderId="9" xfId="24" applyFont="1" applyBorder="1" applyAlignment="1">
      <alignment horizontal="left" vertical="center"/>
    </xf>
    <xf numFmtId="15" fontId="49" fillId="0" borderId="31" xfId="24" applyNumberFormat="1" applyFont="1" applyBorder="1" applyAlignment="1">
      <alignment horizontal="center" vertical="center"/>
    </xf>
    <xf numFmtId="0" fontId="34" fillId="0" borderId="12" xfId="24" applyFont="1" applyBorder="1" applyAlignment="1">
      <alignment horizontal="left" vertical="center"/>
    </xf>
    <xf numFmtId="15" fontId="49" fillId="0" borderId="32" xfId="24" applyNumberFormat="1" applyFont="1" applyBorder="1" applyAlignment="1">
      <alignment horizontal="center" vertical="center"/>
    </xf>
    <xf numFmtId="0" fontId="35" fillId="0" borderId="5" xfId="24" applyFont="1" applyBorder="1" applyAlignment="1">
      <alignment vertical="center"/>
    </xf>
    <xf numFmtId="0" fontId="49" fillId="0" borderId="58" xfId="24" applyFont="1" applyBorder="1" applyAlignment="1">
      <alignment vertical="center"/>
    </xf>
    <xf numFmtId="0" fontId="49" fillId="0" borderId="50" xfId="24" applyFont="1" applyBorder="1" applyAlignment="1">
      <alignment vertical="center"/>
    </xf>
    <xf numFmtId="0" fontId="49" fillId="0" borderId="51" xfId="24" applyFont="1" applyBorder="1" applyAlignment="1">
      <alignment vertical="center"/>
    </xf>
    <xf numFmtId="0" fontId="49" fillId="0" borderId="59" xfId="24" applyFont="1" applyBorder="1" applyAlignment="1">
      <alignment vertical="center"/>
    </xf>
    <xf numFmtId="0" fontId="49" fillId="0" borderId="17" xfId="24" applyFont="1" applyBorder="1" applyAlignment="1">
      <alignment horizontal="center" vertical="center"/>
    </xf>
    <xf numFmtId="14" fontId="49" fillId="0" borderId="10" xfId="24" applyNumberFormat="1" applyFont="1" applyBorder="1" applyAlignment="1">
      <alignment horizontal="center" vertical="center"/>
    </xf>
    <xf numFmtId="0" fontId="49" fillId="0" borderId="47" xfId="24" applyFont="1" applyBorder="1" applyAlignment="1">
      <alignment vertical="center"/>
    </xf>
    <xf numFmtId="164" fontId="35" fillId="0" borderId="24" xfId="25" applyNumberFormat="1" applyFont="1" applyFill="1" applyBorder="1" applyAlignment="1">
      <alignment horizontal="right" vertical="center" readingOrder="2"/>
    </xf>
    <xf numFmtId="37" fontId="35" fillId="0" borderId="24" xfId="26" applyNumberFormat="1" applyFont="1" applyBorder="1" applyAlignment="1">
      <alignment horizontal="right" readingOrder="2"/>
    </xf>
    <xf numFmtId="167" fontId="34" fillId="0" borderId="1" xfId="25" applyNumberFormat="1" applyFont="1" applyFill="1" applyBorder="1" applyAlignment="1">
      <alignment horizontal="right" vertical="center"/>
    </xf>
    <xf numFmtId="15" fontId="35" fillId="0" borderId="54" xfId="18" applyNumberFormat="1" applyFont="1" applyFill="1" applyBorder="1" applyAlignment="1">
      <alignment horizontal="center" vertical="center"/>
    </xf>
    <xf numFmtId="0" fontId="49" fillId="0" borderId="40" xfId="24" applyFont="1" applyBorder="1" applyAlignment="1">
      <alignment vertical="center"/>
    </xf>
    <xf numFmtId="0" fontId="49" fillId="0" borderId="18" xfId="24" applyFont="1" applyBorder="1" applyAlignment="1">
      <alignment horizontal="center" vertical="center"/>
    </xf>
    <xf numFmtId="0" fontId="35" fillId="0" borderId="46" xfId="18" applyNumberFormat="1" applyFont="1" applyFill="1" applyBorder="1" applyAlignment="1">
      <alignment horizontal="left" vertical="center"/>
    </xf>
    <xf numFmtId="167" fontId="34" fillId="0" borderId="1" xfId="25" applyNumberFormat="1" applyFont="1" applyFill="1" applyBorder="1" applyAlignment="1">
      <alignment vertical="center"/>
    </xf>
    <xf numFmtId="15" fontId="49" fillId="0" borderId="0" xfId="24" applyNumberFormat="1" applyFont="1" applyAlignment="1">
      <alignment horizontal="center" vertical="center"/>
    </xf>
    <xf numFmtId="170" fontId="35" fillId="0" borderId="18" xfId="12" applyNumberFormat="1" applyFont="1" applyFill="1" applyBorder="1" applyAlignment="1">
      <alignment horizontal="center" vertical="center"/>
    </xf>
    <xf numFmtId="0" fontId="35" fillId="0" borderId="7" xfId="18" applyNumberFormat="1" applyFont="1" applyFill="1" applyBorder="1" applyAlignment="1">
      <alignment horizontal="left" vertical="center"/>
    </xf>
    <xf numFmtId="170" fontId="35" fillId="0" borderId="21" xfId="12" applyNumberFormat="1" applyFont="1" applyFill="1" applyBorder="1" applyAlignment="1">
      <alignment horizontal="center" vertical="center"/>
    </xf>
    <xf numFmtId="14" fontId="49" fillId="0" borderId="31" xfId="24" applyNumberFormat="1" applyFont="1" applyBorder="1" applyAlignment="1">
      <alignment horizontal="center" vertical="center"/>
    </xf>
    <xf numFmtId="0" fontId="35" fillId="0" borderId="64" xfId="18" applyNumberFormat="1" applyFont="1" applyFill="1" applyBorder="1" applyAlignment="1">
      <alignment horizontal="left" vertical="center"/>
    </xf>
    <xf numFmtId="14" fontId="49" fillId="0" borderId="0" xfId="24" applyNumberFormat="1" applyFont="1" applyAlignment="1">
      <alignment horizontal="center" vertical="center"/>
    </xf>
    <xf numFmtId="167" fontId="49" fillId="0" borderId="19" xfId="25" applyNumberFormat="1" applyFont="1" applyFill="1" applyBorder="1" applyAlignment="1">
      <alignment vertical="center"/>
    </xf>
    <xf numFmtId="0" fontId="35" fillId="0" borderId="45" xfId="18" applyNumberFormat="1" applyFont="1" applyFill="1" applyBorder="1" applyAlignment="1">
      <alignment horizontal="left" vertical="center"/>
    </xf>
    <xf numFmtId="167" fontId="49" fillId="0" borderId="24" xfId="25" applyNumberFormat="1" applyFont="1" applyFill="1" applyBorder="1" applyAlignment="1">
      <alignment vertical="center"/>
    </xf>
    <xf numFmtId="167" fontId="49" fillId="0" borderId="8" xfId="25" applyNumberFormat="1" applyFont="1" applyFill="1" applyBorder="1" applyAlignment="1">
      <alignment vertical="center"/>
    </xf>
    <xf numFmtId="167" fontId="35" fillId="12" borderId="11" xfId="25" applyNumberFormat="1" applyFont="1" applyFill="1" applyBorder="1" applyAlignment="1">
      <alignment horizontal="right" vertical="center" readingOrder="2"/>
    </xf>
    <xf numFmtId="0" fontId="49" fillId="0" borderId="57" xfId="24" applyFont="1" applyBorder="1" applyAlignment="1">
      <alignment vertical="center"/>
    </xf>
    <xf numFmtId="14" fontId="49" fillId="0" borderId="24" xfId="24" applyNumberFormat="1" applyFont="1" applyBorder="1" applyAlignment="1">
      <alignment horizontal="center" vertical="center"/>
    </xf>
    <xf numFmtId="0" fontId="35" fillId="0" borderId="0" xfId="16" applyNumberFormat="1" applyFont="1" applyFill="1" applyBorder="1"/>
    <xf numFmtId="15" fontId="35" fillId="0" borderId="0" xfId="16" quotePrefix="1" applyNumberFormat="1" applyFont="1" applyFill="1" applyBorder="1" applyAlignment="1">
      <alignment horizontal="center"/>
    </xf>
    <xf numFmtId="10" fontId="35" fillId="0" borderId="19" xfId="12" applyNumberFormat="1" applyFont="1" applyFill="1" applyBorder="1" applyAlignment="1">
      <alignment horizontal="center"/>
    </xf>
    <xf numFmtId="37" fontId="35" fillId="0" borderId="19" xfId="16" applyNumberFormat="1" applyFont="1" applyFill="1" applyBorder="1" applyAlignment="1">
      <alignment horizontal="right" readingOrder="2"/>
    </xf>
    <xf numFmtId="0" fontId="34" fillId="0" borderId="60" xfId="16" applyNumberFormat="1" applyFont="1" applyFill="1" applyBorder="1" applyAlignment="1">
      <alignment horizontal="left" vertical="center"/>
    </xf>
    <xf numFmtId="14" fontId="49" fillId="0" borderId="7" xfId="24" applyNumberFormat="1" applyFont="1" applyBorder="1" applyAlignment="1">
      <alignment horizontal="center" vertical="center"/>
    </xf>
    <xf numFmtId="14" fontId="35" fillId="0" borderId="8" xfId="16" applyNumberFormat="1" applyFont="1" applyFill="1" applyBorder="1" applyAlignment="1">
      <alignment horizontal="center" vertical="center"/>
    </xf>
    <xf numFmtId="14" fontId="35" fillId="0" borderId="38" xfId="16" applyNumberFormat="1" applyFont="1" applyFill="1" applyBorder="1" applyAlignment="1">
      <alignment horizontal="center" vertical="center"/>
    </xf>
    <xf numFmtId="0" fontId="35" fillId="0" borderId="63" xfId="24" applyFont="1" applyBorder="1" applyAlignment="1">
      <alignment horizontal="left" vertical="center"/>
    </xf>
    <xf numFmtId="167" fontId="49" fillId="0" borderId="11" xfId="25" applyNumberFormat="1" applyFont="1" applyFill="1" applyBorder="1" applyAlignment="1">
      <alignment vertical="center"/>
    </xf>
    <xf numFmtId="17" fontId="35" fillId="0" borderId="24" xfId="28" applyNumberFormat="1" applyFont="1" applyFill="1" applyBorder="1" applyAlignment="1">
      <alignment horizontal="center"/>
    </xf>
    <xf numFmtId="166" fontId="49" fillId="0" borderId="11" xfId="24" applyNumberFormat="1" applyFont="1" applyBorder="1" applyAlignment="1">
      <alignment horizontal="center" vertical="center"/>
    </xf>
    <xf numFmtId="167" fontId="35" fillId="0" borderId="1" xfId="25" applyNumberFormat="1" applyFont="1" applyFill="1" applyBorder="1" applyAlignment="1">
      <alignment horizontal="right" vertical="center" readingOrder="2"/>
    </xf>
    <xf numFmtId="49" fontId="49" fillId="0" borderId="8" xfId="24" applyNumberFormat="1" applyFont="1" applyBorder="1" applyAlignment="1">
      <alignment horizontal="center" vertical="center"/>
    </xf>
    <xf numFmtId="49" fontId="49" fillId="0" borderId="11" xfId="24" applyNumberFormat="1" applyFont="1" applyBorder="1" applyAlignment="1">
      <alignment horizontal="center" vertical="center"/>
    </xf>
    <xf numFmtId="14" fontId="49" fillId="0" borderId="12" xfId="24" applyNumberFormat="1" applyFont="1" applyBorder="1" applyAlignment="1">
      <alignment horizontal="center" vertical="center"/>
    </xf>
    <xf numFmtId="9" fontId="35" fillId="0" borderId="24" xfId="27" applyFont="1" applyFill="1" applyBorder="1" applyAlignment="1">
      <alignment horizontal="center"/>
    </xf>
    <xf numFmtId="167" fontId="34" fillId="0" borderId="3" xfId="25" applyNumberFormat="1" applyFont="1" applyFill="1" applyBorder="1" applyAlignment="1">
      <alignment horizontal="right" vertical="center" readingOrder="2"/>
    </xf>
    <xf numFmtId="49" fontId="34" fillId="0" borderId="8" xfId="16" applyNumberFormat="1" applyFont="1" applyFill="1" applyBorder="1" applyAlignment="1">
      <alignment horizontal="left" vertical="center"/>
    </xf>
    <xf numFmtId="0" fontId="35" fillId="0" borderId="21" xfId="16" applyNumberFormat="1" applyFont="1" applyFill="1" applyBorder="1" applyAlignment="1">
      <alignment vertical="center"/>
    </xf>
    <xf numFmtId="0" fontId="49" fillId="0" borderId="0" xfId="24" applyFont="1" applyAlignment="1">
      <alignment horizontal="center" vertical="center"/>
    </xf>
    <xf numFmtId="167" fontId="35" fillId="0" borderId="61" xfId="25" applyNumberFormat="1" applyFont="1" applyFill="1" applyBorder="1" applyAlignment="1">
      <alignment horizontal="right" vertical="center" readingOrder="2"/>
    </xf>
    <xf numFmtId="167" fontId="35" fillId="0" borderId="55" xfId="25" applyNumberFormat="1" applyFont="1" applyFill="1" applyBorder="1" applyAlignment="1">
      <alignment horizontal="right" vertical="center" readingOrder="2"/>
    </xf>
    <xf numFmtId="0" fontId="34" fillId="0" borderId="34" xfId="18" applyNumberFormat="1" applyFont="1" applyFill="1" applyBorder="1" applyAlignment="1">
      <alignment horizontal="left" vertical="center"/>
    </xf>
    <xf numFmtId="167" fontId="35" fillId="0" borderId="68" xfId="25" applyNumberFormat="1" applyFont="1" applyFill="1" applyBorder="1" applyAlignment="1">
      <alignment horizontal="right" vertical="center" readingOrder="2"/>
    </xf>
    <xf numFmtId="167" fontId="35" fillId="0" borderId="22" xfId="25" applyNumberFormat="1" applyFont="1" applyFill="1" applyBorder="1" applyAlignment="1">
      <alignment horizontal="right" vertical="center" readingOrder="2"/>
    </xf>
    <xf numFmtId="1" fontId="49" fillId="0" borderId="18" xfId="24" applyNumberFormat="1" applyFont="1" applyBorder="1" applyAlignment="1">
      <alignment horizontal="center" vertical="center"/>
    </xf>
    <xf numFmtId="1" fontId="49" fillId="0" borderId="19" xfId="24" applyNumberFormat="1" applyFont="1" applyBorder="1" applyAlignment="1">
      <alignment horizontal="center" vertical="center"/>
    </xf>
    <xf numFmtId="15" fontId="49" fillId="0" borderId="24" xfId="24" applyNumberFormat="1" applyFont="1" applyBorder="1" applyAlignment="1">
      <alignment horizontal="center" vertical="center"/>
    </xf>
    <xf numFmtId="167" fontId="34" fillId="0" borderId="25" xfId="25" applyNumberFormat="1" applyFont="1" applyFill="1" applyBorder="1" applyAlignment="1">
      <alignment horizontal="right" vertical="center" readingOrder="2"/>
    </xf>
    <xf numFmtId="37" fontId="34" fillId="0" borderId="0" xfId="24" applyNumberFormat="1" applyFont="1" applyAlignment="1">
      <alignment vertical="center"/>
    </xf>
    <xf numFmtId="37" fontId="34" fillId="0" borderId="0" xfId="24" applyNumberFormat="1" applyFont="1" applyAlignment="1">
      <alignment horizontal="left" vertical="center"/>
    </xf>
    <xf numFmtId="49" fontId="35" fillId="0" borderId="0" xfId="24" applyNumberFormat="1" applyFont="1" applyAlignment="1">
      <alignment vertical="center"/>
    </xf>
    <xf numFmtId="0" fontId="35" fillId="0" borderId="0" xfId="24" applyFont="1" applyAlignment="1">
      <alignment horizontal="center" vertical="center"/>
    </xf>
    <xf numFmtId="37" fontId="35" fillId="0" borderId="0" xfId="24" applyNumberFormat="1" applyFont="1" applyAlignment="1">
      <alignment vertical="center"/>
    </xf>
    <xf numFmtId="0" fontId="55" fillId="10" borderId="0" xfId="0" applyFont="1" applyFill="1" applyAlignment="1">
      <alignment vertical="center"/>
    </xf>
    <xf numFmtId="0" fontId="10" fillId="0" borderId="0" xfId="3" applyFont="1" applyAlignment="1">
      <alignment horizontal="center" vertical="center"/>
    </xf>
    <xf numFmtId="164" fontId="23" fillId="0" borderId="0" xfId="0" applyNumberFormat="1" applyFont="1"/>
    <xf numFmtId="0" fontId="17" fillId="14" borderId="1" xfId="3" applyFont="1" applyFill="1" applyBorder="1" applyAlignment="1">
      <alignment horizontal="left" vertical="center" wrapText="1"/>
    </xf>
    <xf numFmtId="0" fontId="11" fillId="14" borderId="0" xfId="0" applyFont="1" applyFill="1" applyAlignment="1">
      <alignment vertical="center"/>
    </xf>
    <xf numFmtId="0" fontId="11" fillId="4" borderId="1" xfId="3" applyFont="1" applyFill="1" applyBorder="1" applyAlignment="1">
      <alignment horizontal="center" vertical="center"/>
    </xf>
    <xf numFmtId="0" fontId="17" fillId="4" borderId="1" xfId="3" applyFont="1" applyFill="1" applyBorder="1" applyAlignment="1">
      <alignment horizontal="left" vertical="center" wrapText="1"/>
    </xf>
    <xf numFmtId="14" fontId="17" fillId="4" borderId="1" xfId="15" applyNumberFormat="1" applyFont="1" applyFill="1" applyBorder="1" applyAlignment="1">
      <alignment horizontal="center" vertical="center"/>
    </xf>
    <xf numFmtId="0" fontId="17" fillId="4" borderId="1" xfId="2" applyNumberFormat="1" applyFont="1" applyFill="1" applyBorder="1" applyAlignment="1">
      <alignment horizontal="center" vertical="center"/>
    </xf>
    <xf numFmtId="164" fontId="11" fillId="4" borderId="1" xfId="2" applyFont="1" applyFill="1" applyBorder="1" applyAlignment="1">
      <alignment horizontal="left" vertical="center"/>
    </xf>
    <xf numFmtId="167" fontId="11" fillId="4" borderId="1" xfId="1" applyNumberFormat="1" applyFont="1" applyFill="1" applyBorder="1" applyAlignment="1">
      <alignment horizontal="center" vertical="center"/>
    </xf>
    <xf numFmtId="41" fontId="11" fillId="4" borderId="1" xfId="2" applyNumberFormat="1" applyFont="1" applyFill="1" applyBorder="1" applyAlignment="1">
      <alignment horizontal="center" vertical="center"/>
    </xf>
    <xf numFmtId="41" fontId="11" fillId="4" borderId="0" xfId="0" applyNumberFormat="1" applyFont="1" applyFill="1" applyAlignment="1">
      <alignment vertical="center"/>
    </xf>
    <xf numFmtId="167" fontId="11" fillId="4" borderId="0" xfId="1" applyNumberFormat="1" applyFont="1" applyFill="1" applyAlignment="1">
      <alignment vertical="center"/>
    </xf>
    <xf numFmtId="167" fontId="11" fillId="4" borderId="0" xfId="0" applyNumberFormat="1" applyFont="1" applyFill="1" applyAlignment="1">
      <alignment vertical="center"/>
    </xf>
    <xf numFmtId="0" fontId="11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left" vertical="center" wrapText="1"/>
    </xf>
    <xf numFmtId="14" fontId="17" fillId="15" borderId="1" xfId="15" applyNumberFormat="1" applyFont="1" applyFill="1" applyBorder="1" applyAlignment="1">
      <alignment horizontal="center" vertical="center"/>
    </xf>
    <xf numFmtId="0" fontId="17" fillId="15" borderId="1" xfId="2" applyNumberFormat="1" applyFont="1" applyFill="1" applyBorder="1" applyAlignment="1">
      <alignment horizontal="center" vertical="center"/>
    </xf>
    <xf numFmtId="164" fontId="11" fillId="15" borderId="1" xfId="2" applyFont="1" applyFill="1" applyBorder="1" applyAlignment="1">
      <alignment horizontal="left" vertical="center"/>
    </xf>
    <xf numFmtId="167" fontId="11" fillId="15" borderId="1" xfId="1" applyNumberFormat="1" applyFont="1" applyFill="1" applyBorder="1" applyAlignment="1">
      <alignment horizontal="center" vertical="center"/>
    </xf>
    <xf numFmtId="41" fontId="11" fillId="15" borderId="1" xfId="2" applyNumberFormat="1" applyFont="1" applyFill="1" applyBorder="1" applyAlignment="1">
      <alignment horizontal="center" vertical="center"/>
    </xf>
    <xf numFmtId="0" fontId="11" fillId="15" borderId="0" xfId="0" applyFont="1" applyFill="1" applyAlignment="1">
      <alignment vertical="center"/>
    </xf>
    <xf numFmtId="0" fontId="10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left" vertical="center" wrapText="1"/>
    </xf>
    <xf numFmtId="1" fontId="46" fillId="15" borderId="1" xfId="15" applyNumberFormat="1" applyFont="1" applyFill="1" applyBorder="1" applyAlignment="1">
      <alignment horizontal="center" vertical="center"/>
    </xf>
    <xf numFmtId="41" fontId="10" fillId="15" borderId="1" xfId="2" applyNumberFormat="1" applyFont="1" applyFill="1" applyBorder="1" applyAlignment="1">
      <alignment horizontal="center" vertical="center"/>
    </xf>
    <xf numFmtId="41" fontId="11" fillId="4" borderId="0" xfId="2" applyNumberFormat="1" applyFont="1" applyFill="1" applyBorder="1" applyAlignment="1">
      <alignment horizontal="center" vertical="center"/>
    </xf>
    <xf numFmtId="0" fontId="0" fillId="4" borderId="0" xfId="0" applyFill="1"/>
    <xf numFmtId="41" fontId="11" fillId="4" borderId="0" xfId="2" applyNumberFormat="1" applyFont="1" applyFill="1" applyBorder="1" applyAlignment="1">
      <alignment horizontal="left" vertical="center"/>
    </xf>
    <xf numFmtId="14" fontId="11" fillId="15" borderId="1" xfId="16" applyNumberFormat="1" applyFont="1" applyFill="1" applyBorder="1" applyAlignment="1">
      <alignment horizontal="center"/>
    </xf>
    <xf numFmtId="0" fontId="17" fillId="15" borderId="1" xfId="0" applyFont="1" applyFill="1" applyBorder="1" applyAlignment="1">
      <alignment horizontal="left" vertical="center"/>
    </xf>
    <xf numFmtId="14" fontId="17" fillId="15" borderId="1" xfId="3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14" fontId="17" fillId="4" borderId="1" xfId="3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16" borderId="1" xfId="3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left" vertical="center"/>
    </xf>
    <xf numFmtId="41" fontId="10" fillId="4" borderId="1" xfId="2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167" fontId="11" fillId="4" borderId="1" xfId="2" applyNumberFormat="1" applyFont="1" applyFill="1" applyBorder="1" applyAlignment="1">
      <alignment horizontal="center" vertical="center"/>
    </xf>
    <xf numFmtId="41" fontId="11" fillId="15" borderId="0" xfId="0" applyNumberFormat="1" applyFont="1" applyFill="1" applyAlignment="1">
      <alignment vertical="center"/>
    </xf>
    <xf numFmtId="15" fontId="46" fillId="0" borderId="1" xfId="3" applyNumberFormat="1" applyFont="1" applyBorder="1" applyAlignment="1">
      <alignment horizontal="left" vertical="center"/>
    </xf>
    <xf numFmtId="0" fontId="17" fillId="17" borderId="1" xfId="3" applyFont="1" applyFill="1" applyBorder="1" applyAlignment="1">
      <alignment horizontal="left" vertical="center" wrapText="1"/>
    </xf>
    <xf numFmtId="0" fontId="17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left" vertical="center"/>
    </xf>
    <xf numFmtId="164" fontId="40" fillId="18" borderId="0" xfId="0" applyNumberFormat="1" applyFont="1" applyFill="1"/>
    <xf numFmtId="0" fontId="4" fillId="0" borderId="0" xfId="8" applyFont="1" applyAlignment="1">
      <alignment horizontal="left" vertical="center"/>
    </xf>
    <xf numFmtId="167" fontId="11" fillId="15" borderId="1" xfId="2" applyNumberFormat="1" applyFont="1" applyFill="1" applyBorder="1" applyAlignment="1">
      <alignment horizontal="center" vertical="center"/>
    </xf>
    <xf numFmtId="0" fontId="56" fillId="18" borderId="0" xfId="8" applyFont="1" applyFill="1" applyAlignment="1">
      <alignment horizontal="left" vertical="center" wrapText="1"/>
    </xf>
    <xf numFmtId="0" fontId="56" fillId="4" borderId="0" xfId="8" applyFont="1" applyFill="1" applyAlignment="1">
      <alignment horizontal="left" vertical="center" wrapText="1"/>
    </xf>
    <xf numFmtId="0" fontId="57" fillId="0" borderId="0" xfId="0" applyFont="1"/>
    <xf numFmtId="164" fontId="26" fillId="19" borderId="0" xfId="2" applyFont="1" applyFill="1"/>
    <xf numFmtId="0" fontId="11" fillId="0" borderId="0" xfId="0" applyFont="1" applyAlignment="1">
      <alignment horizontal="right" vertical="center"/>
    </xf>
    <xf numFmtId="164" fontId="26" fillId="5" borderId="0" xfId="2" applyFont="1" applyFill="1"/>
    <xf numFmtId="164" fontId="29" fillId="5" borderId="0" xfId="2" applyFont="1" applyFill="1"/>
    <xf numFmtId="167" fontId="58" fillId="0" borderId="0" xfId="1" applyNumberFormat="1" applyFont="1"/>
    <xf numFmtId="167" fontId="59" fillId="0" borderId="0" xfId="1" applyNumberFormat="1" applyFont="1"/>
    <xf numFmtId="0" fontId="59" fillId="0" borderId="0" xfId="0" applyFont="1"/>
    <xf numFmtId="0" fontId="58" fillId="0" borderId="0" xfId="0" applyFont="1"/>
    <xf numFmtId="0" fontId="58" fillId="0" borderId="0" xfId="0" applyFont="1" applyAlignment="1">
      <alignment horizontal="center"/>
    </xf>
    <xf numFmtId="167" fontId="23" fillId="0" borderId="0" xfId="1" applyNumberFormat="1" applyFont="1" applyFill="1"/>
    <xf numFmtId="0" fontId="24" fillId="0" borderId="0" xfId="1" applyNumberFormat="1" applyFont="1" applyFill="1" applyAlignment="1">
      <alignment horizontal="center"/>
    </xf>
    <xf numFmtId="167" fontId="24" fillId="0" borderId="0" xfId="1" applyNumberFormat="1" applyFont="1" applyFill="1"/>
    <xf numFmtId="167" fontId="29" fillId="0" borderId="7" xfId="1" applyNumberFormat="1" applyFont="1" applyFill="1" applyBorder="1"/>
    <xf numFmtId="167" fontId="23" fillId="0" borderId="0" xfId="1" applyNumberFormat="1" applyFont="1" applyFill="1" applyAlignment="1">
      <alignment horizontal="right"/>
    </xf>
    <xf numFmtId="164" fontId="26" fillId="0" borderId="0" xfId="6" applyFont="1" applyFill="1" applyBorder="1"/>
    <xf numFmtId="167" fontId="23" fillId="0" borderId="0" xfId="1" applyNumberFormat="1" applyFont="1" applyFill="1" applyBorder="1"/>
    <xf numFmtId="164" fontId="29" fillId="0" borderId="7" xfId="2" applyFont="1" applyFill="1" applyBorder="1"/>
    <xf numFmtId="164" fontId="26" fillId="0" borderId="0" xfId="6" applyFont="1" applyFill="1" applyAlignment="1">
      <alignment horizontal="right"/>
    </xf>
    <xf numFmtId="164" fontId="29" fillId="0" borderId="0" xfId="2" applyFont="1" applyFill="1"/>
    <xf numFmtId="164" fontId="29" fillId="0" borderId="6" xfId="2" applyFont="1" applyFill="1" applyBorder="1"/>
    <xf numFmtId="164" fontId="60" fillId="0" borderId="0" xfId="2" applyFont="1" applyFill="1" applyAlignment="1">
      <alignment vertical="center"/>
    </xf>
    <xf numFmtId="0" fontId="60" fillId="0" borderId="0" xfId="0" applyFont="1" applyAlignment="1">
      <alignment vertical="center"/>
    </xf>
    <xf numFmtId="3" fontId="60" fillId="0" borderId="0" xfId="0" applyNumberFormat="1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11" fillId="21" borderId="0" xfId="0" applyFont="1" applyFill="1" applyAlignment="1">
      <alignment vertical="center"/>
    </xf>
    <xf numFmtId="0" fontId="17" fillId="21" borderId="1" xfId="0" applyFont="1" applyFill="1" applyBorder="1" applyAlignment="1">
      <alignment horizontal="left" vertical="center"/>
    </xf>
    <xf numFmtId="0" fontId="17" fillId="21" borderId="1" xfId="3" applyFont="1" applyFill="1" applyBorder="1" applyAlignment="1">
      <alignment horizontal="left" vertical="center" wrapText="1"/>
    </xf>
    <xf numFmtId="0" fontId="11" fillId="21" borderId="0" xfId="0" applyFont="1" applyFill="1" applyAlignment="1">
      <alignment horizontal="center" vertical="center"/>
    </xf>
    <xf numFmtId="9" fontId="61" fillId="0" borderId="0" xfId="14" applyFont="1"/>
    <xf numFmtId="164" fontId="61" fillId="0" borderId="0" xfId="2" applyFont="1"/>
    <xf numFmtId="170" fontId="61" fillId="0" borderId="0" xfId="14" applyNumberFormat="1" applyFont="1"/>
    <xf numFmtId="10" fontId="61" fillId="0" borderId="0" xfId="14" applyNumberFormat="1" applyFont="1"/>
    <xf numFmtId="0" fontId="17" fillId="2" borderId="1" xfId="3" applyFont="1" applyFill="1" applyBorder="1" applyAlignment="1">
      <alignment horizontal="left" vertical="center" wrapText="1"/>
    </xf>
    <xf numFmtId="14" fontId="17" fillId="22" borderId="1" xfId="15" applyNumberFormat="1" applyFont="1" applyFill="1" applyBorder="1" applyAlignment="1">
      <alignment horizontal="center" vertical="center"/>
    </xf>
    <xf numFmtId="0" fontId="17" fillId="22" borderId="1" xfId="2" applyNumberFormat="1" applyFont="1" applyFill="1" applyBorder="1" applyAlignment="1">
      <alignment horizontal="center" vertical="center"/>
    </xf>
    <xf numFmtId="164" fontId="11" fillId="22" borderId="1" xfId="2" applyFont="1" applyFill="1" applyBorder="1" applyAlignment="1">
      <alignment horizontal="left" vertical="center"/>
    </xf>
    <xf numFmtId="167" fontId="11" fillId="22" borderId="1" xfId="1" applyNumberFormat="1" applyFont="1" applyFill="1" applyBorder="1" applyAlignment="1">
      <alignment horizontal="center" vertical="center"/>
    </xf>
    <xf numFmtId="41" fontId="11" fillId="22" borderId="1" xfId="2" applyNumberFormat="1" applyFont="1" applyFill="1" applyBorder="1" applyAlignment="1">
      <alignment horizontal="center" vertical="center"/>
    </xf>
    <xf numFmtId="0" fontId="11" fillId="22" borderId="0" xfId="0" applyFont="1" applyFill="1" applyAlignment="1">
      <alignment vertical="center"/>
    </xf>
    <xf numFmtId="41" fontId="11" fillId="22" borderId="0" xfId="0" applyNumberFormat="1" applyFont="1" applyFill="1" applyAlignment="1">
      <alignment vertical="center"/>
    </xf>
    <xf numFmtId="167" fontId="11" fillId="22" borderId="0" xfId="1" applyNumberFormat="1" applyFont="1" applyFill="1" applyAlignment="1">
      <alignment vertical="center"/>
    </xf>
    <xf numFmtId="167" fontId="11" fillId="22" borderId="0" xfId="0" applyNumberFormat="1" applyFont="1" applyFill="1" applyAlignment="1">
      <alignment vertical="center"/>
    </xf>
    <xf numFmtId="14" fontId="17" fillId="21" borderId="1" xfId="15" applyNumberFormat="1" applyFont="1" applyFill="1" applyBorder="1" applyAlignment="1">
      <alignment horizontal="center" vertical="center"/>
    </xf>
    <xf numFmtId="0" fontId="17" fillId="21" borderId="1" xfId="2" applyNumberFormat="1" applyFont="1" applyFill="1" applyBorder="1" applyAlignment="1">
      <alignment horizontal="center" vertical="center"/>
    </xf>
    <xf numFmtId="0" fontId="11" fillId="10" borderId="1" xfId="3" applyFont="1" applyFill="1" applyBorder="1" applyAlignment="1">
      <alignment horizontal="center" vertical="center"/>
    </xf>
    <xf numFmtId="14" fontId="17" fillId="18" borderId="1" xfId="3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/>
    </xf>
    <xf numFmtId="41" fontId="10" fillId="4" borderId="0" xfId="0" applyNumberFormat="1" applyFont="1" applyFill="1" applyAlignment="1">
      <alignment vertical="center"/>
    </xf>
    <xf numFmtId="0" fontId="10" fillId="4" borderId="0" xfId="0" applyFont="1" applyFill="1" applyAlignment="1">
      <alignment vertical="center"/>
    </xf>
    <xf numFmtId="167" fontId="10" fillId="4" borderId="0" xfId="1" applyNumberFormat="1" applyFont="1" applyFill="1" applyAlignment="1">
      <alignment vertical="center"/>
    </xf>
    <xf numFmtId="0" fontId="11" fillId="23" borderId="1" xfId="3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left" vertical="center"/>
    </xf>
    <xf numFmtId="14" fontId="17" fillId="23" borderId="1" xfId="15" applyNumberFormat="1" applyFont="1" applyFill="1" applyBorder="1" applyAlignment="1">
      <alignment horizontal="center" vertical="center"/>
    </xf>
    <xf numFmtId="0" fontId="17" fillId="23" borderId="1" xfId="2" applyNumberFormat="1" applyFont="1" applyFill="1" applyBorder="1" applyAlignment="1">
      <alignment horizontal="center" vertical="center"/>
    </xf>
    <xf numFmtId="164" fontId="11" fillId="23" borderId="1" xfId="2" applyFont="1" applyFill="1" applyBorder="1" applyAlignment="1">
      <alignment horizontal="left" vertical="center"/>
    </xf>
    <xf numFmtId="167" fontId="11" fillId="23" borderId="1" xfId="1" applyNumberFormat="1" applyFont="1" applyFill="1" applyBorder="1" applyAlignment="1">
      <alignment horizontal="center" vertical="center"/>
    </xf>
    <xf numFmtId="41" fontId="11" fillId="23" borderId="1" xfId="2" applyNumberFormat="1" applyFont="1" applyFill="1" applyBorder="1" applyAlignment="1">
      <alignment horizontal="center" vertical="center"/>
    </xf>
    <xf numFmtId="0" fontId="11" fillId="23" borderId="0" xfId="0" applyFont="1" applyFill="1" applyAlignment="1">
      <alignment vertical="center"/>
    </xf>
    <xf numFmtId="41" fontId="11" fillId="23" borderId="0" xfId="0" applyNumberFormat="1" applyFont="1" applyFill="1" applyAlignment="1">
      <alignment vertical="center"/>
    </xf>
    <xf numFmtId="167" fontId="11" fillId="23" borderId="0" xfId="1" applyNumberFormat="1" applyFont="1" applyFill="1" applyAlignment="1">
      <alignment vertical="center"/>
    </xf>
    <xf numFmtId="167" fontId="11" fillId="23" borderId="1" xfId="2" applyNumberFormat="1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vertical="center"/>
    </xf>
    <xf numFmtId="0" fontId="48" fillId="23" borderId="1" xfId="3" applyFont="1" applyFill="1" applyBorder="1" applyAlignment="1">
      <alignment horizontal="center" vertical="center"/>
    </xf>
    <xf numFmtId="164" fontId="21" fillId="23" borderId="1" xfId="2" applyFont="1" applyFill="1" applyBorder="1" applyAlignment="1">
      <alignment vertical="center"/>
    </xf>
    <xf numFmtId="0" fontId="10" fillId="23" borderId="1" xfId="3" applyFont="1" applyFill="1" applyBorder="1" applyAlignment="1">
      <alignment horizontal="center" vertical="center"/>
    </xf>
    <xf numFmtId="0" fontId="46" fillId="23" borderId="1" xfId="3" applyFont="1" applyFill="1" applyBorder="1" applyAlignment="1">
      <alignment horizontal="left" vertical="center" wrapText="1"/>
    </xf>
    <xf numFmtId="15" fontId="10" fillId="23" borderId="1" xfId="16" quotePrefix="1" applyNumberFormat="1" applyFont="1" applyFill="1" applyBorder="1" applyAlignment="1">
      <alignment horizontal="center"/>
    </xf>
    <xf numFmtId="0" fontId="46" fillId="23" borderId="1" xfId="2" applyNumberFormat="1" applyFont="1" applyFill="1" applyBorder="1" applyAlignment="1">
      <alignment horizontal="center" vertical="center"/>
    </xf>
    <xf numFmtId="41" fontId="10" fillId="23" borderId="1" xfId="2" applyNumberFormat="1" applyFont="1" applyFill="1" applyBorder="1" applyAlignment="1">
      <alignment horizontal="center" vertical="center"/>
    </xf>
    <xf numFmtId="0" fontId="17" fillId="23" borderId="1" xfId="3" applyFont="1" applyFill="1" applyBorder="1" applyAlignment="1">
      <alignment horizontal="left" vertical="center" wrapText="1"/>
    </xf>
    <xf numFmtId="0" fontId="10" fillId="23" borderId="1" xfId="16" applyNumberFormat="1" applyFont="1" applyFill="1" applyBorder="1" applyAlignment="1">
      <alignment horizontal="center"/>
    </xf>
    <xf numFmtId="166" fontId="17" fillId="23" borderId="1" xfId="3" applyNumberFormat="1" applyFont="1" applyFill="1" applyBorder="1" applyAlignment="1">
      <alignment horizontal="center" vertical="center"/>
    </xf>
    <xf numFmtId="167" fontId="48" fillId="0" borderId="0" xfId="1" applyNumberFormat="1" applyFont="1" applyAlignment="1">
      <alignment horizontal="center"/>
    </xf>
    <xf numFmtId="164" fontId="23" fillId="20" borderId="0" xfId="2" applyFont="1" applyFill="1"/>
    <xf numFmtId="0" fontId="17" fillId="20" borderId="1" xfId="0" applyFont="1" applyFill="1" applyBorder="1" applyAlignment="1">
      <alignment horizontal="left" vertical="center"/>
    </xf>
    <xf numFmtId="164" fontId="57" fillId="0" borderId="0" xfId="0" applyNumberFormat="1" applyFont="1"/>
    <xf numFmtId="164" fontId="62" fillId="0" borderId="0" xfId="2" applyFont="1"/>
    <xf numFmtId="0" fontId="62" fillId="0" borderId="0" xfId="0" applyFont="1"/>
    <xf numFmtId="164" fontId="62" fillId="0" borderId="0" xfId="0" applyNumberFormat="1" applyFont="1"/>
    <xf numFmtId="167" fontId="62" fillId="0" borderId="0" xfId="1" applyNumberFormat="1" applyFont="1"/>
    <xf numFmtId="0" fontId="10" fillId="4" borderId="0" xfId="0" applyFont="1" applyFill="1" applyAlignment="1">
      <alignment horizontal="center" vertical="center"/>
    </xf>
    <xf numFmtId="14" fontId="17" fillId="0" borderId="0" xfId="15" applyNumberFormat="1" applyFont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17" fillId="4" borderId="0" xfId="2" applyNumberFormat="1" applyFont="1" applyFill="1" applyBorder="1" applyAlignment="1">
      <alignment horizontal="center" vertical="center"/>
    </xf>
    <xf numFmtId="164" fontId="11" fillId="4" borderId="0" xfId="2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4" fontId="17" fillId="0" borderId="0" xfId="3" applyNumberFormat="1" applyFont="1" applyAlignment="1">
      <alignment horizontal="center" vertical="center"/>
    </xf>
    <xf numFmtId="0" fontId="17" fillId="0" borderId="0" xfId="3" applyFont="1" applyAlignment="1">
      <alignment horizontal="left" vertical="center" wrapText="1"/>
    </xf>
    <xf numFmtId="166" fontId="17" fillId="0" borderId="0" xfId="3" applyNumberFormat="1" applyFont="1" applyAlignment="1">
      <alignment horizontal="center" vertical="center"/>
    </xf>
    <xf numFmtId="0" fontId="46" fillId="4" borderId="0" xfId="3" applyFont="1" applyFill="1" applyAlignment="1">
      <alignment horizontal="left" vertical="center" wrapText="1"/>
    </xf>
    <xf numFmtId="166" fontId="17" fillId="4" borderId="0" xfId="3" applyNumberFormat="1" applyFont="1" applyFill="1" applyAlignment="1">
      <alignment horizontal="center" vertical="center"/>
    </xf>
    <xf numFmtId="14" fontId="17" fillId="4" borderId="0" xfId="3" applyNumberFormat="1" applyFont="1" applyFill="1" applyAlignment="1">
      <alignment horizontal="center" vertical="center"/>
    </xf>
    <xf numFmtId="0" fontId="17" fillId="24" borderId="1" xfId="3" applyFont="1" applyFill="1" applyBorder="1" applyAlignment="1">
      <alignment horizontal="left" vertical="center" wrapText="1"/>
    </xf>
    <xf numFmtId="0" fontId="11" fillId="24" borderId="1" xfId="3" applyFont="1" applyFill="1" applyBorder="1" applyAlignment="1">
      <alignment horizontal="center" vertical="center"/>
    </xf>
    <xf numFmtId="0" fontId="10" fillId="4" borderId="0" xfId="3" applyFont="1" applyFill="1" applyAlignment="1">
      <alignment horizontal="center" vertical="center"/>
    </xf>
    <xf numFmtId="166" fontId="46" fillId="4" borderId="0" xfId="3" applyNumberFormat="1" applyFont="1" applyFill="1" applyAlignment="1">
      <alignment horizontal="center" vertical="center"/>
    </xf>
    <xf numFmtId="0" fontId="46" fillId="4" borderId="0" xfId="2" applyNumberFormat="1" applyFont="1" applyFill="1" applyBorder="1" applyAlignment="1">
      <alignment horizontal="center" vertical="center"/>
    </xf>
    <xf numFmtId="164" fontId="11" fillId="4" borderId="0" xfId="0" applyNumberFormat="1" applyFont="1" applyFill="1" applyAlignment="1">
      <alignment vertical="center"/>
    </xf>
    <xf numFmtId="0" fontId="11" fillId="3" borderId="1" xfId="3" applyFont="1" applyFill="1" applyBorder="1" applyAlignment="1">
      <alignment horizontal="center" vertical="center"/>
    </xf>
    <xf numFmtId="164" fontId="24" fillId="0" borderId="0" xfId="2" applyFont="1"/>
    <xf numFmtId="164" fontId="57" fillId="0" borderId="0" xfId="2" applyFont="1"/>
    <xf numFmtId="164" fontId="48" fillId="3" borderId="0" xfId="2" applyFont="1" applyFill="1" applyAlignment="1">
      <alignment horizontal="left"/>
    </xf>
    <xf numFmtId="0" fontId="17" fillId="7" borderId="1" xfId="3" applyFont="1" applyFill="1" applyBorder="1" applyAlignment="1">
      <alignment horizontal="left" vertical="center"/>
    </xf>
    <xf numFmtId="14" fontId="17" fillId="7" borderId="1" xfId="15" applyNumberFormat="1" applyFont="1" applyFill="1" applyBorder="1" applyAlignment="1">
      <alignment horizontal="center" vertical="center"/>
    </xf>
    <xf numFmtId="0" fontId="17" fillId="7" borderId="1" xfId="2" applyNumberFormat="1" applyFont="1" applyFill="1" applyBorder="1" applyAlignment="1">
      <alignment horizontal="center" vertical="center"/>
    </xf>
    <xf numFmtId="164" fontId="11" fillId="7" borderId="1" xfId="2" applyFont="1" applyFill="1" applyBorder="1" applyAlignment="1">
      <alignment horizontal="left" vertical="center"/>
    </xf>
    <xf numFmtId="167" fontId="11" fillId="7" borderId="1" xfId="1" applyNumberFormat="1" applyFont="1" applyFill="1" applyBorder="1" applyAlignment="1">
      <alignment horizontal="center" vertical="center"/>
    </xf>
    <xf numFmtId="41" fontId="11" fillId="7" borderId="1" xfId="2" applyNumberFormat="1" applyFont="1" applyFill="1" applyBorder="1" applyAlignment="1">
      <alignment horizontal="center" vertical="center"/>
    </xf>
    <xf numFmtId="167" fontId="11" fillId="7" borderId="1" xfId="2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41" fontId="11" fillId="7" borderId="0" xfId="0" applyNumberFormat="1" applyFont="1" applyFill="1" applyAlignment="1">
      <alignment vertical="center"/>
    </xf>
    <xf numFmtId="167" fontId="11" fillId="7" borderId="0" xfId="1" applyNumberFormat="1" applyFont="1" applyFill="1" applyAlignment="1">
      <alignment vertical="center"/>
    </xf>
    <xf numFmtId="0" fontId="10" fillId="25" borderId="1" xfId="3" applyFont="1" applyFill="1" applyBorder="1" applyAlignment="1">
      <alignment horizontal="center" vertical="center"/>
    </xf>
    <xf numFmtId="164" fontId="26" fillId="26" borderId="0" xfId="2" applyFont="1" applyFill="1"/>
    <xf numFmtId="41" fontId="11" fillId="21" borderId="1" xfId="2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17" fillId="13" borderId="1" xfId="2" applyNumberFormat="1" applyFont="1" applyFill="1" applyBorder="1" applyAlignment="1">
      <alignment horizontal="center" vertical="center"/>
    </xf>
    <xf numFmtId="0" fontId="22" fillId="27" borderId="0" xfId="0" applyFont="1" applyFill="1"/>
    <xf numFmtId="164" fontId="11" fillId="0" borderId="1" xfId="1" applyNumberFormat="1" applyFont="1" applyFill="1" applyBorder="1" applyAlignment="1">
      <alignment horizontal="center" vertical="center"/>
    </xf>
    <xf numFmtId="164" fontId="11" fillId="0" borderId="1" xfId="2" applyFont="1" applyFill="1" applyBorder="1" applyAlignment="1">
      <alignment horizontal="center" vertical="center"/>
    </xf>
    <xf numFmtId="164" fontId="11" fillId="21" borderId="1" xfId="2" applyFont="1" applyFill="1" applyBorder="1" applyAlignment="1">
      <alignment horizontal="left" vertical="center"/>
    </xf>
    <xf numFmtId="164" fontId="11" fillId="5" borderId="1" xfId="2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164" fontId="10" fillId="0" borderId="1" xfId="2" applyFont="1" applyFill="1" applyBorder="1" applyAlignment="1">
      <alignment horizontal="center" vertical="center"/>
    </xf>
    <xf numFmtId="164" fontId="10" fillId="15" borderId="1" xfId="2" applyFont="1" applyFill="1" applyBorder="1" applyAlignment="1">
      <alignment horizontal="left" vertical="center"/>
    </xf>
    <xf numFmtId="164" fontId="10" fillId="15" borderId="1" xfId="1" applyNumberFormat="1" applyFont="1" applyFill="1" applyBorder="1" applyAlignment="1">
      <alignment horizontal="center" vertical="center"/>
    </xf>
    <xf numFmtId="164" fontId="10" fillId="15" borderId="1" xfId="2" applyFont="1" applyFill="1" applyBorder="1" applyAlignment="1">
      <alignment horizontal="center" vertical="center"/>
    </xf>
    <xf numFmtId="164" fontId="11" fillId="0" borderId="0" xfId="1" applyNumberFormat="1" applyFont="1" applyFill="1" applyBorder="1" applyAlignment="1">
      <alignment horizontal="center" vertical="center"/>
    </xf>
    <xf numFmtId="164" fontId="11" fillId="0" borderId="0" xfId="2" applyFont="1" applyFill="1" applyBorder="1" applyAlignment="1">
      <alignment horizontal="center" vertical="center"/>
    </xf>
    <xf numFmtId="164" fontId="10" fillId="4" borderId="0" xfId="2" applyFont="1" applyFill="1" applyBorder="1" applyAlignment="1">
      <alignment horizontal="left" vertical="center"/>
    </xf>
    <xf numFmtId="164" fontId="11" fillId="13" borderId="1" xfId="2" applyFont="1" applyFill="1" applyBorder="1" applyAlignment="1">
      <alignment horizontal="center" vertical="center"/>
    </xf>
    <xf numFmtId="164" fontId="11" fillId="20" borderId="1" xfId="2" applyFont="1" applyFill="1" applyBorder="1" applyAlignment="1">
      <alignment horizontal="left" vertical="center"/>
    </xf>
    <xf numFmtId="164" fontId="11" fillId="3" borderId="1" xfId="2" applyFont="1" applyFill="1" applyBorder="1" applyAlignment="1">
      <alignment horizontal="center" vertical="center"/>
    </xf>
    <xf numFmtId="164" fontId="11" fillId="4" borderId="1" xfId="1" applyNumberFormat="1" applyFont="1" applyFill="1" applyBorder="1" applyAlignment="1">
      <alignment horizontal="center" vertical="center"/>
    </xf>
    <xf numFmtId="164" fontId="11" fillId="4" borderId="1" xfId="2" applyFont="1" applyFill="1" applyBorder="1" applyAlignment="1">
      <alignment horizontal="center" vertical="center"/>
    </xf>
    <xf numFmtId="164" fontId="11" fillId="0" borderId="0" xfId="2" applyFont="1" applyFill="1" applyAlignment="1">
      <alignment vertical="center"/>
    </xf>
    <xf numFmtId="164" fontId="10" fillId="0" borderId="0" xfId="1" applyNumberFormat="1" applyFont="1" applyAlignment="1">
      <alignment vertical="center"/>
    </xf>
    <xf numFmtId="164" fontId="10" fillId="3" borderId="1" xfId="2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left" vertical="center"/>
    </xf>
    <xf numFmtId="164" fontId="11" fillId="6" borderId="1" xfId="2" applyFont="1" applyFill="1" applyBorder="1" applyAlignment="1">
      <alignment horizontal="center" vertical="center"/>
    </xf>
    <xf numFmtId="164" fontId="10" fillId="0" borderId="14" xfId="2" applyFont="1" applyFill="1" applyBorder="1" applyAlignment="1">
      <alignment horizontal="center" vertical="center"/>
    </xf>
    <xf numFmtId="164" fontId="10" fillId="23" borderId="1" xfId="2" applyFont="1" applyFill="1" applyBorder="1" applyAlignment="1">
      <alignment horizontal="left" vertical="center"/>
    </xf>
    <xf numFmtId="164" fontId="10" fillId="23" borderId="1" xfId="1" applyNumberFormat="1" applyFont="1" applyFill="1" applyBorder="1" applyAlignment="1">
      <alignment horizontal="center" vertical="center"/>
    </xf>
    <xf numFmtId="164" fontId="10" fillId="23" borderId="1" xfId="2" applyFont="1" applyFill="1" applyBorder="1" applyAlignment="1">
      <alignment horizontal="center" vertical="center"/>
    </xf>
    <xf numFmtId="164" fontId="11" fillId="23" borderId="1" xfId="1" applyNumberFormat="1" applyFont="1" applyFill="1" applyBorder="1" applyAlignment="1">
      <alignment horizontal="center" vertical="center"/>
    </xf>
    <xf numFmtId="164" fontId="11" fillId="23" borderId="1" xfId="2" applyFont="1" applyFill="1" applyBorder="1" applyAlignment="1">
      <alignment horizontal="center" vertical="center"/>
    </xf>
    <xf numFmtId="164" fontId="56" fillId="0" borderId="69" xfId="2" applyFont="1" applyBorder="1" applyAlignment="1">
      <alignment horizontal="right" vertical="center"/>
    </xf>
    <xf numFmtId="173" fontId="23" fillId="0" borderId="0" xfId="0" applyNumberFormat="1" applyFont="1"/>
    <xf numFmtId="169" fontId="23" fillId="0" borderId="0" xfId="0" applyNumberFormat="1" applyFont="1"/>
    <xf numFmtId="0" fontId="17" fillId="10" borderId="1" xfId="2" applyNumberFormat="1" applyFont="1" applyFill="1" applyBorder="1" applyAlignment="1">
      <alignment horizontal="center" vertical="center"/>
    </xf>
    <xf numFmtId="164" fontId="26" fillId="0" borderId="0" xfId="2" applyFont="1" applyFill="1" applyAlignment="1">
      <alignment horizontal="center"/>
    </xf>
    <xf numFmtId="164" fontId="26" fillId="0" borderId="0" xfId="6" applyFont="1" applyFill="1" applyAlignment="1"/>
    <xf numFmtId="164" fontId="11" fillId="0" borderId="1" xfId="2" applyFont="1" applyBorder="1" applyAlignment="1">
      <alignment vertical="center"/>
    </xf>
    <xf numFmtId="164" fontId="11" fillId="0" borderId="1" xfId="2" applyFont="1" applyFill="1" applyBorder="1" applyAlignment="1">
      <alignment vertical="center"/>
    </xf>
    <xf numFmtId="1" fontId="23" fillId="0" borderId="0" xfId="0" applyNumberFormat="1" applyFont="1"/>
    <xf numFmtId="164" fontId="23" fillId="0" borderId="0" xfId="2" applyFont="1" applyFill="1"/>
    <xf numFmtId="14" fontId="21" fillId="0" borderId="0" xfId="0" applyNumberFormat="1" applyFont="1"/>
    <xf numFmtId="0" fontId="48" fillId="0" borderId="0" xfId="0" applyFont="1" applyAlignment="1">
      <alignment horizontal="center"/>
    </xf>
    <xf numFmtId="0" fontId="17" fillId="28" borderId="1" xfId="3" applyFont="1" applyFill="1" applyBorder="1" applyAlignment="1">
      <alignment horizontal="left" vertical="center" wrapText="1"/>
    </xf>
    <xf numFmtId="0" fontId="21" fillId="0" borderId="0" xfId="0" quotePrefix="1" applyFont="1"/>
    <xf numFmtId="0" fontId="48" fillId="13" borderId="0" xfId="0" applyFont="1" applyFill="1"/>
    <xf numFmtId="0" fontId="21" fillId="16" borderId="0" xfId="0" applyFont="1" applyFill="1"/>
    <xf numFmtId="14" fontId="21" fillId="16" borderId="0" xfId="0" applyNumberFormat="1" applyFont="1" applyFill="1"/>
    <xf numFmtId="164" fontId="21" fillId="16" borderId="0" xfId="2" applyFont="1" applyFill="1"/>
    <xf numFmtId="0" fontId="21" fillId="16" borderId="0" xfId="0" quotePrefix="1" applyFont="1" applyFill="1"/>
    <xf numFmtId="164" fontId="21" fillId="0" borderId="1" xfId="2" applyFont="1" applyBorder="1"/>
    <xf numFmtId="164" fontId="48" fillId="0" borderId="1" xfId="2" applyFont="1" applyBorder="1"/>
    <xf numFmtId="164" fontId="48" fillId="23" borderId="1" xfId="2" applyFont="1" applyFill="1" applyBorder="1"/>
    <xf numFmtId="164" fontId="48" fillId="3" borderId="1" xfId="2" applyFont="1" applyFill="1" applyBorder="1"/>
    <xf numFmtId="164" fontId="48" fillId="0" borderId="0" xfId="2" applyFont="1" applyAlignment="1">
      <alignment horizontal="center"/>
    </xf>
    <xf numFmtId="164" fontId="48" fillId="29" borderId="0" xfId="2" applyFont="1" applyFill="1" applyBorder="1" applyAlignment="1">
      <alignment vertical="center"/>
    </xf>
    <xf numFmtId="0" fontId="48" fillId="0" borderId="0" xfId="0" applyFont="1" applyAlignment="1">
      <alignment horizontal="right"/>
    </xf>
    <xf numFmtId="0" fontId="17" fillId="10" borderId="1" xfId="3" applyFont="1" applyFill="1" applyBorder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3" fillId="0" borderId="0" xfId="29"/>
    <xf numFmtId="0" fontId="40" fillId="0" borderId="0" xfId="29" applyFont="1" applyAlignment="1">
      <alignment horizontal="center"/>
    </xf>
    <xf numFmtId="0" fontId="3" fillId="0" borderId="1" xfId="29" applyBorder="1" applyAlignment="1">
      <alignment wrapText="1"/>
    </xf>
    <xf numFmtId="0" fontId="0" fillId="0" borderId="1" xfId="3" applyFont="1" applyBorder="1" applyAlignment="1">
      <alignment horizontal="left" vertical="center" wrapText="1"/>
    </xf>
    <xf numFmtId="41" fontId="0" fillId="0" borderId="1" xfId="30" applyFont="1" applyBorder="1"/>
    <xf numFmtId="41" fontId="43" fillId="0" borderId="1" xfId="30" applyFont="1" applyFill="1" applyBorder="1" applyAlignment="1">
      <alignment horizontal="left" vertical="center"/>
    </xf>
    <xf numFmtId="0" fontId="3" fillId="0" borderId="1" xfId="29" applyBorder="1"/>
    <xf numFmtId="0" fontId="3" fillId="0" borderId="1" xfId="29" applyBorder="1" applyAlignment="1">
      <alignment horizontal="left" vertical="center"/>
    </xf>
    <xf numFmtId="41" fontId="3" fillId="0" borderId="1" xfId="29" applyNumberFormat="1" applyBorder="1"/>
    <xf numFmtId="0" fontId="3" fillId="14" borderId="1" xfId="29" applyFill="1" applyBorder="1" applyAlignment="1">
      <alignment horizontal="left" vertical="center"/>
    </xf>
    <xf numFmtId="0" fontId="3" fillId="2" borderId="1" xfId="29" applyFill="1" applyBorder="1" applyAlignment="1">
      <alignment horizontal="left" vertical="center"/>
    </xf>
    <xf numFmtId="0" fontId="3" fillId="21" borderId="1" xfId="29" applyFill="1" applyBorder="1" applyAlignment="1">
      <alignment horizontal="left" vertical="center"/>
    </xf>
    <xf numFmtId="41" fontId="43" fillId="21" borderId="1" xfId="30" applyFont="1" applyFill="1" applyBorder="1" applyAlignment="1">
      <alignment horizontal="left" vertical="center"/>
    </xf>
    <xf numFmtId="164" fontId="43" fillId="0" borderId="1" xfId="31" applyNumberFormat="1" applyFont="1" applyFill="1" applyBorder="1" applyAlignment="1">
      <alignment horizontal="center" vertical="center"/>
    </xf>
    <xf numFmtId="164" fontId="3" fillId="0" borderId="1" xfId="29" applyNumberFormat="1" applyBorder="1"/>
    <xf numFmtId="0" fontId="0" fillId="21" borderId="1" xfId="3" applyFont="1" applyFill="1" applyBorder="1" applyAlignment="1">
      <alignment horizontal="left" vertical="center" wrapText="1"/>
    </xf>
    <xf numFmtId="0" fontId="0" fillId="17" borderId="1" xfId="3" applyFont="1" applyFill="1" applyBorder="1" applyAlignment="1">
      <alignment horizontal="left" vertical="center" wrapText="1"/>
    </xf>
    <xf numFmtId="41" fontId="3" fillId="0" borderId="1" xfId="29" applyNumberFormat="1" applyBorder="1" applyAlignment="1">
      <alignment vertical="center"/>
    </xf>
    <xf numFmtId="0" fontId="0" fillId="0" borderId="1" xfId="3" applyFont="1" applyBorder="1" applyAlignment="1">
      <alignment horizontal="left" vertical="center"/>
    </xf>
    <xf numFmtId="41" fontId="40" fillId="0" borderId="0" xfId="29" applyNumberFormat="1" applyFont="1"/>
    <xf numFmtId="41" fontId="40" fillId="0" borderId="0" xfId="30" applyFont="1" applyBorder="1"/>
    <xf numFmtId="164" fontId="11" fillId="29" borderId="1" xfId="2" applyFont="1" applyFill="1" applyBorder="1" applyAlignment="1">
      <alignment horizontal="center" vertical="center"/>
    </xf>
    <xf numFmtId="9" fontId="21" fillId="0" borderId="0" xfId="14" applyFont="1"/>
    <xf numFmtId="0" fontId="3" fillId="0" borderId="0" xfId="0" applyFont="1"/>
    <xf numFmtId="41" fontId="40" fillId="0" borderId="70" xfId="30" applyFont="1" applyBorder="1"/>
    <xf numFmtId="41" fontId="63" fillId="30" borderId="71" xfId="30" applyFont="1" applyFill="1" applyBorder="1" applyAlignment="1">
      <alignment horizontal="center" vertical="center"/>
    </xf>
    <xf numFmtId="14" fontId="3" fillId="0" borderId="73" xfId="0" applyNumberFormat="1" applyFont="1" applyBorder="1"/>
    <xf numFmtId="0" fontId="3" fillId="0" borderId="70" xfId="0" applyFont="1" applyBorder="1"/>
    <xf numFmtId="41" fontId="3" fillId="0" borderId="70" xfId="30" applyFont="1" applyBorder="1"/>
    <xf numFmtId="0" fontId="3" fillId="0" borderId="73" xfId="0" applyFont="1" applyBorder="1"/>
    <xf numFmtId="0" fontId="3" fillId="0" borderId="70" xfId="0" applyFont="1" applyBorder="1" applyAlignment="1">
      <alignment horizontal="left"/>
    </xf>
    <xf numFmtId="41" fontId="3" fillId="0" borderId="0" xfId="0" applyNumberFormat="1" applyFont="1"/>
    <xf numFmtId="14" fontId="0" fillId="0" borderId="73" xfId="0" applyNumberFormat="1" applyBorder="1"/>
    <xf numFmtId="0" fontId="0" fillId="0" borderId="70" xfId="0" applyBorder="1"/>
    <xf numFmtId="41" fontId="3" fillId="0" borderId="70" xfId="30" applyFont="1" applyFill="1" applyBorder="1"/>
    <xf numFmtId="41" fontId="3" fillId="0" borderId="0" xfId="30" applyFont="1" applyFill="1"/>
    <xf numFmtId="0" fontId="0" fillId="0" borderId="0" xfId="0" applyAlignment="1">
      <alignment horizontal="right"/>
    </xf>
    <xf numFmtId="43" fontId="0" fillId="0" borderId="0" xfId="31" applyFont="1"/>
    <xf numFmtId="171" fontId="3" fillId="0" borderId="70" xfId="31" applyNumberFormat="1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70" xfId="0" applyFont="1" applyBorder="1" applyAlignment="1">
      <alignment horizontal="center" vertical="center"/>
    </xf>
    <xf numFmtId="41" fontId="3" fillId="0" borderId="70" xfId="30" applyFont="1" applyFill="1" applyBorder="1" applyAlignment="1">
      <alignment horizontal="right" vertical="center"/>
    </xf>
    <xf numFmtId="41" fontId="3" fillId="0" borderId="70" xfId="30" applyFont="1" applyFill="1" applyBorder="1" applyAlignment="1">
      <alignment vertical="center"/>
    </xf>
    <xf numFmtId="0" fontId="3" fillId="0" borderId="70" xfId="0" applyFont="1" applyBorder="1" applyAlignment="1">
      <alignment horizontal="left" vertical="center"/>
    </xf>
    <xf numFmtId="0" fontId="3" fillId="0" borderId="70" xfId="0" applyFont="1" applyBorder="1" applyAlignment="1">
      <alignment horizontal="left" indent="1"/>
    </xf>
    <xf numFmtId="0" fontId="40" fillId="0" borderId="73" xfId="0" applyFont="1" applyBorder="1"/>
    <xf numFmtId="0" fontId="40" fillId="0" borderId="70" xfId="0" applyFont="1" applyBorder="1"/>
    <xf numFmtId="49" fontId="3" fillId="0" borderId="70" xfId="0" applyNumberFormat="1" applyFont="1" applyBorder="1" applyAlignment="1">
      <alignment horizontal="left" vertical="center"/>
    </xf>
    <xf numFmtId="41" fontId="40" fillId="0" borderId="70" xfId="30" applyFont="1" applyFill="1" applyBorder="1"/>
    <xf numFmtId="0" fontId="3" fillId="0" borderId="70" xfId="0" applyFont="1" applyBorder="1" applyAlignment="1">
      <alignment horizontal="left" indent="2"/>
    </xf>
    <xf numFmtId="0" fontId="65" fillId="0" borderId="69" xfId="0" applyFont="1" applyBorder="1" applyAlignment="1">
      <alignment horizontal="center"/>
    </xf>
    <xf numFmtId="0" fontId="65" fillId="0" borderId="69" xfId="0" applyFont="1" applyBorder="1" applyAlignment="1">
      <alignment horizontal="left" indent="1"/>
    </xf>
    <xf numFmtId="171" fontId="3" fillId="0" borderId="0" xfId="31" applyNumberFormat="1" applyFont="1" applyFill="1"/>
    <xf numFmtId="41" fontId="3" fillId="0" borderId="70" xfId="0" applyNumberFormat="1" applyFont="1" applyBorder="1"/>
    <xf numFmtId="0" fontId="3" fillId="0" borderId="70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57" fillId="0" borderId="0" xfId="0" applyFont="1" applyAlignment="1">
      <alignment horizontal="center"/>
    </xf>
    <xf numFmtId="164" fontId="57" fillId="0" borderId="0" xfId="2" applyFont="1" applyAlignment="1">
      <alignment horizontal="center"/>
    </xf>
    <xf numFmtId="0" fontId="10" fillId="32" borderId="1" xfId="3" applyFont="1" applyFill="1" applyBorder="1" applyAlignment="1">
      <alignment horizontal="center" vertical="center"/>
    </xf>
    <xf numFmtId="41" fontId="11" fillId="22" borderId="0" xfId="2" applyNumberFormat="1" applyFont="1" applyFill="1" applyBorder="1" applyAlignment="1">
      <alignment horizontal="center" vertical="center"/>
    </xf>
    <xf numFmtId="41" fontId="11" fillId="15" borderId="0" xfId="2" applyNumberFormat="1" applyFont="1" applyFill="1" applyBorder="1" applyAlignment="1">
      <alignment horizontal="center" vertical="center"/>
    </xf>
    <xf numFmtId="0" fontId="10" fillId="32" borderId="2" xfId="3" applyFont="1" applyFill="1" applyBorder="1" applyAlignment="1">
      <alignment horizontal="center" vertical="center"/>
    </xf>
    <xf numFmtId="164" fontId="11" fillId="32" borderId="0" xfId="0" applyNumberFormat="1" applyFont="1" applyFill="1" applyAlignment="1">
      <alignment vertical="center"/>
    </xf>
    <xf numFmtId="164" fontId="10" fillId="32" borderId="0" xfId="0" applyNumberFormat="1" applyFont="1" applyFill="1" applyAlignment="1">
      <alignment vertical="center"/>
    </xf>
    <xf numFmtId="164" fontId="11" fillId="32" borderId="0" xfId="2" applyFont="1" applyFill="1" applyBorder="1" applyAlignment="1">
      <alignment horizontal="left" vertical="center"/>
    </xf>
    <xf numFmtId="41" fontId="11" fillId="0" borderId="1" xfId="0" applyNumberFormat="1" applyFont="1" applyBorder="1" applyAlignment="1">
      <alignment vertical="center"/>
    </xf>
    <xf numFmtId="41" fontId="10" fillId="0" borderId="1" xfId="0" applyNumberFormat="1" applyFont="1" applyBorder="1" applyAlignment="1">
      <alignment vertical="center"/>
    </xf>
    <xf numFmtId="41" fontId="10" fillId="32" borderId="0" xfId="0" applyNumberFormat="1" applyFont="1" applyFill="1" applyAlignment="1">
      <alignment vertical="center"/>
    </xf>
    <xf numFmtId="41" fontId="11" fillId="23" borderId="0" xfId="2" applyNumberFormat="1" applyFont="1" applyFill="1" applyBorder="1" applyAlignment="1">
      <alignment horizontal="center" vertical="center"/>
    </xf>
    <xf numFmtId="41" fontId="11" fillId="7" borderId="0" xfId="2" applyNumberFormat="1" applyFont="1" applyFill="1" applyBorder="1" applyAlignment="1">
      <alignment horizontal="center" vertical="center"/>
    </xf>
    <xf numFmtId="0" fontId="40" fillId="0" borderId="1" xfId="0" applyFont="1" applyBorder="1"/>
    <xf numFmtId="3" fontId="23" fillId="3" borderId="0" xfId="0" applyNumberFormat="1" applyFont="1" applyFill="1"/>
    <xf numFmtId="1" fontId="23" fillId="3" borderId="0" xfId="0" applyNumberFormat="1" applyFont="1" applyFill="1"/>
    <xf numFmtId="41" fontId="11" fillId="0" borderId="1" xfId="33" applyFont="1" applyFill="1" applyBorder="1" applyAlignment="1">
      <alignment horizontal="left" vertical="center"/>
    </xf>
    <xf numFmtId="41" fontId="11" fillId="0" borderId="1" xfId="33" applyFont="1" applyFill="1" applyBorder="1" applyAlignment="1">
      <alignment horizontal="center" vertical="center"/>
    </xf>
    <xf numFmtId="0" fontId="17" fillId="0" borderId="1" xfId="33" applyNumberFormat="1" applyFont="1" applyFill="1" applyBorder="1" applyAlignment="1">
      <alignment horizontal="center" vertical="center"/>
    </xf>
    <xf numFmtId="14" fontId="17" fillId="0" borderId="30" xfId="41" applyNumberFormat="1" applyFont="1" applyBorder="1" applyAlignment="1">
      <alignment horizontal="center" vertical="center"/>
    </xf>
    <xf numFmtId="41" fontId="11" fillId="0" borderId="1" xfId="32" applyNumberFormat="1" applyFont="1" applyFill="1" applyBorder="1" applyAlignment="1">
      <alignment horizontal="center" vertical="center"/>
    </xf>
    <xf numFmtId="164" fontId="23" fillId="3" borderId="0" xfId="0" applyNumberFormat="1" applyFont="1" applyFill="1"/>
    <xf numFmtId="167" fontId="23" fillId="3" borderId="0" xfId="1" applyNumberFormat="1" applyFont="1" applyFill="1"/>
    <xf numFmtId="164" fontId="23" fillId="3" borderId="0" xfId="2" applyFont="1" applyFill="1"/>
    <xf numFmtId="0" fontId="23" fillId="3" borderId="0" xfId="0" applyFont="1" applyFill="1"/>
    <xf numFmtId="3" fontId="21" fillId="0" borderId="0" xfId="0" applyNumberFormat="1" applyFont="1"/>
    <xf numFmtId="3" fontId="23" fillId="3" borderId="0" xfId="1" applyNumberFormat="1" applyFont="1" applyFill="1"/>
    <xf numFmtId="41" fontId="11" fillId="0" borderId="0" xfId="33" applyFont="1" applyFill="1" applyBorder="1" applyAlignment="1">
      <alignment horizontal="center" vertical="center"/>
    </xf>
    <xf numFmtId="41" fontId="11" fillId="0" borderId="1" xfId="51" applyNumberFormat="1" applyFont="1" applyFill="1" applyBorder="1" applyAlignment="1">
      <alignment horizontal="center" vertical="center"/>
    </xf>
    <xf numFmtId="3" fontId="0" fillId="0" borderId="0" xfId="0" applyNumberFormat="1"/>
    <xf numFmtId="0" fontId="10" fillId="10" borderId="1" xfId="3" applyFont="1" applyFill="1" applyBorder="1" applyAlignment="1">
      <alignment horizontal="center" vertical="center"/>
    </xf>
    <xf numFmtId="164" fontId="11" fillId="10" borderId="0" xfId="2" applyFont="1" applyFill="1" applyBorder="1" applyAlignment="1">
      <alignment horizontal="left" vertical="center"/>
    </xf>
    <xf numFmtId="164" fontId="11" fillId="10" borderId="0" xfId="0" applyNumberFormat="1" applyFont="1" applyFill="1" applyAlignment="1">
      <alignment vertical="center"/>
    </xf>
    <xf numFmtId="164" fontId="10" fillId="10" borderId="0" xfId="0" applyNumberFormat="1" applyFont="1" applyFill="1" applyAlignment="1">
      <alignment vertical="center"/>
    </xf>
    <xf numFmtId="164" fontId="10" fillId="0" borderId="0" xfId="2" applyFont="1" applyFill="1" applyBorder="1" applyAlignment="1">
      <alignment horizontal="center" vertical="center"/>
    </xf>
    <xf numFmtId="0" fontId="10" fillId="10" borderId="2" xfId="3" applyFont="1" applyFill="1" applyBorder="1" applyAlignment="1">
      <alignment horizontal="center" vertical="center"/>
    </xf>
    <xf numFmtId="164" fontId="26" fillId="10" borderId="0" xfId="2" applyFont="1" applyFill="1"/>
    <xf numFmtId="164" fontId="29" fillId="0" borderId="0" xfId="2" applyFont="1" applyBorder="1"/>
    <xf numFmtId="0" fontId="24" fillId="8" borderId="0" xfId="0" applyFont="1" applyFill="1"/>
    <xf numFmtId="164" fontId="29" fillId="8" borderId="0" xfId="2" applyFont="1" applyFill="1" applyBorder="1"/>
    <xf numFmtId="164" fontId="30" fillId="8" borderId="0" xfId="6" applyFont="1" applyFill="1" applyAlignment="1">
      <alignment horizontal="right"/>
    </xf>
    <xf numFmtId="165" fontId="23" fillId="8" borderId="0" xfId="0" applyNumberFormat="1" applyFont="1" applyFill="1"/>
    <xf numFmtId="0" fontId="23" fillId="8" borderId="0" xfId="0" applyFont="1" applyFill="1"/>
    <xf numFmtId="0" fontId="0" fillId="8" borderId="0" xfId="0" applyFill="1"/>
    <xf numFmtId="2" fontId="0" fillId="0" borderId="0" xfId="0" applyNumberFormat="1"/>
    <xf numFmtId="164" fontId="26" fillId="0" borderId="7" xfId="2" applyFont="1" applyBorder="1"/>
    <xf numFmtId="164" fontId="26" fillId="0" borderId="7" xfId="2" applyFont="1" applyFill="1" applyBorder="1"/>
    <xf numFmtId="164" fontId="0" fillId="8" borderId="0" xfId="2" applyFont="1" applyFill="1"/>
    <xf numFmtId="0" fontId="10" fillId="2" borderId="2" xfId="3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41" fontId="10" fillId="2" borderId="0" xfId="0" applyNumberFormat="1" applyFont="1" applyFill="1" applyAlignment="1">
      <alignment vertical="center"/>
    </xf>
    <xf numFmtId="164" fontId="11" fillId="2" borderId="0" xfId="2" applyFont="1" applyFill="1" applyBorder="1" applyAlignment="1">
      <alignment horizontal="left" vertical="center"/>
    </xf>
    <xf numFmtId="0" fontId="40" fillId="3" borderId="0" xfId="0" applyFont="1" applyFill="1" applyAlignment="1">
      <alignment horizontal="center"/>
    </xf>
    <xf numFmtId="0" fontId="40" fillId="34" borderId="0" xfId="0" applyFont="1" applyFill="1"/>
    <xf numFmtId="0" fontId="40" fillId="35" borderId="1" xfId="0" applyFont="1" applyFill="1" applyBorder="1" applyAlignment="1">
      <alignment horizontal="center"/>
    </xf>
    <xf numFmtId="164" fontId="40" fillId="35" borderId="1" xfId="2" applyFont="1" applyFill="1" applyBorder="1" applyAlignment="1">
      <alignment horizontal="center"/>
    </xf>
    <xf numFmtId="164" fontId="1" fillId="0" borderId="0" xfId="2" applyFont="1"/>
    <xf numFmtId="164" fontId="1" fillId="0" borderId="1" xfId="2" applyFont="1" applyBorder="1"/>
    <xf numFmtId="0" fontId="1" fillId="0" borderId="0" xfId="0" applyFont="1"/>
    <xf numFmtId="0" fontId="1" fillId="34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0" xfId="0" applyFont="1" applyAlignment="1">
      <alignment horizontal="center"/>
    </xf>
    <xf numFmtId="0" fontId="67" fillId="33" borderId="0" xfId="0" applyFont="1" applyFill="1" applyAlignment="1">
      <alignment horizontal="left"/>
    </xf>
    <xf numFmtId="0" fontId="68" fillId="33" borderId="0" xfId="0" applyFont="1" applyFill="1" applyAlignment="1">
      <alignment horizontal="center"/>
    </xf>
    <xf numFmtId="0" fontId="68" fillId="33" borderId="0" xfId="0" applyFont="1" applyFill="1"/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165" fontId="40" fillId="0" borderId="5" xfId="1" applyFont="1" applyBorder="1" applyAlignment="1">
      <alignment horizontal="center" vertical="center"/>
    </xf>
    <xf numFmtId="165" fontId="40" fillId="0" borderId="7" xfId="1" applyFont="1" applyBorder="1" applyAlignment="1">
      <alignment horizontal="center" vertical="center"/>
    </xf>
    <xf numFmtId="164" fontId="34" fillId="0" borderId="14" xfId="16" applyFont="1" applyFill="1" applyBorder="1" applyAlignment="1">
      <alignment horizontal="center" vertical="center"/>
    </xf>
    <xf numFmtId="164" fontId="34" fillId="0" borderId="4" xfId="16" applyFont="1" applyFill="1" applyBorder="1" applyAlignment="1">
      <alignment horizontal="center" vertical="center"/>
    </xf>
    <xf numFmtId="164" fontId="34" fillId="0" borderId="15" xfId="16" applyFont="1" applyFill="1" applyBorder="1" applyAlignment="1">
      <alignment horizontal="center" vertical="center"/>
    </xf>
    <xf numFmtId="164" fontId="34" fillId="0" borderId="26" xfId="16" applyFont="1" applyFill="1" applyBorder="1" applyAlignment="1">
      <alignment horizontal="center" vertical="center"/>
    </xf>
    <xf numFmtId="164" fontId="34" fillId="0" borderId="27" xfId="16" applyFont="1" applyFill="1" applyBorder="1" applyAlignment="1">
      <alignment horizontal="center" vertical="center"/>
    </xf>
    <xf numFmtId="164" fontId="34" fillId="0" borderId="28" xfId="16" applyFont="1" applyFill="1" applyBorder="1" applyAlignment="1">
      <alignment horizontal="center" vertical="center"/>
    </xf>
    <xf numFmtId="0" fontId="34" fillId="0" borderId="14" xfId="16" applyNumberFormat="1" applyFont="1" applyFill="1" applyBorder="1" applyAlignment="1">
      <alignment horizontal="left" vertical="center"/>
    </xf>
    <xf numFmtId="0" fontId="34" fillId="0" borderId="4" xfId="16" applyNumberFormat="1" applyFont="1" applyFill="1" applyBorder="1" applyAlignment="1">
      <alignment horizontal="left" vertical="center"/>
    </xf>
    <xf numFmtId="0" fontId="34" fillId="0" borderId="15" xfId="16" applyNumberFormat="1" applyFont="1" applyFill="1" applyBorder="1" applyAlignment="1">
      <alignment horizontal="left" vertical="center"/>
    </xf>
    <xf numFmtId="0" fontId="34" fillId="0" borderId="38" xfId="16" applyNumberFormat="1" applyFont="1" applyFill="1" applyBorder="1" applyAlignment="1">
      <alignment horizontal="left" vertical="center"/>
    </xf>
    <xf numFmtId="0" fontId="34" fillId="0" borderId="7" xfId="16" applyNumberFormat="1" applyFont="1" applyFill="1" applyBorder="1" applyAlignment="1">
      <alignment horizontal="left" vertical="center"/>
    </xf>
    <xf numFmtId="0" fontId="34" fillId="0" borderId="30" xfId="16" applyNumberFormat="1" applyFont="1" applyFill="1" applyBorder="1" applyAlignment="1">
      <alignment horizontal="left" vertical="center"/>
    </xf>
    <xf numFmtId="164" fontId="34" fillId="0" borderId="14" xfId="18" applyFont="1" applyFill="1" applyBorder="1" applyAlignment="1">
      <alignment horizontal="left" vertical="center"/>
    </xf>
    <xf numFmtId="164" fontId="34" fillId="0" borderId="4" xfId="18" applyFont="1" applyFill="1" applyBorder="1" applyAlignment="1">
      <alignment horizontal="left" vertical="center"/>
    </xf>
    <xf numFmtId="164" fontId="34" fillId="0" borderId="15" xfId="18" applyFont="1" applyFill="1" applyBorder="1" applyAlignment="1">
      <alignment horizontal="left" vertical="center"/>
    </xf>
    <xf numFmtId="164" fontId="34" fillId="0" borderId="14" xfId="18" applyFont="1" applyFill="1" applyBorder="1" applyAlignment="1">
      <alignment vertical="center"/>
    </xf>
    <xf numFmtId="164" fontId="34" fillId="0" borderId="4" xfId="18" applyFont="1" applyFill="1" applyBorder="1" applyAlignment="1">
      <alignment vertical="center"/>
    </xf>
    <xf numFmtId="164" fontId="34" fillId="0" borderId="15" xfId="18" applyFont="1" applyFill="1" applyBorder="1" applyAlignment="1">
      <alignment vertical="center"/>
    </xf>
    <xf numFmtId="0" fontId="34" fillId="0" borderId="14" xfId="19" applyFont="1" applyBorder="1" applyAlignment="1">
      <alignment horizontal="left" vertical="center"/>
    </xf>
    <xf numFmtId="0" fontId="34" fillId="0" borderId="7" xfId="19" applyFont="1" applyBorder="1" applyAlignment="1">
      <alignment horizontal="left" vertical="center"/>
    </xf>
    <xf numFmtId="0" fontId="34" fillId="0" borderId="30" xfId="19" applyFont="1" applyBorder="1" applyAlignment="1">
      <alignment horizontal="left" vertical="center"/>
    </xf>
    <xf numFmtId="167" fontId="34" fillId="0" borderId="29" xfId="20" applyNumberFormat="1" applyFont="1" applyFill="1" applyBorder="1" applyAlignment="1">
      <alignment horizontal="center" vertical="center"/>
    </xf>
    <xf numFmtId="167" fontId="35" fillId="0" borderId="19" xfId="20" applyNumberFormat="1" applyFont="1" applyFill="1" applyBorder="1" applyAlignment="1">
      <alignment horizontal="center" vertical="center"/>
    </xf>
    <xf numFmtId="167" fontId="34" fillId="0" borderId="35" xfId="20" applyNumberFormat="1" applyFont="1" applyFill="1" applyBorder="1" applyAlignment="1">
      <alignment horizontal="center" vertical="center"/>
    </xf>
    <xf numFmtId="167" fontId="35" fillId="0" borderId="37" xfId="20" applyNumberFormat="1" applyFont="1" applyFill="1" applyBorder="1" applyAlignment="1">
      <alignment horizontal="center" vertical="center"/>
    </xf>
    <xf numFmtId="167" fontId="35" fillId="0" borderId="20" xfId="20" applyNumberFormat="1" applyFont="1" applyFill="1" applyBorder="1" applyAlignment="1">
      <alignment horizontal="center" vertical="center"/>
    </xf>
    <xf numFmtId="167" fontId="35" fillId="0" borderId="21" xfId="20" applyNumberFormat="1" applyFont="1" applyFill="1" applyBorder="1" applyAlignment="1">
      <alignment horizontal="center" vertical="center"/>
    </xf>
    <xf numFmtId="167" fontId="35" fillId="0" borderId="38" xfId="20" applyNumberFormat="1" applyFont="1" applyFill="1" applyBorder="1" applyAlignment="1">
      <alignment horizontal="center" vertical="center"/>
    </xf>
    <xf numFmtId="167" fontId="35" fillId="0" borderId="30" xfId="20" applyNumberFormat="1" applyFont="1" applyFill="1" applyBorder="1" applyAlignment="1">
      <alignment horizontal="center" vertical="center"/>
    </xf>
    <xf numFmtId="167" fontId="34" fillId="0" borderId="19" xfId="20" applyNumberFormat="1" applyFont="1" applyFill="1" applyBorder="1" applyAlignment="1">
      <alignment horizontal="center" vertical="center"/>
    </xf>
    <xf numFmtId="164" fontId="34" fillId="0" borderId="20" xfId="16" applyFont="1" applyFill="1" applyBorder="1" applyAlignment="1">
      <alignment horizontal="center" vertical="center"/>
    </xf>
    <xf numFmtId="0" fontId="35" fillId="0" borderId="20" xfId="19" applyFont="1" applyBorder="1" applyAlignment="1">
      <alignment vertical="center"/>
    </xf>
    <xf numFmtId="0" fontId="35" fillId="0" borderId="38" xfId="19" applyFont="1" applyBorder="1" applyAlignment="1">
      <alignment vertical="center"/>
    </xf>
    <xf numFmtId="164" fontId="34" fillId="0" borderId="36" xfId="16" applyFont="1" applyFill="1" applyBorder="1" applyAlignment="1">
      <alignment horizontal="center" vertical="center"/>
    </xf>
    <xf numFmtId="164" fontId="34" fillId="0" borderId="37" xfId="16" applyFont="1" applyFill="1" applyBorder="1" applyAlignment="1">
      <alignment horizontal="center" vertical="center"/>
    </xf>
    <xf numFmtId="164" fontId="34" fillId="0" borderId="0" xfId="16" applyFont="1" applyFill="1" applyBorder="1" applyAlignment="1">
      <alignment horizontal="center" vertical="center"/>
    </xf>
    <xf numFmtId="164" fontId="34" fillId="0" borderId="21" xfId="16" applyFont="1" applyFill="1" applyBorder="1" applyAlignment="1">
      <alignment horizontal="center" vertical="center"/>
    </xf>
    <xf numFmtId="0" fontId="49" fillId="0" borderId="21" xfId="19" applyFont="1" applyBorder="1" applyAlignment="1">
      <alignment vertical="center"/>
    </xf>
    <xf numFmtId="164" fontId="34" fillId="0" borderId="29" xfId="16" applyFont="1" applyFill="1" applyBorder="1" applyAlignment="1">
      <alignment horizontal="center" vertical="center"/>
    </xf>
    <xf numFmtId="164" fontId="34" fillId="0" borderId="19" xfId="16" applyFont="1" applyFill="1" applyBorder="1" applyAlignment="1">
      <alignment horizontal="center" vertical="center"/>
    </xf>
    <xf numFmtId="164" fontId="34" fillId="0" borderId="3" xfId="16" applyFont="1" applyFill="1" applyBorder="1" applyAlignment="1">
      <alignment horizontal="center" vertical="center"/>
    </xf>
    <xf numFmtId="167" fontId="34" fillId="0" borderId="29" xfId="25" applyNumberFormat="1" applyFont="1" applyFill="1" applyBorder="1" applyAlignment="1">
      <alignment horizontal="center" vertical="center"/>
    </xf>
    <xf numFmtId="167" fontId="34" fillId="0" borderId="19" xfId="25" applyNumberFormat="1" applyFont="1" applyFill="1" applyBorder="1" applyAlignment="1">
      <alignment horizontal="center" vertical="center"/>
    </xf>
    <xf numFmtId="167" fontId="34" fillId="0" borderId="35" xfId="25" applyNumberFormat="1" applyFont="1" applyFill="1" applyBorder="1" applyAlignment="1">
      <alignment horizontal="center" vertical="center"/>
    </xf>
    <xf numFmtId="167" fontId="35" fillId="0" borderId="37" xfId="25" applyNumberFormat="1" applyFont="1" applyFill="1" applyBorder="1" applyAlignment="1">
      <alignment horizontal="center" vertical="center"/>
    </xf>
    <xf numFmtId="167" fontId="35" fillId="0" borderId="20" xfId="25" applyNumberFormat="1" applyFont="1" applyFill="1" applyBorder="1" applyAlignment="1">
      <alignment horizontal="center" vertical="center"/>
    </xf>
    <xf numFmtId="167" fontId="35" fillId="0" borderId="21" xfId="25" applyNumberFormat="1" applyFont="1" applyFill="1" applyBorder="1" applyAlignment="1">
      <alignment horizontal="center" vertical="center"/>
    </xf>
    <xf numFmtId="167" fontId="35" fillId="0" borderId="38" xfId="25" applyNumberFormat="1" applyFont="1" applyFill="1" applyBorder="1" applyAlignment="1">
      <alignment horizontal="center" vertical="center"/>
    </xf>
    <xf numFmtId="167" fontId="35" fillId="0" borderId="30" xfId="25" applyNumberFormat="1" applyFont="1" applyFill="1" applyBorder="1" applyAlignment="1">
      <alignment horizontal="center" vertical="center"/>
    </xf>
    <xf numFmtId="0" fontId="35" fillId="0" borderId="20" xfId="24" applyFont="1" applyBorder="1" applyAlignment="1">
      <alignment vertical="center"/>
    </xf>
    <xf numFmtId="0" fontId="35" fillId="0" borderId="38" xfId="24" applyFont="1" applyBorder="1" applyAlignment="1">
      <alignment vertical="center"/>
    </xf>
    <xf numFmtId="0" fontId="49" fillId="0" borderId="21" xfId="24" applyFont="1" applyBorder="1" applyAlignment="1">
      <alignment vertical="center"/>
    </xf>
    <xf numFmtId="167" fontId="35" fillId="0" borderId="19" xfId="25" applyNumberFormat="1" applyFont="1" applyFill="1" applyBorder="1" applyAlignment="1">
      <alignment horizontal="center" vertical="center"/>
    </xf>
    <xf numFmtId="167" fontId="34" fillId="11" borderId="35" xfId="25" applyNumberFormat="1" applyFont="1" applyFill="1" applyBorder="1" applyAlignment="1">
      <alignment horizontal="center" vertical="center"/>
    </xf>
    <xf numFmtId="167" fontId="35" fillId="11" borderId="37" xfId="25" applyNumberFormat="1" applyFont="1" applyFill="1" applyBorder="1" applyAlignment="1">
      <alignment horizontal="center" vertical="center"/>
    </xf>
    <xf numFmtId="167" fontId="35" fillId="11" borderId="20" xfId="25" applyNumberFormat="1" applyFont="1" applyFill="1" applyBorder="1" applyAlignment="1">
      <alignment horizontal="center" vertical="center"/>
    </xf>
    <xf numFmtId="167" fontId="35" fillId="11" borderId="21" xfId="25" applyNumberFormat="1" applyFont="1" applyFill="1" applyBorder="1" applyAlignment="1">
      <alignment horizontal="center" vertical="center"/>
    </xf>
    <xf numFmtId="167" fontId="35" fillId="11" borderId="38" xfId="25" applyNumberFormat="1" applyFont="1" applyFill="1" applyBorder="1" applyAlignment="1">
      <alignment horizontal="center" vertical="center"/>
    </xf>
    <xf numFmtId="167" fontId="35" fillId="11" borderId="30" xfId="25" applyNumberFormat="1" applyFont="1" applyFill="1" applyBorder="1" applyAlignment="1">
      <alignment horizontal="center" vertical="center"/>
    </xf>
    <xf numFmtId="0" fontId="34" fillId="0" borderId="14" xfId="24" applyFont="1" applyBorder="1" applyAlignment="1">
      <alignment horizontal="left" vertical="center"/>
    </xf>
    <xf numFmtId="0" fontId="34" fillId="0" borderId="7" xfId="24" applyFont="1" applyBorder="1" applyAlignment="1">
      <alignment horizontal="left" vertical="center"/>
    </xf>
    <xf numFmtId="0" fontId="34" fillId="0" borderId="30" xfId="24" applyFont="1" applyBorder="1" applyAlignment="1">
      <alignment horizontal="left" vertical="center"/>
    </xf>
    <xf numFmtId="0" fontId="64" fillId="30" borderId="72" xfId="0" applyFont="1" applyFill="1" applyBorder="1" applyAlignment="1">
      <alignment horizontal="center" vertical="center"/>
    </xf>
    <xf numFmtId="0" fontId="56" fillId="31" borderId="71" xfId="0" applyFont="1" applyFill="1" applyBorder="1" applyAlignment="1">
      <alignment horizontal="center" vertical="center"/>
    </xf>
    <xf numFmtId="0" fontId="63" fillId="30" borderId="71" xfId="0" applyFont="1" applyFill="1" applyBorder="1" applyAlignment="1">
      <alignment horizontal="center" vertical="center"/>
    </xf>
    <xf numFmtId="0" fontId="63" fillId="30" borderId="69" xfId="0" applyFont="1" applyFill="1" applyBorder="1" applyAlignment="1">
      <alignment horizontal="center" vertical="center"/>
    </xf>
    <xf numFmtId="0" fontId="63" fillId="30" borderId="72" xfId="0" applyFont="1" applyFill="1" applyBorder="1" applyAlignment="1">
      <alignment horizontal="center" vertical="center"/>
    </xf>
    <xf numFmtId="0" fontId="56" fillId="31" borderId="71" xfId="0" applyFont="1" applyFill="1" applyBorder="1" applyAlignment="1">
      <alignment vertical="center"/>
    </xf>
    <xf numFmtId="41" fontId="64" fillId="30" borderId="72" xfId="30" applyFont="1" applyFill="1" applyBorder="1" applyAlignment="1">
      <alignment horizontal="center" vertical="center"/>
    </xf>
    <xf numFmtId="41" fontId="43" fillId="31" borderId="72" xfId="30" applyFont="1" applyFill="1" applyBorder="1" applyAlignment="1">
      <alignment horizontal="center" vertical="center"/>
    </xf>
    <xf numFmtId="167" fontId="24" fillId="0" borderId="7" xfId="1" applyNumberFormat="1" applyFont="1" applyBorder="1" applyAlignment="1">
      <alignment horizontal="center"/>
    </xf>
    <xf numFmtId="0" fontId="24" fillId="0" borderId="4" xfId="0" quotePrefix="1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1" applyNumberFormat="1" applyFont="1" applyFill="1" applyBorder="1" applyAlignment="1">
      <alignment horizontal="center"/>
    </xf>
    <xf numFmtId="0" fontId="24" fillId="0" borderId="4" xfId="1" applyNumberFormat="1" applyFont="1" applyBorder="1" applyAlignment="1">
      <alignment horizontal="center"/>
    </xf>
    <xf numFmtId="17" fontId="24" fillId="0" borderId="4" xfId="0" quotePrefix="1" applyNumberFormat="1" applyFont="1" applyBorder="1" applyAlignment="1">
      <alignment horizontal="center"/>
    </xf>
    <xf numFmtId="164" fontId="47" fillId="2" borderId="19" xfId="2" applyFont="1" applyFill="1" applyBorder="1" applyAlignment="1">
      <alignment horizontal="center" vertical="center"/>
    </xf>
    <xf numFmtId="164" fontId="47" fillId="2" borderId="3" xfId="2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7" fillId="2" borderId="1" xfId="3" applyFont="1" applyFill="1" applyBorder="1" applyAlignment="1">
      <alignment horizontal="center" vertical="center"/>
    </xf>
    <xf numFmtId="0" fontId="47" fillId="2" borderId="1" xfId="3" applyFont="1" applyFill="1" applyBorder="1" applyAlignment="1">
      <alignment horizontal="center" vertical="center" wrapText="1"/>
    </xf>
    <xf numFmtId="0" fontId="48" fillId="0" borderId="14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5" xfId="0" applyFont="1" applyBorder="1" applyAlignment="1">
      <alignment horizontal="center"/>
    </xf>
    <xf numFmtId="0" fontId="10" fillId="2" borderId="1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10" fillId="32" borderId="1" xfId="3" applyFont="1" applyFill="1" applyBorder="1" applyAlignment="1">
      <alignment horizontal="center" vertical="center" wrapText="1"/>
    </xf>
    <xf numFmtId="0" fontId="10" fillId="32" borderId="2" xfId="3" applyFont="1" applyFill="1" applyBorder="1" applyAlignment="1">
      <alignment horizontal="center" vertical="center" wrapText="1"/>
    </xf>
    <xf numFmtId="0" fontId="10" fillId="32" borderId="3" xfId="3" applyFont="1" applyFill="1" applyBorder="1" applyAlignment="1">
      <alignment horizontal="center" vertical="center" wrapText="1"/>
    </xf>
    <xf numFmtId="0" fontId="10" fillId="10" borderId="2" xfId="3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horizontal="center" vertical="center" wrapText="1"/>
    </xf>
    <xf numFmtId="0" fontId="10" fillId="10" borderId="1" xfId="3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wrapText="1"/>
    </xf>
    <xf numFmtId="0" fontId="17" fillId="0" borderId="2" xfId="33" applyNumberFormat="1" applyFont="1" applyFill="1" applyBorder="1" applyAlignment="1">
      <alignment horizontal="center" vertical="center"/>
    </xf>
    <xf numFmtId="171" fontId="11" fillId="0" borderId="2" xfId="33" applyNumberFormat="1" applyFont="1" applyFill="1" applyBorder="1" applyAlignment="1">
      <alignment horizontal="left" vertical="center"/>
    </xf>
    <xf numFmtId="41" fontId="11" fillId="0" borderId="2" xfId="51" applyNumberFormat="1" applyFont="1" applyFill="1" applyBorder="1" applyAlignment="1">
      <alignment horizontal="center" vertical="center"/>
    </xf>
    <xf numFmtId="41" fontId="11" fillId="0" borderId="2" xfId="33" applyFont="1" applyFill="1" applyBorder="1" applyAlignment="1">
      <alignment horizontal="center" vertical="center"/>
    </xf>
    <xf numFmtId="164" fontId="11" fillId="0" borderId="2" xfId="2" applyFont="1" applyFill="1" applyBorder="1" applyAlignment="1">
      <alignment horizontal="center" vertical="center"/>
    </xf>
    <xf numFmtId="14" fontId="17" fillId="0" borderId="1" xfId="44" applyNumberFormat="1" applyFont="1" applyBorder="1" applyAlignment="1">
      <alignment horizontal="center" vertical="center"/>
    </xf>
    <xf numFmtId="176" fontId="0" fillId="0" borderId="0" xfId="0" applyNumberFormat="1"/>
  </cellXfs>
  <cellStyles count="52">
    <cellStyle name="Comma" xfId="1" builtinId="3"/>
    <cellStyle name="Comma [0]" xfId="2" builtinId="6"/>
    <cellStyle name="Comma [0] 12" xfId="6" xr:uid="{786F905E-102C-4225-AC22-3314604E1A94}"/>
    <cellStyle name="Comma [0] 12 2" xfId="36" xr:uid="{A8B839EA-C3C4-487D-9E04-2BAB2F315D79}"/>
    <cellStyle name="Comma [0] 2" xfId="4" xr:uid="{22F36057-1B51-4AA2-862D-33F34CF53EA5}"/>
    <cellStyle name="Comma [0] 2 2" xfId="10" xr:uid="{63B6AFB3-ABD3-4D12-921C-8E02939C87C7}"/>
    <cellStyle name="Comma [0] 2 2 2" xfId="38" xr:uid="{071D958D-13DA-4D0A-9433-E6C294877E56}"/>
    <cellStyle name="Comma [0] 2 2 3" xfId="11" xr:uid="{C2445F81-A811-4B28-9CE8-9843639A3F5B}"/>
    <cellStyle name="Comma [0] 2 2 3 2" xfId="22" xr:uid="{CB35F28C-26B8-4443-885B-3535C2AD635F}"/>
    <cellStyle name="Comma [0] 2 2 3 2 2" xfId="46" xr:uid="{4024F980-E5C1-4B33-AC3E-1A5F7B440A20}"/>
    <cellStyle name="Comma [0] 2 2 3 3" xfId="39" xr:uid="{4CFA9134-38D7-410A-9E19-D91EC56A12C0}"/>
    <cellStyle name="Comma [0] 2 3" xfId="18" xr:uid="{7EBF4ABD-B99D-4C62-9B97-4AAC8DF79CDE}"/>
    <cellStyle name="Comma [0] 2 3 2" xfId="43" xr:uid="{BFF36EFC-A601-4C0B-9532-02FAD1D39E5A}"/>
    <cellStyle name="Comma [0] 2 4" xfId="34" xr:uid="{6AB66970-BD32-4ED0-A47C-980E63B9A403}"/>
    <cellStyle name="Comma [0] 3" xfId="30" xr:uid="{6F1FD38C-DC3D-45D3-8A8A-C376B8933B03}"/>
    <cellStyle name="Comma [0] 3 3" xfId="16" xr:uid="{AA360552-CFBF-472A-A830-5BC0002BB50F}"/>
    <cellStyle name="Comma [0] 3 3 2" xfId="42" xr:uid="{6740BB02-F97F-45F3-855C-6251D40ECAA9}"/>
    <cellStyle name="Comma [0] 4" xfId="33" xr:uid="{1CE1ACDD-628C-403C-B05D-4EB26B38AA44}"/>
    <cellStyle name="Comma [0] 5" xfId="17" xr:uid="{B966E572-4ADC-48B4-9220-64921879441F}"/>
    <cellStyle name="Comma [0] 5 2" xfId="28" xr:uid="{B617A1CF-AAEB-4503-A066-399F4F8785E8}"/>
    <cellStyle name="Comma [0] 5 2 2" xfId="49" xr:uid="{3F8E508C-31FA-4CA2-A753-28E5B340D2D0}"/>
    <cellStyle name="Comma 2" xfId="20" xr:uid="{E0408301-C517-4F0A-97BD-F857BDF4C987}"/>
    <cellStyle name="Comma 2 2" xfId="45" xr:uid="{551E57D7-669E-44A2-8CBA-53EE3CDC6139}"/>
    <cellStyle name="Comma 20" xfId="25" xr:uid="{AA53C2EF-F9AF-4769-A8C7-2C655B05C1A5}"/>
    <cellStyle name="Comma 20 2" xfId="47" xr:uid="{9BFEDF06-9546-43F2-91A5-0FEFB589F832}"/>
    <cellStyle name="Comma 3" xfId="31" xr:uid="{3A2687BE-B7DC-45C3-95E6-3C9E0410D3F2}"/>
    <cellStyle name="Comma 30" xfId="7" xr:uid="{2AD41F5A-A50D-4B8B-8B74-1599CA87E9A5}"/>
    <cellStyle name="Comma 30 2" xfId="37" xr:uid="{A0FC2A60-DE89-4B0C-8F8B-849A9396C97A}"/>
    <cellStyle name="Comma 4" xfId="32" xr:uid="{7C28976B-C14B-4C5B-A2A1-748B16C917FF}"/>
    <cellStyle name="Comma 5" xfId="35" xr:uid="{164C4574-C300-44FC-BEDE-02E037C1F705}"/>
    <cellStyle name="Comma 6" xfId="51" xr:uid="{C322484F-FB73-461C-8CAF-839DB4F6748F}"/>
    <cellStyle name="Normal" xfId="0" builtinId="0"/>
    <cellStyle name="Normal 143" xfId="3" xr:uid="{020415D2-AF5C-4E58-927D-CB27D2C6CB7D}"/>
    <cellStyle name="Normal 2" xfId="13" xr:uid="{ADCAFAD6-1CBC-47A2-9608-93F6BB56FE0D}"/>
    <cellStyle name="Normal 2 2" xfId="40" xr:uid="{B00AB3EB-BDFF-45D1-B676-CC872C6C0516}"/>
    <cellStyle name="Normal 2 3" xfId="15" xr:uid="{952F3725-1D55-4966-9F0F-1A0745D4EAAC}"/>
    <cellStyle name="Normal 2 3 2" xfId="19" xr:uid="{562D5D71-DECF-4B71-BC31-5725D2FF6EDF}"/>
    <cellStyle name="Normal 2 3 2 2" xfId="44" xr:uid="{9A9D979A-53C3-47FE-9A09-F570744B6DD5}"/>
    <cellStyle name="Normal 2 3 3" xfId="24" xr:uid="{F9C4405D-1212-4DFA-9DCE-A78DEAA9854D}"/>
    <cellStyle name="Normal 2 3 4" xfId="41" xr:uid="{A45238CC-83FE-403E-B7B5-EC507025FB78}"/>
    <cellStyle name="Normal 3" xfId="8" xr:uid="{482908D5-6B05-487F-85DE-AF54341B22D7}"/>
    <cellStyle name="Normal 33 2 3" xfId="50" xr:uid="{68BA50D5-C460-4124-A2B5-F8C92E13EC6D}"/>
    <cellStyle name="Normal 4" xfId="26" xr:uid="{828980B8-4054-4B4C-9AD8-D37966EED1A9}"/>
    <cellStyle name="Normal 4 2" xfId="48" xr:uid="{0DA1365A-B56C-4BCF-8B2F-CDEBC7138C86}"/>
    <cellStyle name="Normal 5" xfId="29" xr:uid="{22E4D564-464B-46CA-9688-E6C43BA84523}"/>
    <cellStyle name="Normal_worksheet report updated" xfId="5" xr:uid="{5A8AA657-F920-4DC6-B920-21D31071DD1C}"/>
    <cellStyle name="Percent" xfId="14" builtinId="5"/>
    <cellStyle name="Percent 2" xfId="9" xr:uid="{DFA7A5BC-0802-40E3-AE76-58684B01B6FA}"/>
    <cellStyle name="Percent 2 3" xfId="12" xr:uid="{86741A92-AC8B-4C7E-A8D3-BA167E84F1F2}"/>
    <cellStyle name="Percent 3" xfId="21" xr:uid="{3DCD65AB-1062-4398-A740-5C79842ECF4F}"/>
    <cellStyle name="Percent 3 2" xfId="27" xr:uid="{36CF9438-47D8-4B69-9CB2-CBD133652DCB}"/>
    <cellStyle name="Percent 4" xfId="23" xr:uid="{01D87663-DD3E-4C91-8E88-09114A0DC6CB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CC"/>
      <color rgb="FF000066"/>
      <color rgb="FF66FFFF"/>
      <color rgb="FF6CE695"/>
      <color rgb="FFFFFF66"/>
      <color rgb="FFFF99CC"/>
      <color rgb="FFE80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84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65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74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6.xml"/><Relationship Id="rId85" Type="http://schemas.openxmlformats.org/officeDocument/2006/relationships/externalLink" Target="externalLinks/externalLink61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59.xml"/><Relationship Id="rId88" Type="http://schemas.openxmlformats.org/officeDocument/2006/relationships/externalLink" Target="externalLinks/externalLink64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49.xml"/><Relationship Id="rId78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6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5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7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5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42.xml"/><Relationship Id="rId87" Type="http://schemas.openxmlformats.org/officeDocument/2006/relationships/externalLink" Target="externalLinks/externalLink63.xml"/><Relationship Id="rId61" Type="http://schemas.openxmlformats.org/officeDocument/2006/relationships/externalLink" Target="externalLinks/externalLink37.xml"/><Relationship Id="rId82" Type="http://schemas.openxmlformats.org/officeDocument/2006/relationships/externalLink" Target="externalLinks/externalLink5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32.xml"/><Relationship Id="rId77" Type="http://schemas.openxmlformats.org/officeDocument/2006/relationships/externalLink" Target="externalLinks/externalLink5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101600</xdr:colOff>
          <xdr:row>0</xdr:row>
          <xdr:rowOff>0</xdr:rowOff>
        </xdr:from>
        <xdr:to>
          <xdr:col>10</xdr:col>
          <xdr:colOff>1022350</xdr:colOff>
          <xdr:row>4</xdr:row>
          <xdr:rowOff>50800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9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49739</xdr:colOff>
      <xdr:row>130</xdr:row>
      <xdr:rowOff>179772</xdr:rowOff>
    </xdr:from>
    <xdr:to>
      <xdr:col>5</xdr:col>
      <xdr:colOff>1043215</xdr:colOff>
      <xdr:row>144</xdr:row>
      <xdr:rowOff>95165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096" y="15419772"/>
          <a:ext cx="5093762" cy="24553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OE/cma%20opname%20F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sono\AGRONOMI%20KAMWIL\DATA%20Agronomi\LUK%202006\LUK%20Februari%202006\IKI\AGRONOMI%20TIM%20-%20AGR\L%20U%20K\Mgr1002\MGR01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D%208GB\KKPAUDITKAPF&amp;NTAHUN2011\AMP\REVIEW%20FILES\Monthly%20Report\windows\TEMP\My%20Documents\bahan%20buku\form-p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YOKEDE~1\LOCALS~1\Temp\FA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P_WM\PT%20Sinar%20Jaya%20Inti%20Mulya\LAPORAN%20KEUANGAN%20New\LK%202008%20New\LAPKEU%20SAM08%20final%20ban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hengky/Desktop/OE/cma%20opname%20F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My%20Documents\ANDY%20SYARIF%20SARANSI\UMUM\Q-1%20LT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REVIEW\2003\Q-4%202003\Q4%20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My%20Documents\Q-1%202003\grafrev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ls-2\SharedDocs\TITIP%20DATA%20ERNI\DATA%20SLS\UNI\ANDI%20SS\PRESENTASI%20PABRIK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%20COST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JIM\Zakia\LAPORAN%20KEUANGAN%20New\LK%202008%20New\LAPKEU%20SAM08%20final%20ban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my%20work\KLIEN%20FILES\PT.%20TANJUNG%20LESU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hengky/My%20Documents/Hengky/PT%20Texfibre%20indonesia%20update/PT.%20Texfibre%20Report-Final-revisi-2/Working%20paper/ACT.COSTJULI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SABIK\AUDIT\2013\BPR%20Cinta%20Manis%20Agroloka\2013\DRAFT%20I%20BPR%20CIMA\Kopkar%20Bina%20Khatulistiwa_2006_Final\My%20Documents\fredy\Potongan\Tgh0904\RINCIAN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ata%20Audit\Kopkar_Tower\Data%20The%20Way\Data%20Audit\Audit%20Final_2006\Kopkar%20Bina%20Khatulistiwa_2006_Final\My%20Documents\fredy\Potongan\Tgh0904\RINCIAN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biq's%20document/ABIQ/AUDIT/2010/PTPN/General%20Audit/PTPN/PTP%2010/UBS%20Muara%20Enim/Data%20The%20Way/Data%20Audit/Audit%20Final_2006/Kopkar%20Bina%20Khatulistiwa_2006_Final/My%20Documents/fredy/Potongan/Tgh0904/RINCIAN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ARI\KANTOR\AUDIT%202011\AEKI%2011\KOPKAR%20PTP%20WAY%20LIMA\Data%20The%20Way\Data%20Audit\Audit%20Final_2006\Kopkar%20Bina%20Khatulistiwa_2006_Final\My%20Documents\fredy\Potongan\Tgh0904\RINCIAN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D%208GB\KKPAUDITKAPF&amp;NTAHUN2011\a.1b%20PRIYONO\Data%202005\IMPROVE%20Activity%20Plan%20%202005.xlw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Izul%20Putra%20DT\Holding\TrialBal%20ISP%20-%20Holding%20(PDt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Izul%20Putra%20DT\Ketapang\TrialBal%20ISP%20-%20KETAPANG%20(PDt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othing%20Impossible/Desktop/TrialBal%20(IAS)%20Pdt%20-%20REV%2011-4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othing%20Impossible\Desktop\TrialBal%20(IAS)%20Pdt%20-%20REV%2011-4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Izul%20Putra%20DT\Pakan\TrialBal%20ISP%20-%20PAKAN%20(PDt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ongyang/WP-SRC.2005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je/Pelindo4/2005/Pusat/fa_pi4_all_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odi/AppData/Local/Microsoft/Windows/Temporary%20Internet%20Files/OLK4B07/PT%20Prospek%20Karyatama%20Terupdate/PKT/Inf03/kimu/December/BBM-03%20harga%20%20ok...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L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C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etary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te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C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lanc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itory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lient\Pajak\Santani%20Agro%20Persada,%20PT\2007\SPT%20masa%20PPH\daftar%20Gaji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hengky/Desktop/Documents%20and%20Settings/Owner/Desktop/BMF%202008/AUDIT%202008%20-%20Data%20Klien/LAPBUL%20DESEMBER%202008%20OFF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hengky/Desktop/Documents%20and%20Settings/Owner/Desktop/BMF%202008/AUDIT%202008%20-%20Data%20Klien/NS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JIM\Zakia\EXCEL%20FOR%20ACCOUNTING\BAB10-Merancang%20Fil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IK\Shared%20Sabik\SABIK\AUDIT\2014\GMB\00_Draft\KKP_PT%20Graha%20Madu%20Berjaya_2014%20(Autosaved)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Rangga%20Hadi%20Putra/My%20Documents/sementara%20dokumen%20ini%20disimpan%20disini/DT&amp;E/BMF-K&amp;N%202009/data%20klien/AUDIT%202008%20-%20Data%20Klien/BDD%20Desember%200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m-kali-fs-01\homefolder\Umum\Gaji%20Mei%202008%20FAM\UPAH%20APRIL%20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Downloads/SSP-BADA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lia\aulia\My%20Documents\Downloads\SSP-BADA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PLASMA/2010/DESEMBER%202010/JURTBS%20Des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p-Keu%2012%20Juni%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/OCBC/2003%20CITR/Data/BSPL%20OCBC_1203(ver6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kerjaan\Client\Pajak\SANTANI%202010\PPh%2021\12%20Des%201721%20FIN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ulian\D\DATA%20PAJAK%202005\PERDAGANGAN\ISTANA%20LAMPUNG%20RAYA_PT\SPT%20TAHUNAN\1721\1721%20ILR_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ra\data%20(d)\VERA\AUDIT\KOP.%20POLDA%20LAMPUNG\DATA\DATA%20KLIEN\DATA%20PAJAK%202005\MANUFAKTUR\LEMBAH%20GUNUNG.PT\SPT%20TAHUNAN\1721\1721%20%20Tahun%20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Budi\Klient\Pajak\Santani%20Agro%20Persada,%20PT\2008\SPT%20MASA%20PPH%2021\daftar%20Gaji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IAPAN%20BUKU/PERSIAPAN%20BUKU-(2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lia\aulia\PERSIAPAN%20BUKU\PERSIAPAN%20BUKU-(2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DATA%20KERJAAN/1-PERPAJAKAN/PAJAK%202011/Pajak%2021%20Masa%202011/INDOKOM%20Group%202011/GMCP/GMCP-PPh21-11%20Pembetula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D%208GB\KKPAUDITKAPF&amp;NTAHUN2011\LP.BULANAN\windows\TEMP\My%20Documents\bahan%20buku\form-p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kerjaan\Client\Pajak\ACP%20Lampung\(telah%20diemail)%20Perhitungan%20PPh21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p%20520/My%20Documents/Copy%20of%20Worksheet%20PT.Nipres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nsultasi%20Pajak\PT.%20SINAR%20CITRA%20LESTARI\2004\Jurna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AIROS%202009\LK%202009\LK%202009\Lap%20Keu%20200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becup/Prosedurauditurip/Documents%20and%20Settings/hengky/Desktop/Documents%20and%20Settings/Owner/Desktop/BMF%202008/AUDIT%202008%20-%20Data%20Klien/LAPBUL%20DESEMBER%202008%20O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aranaraya%20Rekacipta/src%202005/WP-SRC.20051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PT%20ISP%20SPT%201771_2022.xls" TargetMode="External"/><Relationship Id="rId1" Type="http://schemas.openxmlformats.org/officeDocument/2006/relationships/externalLinkPath" Target="/Users/LENOVO/Downloads/PT%20ISP%20SPT%201771_2022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%23Citra\11.%20Anugerah%20Spareparts%20Sejahtera\PBU\2023\WBS%20PT%20ASS%20Tahun_Feb%202023.xlsx" TargetMode="External"/><Relationship Id="rId1" Type="http://schemas.openxmlformats.org/officeDocument/2006/relationships/externalLinkPath" Target="/Users/LENOVO/Documents/%23Citra/11.%20Anugerah%20Spareparts%20Sejahtera/PBU/2023/WBS%20PT%20ASS%20Tahun_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A Addition"/>
    </sheetNames>
    <sheetDataSet>
      <sheetData sheetId="0">
        <row r="139">
          <cell r="D139">
            <v>40025.24</v>
          </cell>
          <cell r="E139" t="str">
            <v># of Selections: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R"/>
      <sheetName val="DAF-ISI"/>
      <sheetName val="ULAS"/>
      <sheetName val="01"/>
      <sheetName val="01a"/>
      <sheetName val="11"/>
      <sheetName val="12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Sheet1"/>
      <sheetName val="Blok List"/>
      <sheetName val="tanam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1">
          <cell r="AB11" t="str">
            <v xml:space="preserve"> Jan</v>
          </cell>
          <cell r="AI11">
            <v>186</v>
          </cell>
          <cell r="AJ11">
            <v>215</v>
          </cell>
          <cell r="AK11">
            <v>182</v>
          </cell>
          <cell r="AL11">
            <v>212.2</v>
          </cell>
          <cell r="AM11">
            <v>408</v>
          </cell>
        </row>
        <row r="12">
          <cell r="AB12" t="str">
            <v xml:space="preserve"> Feb</v>
          </cell>
          <cell r="AI12">
            <v>0</v>
          </cell>
          <cell r="AJ12">
            <v>186</v>
          </cell>
          <cell r="AK12">
            <v>193</v>
          </cell>
          <cell r="AL12">
            <v>244.3</v>
          </cell>
          <cell r="AM12">
            <v>308.39999999999998</v>
          </cell>
        </row>
        <row r="13">
          <cell r="AB13" t="str">
            <v xml:space="preserve"> Mar</v>
          </cell>
          <cell r="AI13">
            <v>0</v>
          </cell>
          <cell r="AJ13">
            <v>422.7</v>
          </cell>
          <cell r="AK13">
            <v>196.7</v>
          </cell>
          <cell r="AL13">
            <v>222.05</v>
          </cell>
          <cell r="AM13">
            <v>461</v>
          </cell>
        </row>
        <row r="14">
          <cell r="AB14" t="str">
            <v xml:space="preserve"> Apr</v>
          </cell>
          <cell r="AI14">
            <v>53.5</v>
          </cell>
          <cell r="AJ14">
            <v>300</v>
          </cell>
          <cell r="AK14">
            <v>290.75</v>
          </cell>
          <cell r="AL14">
            <v>268.89999999999998</v>
          </cell>
          <cell r="AM14">
            <v>190.4</v>
          </cell>
        </row>
        <row r="15">
          <cell r="AB15" t="str">
            <v xml:space="preserve"> Mei</v>
          </cell>
          <cell r="AI15">
            <v>195.7</v>
          </cell>
          <cell r="AJ15">
            <v>469.5</v>
          </cell>
          <cell r="AK15">
            <v>260.7</v>
          </cell>
          <cell r="AL15">
            <v>50.1</v>
          </cell>
          <cell r="AM15">
            <v>193</v>
          </cell>
        </row>
        <row r="16">
          <cell r="AB16" t="str">
            <v xml:space="preserve"> Jun</v>
          </cell>
          <cell r="AI16">
            <v>182.4</v>
          </cell>
          <cell r="AJ16">
            <v>46.5</v>
          </cell>
          <cell r="AK16">
            <v>225.3</v>
          </cell>
          <cell r="AL16">
            <v>231</v>
          </cell>
          <cell r="AM16">
            <v>408.98</v>
          </cell>
        </row>
        <row r="17">
          <cell r="AB17" t="str">
            <v xml:space="preserve"> Jul</v>
          </cell>
          <cell r="AI17">
            <v>338.4</v>
          </cell>
          <cell r="AJ17">
            <v>60.75</v>
          </cell>
          <cell r="AK17">
            <v>216.8</v>
          </cell>
          <cell r="AL17">
            <v>176.7</v>
          </cell>
          <cell r="AM17">
            <v>8.5</v>
          </cell>
        </row>
        <row r="18">
          <cell r="AB18" t="str">
            <v xml:space="preserve"> Aug</v>
          </cell>
          <cell r="AI18">
            <v>335.5</v>
          </cell>
          <cell r="AJ18">
            <v>12.5</v>
          </cell>
          <cell r="AK18">
            <v>230.4</v>
          </cell>
          <cell r="AL18">
            <v>25.4</v>
          </cell>
          <cell r="AM18">
            <v>0</v>
          </cell>
        </row>
        <row r="19">
          <cell r="AB19" t="str">
            <v xml:space="preserve"> Sep</v>
          </cell>
          <cell r="AI19">
            <v>244</v>
          </cell>
          <cell r="AJ19">
            <v>217.5</v>
          </cell>
          <cell r="AK19">
            <v>268.02999999999997</v>
          </cell>
          <cell r="AL19">
            <v>136.1</v>
          </cell>
          <cell r="AM19">
            <v>49.92</v>
          </cell>
        </row>
        <row r="20">
          <cell r="AB20" t="str">
            <v xml:space="preserve"> Okt</v>
          </cell>
          <cell r="AI20">
            <v>61.1</v>
          </cell>
          <cell r="AJ20">
            <v>360</v>
          </cell>
          <cell r="AK20">
            <v>312.3</v>
          </cell>
          <cell r="AL20">
            <v>159.80000000000001</v>
          </cell>
          <cell r="AM20">
            <v>29.5</v>
          </cell>
        </row>
        <row r="21">
          <cell r="AB21" t="str">
            <v xml:space="preserve"> Nov</v>
          </cell>
          <cell r="AI21">
            <v>166.5</v>
          </cell>
          <cell r="AJ21">
            <v>288</v>
          </cell>
          <cell r="AK21">
            <v>280.60000000000002</v>
          </cell>
          <cell r="AL21">
            <v>238.5</v>
          </cell>
          <cell r="AM21">
            <v>0</v>
          </cell>
        </row>
        <row r="22">
          <cell r="AB22" t="str">
            <v xml:space="preserve"> Des</v>
          </cell>
          <cell r="AI22">
            <v>0</v>
          </cell>
          <cell r="AJ22">
            <v>267.60000000000002</v>
          </cell>
          <cell r="AK22">
            <v>167.8</v>
          </cell>
          <cell r="AL22">
            <v>245.67</v>
          </cell>
          <cell r="AM22">
            <v>0</v>
          </cell>
        </row>
      </sheetData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Sheet2"/>
      <sheetName val="summary"/>
      <sheetName val="ANALYZE"/>
      <sheetName val="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PT.SIP (2)"/>
      <sheetName val="aaf"/>
      <sheetName val="TONI"/>
      <sheetName val="SIP"/>
      <sheetName val="GJ-OA SMART 08"/>
      <sheetName val="coa"/>
      <sheetName val="ADJ"/>
      <sheetName val="neracasaldo"/>
      <sheetName val="L-R"/>
      <sheetName val="B-S"/>
      <sheetName val="adj LD &amp; aset audit"/>
      <sheetName val="B-S (2)"/>
      <sheetName val="RINCIAN NERACA"/>
      <sheetName val="BY PENJUALAN"/>
      <sheetName val="BY ADM"/>
      <sheetName val="PDPTN &amp; BIAYA EKSPEDISI"/>
      <sheetName val="PDPTN &amp; BY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E6" t="str">
            <v>101.01.01     KAS BANDAR LAMPUNG</v>
          </cell>
        </row>
        <row r="7">
          <cell r="E7" t="str">
            <v>101.01.02     KAS KANTOR METRO</v>
          </cell>
        </row>
        <row r="8">
          <cell r="E8" t="str">
            <v>101.01.03     KAS BANGKA</v>
          </cell>
        </row>
        <row r="9">
          <cell r="E9" t="str">
            <v>101.01.04     KAS KANTOR  PANJANG</v>
          </cell>
        </row>
        <row r="10">
          <cell r="E10" t="str">
            <v>101.01.05     KAS (DOLAR)</v>
          </cell>
        </row>
        <row r="11">
          <cell r="E11" t="str">
            <v>103.01.01     BILYET GIRO</v>
          </cell>
        </row>
        <row r="12">
          <cell r="E12" t="str">
            <v>104.01.01     BANK BCA AN PT SUTOMO AC 117.023242.5 (IDR)</v>
          </cell>
        </row>
        <row r="13">
          <cell r="E13" t="str">
            <v>104.01.02     BCA AN SUTOMO AC 117.025185.3 (IDR)</v>
          </cell>
        </row>
        <row r="14">
          <cell r="E14" t="str">
            <v>104.01.03     BCA AN PT SUTOMO AC 117.0330303 (USD)</v>
          </cell>
        </row>
        <row r="15">
          <cell r="E15" t="str">
            <v>104.01.04     BCA DEPOSITO AN SUTOMO AC 117.0404731</v>
          </cell>
        </row>
        <row r="16">
          <cell r="E16" t="str">
            <v>104.02.01     BANK BNI AN PT SUTOMO AC 289.000008406.001 (IDR)</v>
          </cell>
        </row>
        <row r="17">
          <cell r="E17" t="str">
            <v>104.03.01     BANK BDI AN CV SUTOMO AC 0008229692 (IDR)</v>
          </cell>
        </row>
        <row r="18">
          <cell r="E18" t="str">
            <v>104.03.02     BANK BDI AN PT SUTOMO AC 24.906687 (IDR)</v>
          </cell>
        </row>
        <row r="19">
          <cell r="E19" t="str">
            <v>104.03.03     BANK BDI AC 0055548283 ($)</v>
          </cell>
        </row>
        <row r="20">
          <cell r="E20" t="str">
            <v>104.03.04     BANK BDI PINJAMAN AC 0055556948</v>
          </cell>
        </row>
        <row r="21">
          <cell r="E21" t="str">
            <v>104.03.05     BDI DEPOSITO AC 00090419789</v>
          </cell>
        </row>
        <row r="22">
          <cell r="E22" t="str">
            <v>104.04.01     BANK BII AN. CV SUTOMO AC 2215.00089.0 (IDR)</v>
          </cell>
        </row>
        <row r="23">
          <cell r="E23" t="str">
            <v>104.05.01     REK.INTERCOMPANY</v>
          </cell>
        </row>
        <row r="24">
          <cell r="E24" t="str">
            <v>104.06.01     BANK NISP AC. 330.010.005856</v>
          </cell>
        </row>
        <row r="25">
          <cell r="E25" t="str">
            <v>104.06.02     BANK NISP AN PT.SAM AC.330.010.000588 (IDR)</v>
          </cell>
        </row>
        <row r="26">
          <cell r="E26" t="str">
            <v>105.01.01     PIUTANG DAGANG-PT MALINDO FEEDMILD</v>
          </cell>
        </row>
        <row r="27">
          <cell r="E27" t="str">
            <v>105.01.02     PIUTANG DAGANG-PT CISADANE RAYA CHEMICAL</v>
          </cell>
        </row>
        <row r="28">
          <cell r="E28" t="str">
            <v>105.01.03     PIUTANG DAGANG-PT KARTIKA TIRTA HEMA</v>
          </cell>
        </row>
        <row r="29">
          <cell r="E29" t="str">
            <v>105.01.04     PIUTANG DAGANG-PT PZ CUSSONS INDONESIA</v>
          </cell>
        </row>
        <row r="30">
          <cell r="E30" t="str">
            <v>105.01.05     PIUTANG DAGANG-PT TRIMITRA PALM NIAGA</v>
          </cell>
        </row>
        <row r="31">
          <cell r="E31" t="str">
            <v>105.01.06     PIUTANG DAGANG-PT CENTRAL HARMONI KARSA</v>
          </cell>
        </row>
        <row r="32">
          <cell r="E32" t="str">
            <v>105.01.07     PIUTANG DAGANG-PT SUMATERA NABATI OIL</v>
          </cell>
        </row>
        <row r="33">
          <cell r="E33" t="str">
            <v>105.01.08     PIUTANG DAGANG-PT MUSIM MAS</v>
          </cell>
        </row>
        <row r="34">
          <cell r="E34" t="str">
            <v>105.01.09     PIUTANG DAGANG-PT VISTA GRAIND</v>
          </cell>
        </row>
        <row r="35">
          <cell r="E35" t="str">
            <v>105.01.10     PIUTANG DAGANG-PT PRISCOLIN</v>
          </cell>
        </row>
        <row r="36">
          <cell r="E36" t="str">
            <v>105.01.100   PIUTANG DAGANG-MARWAN</v>
          </cell>
        </row>
        <row r="37">
          <cell r="E37" t="str">
            <v>105.01.101   PIUTANG DAGANG-HERMAN</v>
          </cell>
        </row>
        <row r="38">
          <cell r="E38" t="str">
            <v>105.01.102   PIUTANG DAGANG-KO AFEN</v>
          </cell>
        </row>
        <row r="39">
          <cell r="E39" t="str">
            <v>105.01.103   PIUTANG DAGANG-AFUK-SKP</v>
          </cell>
        </row>
        <row r="40">
          <cell r="E40" t="str">
            <v>105.01.104   PIUTANG DAGANG-AFUK KTB/HR</v>
          </cell>
        </row>
        <row r="41">
          <cell r="E41" t="str">
            <v>105.01.105   PIUTANG DAGANG-AGUS PS RB</v>
          </cell>
        </row>
        <row r="42">
          <cell r="E42" t="str">
            <v>105.01.106   PIUTANG DAGANG-AGUS SP4C</v>
          </cell>
        </row>
        <row r="43">
          <cell r="E43" t="str">
            <v>105.01.107   PIUTANG DAGANG-KO AHIN</v>
          </cell>
        </row>
        <row r="44">
          <cell r="E44" t="str">
            <v>105.01.108   PIUTANG DAGANG-BANY</v>
          </cell>
        </row>
        <row r="45">
          <cell r="E45" t="str">
            <v>105.01.11     PIUTANG DAGANG-PT WAHANA CITRA NABATI</v>
          </cell>
        </row>
        <row r="46">
          <cell r="E46" t="str">
            <v>105.01.111   PIUTANG DAGANG-PT. CEMANI</v>
          </cell>
        </row>
        <row r="47">
          <cell r="E47" t="str">
            <v>105.01.112   PIUTANG DAGANG-PT KEDAUNG RAYA</v>
          </cell>
        </row>
        <row r="48">
          <cell r="E48" t="str">
            <v>105.01.113   PIUTANG DAGANG-PT. SANGUN RATU</v>
          </cell>
        </row>
        <row r="49">
          <cell r="E49" t="str">
            <v>105.01.114   PIUTANG DAGANG-PT. KARYA SUKSES ABADI</v>
          </cell>
        </row>
        <row r="50">
          <cell r="E50" t="str">
            <v>105.01.115   PIUTANG DAGANG-PT.TUNAS BARU LAMPUNG Tbk</v>
          </cell>
        </row>
        <row r="51">
          <cell r="E51" t="str">
            <v>105.01.116   PIUTANG DAGANG- KO  KUKU</v>
          </cell>
        </row>
        <row r="52">
          <cell r="E52" t="str">
            <v>105.01.117   PIUTANG DAGANG- SITI /PURBOLINGGO</v>
          </cell>
        </row>
        <row r="53">
          <cell r="E53" t="str">
            <v>105.01.118   PIUTANG DAGANG- CI ACIN</v>
          </cell>
        </row>
        <row r="54">
          <cell r="E54" t="str">
            <v>105.01.119   PIUTANG DAGANG- AYAU</v>
          </cell>
        </row>
        <row r="55">
          <cell r="E55" t="str">
            <v>105.01.12     PIUTANG DAGANG-PT BUKIT KAPUR REKSA</v>
          </cell>
        </row>
        <row r="56">
          <cell r="E56" t="str">
            <v>105.01.120   PIUTANG DAGANG- SAFIC ALKAN</v>
          </cell>
        </row>
        <row r="57">
          <cell r="E57" t="str">
            <v>105.01.13     PIUTANG DAGANG-CV BANGUN JAYA MANDIRI</v>
          </cell>
        </row>
        <row r="58">
          <cell r="E58" t="str">
            <v>105.01.14     PIUTANG DAGANG-KO ENGHO</v>
          </cell>
        </row>
        <row r="59">
          <cell r="E59" t="str">
            <v>105.01.15     PIUTANG DAGANG-PT DARMEX OIL &amp; FATS</v>
          </cell>
        </row>
        <row r="60">
          <cell r="E60" t="str">
            <v>105.01.16     PIUTANG DAGANG-CV SINAR LAUT</v>
          </cell>
        </row>
        <row r="61">
          <cell r="E61" t="str">
            <v>105.01.17     PIUTANG DAGANG-TOEPFER INTERNATIONAL PTE LTD</v>
          </cell>
        </row>
        <row r="62">
          <cell r="E62" t="str">
            <v>105.01.18     PIUTANG DAGANG-PT HASIL ABADI PERDANA</v>
          </cell>
        </row>
        <row r="63">
          <cell r="E63" t="str">
            <v>105.01.19     PIUTANG DAGANG-GLOBAL ADVANCE OILS AND FATS</v>
          </cell>
        </row>
        <row r="64">
          <cell r="E64" t="str">
            <v>105.01.20     PIUTANG DAGANG-PT CHAROEN POPHAND INDONESIA</v>
          </cell>
        </row>
        <row r="65">
          <cell r="E65" t="str">
            <v>105.01.21     PIUTANG DAGANG-IBU GANI</v>
          </cell>
        </row>
        <row r="66">
          <cell r="E66" t="str">
            <v>105.01.22     PIUTANG DAGANG-PT CENTRAL PROTEINA PRIMA</v>
          </cell>
        </row>
        <row r="67">
          <cell r="E67" t="str">
            <v>105.01.23     PIUTANG DAGANG-PT TUNAS BARU LAMPUNG (BDL)</v>
          </cell>
        </row>
        <row r="68">
          <cell r="E68" t="str">
            <v>105.01.24     PIUTANG DAGANG-PT TUNAS BARU LAMPUNG (PLG)</v>
          </cell>
        </row>
        <row r="69">
          <cell r="E69" t="str">
            <v>105.01.25     PIUTANG DAGANG-PT SARI JELITA</v>
          </cell>
        </row>
        <row r="70">
          <cell r="E70" t="str">
            <v>105.01.26     PIUTANG DAGANG-PT SAWITRA OIL GRAIND</v>
          </cell>
        </row>
        <row r="71">
          <cell r="E71" t="str">
            <v>105.01.27     PIUTANG DAGANG-PT INDO KARYA INTERNUSA</v>
          </cell>
        </row>
        <row r="72">
          <cell r="E72" t="str">
            <v>105.01.28     PIUTANG DAGANG-KO TEDDY</v>
          </cell>
        </row>
        <row r="73">
          <cell r="E73" t="str">
            <v>105.01.29     PIUTANG DAGANG-PT CHEILD JEDANG SUPERFEED</v>
          </cell>
        </row>
        <row r="74">
          <cell r="E74" t="str">
            <v>105.01.30     PIUTANG DAGANG-PT JUANG JAYA ABDI ALAM</v>
          </cell>
        </row>
        <row r="75">
          <cell r="E75" t="str">
            <v>105.01.31     PIUTANG DAGANG-PT GOLD COIN</v>
          </cell>
        </row>
        <row r="76">
          <cell r="E76" t="str">
            <v>105.01.32     PIUTANG DAGANG-PT KERTA MULIA</v>
          </cell>
        </row>
        <row r="77">
          <cell r="E77" t="str">
            <v>105.01.33     PIUTANG DAGANG-PT PURIVAM</v>
          </cell>
        </row>
        <row r="78">
          <cell r="E78" t="str">
            <v>105.01.34     PIUTANG DAGANG-PT EDEN FARM</v>
          </cell>
        </row>
        <row r="79">
          <cell r="E79" t="str">
            <v>105.01.35     PIUTANG DAGANG-PT SUMBER JAYA AGRATAMA KENCANA</v>
          </cell>
        </row>
        <row r="80">
          <cell r="E80" t="str">
            <v>105.01.36     PIUTANG DAGANG-PT PANCA NABATI PRAKARSA</v>
          </cell>
        </row>
        <row r="81">
          <cell r="E81" t="str">
            <v>105.01.37     PIUTANG DAGANG-PT SALIM IVOMAS PRATAMA</v>
          </cell>
        </row>
        <row r="82">
          <cell r="E82" t="str">
            <v>105.01.38     PIUTANG DAGANG-CV KHARISMA</v>
          </cell>
        </row>
        <row r="83">
          <cell r="E83" t="str">
            <v>105.01.39     PIUTANG DAGANG-PT ANGSO DUO SAWIT</v>
          </cell>
        </row>
        <row r="84">
          <cell r="E84" t="str">
            <v>105.01.40     PIUTANG DAGANG-PT CARGIL INDONESIA</v>
          </cell>
        </row>
        <row r="85">
          <cell r="E85" t="str">
            <v>105.01.41     PIUTANG DAGANG-PT JAYA BROILER FARM</v>
          </cell>
        </row>
        <row r="86">
          <cell r="E86" t="str">
            <v>105.01.42     PIUTANG DAGANG-PT MEMORINTAMA PERKASA</v>
          </cell>
        </row>
        <row r="87">
          <cell r="E87" t="str">
            <v>105.01.43     PIUTANG DAGANG-AAVANTI INDUSTRIES Pte.Ltd</v>
          </cell>
        </row>
        <row r="88">
          <cell r="E88" t="str">
            <v>105.01.44     PIUTANG DAGANG-CINERGY CORPORATION</v>
          </cell>
        </row>
        <row r="89">
          <cell r="E89" t="str">
            <v>105.01.45     PIUTANG DAGANG-PT PALMAS ASRI</v>
          </cell>
        </row>
        <row r="90">
          <cell r="E90" t="str">
            <v>105.01.46     PIUTANG DAGANG-PT SINAR ALAM PERMAI</v>
          </cell>
        </row>
        <row r="91">
          <cell r="E91" t="str">
            <v>105.01.47     PIUTANG DAGANG-PT ASIANAGRO AGUNG JAYA</v>
          </cell>
        </row>
        <row r="92">
          <cell r="E92" t="str">
            <v>105.01.48     PIUTANG DAGANG-PT SINAR JAYA INTI MULYA</v>
          </cell>
        </row>
        <row r="93">
          <cell r="E93" t="str">
            <v>105.01.49     PIUTANG DAGANG-KO AYANG</v>
          </cell>
        </row>
        <row r="94">
          <cell r="E94" t="str">
            <v>105.01.50     PIUTANG DAGANG-KO ARI</v>
          </cell>
        </row>
        <row r="95">
          <cell r="E95" t="str">
            <v>105.01.500   PIUTANG DAGANG-ALI-SKP</v>
          </cell>
        </row>
        <row r="96">
          <cell r="E96" t="str">
            <v>105.01.501   PIUTANG DAGANG-AMSOR GAYA BARU</v>
          </cell>
        </row>
        <row r="97">
          <cell r="E97" t="str">
            <v>105.01.502   PIUTANG DAGANG-ANJARWATI TRIMODADI</v>
          </cell>
        </row>
        <row r="98">
          <cell r="E98" t="str">
            <v>105.01.503   PIUTANG DAGANG-ANOM P LINNGO</v>
          </cell>
        </row>
        <row r="99">
          <cell r="E99" t="str">
            <v>105.01.504   PIUTANG DAGANG-ANTON SKP</v>
          </cell>
        </row>
        <row r="100">
          <cell r="E100" t="str">
            <v>105.01.505   PIUTANG DAGANG-ANTON BEKRI</v>
          </cell>
        </row>
        <row r="101">
          <cell r="E101" t="str">
            <v>105.01.506   PIUTANG DAGANG-ANTON 48</v>
          </cell>
        </row>
        <row r="102">
          <cell r="E102" t="str">
            <v>105.01.507   PIUTANG DAGANG-ANWAR P LINNGO</v>
          </cell>
        </row>
        <row r="103">
          <cell r="E103" t="str">
            <v>105.01.508   PIUTANG DAGANG-ASAN METRO</v>
          </cell>
        </row>
        <row r="104">
          <cell r="E104" t="str">
            <v>105.01.509   PIUTANG DAGANG-ASAN 21</v>
          </cell>
        </row>
        <row r="105">
          <cell r="E105" t="str">
            <v>105.01.51     PIUTANG DAGANG-KO GUN</v>
          </cell>
        </row>
        <row r="106">
          <cell r="E106" t="str">
            <v>105.01.510   PIUTANG DAGANG-ASEM BEKRI</v>
          </cell>
        </row>
        <row r="107">
          <cell r="E107" t="str">
            <v>105.01.511   PIUTANG DAGANG-ASEM 21C</v>
          </cell>
        </row>
        <row r="108">
          <cell r="E108" t="str">
            <v>105.01.512   PIUTANG DAGANG-ASEM SKP</v>
          </cell>
        </row>
        <row r="109">
          <cell r="E109" t="str">
            <v>105.01.513   PIUTANG DAGANG-ASEN 21</v>
          </cell>
        </row>
        <row r="110">
          <cell r="E110" t="str">
            <v>105.01.514   PIUTANG DAGANG-ASIH SKP</v>
          </cell>
        </row>
        <row r="111">
          <cell r="E111" t="str">
            <v>105.01.515   PIUTANG DAGANG-ASIH B.HARI</v>
          </cell>
        </row>
        <row r="112">
          <cell r="E112" t="str">
            <v>105.01.516   PIUTANG DAGANG-ASIH 6</v>
          </cell>
        </row>
        <row r="113">
          <cell r="E113" t="str">
            <v>105.01.517   PIUTANG DAGANG-ATUN GAYA BARU</v>
          </cell>
        </row>
        <row r="114">
          <cell r="E114" t="str">
            <v>105.01.518   PIUTANG DAGANG-ATUN 48</v>
          </cell>
        </row>
        <row r="115">
          <cell r="E115" t="str">
            <v>105.01.519   PIUTANG DAGANG-ATUN SKP</v>
          </cell>
        </row>
        <row r="116">
          <cell r="E116" t="str">
            <v>105.01.52     PIUTANG DAGANG-PT JAPFA COMFEED INDONESIA-BDL</v>
          </cell>
        </row>
        <row r="117">
          <cell r="E117" t="str">
            <v>105.01.520   PIUTANG DAGANG-ATUN BEKRI</v>
          </cell>
        </row>
        <row r="118">
          <cell r="E118" t="str">
            <v>105.01.521   PIUTANG DAGANG-ATUNO</v>
          </cell>
        </row>
        <row r="119">
          <cell r="E119" t="str">
            <v>105.01.522   PIUTANG DAGANG-BARU SKP</v>
          </cell>
        </row>
        <row r="120">
          <cell r="E120" t="str">
            <v>105.01.524   PIUTANG DAGANG-BIBIT BEKRI</v>
          </cell>
        </row>
        <row r="121">
          <cell r="E121" t="str">
            <v>105.01.525   PIUTANG DAGANG-BIBIT 21</v>
          </cell>
        </row>
        <row r="122">
          <cell r="E122" t="str">
            <v>105.01.526   PIUTANG DAGANG-CIKMAN TRIMODADI</v>
          </cell>
        </row>
        <row r="123">
          <cell r="E123" t="str">
            <v>105.01.528   PIUTANG DAGANG-CITRO SKP</v>
          </cell>
        </row>
        <row r="124">
          <cell r="E124" t="str">
            <v>105.01.529   PIUTANG DAGANG-DARMI BEKRI</v>
          </cell>
        </row>
        <row r="125">
          <cell r="E125" t="str">
            <v>105.01.53     PIUTANG DAGANG-PT JAPFA COMFEED INDONESIA-CIKUPA</v>
          </cell>
        </row>
        <row r="126">
          <cell r="E126" t="str">
            <v>105.01.530   PIUTANG DAGANG-DELA 48</v>
          </cell>
        </row>
        <row r="127">
          <cell r="E127" t="str">
            <v>105.01.531   PIUTANG DAGANG-DELLA SKP</v>
          </cell>
        </row>
        <row r="128">
          <cell r="E128" t="str">
            <v>105.01.532   PIUTANG DAGANG-DELLA B.HARI</v>
          </cell>
        </row>
        <row r="129">
          <cell r="E129" t="str">
            <v>105.01.533   PIUTANG DAGANG-EDI AS SKP</v>
          </cell>
        </row>
        <row r="130">
          <cell r="E130" t="str">
            <v>105.01.534   PIUTANG DAGANG-EKO 48</v>
          </cell>
        </row>
        <row r="131">
          <cell r="E131" t="str">
            <v>105.01.535   PIUTANG DAGANG-HARTI GAYA BARU</v>
          </cell>
        </row>
        <row r="132">
          <cell r="E132" t="str">
            <v>105.01.536   PIUTANG DAGANG-IING P.LINNGO</v>
          </cell>
        </row>
        <row r="133">
          <cell r="E133" t="str">
            <v>105.01.537   PIUTANG DAGANG-IKROM TRIMODADI</v>
          </cell>
        </row>
        <row r="134">
          <cell r="E134" t="str">
            <v>105.01.538   PIUTANG DAGANG-IKROM WAY T</v>
          </cell>
        </row>
        <row r="135">
          <cell r="E135" t="str">
            <v>105.01.539   PIUTANG DAGANG-JADI BEKRI</v>
          </cell>
        </row>
        <row r="136">
          <cell r="E136" t="str">
            <v>105.01.54     PIUTANG DAGANG-PT JAPFA COMFEED INDONESIA-CIREBON</v>
          </cell>
        </row>
        <row r="137">
          <cell r="E137" t="str">
            <v>105.01.540   PIUTANG DAGANG-JUADI B.HARI</v>
          </cell>
        </row>
        <row r="138">
          <cell r="E138" t="str">
            <v>105.01.541   PIUTANG DAGANG-JUNAIDI 16C</v>
          </cell>
        </row>
        <row r="139">
          <cell r="E139" t="str">
            <v>105.01.542   PIUTANG DAGANG-JUWADI B.HARI</v>
          </cell>
        </row>
        <row r="140">
          <cell r="E140" t="str">
            <v>105.01.543   PIUTANG DAGANG-JUWADI BEKRI</v>
          </cell>
        </row>
        <row r="141">
          <cell r="E141" t="str">
            <v>105.01.544   PIUTANG DAGANG-KAHAR GAYA BARU</v>
          </cell>
        </row>
        <row r="142">
          <cell r="E142" t="str">
            <v>105.01.546   PIUTANG DAGANG-KATMINI P LINNGO</v>
          </cell>
        </row>
        <row r="143">
          <cell r="E143" t="str">
            <v>105.01.547   PIUTANG DAGANG-KO ASAN</v>
          </cell>
        </row>
        <row r="144">
          <cell r="E144" t="str">
            <v>105.01.548   PIUTANG DAGANG-KO ASEM METRO</v>
          </cell>
        </row>
        <row r="145">
          <cell r="E145" t="str">
            <v>105.01.549   PIUTANG DAGANG-KOMARIAH GAYA BARU</v>
          </cell>
        </row>
        <row r="146">
          <cell r="E146" t="str">
            <v>105.01.55     PIUTANG DAGANG-PT WELGRO</v>
          </cell>
        </row>
        <row r="147">
          <cell r="E147" t="str">
            <v>105.01.550   PIUTANG DAGANG-LAMINA GAYA BARU</v>
          </cell>
        </row>
        <row r="148">
          <cell r="E148" t="str">
            <v>105.01.556   PIUTANG DAGANG-MUSLIMIN GAYA BARU</v>
          </cell>
        </row>
        <row r="149">
          <cell r="E149" t="str">
            <v>105.01.557   PIUTANG DAGANG-NANANG BEKRI</v>
          </cell>
        </row>
        <row r="150">
          <cell r="E150" t="str">
            <v>105.01.558   PIUTANG DAGANG-NUR EKO 48</v>
          </cell>
        </row>
        <row r="151">
          <cell r="E151" t="str">
            <v>105.01.559   PIUTANG DAGANG-NUR EKO SKP</v>
          </cell>
        </row>
        <row r="152">
          <cell r="E152" t="str">
            <v>105.01.56     PIUTANG DAGANG-ALI JAKARTA</v>
          </cell>
        </row>
        <row r="153">
          <cell r="E153" t="str">
            <v>105.01.560   PIUTANG DAGANG-PAIMIN BEKRI</v>
          </cell>
        </row>
        <row r="154">
          <cell r="E154" t="str">
            <v>105.01.561   PIUTANG DAGANG-RAKIM P LINNGO</v>
          </cell>
        </row>
        <row r="155">
          <cell r="E155" t="str">
            <v>105.01.563   PIUTANG DAGANG- HENDRI</v>
          </cell>
        </row>
        <row r="156">
          <cell r="E156" t="str">
            <v>105.01.564   PIUTANG DAGANG-MEWAHOLEO INDUSTRIES SDN</v>
          </cell>
        </row>
        <row r="157">
          <cell r="E157" t="str">
            <v>105.01.565   PIUTANG DAGANG-SRI TAMA P LINNGO</v>
          </cell>
        </row>
        <row r="158">
          <cell r="E158" t="str">
            <v>105.01.566   PIUTANG DAGANG-SUARI BEKRI</v>
          </cell>
        </row>
        <row r="159">
          <cell r="E159" t="str">
            <v>105.01.57     PIUTANG DAGANG-PT. TELUK BAYUR BULK TERMINAL</v>
          </cell>
        </row>
        <row r="160">
          <cell r="E160" t="str">
            <v>105.01.571   PIUTANG DAGANG-SUROTO P LINNGO</v>
          </cell>
        </row>
        <row r="161">
          <cell r="E161" t="str">
            <v>105.01.572   PIUTANG DAGANG-SUTAJI GAYA BARU</v>
          </cell>
        </row>
        <row r="162">
          <cell r="E162" t="str">
            <v>105.01.574   PIUTANG DAGANG-SUTI BEKRI</v>
          </cell>
        </row>
        <row r="163">
          <cell r="E163" t="str">
            <v>105.01.576   PIUTANG DAGANG-VENUS SKP</v>
          </cell>
        </row>
        <row r="164">
          <cell r="E164" t="str">
            <v>105.01.58     PIUTANG DAGANG-PD JUJUR</v>
          </cell>
        </row>
        <row r="165">
          <cell r="E165" t="str">
            <v>105.01.580   PIUTANG DAGANG-WIDI SKP</v>
          </cell>
        </row>
        <row r="166">
          <cell r="E166" t="str">
            <v>105.01.582   PIUTANG DAGANG-YANTO TRIMODADI</v>
          </cell>
        </row>
        <row r="167">
          <cell r="E167" t="str">
            <v>105.01.584   PIUTANG DAGANG-YATI BEKRI</v>
          </cell>
        </row>
        <row r="168">
          <cell r="E168" t="str">
            <v>105.01.585   PIUTANG DAGANG-MESNO-PD</v>
          </cell>
        </row>
        <row r="169">
          <cell r="E169" t="str">
            <v>105.01.586   PIUTANG DAGANG-LELA-21A</v>
          </cell>
        </row>
        <row r="170">
          <cell r="E170" t="str">
            <v>105.01.587   PIUTANG DAGANG-NURSAID-21A</v>
          </cell>
        </row>
        <row r="171">
          <cell r="E171" t="str">
            <v>105.01.589   PIUTANG DAGANG-CAHYO-SKP</v>
          </cell>
        </row>
        <row r="172">
          <cell r="E172" t="str">
            <v>105.01.59     PIUTANG DAGANG-KO ABUN</v>
          </cell>
        </row>
        <row r="173">
          <cell r="E173" t="str">
            <v>105.01.590   PIUTANG DAGANG-PRAPTI-SKP</v>
          </cell>
        </row>
        <row r="174">
          <cell r="E174" t="str">
            <v>105.01.591   PIUTANG DAGANG-MASROAH-SKP</v>
          </cell>
        </row>
        <row r="175">
          <cell r="E175" t="str">
            <v>105.01.593   PIUTANG DAGANG-RAJINO-48</v>
          </cell>
        </row>
        <row r="176">
          <cell r="E176" t="str">
            <v>105.01.594   PIUTANG DAGANG-ALI-48</v>
          </cell>
        </row>
        <row r="177">
          <cell r="E177" t="str">
            <v>105.01.598   PIUTANG DAGANG-WAKID G.BARU</v>
          </cell>
        </row>
        <row r="178">
          <cell r="E178" t="str">
            <v>105.01.60     PIUTANG DAGANG-KO KENKEN</v>
          </cell>
        </row>
        <row r="179">
          <cell r="E179" t="str">
            <v>105.01.600   PIUTANG DAGANG-NURUL G.BARU</v>
          </cell>
        </row>
        <row r="180">
          <cell r="E180" t="str">
            <v>105.01.601   PIUTANG DAGANG-NURHAYATI G.BARU</v>
          </cell>
        </row>
        <row r="181">
          <cell r="E181" t="str">
            <v>105.01.604   PIUTANG DAGANG-ANSOR G.BARU</v>
          </cell>
        </row>
        <row r="182">
          <cell r="E182" t="str">
            <v>105.01.605   PIUTANG DAGANG-NURWAHID G.BARU</v>
          </cell>
        </row>
        <row r="183">
          <cell r="E183" t="str">
            <v>105.01.606   PIUTANG DAGANG-KALIMI G.BARU</v>
          </cell>
        </row>
        <row r="184">
          <cell r="E184" t="str">
            <v>105.01.607   PIUTANG DAGANG-MUHIDIN 28A</v>
          </cell>
        </row>
        <row r="185">
          <cell r="E185" t="str">
            <v>105.01.608   PIUTANG DAGANG-NANDANG-48</v>
          </cell>
        </row>
        <row r="186">
          <cell r="E186" t="str">
            <v>105.01.609   PIUTANG DAGANG-PURWANTO-PD</v>
          </cell>
        </row>
        <row r="187">
          <cell r="E187" t="str">
            <v>105.01.61     PIUTANG DAGANG-KO KIJUN</v>
          </cell>
        </row>
        <row r="188">
          <cell r="E188" t="str">
            <v>105.01.610   PIUTANG DAGANG-KATMINI PBL</v>
          </cell>
        </row>
        <row r="189">
          <cell r="E189" t="str">
            <v>105.01.611   PIUTANG DAGANG-SRI TAMAR PBL</v>
          </cell>
        </row>
        <row r="190">
          <cell r="E190" t="str">
            <v>105.01.612   PIUTANG DAGANG-SUROTO PBL</v>
          </cell>
        </row>
        <row r="191">
          <cell r="E191" t="str">
            <v>105.01.614   PIUTANG DAGANG-WAYAN GB</v>
          </cell>
        </row>
        <row r="192">
          <cell r="E192" t="str">
            <v>105.01.615   PIUTANG DAGANG-NURWAKID GB</v>
          </cell>
        </row>
        <row r="193">
          <cell r="E193" t="str">
            <v>105.01.616   PIUTANG DAGANG-MUKSIN SKP</v>
          </cell>
        </row>
        <row r="194">
          <cell r="E194" t="str">
            <v>105.01.617   PIUTANG DAGANG-NANDANG 28A</v>
          </cell>
        </row>
        <row r="195">
          <cell r="E195" t="str">
            <v>105.01.618   PIUTANG DAGANG-SUTRIS BEKRI</v>
          </cell>
        </row>
        <row r="196">
          <cell r="E196" t="str">
            <v>105.01.619   PIUTANG DAGANG-RAKIM PBL</v>
          </cell>
        </row>
        <row r="197">
          <cell r="E197" t="str">
            <v>105.01.62     PIUTANG DAGANG-KO SUSAM</v>
          </cell>
        </row>
        <row r="198">
          <cell r="E198" t="str">
            <v>105.01.620   PIUTANG DAGANG-MUH 28P</v>
          </cell>
        </row>
        <row r="199">
          <cell r="E199" t="str">
            <v>105.01.621   PIUTANG DAGANG-IING PBL</v>
          </cell>
        </row>
        <row r="200">
          <cell r="E200" t="str">
            <v>105.01.622   PIUTANG DAGANG-ANOM/PIPI PBL</v>
          </cell>
        </row>
        <row r="201">
          <cell r="E201" t="str">
            <v>105.01.623   PIUTANG DAGANG-SUMARSONO BEKRI</v>
          </cell>
        </row>
        <row r="202">
          <cell r="E202" t="str">
            <v>105.01.624   PIUTANG DAGANG-SUKIMIN 16C</v>
          </cell>
        </row>
        <row r="203">
          <cell r="E203" t="str">
            <v>105.01.625   PIUTANG DAGANG-JONI JEMPOL JAYA</v>
          </cell>
        </row>
        <row r="204">
          <cell r="E204" t="str">
            <v>105.01.626   PIUTANG DAGANG-NUR DAIM SKP</v>
          </cell>
        </row>
        <row r="205">
          <cell r="E205" t="str">
            <v>105.01.628   PIUTANG DAGANG-NUR</v>
          </cell>
        </row>
        <row r="206">
          <cell r="E206" t="str">
            <v>105.01.629   PIUTANG DAGANG-ALOY</v>
          </cell>
        </row>
        <row r="207">
          <cell r="E207" t="str">
            <v>105.01.63     PIUTANG DAGANG-CIK KETTY</v>
          </cell>
        </row>
        <row r="208">
          <cell r="E208" t="str">
            <v>105.01.631   PIUTANG DAGANG-PURWANTO BEKRI</v>
          </cell>
        </row>
        <row r="209">
          <cell r="E209" t="str">
            <v>105.01.633   PIUTANG DAGANG-AKHING</v>
          </cell>
        </row>
        <row r="210">
          <cell r="E210" t="str">
            <v>105.01.635   PIUTANG DAGANG-NURWAKID G.BARU</v>
          </cell>
        </row>
        <row r="211">
          <cell r="E211" t="str">
            <v>105.01.636   PIUTANG DAGANG-PT CIBADAK</v>
          </cell>
        </row>
        <row r="212">
          <cell r="E212" t="str">
            <v>105.01.637   PIUTANG DAGANG-NANDANG 38</v>
          </cell>
        </row>
        <row r="213">
          <cell r="E213" t="str">
            <v>105.01.638   PIUTANG DAGANG-TABRANI TRIMODADI</v>
          </cell>
        </row>
        <row r="214">
          <cell r="E214" t="str">
            <v>105.01.639   PIUTANG DAGANG-IYAH PBL</v>
          </cell>
        </row>
        <row r="215">
          <cell r="E215" t="str">
            <v>105.01.64     PIUTANG DAGANG-TOKO RINGGIT</v>
          </cell>
        </row>
        <row r="216">
          <cell r="E216" t="str">
            <v>105.01.640   PIUTANG DAGANG-RIBUT SKP</v>
          </cell>
        </row>
        <row r="217">
          <cell r="E217" t="str">
            <v>105.01.641   PIUTANG DAGANG-KHARISMA</v>
          </cell>
        </row>
        <row r="218">
          <cell r="E218" t="str">
            <v>105.01.643   PIUTANG DAGANG-SALES SUPRI</v>
          </cell>
        </row>
        <row r="219">
          <cell r="E219" t="str">
            <v>105.01.644   PIUTANG DAGANG-ASIONG</v>
          </cell>
        </row>
        <row r="220">
          <cell r="E220" t="str">
            <v>105.01.645   PIUTANG DAGANG-TUNJANG SKP</v>
          </cell>
        </row>
        <row r="221">
          <cell r="E221" t="str">
            <v>105.01.646   PIUTANG DAGANG-WIHARA (SUMBANGAN)</v>
          </cell>
        </row>
        <row r="222">
          <cell r="E222" t="str">
            <v>105.01.647   PIUTANG DAGANG-BARON</v>
          </cell>
        </row>
        <row r="223">
          <cell r="E223" t="str">
            <v>105.01.648   PIUTANG DAGANG-TOKO DIENG</v>
          </cell>
        </row>
        <row r="224">
          <cell r="E224" t="str">
            <v>105.01.649   PIUTANG DAGANG- RESMI</v>
          </cell>
        </row>
        <row r="225">
          <cell r="E225" t="str">
            <v>105.01.65     PIUTANG DAGANG-ROTI AGOGO</v>
          </cell>
        </row>
        <row r="226">
          <cell r="E226" t="str">
            <v>105.01.650   PIUTANG DAGANG- HADI SEKAMPUNG</v>
          </cell>
        </row>
        <row r="227">
          <cell r="E227" t="str">
            <v>105.01.651   PIUTANG DAGANG- BUDI TRIMURJO</v>
          </cell>
        </row>
        <row r="228">
          <cell r="E228" t="str">
            <v>105.01.652   PIUTANG DAGANG- WARDOYO BEKRI/SOL</v>
          </cell>
        </row>
        <row r="229">
          <cell r="E229" t="str">
            <v>105.01.653   PIUTANG DAGANG- KO ACUNG BEKRI/SOL</v>
          </cell>
        </row>
        <row r="230">
          <cell r="E230" t="str">
            <v>105.01.654   PIUTANG DAGANG- TULUS SEKAMPUNG</v>
          </cell>
        </row>
        <row r="231">
          <cell r="E231" t="str">
            <v>105.01.655   PIUTANG DAGANG- ROYANI SKP</v>
          </cell>
        </row>
        <row r="232">
          <cell r="E232" t="str">
            <v>105.01.656   PIUTANG DAGANG- IBU SUKIMAN 16C</v>
          </cell>
        </row>
        <row r="233">
          <cell r="E233" t="str">
            <v>105.01.657   PIUTANG DAGANG- PT WONOKOYO JAYA KUSUMA</v>
          </cell>
        </row>
        <row r="234">
          <cell r="E234" t="str">
            <v>105.01.658   PIUTANG DAGANG- PRAPTO SKP/SOL</v>
          </cell>
        </row>
        <row r="235">
          <cell r="E235" t="str">
            <v>105.01.659   PIUTANG DAGANG- DAYEM BEKRI</v>
          </cell>
        </row>
        <row r="236">
          <cell r="E236" t="str">
            <v>105.01.66     PIUTANG DAGANG-IBU WARNI</v>
          </cell>
        </row>
        <row r="237">
          <cell r="E237" t="str">
            <v>105.01.660   PIUTANG DAGANG- SUMARNO BUMI AYU</v>
          </cell>
        </row>
        <row r="238">
          <cell r="E238" t="str">
            <v>105.01.661   PIUTANG DAGANG- IDRIS SEKAMPUNG/SOL</v>
          </cell>
        </row>
        <row r="239">
          <cell r="E239" t="str">
            <v>105.01.662   PIUTANG DAGANG- SUTARMI 24</v>
          </cell>
        </row>
        <row r="240">
          <cell r="E240" t="str">
            <v>105.01.663   PIUTANG DAGANG- AMAN JAYA PERDANA</v>
          </cell>
        </row>
        <row r="241">
          <cell r="E241" t="str">
            <v>105.01.664   PIUTANG DAGANG- PT KARYA SAWIT LESTARI</v>
          </cell>
        </row>
        <row r="242">
          <cell r="E242" t="str">
            <v>105.01.665   PIUTANG DAGANG- PT WIJAYA KARYA</v>
          </cell>
        </row>
        <row r="243">
          <cell r="E243" t="str">
            <v>105.01.666   PIUTANG DAGANG- SUHARNO/BUMI AYU</v>
          </cell>
        </row>
        <row r="244">
          <cell r="E244" t="str">
            <v>105.01.667   PIUTANG DAGANG- MUIN</v>
          </cell>
        </row>
        <row r="245">
          <cell r="E245" t="str">
            <v>105.01.668   PIUTANG DAGANG- KO ASAN</v>
          </cell>
        </row>
        <row r="246">
          <cell r="E246" t="str">
            <v>105.01.669   PIUTANG DAGANG-AGREETRADE CO.Pte.Lte</v>
          </cell>
        </row>
        <row r="247">
          <cell r="E247" t="str">
            <v>105.01.67     PIUTANG DAGANG-IBU SULIS</v>
          </cell>
        </row>
        <row r="248">
          <cell r="E248" t="str">
            <v>105.01.670   PIUTANG DAGANG- RIBET BEKRI / SOL</v>
          </cell>
        </row>
        <row r="249">
          <cell r="E249" t="str">
            <v>105.01.671   PIUTANG DAGANG- BU HARUN</v>
          </cell>
        </row>
        <row r="250">
          <cell r="E250" t="str">
            <v>105.01.672   PIUTANG DAGANG- MUR PURBOLINGGO</v>
          </cell>
        </row>
        <row r="251">
          <cell r="E251" t="str">
            <v>105.01.673   PIUTANG DAGANG- NANOK PBL</v>
          </cell>
        </row>
        <row r="252">
          <cell r="E252" t="str">
            <v>105.01.674   PIUTANG DAGANG- PT PELITA JAMBI</v>
          </cell>
        </row>
        <row r="253">
          <cell r="E253" t="str">
            <v>105.01.675   PIUTANG DAGANG- YAMIN DJAYADIGUNA</v>
          </cell>
        </row>
        <row r="254">
          <cell r="E254" t="str">
            <v>105.01.676   PIUTANG DAGANG- FELDA MARKETING SERVICE SDN.BHD</v>
          </cell>
        </row>
        <row r="255">
          <cell r="E255" t="str">
            <v>105.01.677   PIUTANG DAGANG- DEDEK</v>
          </cell>
        </row>
        <row r="256">
          <cell r="E256" t="str">
            <v>105.01.678   PIUTANG DAGANG- EDI WANA</v>
          </cell>
        </row>
        <row r="257">
          <cell r="E257" t="str">
            <v>105.01.679   PIUTANG DAGANG-KO ABED BDL</v>
          </cell>
        </row>
        <row r="258">
          <cell r="E258" t="str">
            <v>105.01.68     PIUTANG DAGANG-NING</v>
          </cell>
        </row>
        <row r="259">
          <cell r="E259" t="str">
            <v>105.01.680   PIUTANG DAGANG- DARMA 28 PURWOSARI</v>
          </cell>
        </row>
        <row r="260">
          <cell r="E260" t="str">
            <v>105.01.681   PIUTANG DAGANG- ELA BEKRI</v>
          </cell>
        </row>
        <row r="261">
          <cell r="E261" t="str">
            <v>105.01.682   PIUTANG DAGANG- SRIYANA GB</v>
          </cell>
        </row>
        <row r="262">
          <cell r="E262" t="str">
            <v>105.01.683   PIUTANG DAGANG- NURDIN GB</v>
          </cell>
        </row>
        <row r="263">
          <cell r="E263" t="str">
            <v>105.01.684   PIUTANG DAGANG- PIAN TRIMURJO</v>
          </cell>
        </row>
        <row r="264">
          <cell r="E264" t="str">
            <v>105.01.685   PIUTANG DAGANG - JOHAN PURWOSARI</v>
          </cell>
        </row>
        <row r="265">
          <cell r="E265" t="str">
            <v>105.01.686   PIUTANG DAGANG - SLAMET PBL/SOL</v>
          </cell>
        </row>
        <row r="266">
          <cell r="E266" t="str">
            <v>105.01.689   PIUTANG DAGANG- WITO BEKRI</v>
          </cell>
        </row>
        <row r="267">
          <cell r="E267" t="str">
            <v>105.01.69     PIUTANG DAGANG-TOKO SUPANGAT</v>
          </cell>
        </row>
        <row r="268">
          <cell r="E268" t="str">
            <v>105.01.690   PIUTANG DAGANG- PT INTIBOGA SEJAHTERA</v>
          </cell>
        </row>
        <row r="269">
          <cell r="E269" t="str">
            <v>105.01.691   PIUTANG DAGANG- RUDI 21C</v>
          </cell>
        </row>
        <row r="270">
          <cell r="E270" t="str">
            <v>105.01.692   PIUTANG DAGANG-PT.SURYA MITRA SANTOSA MAKMUR</v>
          </cell>
        </row>
        <row r="271">
          <cell r="E271" t="str">
            <v>105.01.693   PIUTANG DAGANG-IDA BEKRI</v>
          </cell>
        </row>
        <row r="272">
          <cell r="E272" t="str">
            <v>105.01.70     PIUTANG DAGANG-TOKO BERKAT</v>
          </cell>
        </row>
        <row r="273">
          <cell r="E273" t="str">
            <v>105.01.71     PIUTANG DAGANG-KO INSIANG</v>
          </cell>
        </row>
        <row r="274">
          <cell r="E274" t="str">
            <v>105.01.72     PIUTANG DAGANG-KO IPAT</v>
          </cell>
        </row>
        <row r="275">
          <cell r="E275" t="str">
            <v>105.01.73     PIUTANG DAGANG-TOKO SIANTAR</v>
          </cell>
        </row>
        <row r="276">
          <cell r="E276" t="str">
            <v>105.01.74     PIUTANG DAGANG-SUBAGIO</v>
          </cell>
        </row>
        <row r="277">
          <cell r="E277" t="str">
            <v>105.01.75     PIUTANG DAGANG-TOKO BARU</v>
          </cell>
        </row>
        <row r="278">
          <cell r="E278" t="str">
            <v>105.01.77     PIUTANG DAGANG-KO AFUY</v>
          </cell>
        </row>
        <row r="279">
          <cell r="E279" t="str">
            <v>105.01.78     PIUTANG DAGANG-JAMSARI</v>
          </cell>
        </row>
        <row r="280">
          <cell r="E280" t="str">
            <v>105.01.79     PIUTANG DAGANG-TOKO HARMONI</v>
          </cell>
        </row>
        <row r="281">
          <cell r="E281" t="str">
            <v>105.01.80     PIUTANG DAGANG-CIK RIS</v>
          </cell>
        </row>
        <row r="282">
          <cell r="E282" t="str">
            <v>105.01.81     PIUTANG DAGANG-KO AKHIANG</v>
          </cell>
        </row>
        <row r="283">
          <cell r="E283" t="str">
            <v>105.01.83     PIUTANG DAGANG-H.MARJI</v>
          </cell>
        </row>
        <row r="284">
          <cell r="E284" t="str">
            <v>105.01.84     PIUTANG DAGANG-KO BASRI</v>
          </cell>
        </row>
        <row r="285">
          <cell r="E285" t="str">
            <v>105.01.85     PIUTANG DAGANG-KO ANGGI</v>
          </cell>
        </row>
        <row r="286">
          <cell r="E286" t="str">
            <v>105.01.86     PIUTANG DAGANG-KO ATIN</v>
          </cell>
        </row>
        <row r="287">
          <cell r="E287" t="str">
            <v>105.01.87     PIUTANG DAGANG-KO TOHIR</v>
          </cell>
        </row>
        <row r="288">
          <cell r="E288" t="str">
            <v>105.01.88     PIUTANG DAGANG-HARUM JAYA</v>
          </cell>
        </row>
        <row r="289">
          <cell r="E289" t="str">
            <v>105.01.89     PIUTANG DAGANG-IBU RUSMALA</v>
          </cell>
        </row>
        <row r="290">
          <cell r="E290" t="str">
            <v>105.01.91     PIUTANG DAGANG-MARYATUN</v>
          </cell>
        </row>
        <row r="291">
          <cell r="E291" t="str">
            <v>105.01.92     PIUTANG DAGANG-PT SANICHEM TUNGGAL PERTIWI</v>
          </cell>
        </row>
        <row r="292">
          <cell r="E292" t="str">
            <v>105.01.95     PIUTANG DAGANG RUDI BOGOR</v>
          </cell>
        </row>
        <row r="293">
          <cell r="E293" t="str">
            <v>105.01.96     PIUTANG DAGANG-RUDI/INSIANG</v>
          </cell>
        </row>
        <row r="294">
          <cell r="E294" t="str">
            <v>105.01.97     PIUTANG DAGANG-PT ASAP ABADI</v>
          </cell>
        </row>
        <row r="295">
          <cell r="E295" t="str">
            <v>105.01.98     PIUTANG DAGANG-KUOK OIL &amp; GRAINDS</v>
          </cell>
        </row>
        <row r="296">
          <cell r="E296" t="str">
            <v>105.01.99     PIUTANG DAGANG-KO ABED</v>
          </cell>
        </row>
        <row r="297">
          <cell r="E297" t="str">
            <v>105.02.01     PIUTANG KARYAWAN-UDIN</v>
          </cell>
        </row>
        <row r="298">
          <cell r="E298" t="str">
            <v>105.02.02     PIUTANG KARYAWAN-YONO</v>
          </cell>
        </row>
        <row r="299">
          <cell r="E299" t="str">
            <v>105.02.03     PIUTANG KARYAWAN-SUTRIS</v>
          </cell>
        </row>
        <row r="300">
          <cell r="E300" t="str">
            <v>105.02.04     PIUTANG KARYAWAN-IMAM</v>
          </cell>
        </row>
        <row r="301">
          <cell r="E301" t="str">
            <v>105.02.05     PIUTANG KARYAWAN-WAWAN</v>
          </cell>
        </row>
        <row r="302">
          <cell r="E302" t="str">
            <v>105.02.06     PIUTANG KARYAWAN-PATIMURA</v>
          </cell>
        </row>
        <row r="303">
          <cell r="E303" t="str">
            <v>105.02.07     PIUTANG KARYAWAN-DANAI</v>
          </cell>
        </row>
        <row r="304">
          <cell r="E304" t="str">
            <v>105.02.08     PIUTANG KARYAWAN-KEMI</v>
          </cell>
        </row>
        <row r="305">
          <cell r="E305" t="str">
            <v>105.02.09     PIUTANG KARYAWAN-AVIS</v>
          </cell>
        </row>
        <row r="306">
          <cell r="E306" t="str">
            <v>105.02.10     PIUTANG KARYAWAN-SATIJO</v>
          </cell>
        </row>
        <row r="307">
          <cell r="E307" t="str">
            <v>105.02.11     PIUTANG KARYAWAN-KO AKI</v>
          </cell>
        </row>
        <row r="308">
          <cell r="E308" t="str">
            <v>105.02.12     PIUTANG KARYAWAN-NAPITUPULU</v>
          </cell>
        </row>
        <row r="309">
          <cell r="E309" t="str">
            <v>105.02.13     PIUTANG KARYAWAN-SAKMUN</v>
          </cell>
        </row>
        <row r="310">
          <cell r="E310" t="str">
            <v>105.02.14     PIUTANG KARYAWAN-TULO</v>
          </cell>
        </row>
        <row r="311">
          <cell r="E311" t="str">
            <v>105.02.15     PIUTANG KARYAWAN-ANDY</v>
          </cell>
        </row>
        <row r="312">
          <cell r="E312" t="str">
            <v>105.02.16     PIUTANG KARYAWAN-SARING</v>
          </cell>
        </row>
        <row r="313">
          <cell r="E313" t="str">
            <v>105.02.17     PIUTANG KARYAWAN-RUDI</v>
          </cell>
        </row>
        <row r="314">
          <cell r="E314" t="str">
            <v>105.02.18     PIUTANG KARYAWAN-JOHANSYAH</v>
          </cell>
        </row>
        <row r="315">
          <cell r="E315" t="str">
            <v>105.02.19     PIUTANG KARYAWAN-KO CING'AN</v>
          </cell>
        </row>
        <row r="316">
          <cell r="E316" t="str">
            <v>105.02.20     PIUTANG KARYAWAN-MILAN</v>
          </cell>
        </row>
        <row r="317">
          <cell r="E317" t="str">
            <v>105.02.21     PIUTANG KARYAWAN-BUDI</v>
          </cell>
        </row>
        <row r="318">
          <cell r="E318" t="str">
            <v>105.02.22     PIUTANG KARYAWAN-JONO</v>
          </cell>
        </row>
        <row r="319">
          <cell r="E319" t="str">
            <v>105.02.23     PIUTANG KARYAWAN-MADE</v>
          </cell>
        </row>
        <row r="320">
          <cell r="E320" t="str">
            <v>105.02.24     PIUTANG KARYAWAN-MISWADI</v>
          </cell>
        </row>
        <row r="321">
          <cell r="E321" t="str">
            <v>105.02.25     PIUTANG KARYAWAN-TAHER</v>
          </cell>
        </row>
        <row r="322">
          <cell r="E322" t="str">
            <v>105.02.26     PIUTANG KARYAWAN-IGA</v>
          </cell>
        </row>
        <row r="323">
          <cell r="E323" t="str">
            <v>105.02.28     PIUTANG KARYAWAN-KUNTORO</v>
          </cell>
        </row>
        <row r="324">
          <cell r="E324" t="str">
            <v>105.02.29     PIUTANG KARYAWAN-BOBY</v>
          </cell>
        </row>
        <row r="325">
          <cell r="E325" t="str">
            <v>105.02.30     PIUTANG KARYAWAN-EVI</v>
          </cell>
        </row>
        <row r="326">
          <cell r="E326" t="str">
            <v>105.02.31     PIUTANG KARYAWAN-BE 4337 FA /SUMAR</v>
          </cell>
        </row>
        <row r="327">
          <cell r="E327" t="str">
            <v>105.02.32     PIUTANG KARYAWAN-BE 4233 FA /DANI</v>
          </cell>
        </row>
        <row r="328">
          <cell r="E328" t="str">
            <v>105.02.33     PIUTANG KARYAWAN-BE 4243 FA /GUNARTO</v>
          </cell>
        </row>
        <row r="329">
          <cell r="E329" t="str">
            <v>105.02.34     PIUTANG KARYAWAN-BE 4234 FA/ SUGENG</v>
          </cell>
        </row>
        <row r="330">
          <cell r="E330" t="str">
            <v>105.02.35     PIUTANG KARYAWAN-BE 4246 FA/ SUPENO</v>
          </cell>
        </row>
        <row r="331">
          <cell r="E331" t="str">
            <v>105.02.36     PIUTANG KARYAWAN-BE 4238 FA /HERMADI</v>
          </cell>
        </row>
        <row r="332">
          <cell r="E332" t="str">
            <v>105.02.37     PIUTANG KARYAWAN-BE 4686 FA / YUSUF</v>
          </cell>
        </row>
        <row r="333">
          <cell r="E333" t="str">
            <v>105.02.38     PIUTANG KARYAWAN-BE 4661 FA /SAHABU</v>
          </cell>
        </row>
        <row r="334">
          <cell r="E334" t="str">
            <v>105.02.39     PIUTANG KARYAWAN-BE 4209 FA /KARSIMAN</v>
          </cell>
        </row>
        <row r="335">
          <cell r="E335" t="str">
            <v>105.02.40     PIUTANG KARYAWAN-BE 4214 FA /INUGI R</v>
          </cell>
        </row>
        <row r="336">
          <cell r="E336" t="str">
            <v>105.02.41     PIUTANG KARYAWAN-BE 4666 FA /DJONGLIONG</v>
          </cell>
        </row>
        <row r="337">
          <cell r="E337" t="str">
            <v>105.02.42     PIUTANG KARYAWAN-BE 4665 FA /SUKIMAN</v>
          </cell>
        </row>
        <row r="338">
          <cell r="E338" t="str">
            <v>105.02.43     PIUTANG KARYAWAN-BE 4208 FA /ANDY W</v>
          </cell>
        </row>
        <row r="339">
          <cell r="E339" t="str">
            <v>105.02.44     PIUTANG KARYAWAN-BE 4213 F /YUSUF</v>
          </cell>
        </row>
        <row r="340">
          <cell r="E340" t="str">
            <v>105.02.45     PIUTANG KARYAWAN-BE 4211 FA /SUHARYONO</v>
          </cell>
        </row>
        <row r="341">
          <cell r="E341" t="str">
            <v>105.02.46     PIUTANG KARYAWAN-BE 4663 FA /ROBERT</v>
          </cell>
        </row>
        <row r="342">
          <cell r="E342" t="str">
            <v>105.02.47     PIUTANG KARYAWAN-BE 4241 FA /SYAHRONI</v>
          </cell>
        </row>
        <row r="343">
          <cell r="E343" t="str">
            <v>105.02.48     PIUTANG KARYAWAN-BE 4210 FA</v>
          </cell>
        </row>
        <row r="344">
          <cell r="E344" t="str">
            <v>105.02.49     PIUTANG KARYAWAN-BE 4662 FA /YAMIN</v>
          </cell>
        </row>
        <row r="345">
          <cell r="E345" t="str">
            <v>105.02.50     PIUTANG KARYAWAN-BE 4236 FA /SURYANTO</v>
          </cell>
        </row>
        <row r="346">
          <cell r="E346" t="str">
            <v>105.02.51     PIUTANG KARYAWAN-BE 4951 F</v>
          </cell>
        </row>
        <row r="347">
          <cell r="E347" t="str">
            <v>105.02.52     PIUTANG KARYAWAN-BE 4129 F</v>
          </cell>
        </row>
        <row r="348">
          <cell r="E348" t="str">
            <v>105.02.53     PIUTANG KARYAWAN-BE 4953 F</v>
          </cell>
        </row>
        <row r="349">
          <cell r="E349" t="str">
            <v>105.02.54     PIUTANG KARYAWAN-SOPIR JKT /M.SERAT</v>
          </cell>
        </row>
        <row r="350">
          <cell r="E350" t="str">
            <v>105.02.55     PIUTANG KARYAWAN-ANTONIUS</v>
          </cell>
        </row>
        <row r="351">
          <cell r="E351" t="str">
            <v>105.02.56     PIUTANG KARYAWAN BE 4207 FA/IBEN</v>
          </cell>
        </row>
        <row r="352">
          <cell r="E352" t="str">
            <v>105.02.57     PIUTANG KARYAWAN BE 4592 FA/JAMALI</v>
          </cell>
        </row>
        <row r="353">
          <cell r="E353" t="str">
            <v>105.02.58     PIUTANG KARYAWAN ATIN</v>
          </cell>
        </row>
        <row r="354">
          <cell r="E354" t="str">
            <v>105.02.59     PIUTANG KARYAWAN-TONO PJG</v>
          </cell>
        </row>
        <row r="355">
          <cell r="E355" t="str">
            <v>105.02.60     PIUTANG KARYAWAN- BE 4607 FA /SAHABU</v>
          </cell>
        </row>
        <row r="356">
          <cell r="E356" t="str">
            <v>105.02.61     PIUTANG KARYAWAN- BN 4542 FB</v>
          </cell>
        </row>
        <row r="357">
          <cell r="E357" t="str">
            <v>105.02.62     PIUTANG KARYAWAN- TEMU ARIFIN</v>
          </cell>
        </row>
        <row r="358">
          <cell r="E358" t="str">
            <v>105.02.63     PIUTANG KARYAWAN - LINDA</v>
          </cell>
        </row>
        <row r="359">
          <cell r="E359" t="str">
            <v>105.02.64     PIUTANG KARYAWAN - BE 4632 F</v>
          </cell>
        </row>
        <row r="360">
          <cell r="E360" t="str">
            <v>105.02.65     PIUTANG KARYAWAN BE 4593 FA</v>
          </cell>
        </row>
        <row r="361">
          <cell r="E361" t="str">
            <v>105.02.66     PIUTANG KARYAWAN- WIWIK</v>
          </cell>
        </row>
        <row r="362">
          <cell r="E362" t="str">
            <v>105.02.67     PIUTANG KARYAWAN- BE 9029 FC</v>
          </cell>
        </row>
        <row r="363">
          <cell r="E363" t="str">
            <v>105.03.01     PIUTANG AFILIASI-SUTOMO</v>
          </cell>
        </row>
        <row r="364">
          <cell r="E364" t="str">
            <v>105.03.02     PIUTANG AFILIASI-PT SINAR JAYA INTI MULYA</v>
          </cell>
        </row>
        <row r="365">
          <cell r="E365" t="str">
            <v>105.03.03     PIUTANG AFILIASI-PT SUMATERA NABATI OIL</v>
          </cell>
        </row>
        <row r="366">
          <cell r="E366" t="str">
            <v>105.03.04     PIUTANG AFILIASI-PT MUKOMUKO INDAH LESTARI</v>
          </cell>
        </row>
        <row r="367">
          <cell r="E367" t="str">
            <v>105.03.05     PIUTANG AFILIASI-ROTI AGOGO</v>
          </cell>
        </row>
        <row r="368">
          <cell r="E368" t="str">
            <v>105.03.06     PIUTANG AFILIASI- CV WAHYU TAMA AGRINDO</v>
          </cell>
        </row>
        <row r="369">
          <cell r="E369" t="str">
            <v>105.03.07     PIUTANG AFILIASI-PT SELUMAI INDAH LESTARI</v>
          </cell>
        </row>
        <row r="370">
          <cell r="E370" t="str">
            <v>105.03.08     PIUTANG AFILIASI KOTOMO-ANDY</v>
          </cell>
        </row>
        <row r="371">
          <cell r="E371" t="str">
            <v>105.03.09     PIUTANG AFILIASI - PT MAJAPAHIT INDAH LESTARI</v>
          </cell>
        </row>
        <row r="372">
          <cell r="E372" t="str">
            <v>105.03.10     PIUTANG AFILIASI - PT KALIREJO LESTARI</v>
          </cell>
        </row>
        <row r="373">
          <cell r="E373" t="str">
            <v>105.03.11     PIUTANG AFILIASI-FERTO REJANG</v>
          </cell>
        </row>
        <row r="374">
          <cell r="E374" t="str">
            <v>105.03.12     PIUTANG AFILIASI - PT AGRA SAWITINDO</v>
          </cell>
        </row>
        <row r="375">
          <cell r="E375" t="str">
            <v>105.03.13     PIUTANG AFILIASI - PT MENGGALA SAWITINDO</v>
          </cell>
        </row>
        <row r="376">
          <cell r="E376" t="str">
            <v>105.04.01     PIUTANG SPAREPART-BE 4209 FA/DJAMSIN</v>
          </cell>
        </row>
        <row r="377">
          <cell r="E377" t="str">
            <v>105.04.02     PIUTANG SPAREPART-BN 4686 AB /TJENFOEK</v>
          </cell>
        </row>
        <row r="378">
          <cell r="E378" t="str">
            <v>105.04.03     PIUTANG SPAREPART-AJUNG</v>
          </cell>
        </row>
        <row r="379">
          <cell r="E379" t="str">
            <v>105.04.04     PIUTANG SPAREPART SANTA</v>
          </cell>
        </row>
        <row r="380">
          <cell r="E380" t="str">
            <v>105.05.01     PIUTANG ONGKOS ANGKUT BPL</v>
          </cell>
        </row>
        <row r="381">
          <cell r="E381" t="str">
            <v>105.05.02     PIUTANG ONGKOS ANGKUT CV SKM</v>
          </cell>
        </row>
        <row r="382">
          <cell r="E382" t="str">
            <v>105.05.03     PIUTANG ONGKOS ANGKUT PT TRIMITRA P.N</v>
          </cell>
        </row>
        <row r="383">
          <cell r="E383" t="str">
            <v>105.05.04     PIUTANG ONGKOS ANGKUT BANGKA</v>
          </cell>
        </row>
        <row r="384">
          <cell r="E384" t="str">
            <v>105.05.05     PIUTANG ONGKOS ANGKUT PT. SAWINDO</v>
          </cell>
        </row>
        <row r="385">
          <cell r="E385" t="str">
            <v>105.05.06     PIUTANG ONGKOS ANGKUT PT. BUMI PERMAI LESTARI</v>
          </cell>
        </row>
        <row r="386">
          <cell r="E386" t="str">
            <v>105.05.07     PIUTANG ONGKOS ANGKUT EXP.AYUN</v>
          </cell>
        </row>
        <row r="387">
          <cell r="E387" t="str">
            <v>105.05.08     PIUTANG ONGKOS ANGKUT - PT SNS</v>
          </cell>
        </row>
        <row r="388">
          <cell r="E388" t="str">
            <v>105.05.09     PIUTANG ONGKOS ANGKUT - PT SJIM</v>
          </cell>
        </row>
        <row r="389">
          <cell r="E389" t="str">
            <v>105.05.10     PIUTANG ONGKOS ANGKUT-PT.SAP</v>
          </cell>
        </row>
        <row r="390">
          <cell r="E390" t="str">
            <v>105.06.01     PIUTANG LAIN-LAIN</v>
          </cell>
        </row>
        <row r="391">
          <cell r="E391" t="str">
            <v>105.06.02     PIUTANG LAIN- PT BIO NUSANTARA</v>
          </cell>
        </row>
        <row r="392">
          <cell r="E392" t="str">
            <v>105.06.03     PIUTANG LAIN- PT TELUK BAYUR</v>
          </cell>
        </row>
        <row r="393">
          <cell r="E393" t="str">
            <v>105.06.04     PIUTANG LAIN KO CISAN</v>
          </cell>
        </row>
        <row r="394">
          <cell r="E394" t="str">
            <v>105.06.05     PIUTANG LAIN- PT KARTIKA TIRTA HEMA</v>
          </cell>
        </row>
        <row r="395">
          <cell r="E395" t="str">
            <v>105.06.06     PIUTANG LAIN-PT KARYASUKSES UTAMAPRIMA</v>
          </cell>
        </row>
        <row r="396">
          <cell r="E396" t="str">
            <v>105.06.07     PIUTANG LAIN- INDROPURO/TENGKU SINAR</v>
          </cell>
        </row>
        <row r="397">
          <cell r="E397" t="str">
            <v>105.06.08     PIUTANG LAIN- BUMI SAWINDO PERMAI</v>
          </cell>
        </row>
        <row r="398">
          <cell r="E398" t="str">
            <v>105.06.09     PIUTANG LAIN- JHONI L</v>
          </cell>
        </row>
        <row r="399">
          <cell r="E399" t="str">
            <v>105.06.10     PIUTANG LAIN - KO AHONG</v>
          </cell>
        </row>
        <row r="400">
          <cell r="E400" t="str">
            <v>105.06.11     PIUTANG LAIN - CI MELI</v>
          </cell>
        </row>
        <row r="401">
          <cell r="E401" t="str">
            <v>105.06.12     PIUTANG LAIN - ANITA</v>
          </cell>
        </row>
        <row r="402">
          <cell r="E402" t="str">
            <v>105.06.13     PIUTANG LAIN - KO AMIN</v>
          </cell>
        </row>
        <row r="403">
          <cell r="E403" t="str">
            <v>105.06.14     PIUTANG LAIN - LILI</v>
          </cell>
        </row>
        <row r="404">
          <cell r="E404" t="str">
            <v>105.06.15     PIUTANG LAIN-JOHANSYAH</v>
          </cell>
        </row>
        <row r="405">
          <cell r="E405" t="str">
            <v>105.06.16     PIUTANG LAIN - PT SUMBER INDAH PERKASA</v>
          </cell>
        </row>
        <row r="406">
          <cell r="E406" t="str">
            <v>105.07.01     PIUTANG SEMENTARA DJAMSIN</v>
          </cell>
        </row>
        <row r="407">
          <cell r="E407" t="str">
            <v>106.01.01     ASURANSI DIBAYAR DIMUKA</v>
          </cell>
        </row>
        <row r="408">
          <cell r="E408" t="str">
            <v>106.02.01     SEWA DIBAYAR DIMUKA</v>
          </cell>
        </row>
        <row r="409">
          <cell r="E409" t="str">
            <v>106.03.01     UANG MUKA PPh PASAL 22</v>
          </cell>
        </row>
        <row r="410">
          <cell r="E410" t="str">
            <v>106.03.02     UANG MUKA PPh PASAL 23</v>
          </cell>
        </row>
        <row r="411">
          <cell r="E411" t="str">
            <v>106.03.03     UANG MUKA PPh PASAL 25</v>
          </cell>
        </row>
        <row r="412">
          <cell r="E412" t="str">
            <v>106.03.04     UANG MUKA PPN DN</v>
          </cell>
        </row>
        <row r="413">
          <cell r="E413" t="str">
            <v>106.03.05     UANG MUKA PPH PASAL 21</v>
          </cell>
        </row>
        <row r="414">
          <cell r="E414" t="str">
            <v>106.04.01     PPN MASUKAN CPO</v>
          </cell>
        </row>
        <row r="415">
          <cell r="E415" t="str">
            <v>106.04.02     PPN MASUKAN RBD OLEIN</v>
          </cell>
        </row>
        <row r="416">
          <cell r="E416" t="str">
            <v>106.04.03     PPN MASUKAN RBD STEARINE</v>
          </cell>
        </row>
        <row r="417">
          <cell r="E417" t="str">
            <v>106.04.04     PPN MASUKAN PFAD</v>
          </cell>
        </row>
        <row r="418">
          <cell r="E418" t="str">
            <v>106.04.05     PPN MASUKAN PEMB.MATERIAL</v>
          </cell>
        </row>
        <row r="419">
          <cell r="E419" t="str">
            <v>106.04.06     PPN MASUKAN YMD.DIKOMPENSASI</v>
          </cell>
        </row>
        <row r="420">
          <cell r="E420" t="str">
            <v>106.04.07     PPN MASUKAN JASA</v>
          </cell>
        </row>
        <row r="421">
          <cell r="E421" t="str">
            <v>106.04.08     PPN MASUKAN LIMBAH</v>
          </cell>
        </row>
        <row r="422">
          <cell r="E422" t="str">
            <v>106.05.01     PORSEKOT BIAYA ANDY</v>
          </cell>
        </row>
        <row r="423">
          <cell r="E423" t="str">
            <v>106.05.02     PORSEKOT BIAYA KOTOMO</v>
          </cell>
        </row>
        <row r="424">
          <cell r="E424" t="str">
            <v>106.05.03     PORSEKOT BIAYA KO JOLLY</v>
          </cell>
        </row>
        <row r="425">
          <cell r="E425" t="str">
            <v>106.05.04     PORSEKOT BIAYA KO AKI</v>
          </cell>
        </row>
        <row r="426">
          <cell r="E426" t="str">
            <v>106.05.05     PORSEKOT BIAYA JOHAN</v>
          </cell>
        </row>
        <row r="427">
          <cell r="E427" t="str">
            <v>106.05.06     PORSEKOT BIAYA PENDY</v>
          </cell>
        </row>
        <row r="428">
          <cell r="E428" t="str">
            <v>106.05.07     PORSEKOT BIAYA KANTOR JAKARTA</v>
          </cell>
        </row>
        <row r="429">
          <cell r="E429" t="str">
            <v>106.05.08     PORSEKOT BIAYA OPSLAH</v>
          </cell>
        </row>
        <row r="430">
          <cell r="E430" t="str">
            <v>106.05.09     PORSEKOT BIAYA LAIN-LAIN</v>
          </cell>
        </row>
        <row r="431">
          <cell r="E431" t="str">
            <v>106.05.10     PORSEKOT BIAYA WAWAN</v>
          </cell>
        </row>
        <row r="432">
          <cell r="E432" t="str">
            <v>106.05.11     PORSEKOT BIAYA ATOM</v>
          </cell>
        </row>
        <row r="433">
          <cell r="E433" t="str">
            <v>106.05.12     PORSEKOT BIAYA BONG DJAM SIN</v>
          </cell>
        </row>
        <row r="434">
          <cell r="E434" t="str">
            <v>106.05.13     PORSEKOT BIAYA TJEN FOEK</v>
          </cell>
        </row>
        <row r="435">
          <cell r="E435" t="str">
            <v>106.05.14     PORSEKOT BIAYA  ANDREAS</v>
          </cell>
        </row>
        <row r="436">
          <cell r="E436" t="str">
            <v>106.05.15     PORSEKOT BIAYA RIDHO</v>
          </cell>
        </row>
        <row r="437">
          <cell r="E437" t="str">
            <v>106.05.16     PORSEKOT BIAYA ADI</v>
          </cell>
        </row>
        <row r="438">
          <cell r="E438" t="str">
            <v>106.05.17     PORSEKOT BIAYA KANTOR SUCOFINDO</v>
          </cell>
        </row>
        <row r="439">
          <cell r="E439" t="str">
            <v>106.06.01     DIVIDEN DIBAYAR DIMUKA</v>
          </cell>
        </row>
        <row r="440">
          <cell r="E440" t="str">
            <v>107.01.01     PERSEDIAAN BARANG DAGANG-CPO</v>
          </cell>
        </row>
        <row r="441">
          <cell r="E441" t="str">
            <v>107.02.01     PERSEDIAAN BARANG DAGANG-RBD OLEIN</v>
          </cell>
        </row>
        <row r="442">
          <cell r="E442" t="str">
            <v>107.03.01     PERSEDIAAN BARANG DAGANG-RBD STEARINE</v>
          </cell>
        </row>
        <row r="443">
          <cell r="E443" t="str">
            <v>107.04.01     PERSEDIAAN BARANG DAGANG-PFAD</v>
          </cell>
        </row>
        <row r="444">
          <cell r="E444" t="str">
            <v>107.05.01     PERSEDIAAN BARANG DAGANG-CENGKEH</v>
          </cell>
        </row>
        <row r="445">
          <cell r="E445" t="str">
            <v>107.06.01     PERSEDIAAN BARANG DAGANG-MINYAK LIMBAH</v>
          </cell>
        </row>
        <row r="446">
          <cell r="E446" t="str">
            <v>107.07.01     PERSEDIAAN BARANG DAGANG-KERNEL</v>
          </cell>
        </row>
        <row r="447">
          <cell r="E447" t="str">
            <v>107.08.01     PERSEDIAAN BARANG DAGANG-CNO</v>
          </cell>
        </row>
        <row r="448">
          <cell r="E448" t="str">
            <v>108.01.01     KOPERASI SIMPAN PINJAM</v>
          </cell>
        </row>
        <row r="449">
          <cell r="E449" t="str">
            <v>201.01.01     TANAH</v>
          </cell>
        </row>
        <row r="450">
          <cell r="E450" t="str">
            <v>202.01.01     BANGUNAN KANTOR METRO</v>
          </cell>
        </row>
        <row r="451">
          <cell r="E451" t="str">
            <v>202.01.02     AK.PENY.BANGUNAN KANTOR METRO</v>
          </cell>
        </row>
        <row r="452">
          <cell r="E452" t="str">
            <v>202.01.03     BANGUNAN KANTOR PANJANG</v>
          </cell>
        </row>
        <row r="453">
          <cell r="E453" t="str">
            <v>202.01.04     AK. PENY.BANGUNAN KANTOR PANJANG</v>
          </cell>
        </row>
        <row r="454">
          <cell r="E454" t="str">
            <v>202.01.05     BANGUNAN KANTOR BANDARLAMPUNG</v>
          </cell>
        </row>
        <row r="455">
          <cell r="E455" t="str">
            <v>202.01.06     AK.PENY.BANGUNAN KANTOR BDL</v>
          </cell>
        </row>
        <row r="456">
          <cell r="E456" t="str">
            <v>202.02.01     BANGUNAN WORKSHOP</v>
          </cell>
        </row>
        <row r="457">
          <cell r="E457" t="str">
            <v>202.02.02     AK. PENY.BANGUNAN WORKSHOP</v>
          </cell>
        </row>
        <row r="458">
          <cell r="E458" t="str">
            <v>202.03.01     BANGUNAN POST SATPAM</v>
          </cell>
        </row>
        <row r="459">
          <cell r="E459" t="str">
            <v>202.03.02     AK. PENY. BANGUNAN POST SATPAM</v>
          </cell>
        </row>
        <row r="460">
          <cell r="E460" t="str">
            <v>202.03.04     BANGUNAN LAIN-LAIN (RUMAH)</v>
          </cell>
        </row>
        <row r="461">
          <cell r="E461" t="str">
            <v>202.04.01     BANGUNAN LAIN-LAIN (RUMAH)</v>
          </cell>
        </row>
        <row r="462">
          <cell r="E462" t="str">
            <v>202.04.02     AKUMULASI PENY.BANGUNAN LAIN-LAIN(RUMAH)</v>
          </cell>
        </row>
        <row r="463">
          <cell r="E463" t="str">
            <v>202.05.01     BANGUNAN RUKO (KANTOR JAKARTA)</v>
          </cell>
        </row>
        <row r="464">
          <cell r="E464" t="str">
            <v>202.05.02     AKUMULASI PENY.BANGUNAN RUKO</v>
          </cell>
        </row>
        <row r="465">
          <cell r="E465" t="str">
            <v>202.06.01     BANGUNAN BOILER</v>
          </cell>
        </row>
        <row r="466">
          <cell r="E466" t="str">
            <v>202.06.02     AKUMULASI PENY.BANGUNAN BOILER</v>
          </cell>
        </row>
        <row r="467">
          <cell r="E467" t="str">
            <v>203.01.01     MOBIL KANTOR</v>
          </cell>
        </row>
        <row r="468">
          <cell r="E468" t="str">
            <v>203.01.02     AK.PENYMOBIL KANTOR</v>
          </cell>
        </row>
        <row r="469">
          <cell r="E469" t="str">
            <v>203.01.03     KENDARAAN MOTOR</v>
          </cell>
        </row>
        <row r="470">
          <cell r="E470" t="str">
            <v>203.01.04     AK. PENY. KENDARAAN MOTOR</v>
          </cell>
        </row>
        <row r="471">
          <cell r="E471" t="str">
            <v>203.02.01     KENDARAAN TRUK TANKI</v>
          </cell>
        </row>
        <row r="472">
          <cell r="E472" t="str">
            <v>203.02.02     AK.PENY. KENDARAAN TRUK TANKI</v>
          </cell>
        </row>
        <row r="473">
          <cell r="E473" t="str">
            <v>204.01.01     MESIN GENSET</v>
          </cell>
        </row>
        <row r="474">
          <cell r="E474" t="str">
            <v>204.01.02     AK.PENY. MESIN GENSET</v>
          </cell>
        </row>
        <row r="475">
          <cell r="E475" t="str">
            <v>204.02.01     MESIN POMPA</v>
          </cell>
        </row>
        <row r="476">
          <cell r="E476" t="str">
            <v>204.02.02     AK. PENY.MESIN POMPA</v>
          </cell>
        </row>
        <row r="477">
          <cell r="E477" t="str">
            <v>204.03.01     MESIN MOLEN</v>
          </cell>
        </row>
        <row r="478">
          <cell r="E478" t="str">
            <v>204.03.02     AK.PENY MESIN MOLEN</v>
          </cell>
        </row>
        <row r="479">
          <cell r="E479" t="str">
            <v>204.04.01     MESIN BOILER/STEAMER</v>
          </cell>
        </row>
        <row r="480">
          <cell r="E480" t="str">
            <v>204.04.02     AK.PENY.MESIN BOILER</v>
          </cell>
        </row>
        <row r="481">
          <cell r="E481" t="str">
            <v>205.01.01     TANKI TIMBUN PANJANG I</v>
          </cell>
        </row>
        <row r="482">
          <cell r="E482" t="str">
            <v>205.01.02     AK.PENY.TANKI TIMBUN PJG I</v>
          </cell>
        </row>
        <row r="483">
          <cell r="E483" t="str">
            <v>205.02.01     TANKI TIMBUN PANJANG II</v>
          </cell>
        </row>
        <row r="484">
          <cell r="E484" t="str">
            <v>205.02.02     AK.PENY.TANKI TIMBUN PJG II</v>
          </cell>
        </row>
        <row r="485">
          <cell r="E485" t="str">
            <v>205.03.01     TANKI AIR &amp; MENARA</v>
          </cell>
        </row>
        <row r="486">
          <cell r="E486" t="str">
            <v>205.03.02     AK.PENY.TANKI AIR &amp; MENARA</v>
          </cell>
        </row>
        <row r="487">
          <cell r="E487" t="str">
            <v>205.04.01     TANKI TIMBUN TETES (PANJANG)</v>
          </cell>
        </row>
        <row r="488">
          <cell r="E488" t="str">
            <v>205.04.02     AK.PENY.TANKI TIMBUN TETES</v>
          </cell>
        </row>
        <row r="489">
          <cell r="E489" t="str">
            <v>205.05.01     TANKI TIMBUN PANJANG III</v>
          </cell>
        </row>
        <row r="490">
          <cell r="E490" t="str">
            <v>205.05.02     AK.PENY.TANKI TIMBUN PANJANG III</v>
          </cell>
        </row>
        <row r="491">
          <cell r="E491" t="str">
            <v>205.06.01     TANKI TIMBUN OLEIN PANJANG</v>
          </cell>
        </row>
        <row r="492">
          <cell r="E492" t="str">
            <v>205.06.02     AK.PENY.TANKI TIMBUN OLEIN PANJANG</v>
          </cell>
        </row>
        <row r="493">
          <cell r="E493" t="str">
            <v>206.01.01     PERALATAN &amp; PERABOTAN KANTOR</v>
          </cell>
        </row>
        <row r="494">
          <cell r="E494" t="str">
            <v>206.01.02     AK.PENY.PERALATAN KANTOR</v>
          </cell>
        </row>
        <row r="495">
          <cell r="E495" t="str">
            <v>206.02.01     PERALATAN WORKSHOP</v>
          </cell>
        </row>
        <row r="496">
          <cell r="E496" t="str">
            <v>206.02.02     AK.PENY.PERALATAN WORKSHOP</v>
          </cell>
        </row>
        <row r="497">
          <cell r="E497" t="str">
            <v>206.03.01     ALAT TIMBANGAN</v>
          </cell>
        </row>
        <row r="498">
          <cell r="E498" t="str">
            <v>206.03.02     AK.PENY.ALAT TIMBANGAN</v>
          </cell>
        </row>
        <row r="499">
          <cell r="E499" t="str">
            <v>206.04.01     METERAN MINYAK</v>
          </cell>
        </row>
        <row r="500">
          <cell r="E500" t="str">
            <v>206.04.02     AK.PENY.METERAN MINYAK</v>
          </cell>
        </row>
        <row r="501">
          <cell r="E501" t="str">
            <v>206.05.01     PERALATAN LABORATORIUM</v>
          </cell>
        </row>
        <row r="502">
          <cell r="E502" t="str">
            <v>206.05.02     AK.PENY.PERALATAN LABORATORIUM</v>
          </cell>
        </row>
        <row r="503">
          <cell r="E503" t="str">
            <v>207.01.01     SYSTEM KOMPUTERISASI</v>
          </cell>
        </row>
        <row r="504">
          <cell r="E504" t="str">
            <v>207.01.02     AK.DEP.SYSTEM KOMPUTERISASI</v>
          </cell>
        </row>
        <row r="505">
          <cell r="E505" t="str">
            <v>207.02.01     PROGRAM SIARAN TV</v>
          </cell>
        </row>
        <row r="506">
          <cell r="E506" t="str">
            <v>207.02.02     AK.DEP.PROGRAM SIARAN TV</v>
          </cell>
        </row>
        <row r="507">
          <cell r="E507" t="str">
            <v>301.01.01     PENYERTAAN SAHAM ONGFIRST Pte Ltd</v>
          </cell>
        </row>
        <row r="508">
          <cell r="E508" t="str">
            <v>301.01.02     PENYERTAAN SAHAM PLATON NIAGA BERJANGKA</v>
          </cell>
        </row>
        <row r="509">
          <cell r="E509" t="str">
            <v>301.01.03     PENYERTAAN MODAL PT MITRA SELARAS BANGUNINDO</v>
          </cell>
        </row>
        <row r="510">
          <cell r="E510" t="str">
            <v>301.02.01     AKTIVA LAIN-LAIN</v>
          </cell>
        </row>
        <row r="511">
          <cell r="E511" t="str">
            <v>401.01.01     HUTANG DAGANG-PT SUMBER INDAH PERKASA</v>
          </cell>
        </row>
        <row r="512">
          <cell r="E512" t="str">
            <v>401.01.02     HUTANG DAGANG-PT AGROMUKO</v>
          </cell>
        </row>
        <row r="513">
          <cell r="E513" t="str">
            <v>401.01.03     HUTANG DAGANG-PT AGRICINAL</v>
          </cell>
        </row>
        <row r="514">
          <cell r="E514" t="str">
            <v>401.01.04     HUTANG DAGANG-PT BUMI PERMAI LESTARI</v>
          </cell>
        </row>
        <row r="515">
          <cell r="E515" t="str">
            <v>401.01.05     HUTANG DAGANG-PT BIO NUSANTARA</v>
          </cell>
        </row>
        <row r="516">
          <cell r="E516" t="str">
            <v>401.01.06     HUTANG DAGANG-PT MITRA PUDING MAS</v>
          </cell>
        </row>
        <row r="517">
          <cell r="E517" t="str">
            <v>401.01.07     HUTANG DAGANG-PT EKAJAYA MULTI PERKASA</v>
          </cell>
        </row>
        <row r="518">
          <cell r="E518" t="str">
            <v>401.01.08     HUTANG DAGANG-PT DARIA DHARMA PRATAMA</v>
          </cell>
        </row>
        <row r="519">
          <cell r="E519" t="str">
            <v>401.01.09     HUTANG DAGANG-PT FORESTA LESTARI DWIKARYA</v>
          </cell>
        </row>
        <row r="520">
          <cell r="E520" t="str">
            <v>401.01.10     HUTANG DAGANG-PT SMART TBK</v>
          </cell>
        </row>
        <row r="521">
          <cell r="E521" t="str">
            <v>401.01.11     HUTANG DAGANG-CV KHARISMA BUANA RAYA</v>
          </cell>
        </row>
        <row r="522">
          <cell r="E522" t="str">
            <v>401.01.12     HUTANG DAGANG-PT DUTA SUMBER NABATI</v>
          </cell>
        </row>
        <row r="523">
          <cell r="E523" t="str">
            <v>401.01.13     HUTANG DAGANG-PT STELINDO WAHANA PERKASA</v>
          </cell>
        </row>
        <row r="524">
          <cell r="E524" t="str">
            <v>401.01.14     HUTANG DAGANG-PT MINANGA OGAN</v>
          </cell>
        </row>
        <row r="525">
          <cell r="E525" t="str">
            <v>401.01.15     HUTANG DAGANG-PT RAJAWALI NUSINDO</v>
          </cell>
        </row>
        <row r="526">
          <cell r="E526" t="str">
            <v>401.01.16     HUTANG DAGANG-CV BANGUN JAYA MANDIRI</v>
          </cell>
        </row>
        <row r="527">
          <cell r="E527" t="str">
            <v>401.01.17     HUTANG DAGANG-PT HARAPAN SAWIT LESTARI</v>
          </cell>
        </row>
        <row r="528">
          <cell r="E528" t="str">
            <v>401.01.18     HUTANG DAGANG-CV MEGA ALAM LESTARI</v>
          </cell>
        </row>
        <row r="529">
          <cell r="E529" t="str">
            <v>401.01.19     HUTANG DAGANG-PT AEK TARUM</v>
          </cell>
        </row>
        <row r="530">
          <cell r="E530" t="str">
            <v>401.01.20     HUTANG DAGANG-PT ALNO AGRO UTAMA</v>
          </cell>
        </row>
        <row r="531">
          <cell r="E531" t="str">
            <v>401.01.21     HUTANG DAGANG-PT SURYA MINYAK CEMERLANG</v>
          </cell>
        </row>
        <row r="532">
          <cell r="E532" t="str">
            <v>401.01.22     HUTANG DAGANG-CV LAMPUNG INTER PRATAMA</v>
          </cell>
        </row>
        <row r="533">
          <cell r="E533" t="str">
            <v>401.01.23     HUTANG DAGANG-PT SARANA JAYA SEJAHTERA</v>
          </cell>
        </row>
        <row r="534">
          <cell r="E534" t="str">
            <v>401.01.24     HUTANG DAGANG-PT LAMPUNG INTER PERTIWI</v>
          </cell>
        </row>
        <row r="535">
          <cell r="E535" t="str">
            <v>401.01.25     HUTANG DAGANG-PT KATINGAN INDAH UTAMA</v>
          </cell>
        </row>
        <row r="536">
          <cell r="E536" t="str">
            <v>401.01.26     HUTANG DAGANG-PT BUMI MAJU SAWIT</v>
          </cell>
        </row>
        <row r="537">
          <cell r="E537" t="str">
            <v>401.01.27     HUTANG DAGANG-PT ANTANG GANDA UTAMA</v>
          </cell>
        </row>
        <row r="538">
          <cell r="E538" t="str">
            <v>401.01.28     HUTANG DAGANG-PT SUMBER DIRI SEMBILAN</v>
          </cell>
        </row>
        <row r="539">
          <cell r="E539" t="str">
            <v>401.01.29     HUTANG DAGANG-PT KARYA MAKMUR BAHAGIA</v>
          </cell>
        </row>
        <row r="540">
          <cell r="E540" t="str">
            <v>401.01.30     HUTANG DAGANG-PT MITRA INTI SEJATI PLANTATION</v>
          </cell>
        </row>
        <row r="541">
          <cell r="E541" t="str">
            <v>401.01.31     HUTANG DAGANG-PT LONDON SUMATERA</v>
          </cell>
        </row>
        <row r="542">
          <cell r="E542" t="str">
            <v>401.01.32     HUTANG DAGANG-PT INDOSCO UTAMA</v>
          </cell>
        </row>
        <row r="543">
          <cell r="E543" t="str">
            <v>401.01.33     HUTANG DAGANG-PT MULTRADA MULTI  MAJU P.O.MILD</v>
          </cell>
        </row>
        <row r="544">
          <cell r="E544" t="str">
            <v>401.01.34     HUTANG DAGANG-PT UNI PRIMACOM</v>
          </cell>
        </row>
        <row r="545">
          <cell r="E545" t="str">
            <v>401.01.35     HUTANG DAGANG-CV KARYA MANDIRI</v>
          </cell>
        </row>
        <row r="546">
          <cell r="E546" t="str">
            <v>401.01.36     HUTANG DAGANG-PT SINAR ALAM PERMAI</v>
          </cell>
        </row>
        <row r="547">
          <cell r="E547" t="str">
            <v>401.01.37     HUTANG DAGANG-CV BUMI WARAS</v>
          </cell>
        </row>
        <row r="548">
          <cell r="E548" t="str">
            <v>401.01.38     HUTANG DAGANG-PT SINAR LAUT</v>
          </cell>
        </row>
        <row r="549">
          <cell r="E549" t="str">
            <v>401.01.39     HUTANG DAGANG-KO ENGHO</v>
          </cell>
        </row>
        <row r="550">
          <cell r="E550" t="str">
            <v>401.01.40     HUTANG DAGANG-PT PANCA NABATI PRAKASA</v>
          </cell>
        </row>
        <row r="551">
          <cell r="E551" t="str">
            <v>401.01.41     HUTANG DAGANG- KO ASIUNG</v>
          </cell>
        </row>
        <row r="552">
          <cell r="E552" t="str">
            <v>401.01.42     HUTANG DAGANG-PT SINAR JAYA INTI MULYA</v>
          </cell>
        </row>
        <row r="553">
          <cell r="E553" t="str">
            <v>401.01.43     HUTANG DAGANG-PD JUJUR</v>
          </cell>
        </row>
        <row r="554">
          <cell r="E554" t="str">
            <v>401.01.44     HUTANG DAGANG-PT SAWITRA OIL GRAIND</v>
          </cell>
        </row>
        <row r="555">
          <cell r="E555" t="str">
            <v>401.01.45     HUTANG DAGANG-PT KEDAUNG</v>
          </cell>
        </row>
        <row r="556">
          <cell r="E556" t="str">
            <v>401.01.46     HUTANG DAGANG-PT KARTIKA TIRTA HEMA</v>
          </cell>
        </row>
        <row r="557">
          <cell r="E557" t="str">
            <v>401.01.47     HUTANG DAGANG-TENGKU S SINAR</v>
          </cell>
        </row>
        <row r="558">
          <cell r="E558" t="str">
            <v>401.01.48     HUTANG DAGANG-PT. BUMI SAWINDO P</v>
          </cell>
        </row>
        <row r="559">
          <cell r="E559" t="str">
            <v>401.01.49     HUTANG DAGANG-PT. DARMEX OIL &amp; FAT</v>
          </cell>
        </row>
        <row r="560">
          <cell r="E560" t="str">
            <v>401.01.50     HUTANG DAGANG-PT. PRIMA NIAGA</v>
          </cell>
        </row>
        <row r="561">
          <cell r="E561" t="str">
            <v>401.01.51     HUTANG DAGANG-PT PALM MAS ASRI</v>
          </cell>
        </row>
        <row r="562">
          <cell r="E562" t="str">
            <v>401.01.52     HUTANG DAGANG-PT PRISCOLIN</v>
          </cell>
        </row>
        <row r="563">
          <cell r="E563" t="str">
            <v>401.01.53     HUTANG DAGANG-PTPN VIII/KERTAJAYA</v>
          </cell>
        </row>
        <row r="564">
          <cell r="E564" t="str">
            <v>401.01.54     HUTANG DAGANG-HARDY SUNARCIA</v>
          </cell>
        </row>
        <row r="565">
          <cell r="E565" t="str">
            <v>401.01.55     HUTANG DAGANG-PT NIAGA SATYA MANDALA</v>
          </cell>
        </row>
        <row r="566">
          <cell r="E566" t="str">
            <v>401.01.56     HUTANG DAGANG-PT. SUNGAI BUDI PERKASA</v>
          </cell>
        </row>
        <row r="567">
          <cell r="E567" t="str">
            <v>401.01.57     HUTANG DAGANG-PT. SANGUN RATU</v>
          </cell>
        </row>
        <row r="568">
          <cell r="E568" t="str">
            <v>401.01.58     HUTANG DAGANG-PT. SURYA BUMI AGRO LANGGENG</v>
          </cell>
        </row>
        <row r="569">
          <cell r="E569" t="str">
            <v>401.01.59     HUTANG DAGANG-PT. ASIANAGRO AGUNG JAYA</v>
          </cell>
        </row>
        <row r="570">
          <cell r="E570" t="str">
            <v>401.01.60     HUTANG DAGANG-PT. HASIL KESATUAN</v>
          </cell>
        </row>
        <row r="571">
          <cell r="E571" t="str">
            <v>401.01.61     HUTANG DAGANG- PT SABUT MAS ABADI</v>
          </cell>
        </row>
        <row r="572">
          <cell r="E572" t="str">
            <v>401.01.62     HUTANG DAGANG- PT ANTAR MUSTIKA SEGARA</v>
          </cell>
        </row>
        <row r="573">
          <cell r="E573" t="str">
            <v>401.01.63     HUTANG DAGANG- PT MUSIRAWAS CITRA HARPINDO</v>
          </cell>
        </row>
        <row r="574">
          <cell r="E574" t="str">
            <v>401.01.64     HUTANG DAGANG- PT AMAN JAYA PERDANA</v>
          </cell>
        </row>
        <row r="575">
          <cell r="E575" t="str">
            <v>401.01.65     HUTANG DAGANG- PT SUMBER MURNI INDAH JAYA</v>
          </cell>
        </row>
        <row r="576">
          <cell r="E576" t="str">
            <v>401.01.66     HUTANG DAGANG- PTPN VII PERSERO</v>
          </cell>
        </row>
        <row r="577">
          <cell r="E577" t="str">
            <v>401.01.67     HUTANG DAGANG- PT  BISMA DHARMA KENCANA</v>
          </cell>
        </row>
        <row r="578">
          <cell r="E578" t="str">
            <v>401.01.68     HUTANG DAGANG- PT PINAGO UTAMA</v>
          </cell>
        </row>
        <row r="579">
          <cell r="E579" t="str">
            <v>401.01.69     HUTANG DAGANG- PT VARITA MAJUTAMA</v>
          </cell>
        </row>
        <row r="580">
          <cell r="E580" t="str">
            <v>401.01.70     HUTANG DAGANG- PT BUMITAMA GUNAJAYA AGRO</v>
          </cell>
        </row>
        <row r="581">
          <cell r="E581" t="str">
            <v>401.01.71     HUTANG DAGANG- PT MUTIARA BUNDA JAYA</v>
          </cell>
        </row>
        <row r="582">
          <cell r="E582" t="str">
            <v>401.01.72     HUTANG DAGANG- PT SURYAHUTAMA SAWIT</v>
          </cell>
        </row>
        <row r="583">
          <cell r="E583" t="str">
            <v>401.01.73     HUTANG DAGANG- CV USAHA JAYA</v>
          </cell>
        </row>
        <row r="584">
          <cell r="E584" t="str">
            <v>401.01.74     HUTANG DAGANG- PT TRIMITRA PALM NIAGA</v>
          </cell>
        </row>
        <row r="585">
          <cell r="E585" t="str">
            <v>401.01.75     HUTANG DAGANG - CV PELITA</v>
          </cell>
        </row>
        <row r="586">
          <cell r="E586" t="str">
            <v>401.01.76     HUTANG DAGANG - PT PULAU HIJAU ASRI</v>
          </cell>
        </row>
        <row r="587">
          <cell r="E587" t="str">
            <v>401.01.77     HUTANG DAGANG-PT. PLATON NIAGA BERJANGKA</v>
          </cell>
        </row>
        <row r="588">
          <cell r="E588" t="str">
            <v>401.01.78     HUTANG DAGANG- PT MUKO MUKO INDAH LESTARI</v>
          </cell>
        </row>
        <row r="589">
          <cell r="E589" t="str">
            <v>401.01.79     HUTANG DAGANG-BPK FADLY</v>
          </cell>
        </row>
        <row r="590">
          <cell r="E590" t="str">
            <v>401.01.80     HUTANG DAGANG-CV MITRA SEJATI</v>
          </cell>
        </row>
        <row r="591">
          <cell r="E591" t="str">
            <v>401.01.81     HUTANG DAGANG-PT.CITA ALKAPULKO</v>
          </cell>
        </row>
        <row r="592">
          <cell r="E592" t="str">
            <v>401.01.82     HUTANG DAGANG IBU MERI</v>
          </cell>
        </row>
        <row r="593">
          <cell r="E593" t="str">
            <v>401.01.83     HUTANG DAGANG-JHONI LEONARDI</v>
          </cell>
        </row>
        <row r="594">
          <cell r="E594" t="str">
            <v>401.01.84     HUTANG DAGANG - HOI</v>
          </cell>
        </row>
        <row r="595">
          <cell r="E595" t="str">
            <v>401.01.85     HUTANG DAGANG - PT INDO KARYA</v>
          </cell>
        </row>
        <row r="596">
          <cell r="E596" t="str">
            <v>401.01.86     HUTANG DAGANG - PT KALIREJO LESTARI</v>
          </cell>
        </row>
        <row r="597">
          <cell r="E597" t="str">
            <v>401.01.87     HUTANG DAGANG - PT MUSIM MAS</v>
          </cell>
        </row>
        <row r="598">
          <cell r="E598" t="str">
            <v>401.02.01     HUTANG AFILIASI-PT. SINAR JAYA INTI MULYA</v>
          </cell>
        </row>
        <row r="599">
          <cell r="E599" t="str">
            <v>401.02.02     HUTANG AFILIASI-PT. SUMATERA NABATI OIL</v>
          </cell>
        </row>
        <row r="600">
          <cell r="E600" t="str">
            <v>401.02.04     HUTANG AFILIASI-PT. MUKO MUKO INDAH LESTARI</v>
          </cell>
        </row>
        <row r="601">
          <cell r="E601" t="str">
            <v>401.02.05     HUTANG AFILIASI-ROTI AGOGO</v>
          </cell>
        </row>
        <row r="602">
          <cell r="E602" t="str">
            <v>401.02.06     HUTANG AFILIASI- CV WAHYU TAMA AGRINDO</v>
          </cell>
        </row>
        <row r="603">
          <cell r="E603" t="str">
            <v>401.02.07     HUTANG AFILIASI- PT KALIREJO LESTARI</v>
          </cell>
        </row>
        <row r="604">
          <cell r="E604" t="str">
            <v>401.03.01     HUTANG UANG MUKA  FELDA MARKETING SERVICES Sbn Bhd</v>
          </cell>
        </row>
        <row r="605">
          <cell r="E605" t="str">
            <v>401.03.02     HUTANG UANG MUKA KUOK OIL &amp; GRAINDS</v>
          </cell>
        </row>
        <row r="606">
          <cell r="E606" t="str">
            <v>401.03.03     HUTANG UANG MUKA LAIN-LAIN</v>
          </cell>
        </row>
        <row r="607">
          <cell r="E607" t="str">
            <v>402.01.01     HUTANG GAJI</v>
          </cell>
        </row>
        <row r="608">
          <cell r="E608" t="str">
            <v>402.02.01     PPH PASAL 15 TERHUTANG</v>
          </cell>
        </row>
        <row r="609">
          <cell r="E609" t="str">
            <v>402.02.02     PPH PASAL 21 TERHUTANG</v>
          </cell>
        </row>
        <row r="610">
          <cell r="E610" t="str">
            <v>402.02.03     PPH PASAL 23 TERHUTANG</v>
          </cell>
        </row>
        <row r="611">
          <cell r="E611" t="str">
            <v>402.02.04     PPH PASAL 25 TERUTANG</v>
          </cell>
        </row>
        <row r="612">
          <cell r="E612" t="str">
            <v>402.02.05     PPH PASAL 26 TERUTANG</v>
          </cell>
        </row>
        <row r="613">
          <cell r="E613" t="str">
            <v>402.02.06     PPH PASAL 29 TERUTANG</v>
          </cell>
        </row>
        <row r="614">
          <cell r="E614" t="str">
            <v>402.02.07     PPH PASAL 4 AYAT 2 TERHUTANG</v>
          </cell>
        </row>
        <row r="615">
          <cell r="E615" t="str">
            <v>402.03.01     PPN KELUARAN CPO</v>
          </cell>
        </row>
        <row r="616">
          <cell r="E616" t="str">
            <v>402.03.02     PPN KELUARAN RBD OLEIN</v>
          </cell>
        </row>
        <row r="617">
          <cell r="E617" t="str">
            <v>402.03.03     PPN KELUARAN RBD STEARINE</v>
          </cell>
        </row>
        <row r="618">
          <cell r="E618" t="str">
            <v>402.03.04     PPN KELUARAN PFAD</v>
          </cell>
        </row>
        <row r="619">
          <cell r="E619" t="str">
            <v>402.03.05     PPN KELUARAN JASA ANGKUTAN</v>
          </cell>
        </row>
        <row r="620">
          <cell r="E620" t="str">
            <v>402.03.06     PPN DN TERHUTANG</v>
          </cell>
        </row>
        <row r="621">
          <cell r="E621" t="str">
            <v>402.03.07     PPN KELUARAN MINYAK LIMBAH</v>
          </cell>
        </row>
        <row r="622">
          <cell r="E622" t="str">
            <v>402.03.08     PPN KELUARAN LAIN-LAIN</v>
          </cell>
        </row>
        <row r="623">
          <cell r="E623" t="str">
            <v>402.04.01     HUTANG ONGKOS ANGKUT ANDY</v>
          </cell>
        </row>
        <row r="624">
          <cell r="E624" t="str">
            <v>402.04.02     HUTANG ONGKOS ANGKUT KO TOMO</v>
          </cell>
        </row>
        <row r="625">
          <cell r="E625" t="str">
            <v>402.04.03     HUTANG ONGKOS ANGKUT TRIMITRA</v>
          </cell>
        </row>
        <row r="626">
          <cell r="E626" t="str">
            <v>402.04.04     HUTANG ONGKOS ANGKUT KOP. ANGK.BENGKULU</v>
          </cell>
        </row>
        <row r="627">
          <cell r="E627" t="str">
            <v>402.04.05     HUTANG ONGKOS ANGKUT TJEN FOEK</v>
          </cell>
        </row>
        <row r="628">
          <cell r="E628" t="str">
            <v>402.04.06     HUTANG ONGKOS ANGKUT DJAMSIN</v>
          </cell>
        </row>
        <row r="629">
          <cell r="E629" t="str">
            <v>402.04.07     HUTANG ONGKOS ANGKUT EXP.PHILIP</v>
          </cell>
        </row>
        <row r="630">
          <cell r="E630" t="str">
            <v>402.04.08     HUTANG ONGKOS ANGKUT SUBUR ANGKUTAN</v>
          </cell>
        </row>
        <row r="631">
          <cell r="E631" t="str">
            <v>402.04.09     HUTANG ONGKOS ANGKUT EXP.ARIES JAYA</v>
          </cell>
        </row>
        <row r="632">
          <cell r="E632" t="str">
            <v>402.04.10     HUTANG ONGKOS ANGKUT PT SURYA MENTAYA</v>
          </cell>
        </row>
        <row r="633">
          <cell r="E633" t="str">
            <v>402.04.11     HUTANG ONGKOS ANGKUT AJUNG</v>
          </cell>
        </row>
        <row r="634">
          <cell r="E634" t="str">
            <v>402.04.12     HUTANG ONGKOS ANGKUT CV. BERKAH</v>
          </cell>
        </row>
        <row r="635">
          <cell r="E635" t="str">
            <v>402.04.13     HUTANG ONGKOS ANGKUT KO AMOY</v>
          </cell>
        </row>
        <row r="636">
          <cell r="E636" t="str">
            <v>402.04.14     HUTANG ONGKOS ANGKUT - DJUNTA MARHENDRO</v>
          </cell>
        </row>
        <row r="637">
          <cell r="E637" t="str">
            <v>402.04.15     HUTANG ONGKOS ANGKUT- PT SUMUR PANDAN WANGI</v>
          </cell>
        </row>
        <row r="638">
          <cell r="E638" t="str">
            <v>402.04.16     HUTANG ONGKOS ANGKUT- CV MITRA SEJATI</v>
          </cell>
        </row>
        <row r="639">
          <cell r="E639" t="str">
            <v>402.04.17     HUTANG ONGKOS ANGKUT PUTRA WIJAYA</v>
          </cell>
        </row>
        <row r="640">
          <cell r="E640" t="str">
            <v>402.04.18     HUTANG ONGKOS ANGKUT- CV AAF</v>
          </cell>
        </row>
        <row r="641">
          <cell r="E641" t="str">
            <v>402.04.19     HUTANG ONGKOS ANGKUT- PT MEGATAMA SUKSES LESTARI</v>
          </cell>
        </row>
        <row r="642">
          <cell r="E642" t="str">
            <v>402.04.20     HUTANG ONGKOS ANGKUT-RUDY HARYANTO</v>
          </cell>
        </row>
        <row r="643">
          <cell r="E643" t="str">
            <v>402.04.21     HUTANG ONGKOS ANGKUT EKSPD.AYUN</v>
          </cell>
        </row>
        <row r="644">
          <cell r="E644" t="str">
            <v>402.04.22     HUTANG ONGKOS ANGKUT EXP.ABUN (CV.ABADI WIJAYA)</v>
          </cell>
        </row>
        <row r="645">
          <cell r="E645" t="str">
            <v>402.04.23     HUTANG ONGKOS ANGKUT TONI (RAJAWALI)</v>
          </cell>
        </row>
        <row r="646">
          <cell r="E646" t="str">
            <v>402.04.24     HUTANG ONGKOS ANGKUT CV USAHA JAYA</v>
          </cell>
        </row>
        <row r="647">
          <cell r="E647" t="str">
            <v>402.05.01     HUTANG BIAYA PBM AGRAT JAYA BINA KENCANA</v>
          </cell>
        </row>
        <row r="648">
          <cell r="E648" t="str">
            <v>402.05.02     HUTANG BIAYA PBM GUNAWAN</v>
          </cell>
        </row>
        <row r="649">
          <cell r="E649" t="str">
            <v>402.05.03     HUTANG BIAYA PBM PT HARUM SARI</v>
          </cell>
        </row>
        <row r="650">
          <cell r="E650" t="str">
            <v>402.05.04     HUTANG BIAYA PBM PT RIZKA SURYA PERMATA</v>
          </cell>
        </row>
        <row r="651">
          <cell r="E651" t="str">
            <v>402.05.05     HUTANG BIAYA PBM PT LINTAS NUSANTARA</v>
          </cell>
        </row>
        <row r="652">
          <cell r="E652" t="str">
            <v>402.05.06     HUTANG BIAYA PBM PT PELINDO</v>
          </cell>
        </row>
        <row r="653">
          <cell r="E653" t="str">
            <v>402.05.07     HUTANG BIAYA PBM PT VARUNA TIRTA PRAKARSYA</v>
          </cell>
        </row>
        <row r="654">
          <cell r="E654" t="str">
            <v>402.05.08     HUTANG BIAYA PBM PT GUNA SEMPURNA</v>
          </cell>
        </row>
        <row r="655">
          <cell r="E655" t="str">
            <v>402.05.09     HUTANG BIAYA PBM PT SARANA DERMAGA MUSI</v>
          </cell>
        </row>
        <row r="656">
          <cell r="E656" t="str">
            <v>402.05.10     HUTANG BIAYA PBM PT BINTANG FAUHAN</v>
          </cell>
        </row>
        <row r="657">
          <cell r="E657" t="str">
            <v>402.05.11     HUTANG BIAYA PBM PT INTI SENTOSA ALAM BAHTERA</v>
          </cell>
        </row>
        <row r="658">
          <cell r="E658" t="str">
            <v>402.05.12     HUTANG BIAYA PBM PT.BARUNA KARYA INVESTAMA</v>
          </cell>
        </row>
        <row r="659">
          <cell r="E659" t="str">
            <v>402.05.13     HUTANG BIAYA PBM PT NUSA INDAH SAMUDERA</v>
          </cell>
        </row>
        <row r="660">
          <cell r="E660" t="str">
            <v>402.06.01     HUTANG BIAYA PENGAPALAN PT TARUNA CIPTA KENCANA</v>
          </cell>
        </row>
        <row r="661">
          <cell r="E661" t="str">
            <v>402.06.02     HUTANG BIAYA PENGAPALAN PT USDA SEROJA JAYA</v>
          </cell>
        </row>
        <row r="662">
          <cell r="E662" t="str">
            <v>402.06.03     HUTANG BIAYA PENGAPALAN PT ARMADA SEGARA PERKASA</v>
          </cell>
        </row>
        <row r="663">
          <cell r="E663" t="str">
            <v>402.06.04     HUTANG BIAYA PENGAPALAN PT LINTAS ARMADA</v>
          </cell>
        </row>
        <row r="664">
          <cell r="E664" t="str">
            <v>402.06.05     HUTANG BIAYA PENGAPALAN PT KARYA MAKMUR ARMADA</v>
          </cell>
        </row>
        <row r="665">
          <cell r="E665" t="str">
            <v>402.06.06     HUTANG BIAYA PENGAPALAN PT PEL.TSP SHIP</v>
          </cell>
        </row>
        <row r="666">
          <cell r="E666" t="str">
            <v>402.06.07     HUTANG BIAYA PENGAPALAN PT SANGGAR TIRTA MAKMUR</v>
          </cell>
        </row>
        <row r="667">
          <cell r="E667" t="str">
            <v>402.06.08     HUTANG BIAYA PENGAPALAN PT SAMUDERA MAS JAYA</v>
          </cell>
        </row>
        <row r="668">
          <cell r="E668" t="str">
            <v>402.06.09     HUTANG BIAYA PENGAPALAN PT MARGO INDONESIA SERVICESTAMA</v>
          </cell>
        </row>
        <row r="669">
          <cell r="E669" t="str">
            <v>402.06.10     HUTANG BIAYA PENGAPALAN PT MERCUSUAR KASIH  LESTARI</v>
          </cell>
        </row>
        <row r="670">
          <cell r="E670" t="str">
            <v>402.06.11     HUTANG BIAYA PENGAPALAN PT CAKRAWALA NUSA MANDIRI</v>
          </cell>
        </row>
        <row r="671">
          <cell r="E671" t="str">
            <v>402.06.12     HUTANG BIAYA PENGAPALAN PT PEL WIJAYA BAHARI NUSANTARA</v>
          </cell>
        </row>
        <row r="672">
          <cell r="E672" t="str">
            <v>402.06.13     HUTANG BIAYA PENGAPALAN PT SUMBER MAHTERA KENCANA</v>
          </cell>
        </row>
        <row r="673">
          <cell r="E673" t="str">
            <v>402.06.14     HUTANG BIAYA PENGAPALAN PT PEL.MASITTAH LATIEF</v>
          </cell>
        </row>
        <row r="674">
          <cell r="E674" t="str">
            <v>402.06.15     HUTANG BIAYA PENGAPALAN PT ARINDI BINA BERSAMA</v>
          </cell>
        </row>
        <row r="675">
          <cell r="E675" t="str">
            <v>402.06.16     HUTANG BIAYA PENGAPALAN PT PUSPA SAMUDERA PERMATA</v>
          </cell>
        </row>
        <row r="676">
          <cell r="E676" t="str">
            <v>402.06.17     HUTANG BIAYA PENGAPALAN PT BUMI PERKASA BAHTERA Ltd</v>
          </cell>
        </row>
        <row r="677">
          <cell r="E677" t="str">
            <v>402.06.18     HUTANG BIAYA PENGAPALAN PT KAPUAS ARMADA NUSANTARA</v>
          </cell>
        </row>
        <row r="678">
          <cell r="E678" t="str">
            <v>402.06.19     HUTANG BIAYA PENGAPALAN PT TAHTA BAHTERA</v>
          </cell>
        </row>
        <row r="679">
          <cell r="E679" t="str">
            <v>402.06.20     HUTANG BIAYA PENGAPALAN PT CITRA ARMADA NUSANTARA</v>
          </cell>
        </row>
        <row r="680">
          <cell r="E680" t="str">
            <v>402.06.21     HUTANG BIAYA PENGAPALAN PT TANJUNG MAS BAHARI PERKASA</v>
          </cell>
        </row>
        <row r="681">
          <cell r="E681" t="str">
            <v>402.06.22     HUTANG BIAYA PENGAPALAN PT CAHAYA ANUGERAH SARANA</v>
          </cell>
        </row>
        <row r="682">
          <cell r="E682" t="str">
            <v>402.06.23     HUTANG BIAYA PENGAPALAN PD CAHAYA KAPUAS</v>
          </cell>
        </row>
        <row r="683">
          <cell r="E683" t="str">
            <v>402.06.24     HUTANG BIAYA PENGAPALAN CV WASANTARA WIRAKO</v>
          </cell>
        </row>
        <row r="684">
          <cell r="E684" t="str">
            <v>402.06.25     HUTANG BIAYA PENGAPALAN  PT. INDOMAS BAHARI MAKMUR</v>
          </cell>
        </row>
        <row r="685">
          <cell r="E685" t="str">
            <v>402.06.26     HUTANG BIAYA PENGAPALAN PT KARYATAMA SRIWIJAYA</v>
          </cell>
        </row>
        <row r="686">
          <cell r="E686" t="str">
            <v>402.06.27     HUTANG BIAYA PENGAPALAN PT SAHABAT KAPUAS</v>
          </cell>
        </row>
        <row r="687">
          <cell r="E687" t="str">
            <v>402.06.28     HUTANG BIAYA PENGAPALAN PT KATIMURI MARINE</v>
          </cell>
        </row>
        <row r="688">
          <cell r="E688" t="str">
            <v>402.06.29     HUTANG BIAYA PENGAPALAN PT.MIKI SHIPPING</v>
          </cell>
        </row>
        <row r="689">
          <cell r="E689" t="str">
            <v>402.06.30     HUTANG BIAYA PENGAPALAN PT PEL.SURI ADIDAYA KAPUAS</v>
          </cell>
        </row>
        <row r="690">
          <cell r="E690" t="str">
            <v>402.06.31     HUTANG BIAYA PENGAPALAN PT TERATAI RAYA</v>
          </cell>
        </row>
        <row r="691">
          <cell r="E691" t="str">
            <v>402.07.01     HUTANG SPAREPART PT. TRIMITRA</v>
          </cell>
        </row>
        <row r="692">
          <cell r="E692" t="str">
            <v>402.07.02     HUTANG SPAREPART KO TOMO</v>
          </cell>
        </row>
        <row r="693">
          <cell r="E693" t="str">
            <v>402.07.03     HUTANG SPAREPART PD GADING JAYA</v>
          </cell>
        </row>
        <row r="694">
          <cell r="E694" t="str">
            <v>402.07.04     HUTANG SPAREPART PD AA PULLY</v>
          </cell>
        </row>
        <row r="695">
          <cell r="E695" t="str">
            <v>402.07.05     HUTANG SPAREPART CATUR NUGROHO</v>
          </cell>
        </row>
        <row r="696">
          <cell r="E696" t="str">
            <v>402.07.06     HUTANG SPAREPART SUMBER BAUT</v>
          </cell>
        </row>
        <row r="697">
          <cell r="E697" t="str">
            <v>402.07.07     HUTANG SPAREPART BIMA JAYA MANDIRI</v>
          </cell>
        </row>
        <row r="698">
          <cell r="E698" t="str">
            <v>402.07.08     HUTANG SPAREPART PT GALFINDO S.S.A</v>
          </cell>
        </row>
        <row r="699">
          <cell r="E699" t="str">
            <v>402.07.09     HUTANG SPAREPART PT BADJA ABADI</v>
          </cell>
        </row>
        <row r="700">
          <cell r="E700" t="str">
            <v>402.07.10     HUTANG SPAREPART WIJAYA MOTOR</v>
          </cell>
        </row>
        <row r="701">
          <cell r="E701" t="str">
            <v>402.07.11     HUTANG SPAREPART GUDANG MASYARAKAT</v>
          </cell>
        </row>
        <row r="702">
          <cell r="E702" t="str">
            <v>402.07.12     HUTANG SPAREPART TUNAS SURYA BUMINDO</v>
          </cell>
        </row>
        <row r="703">
          <cell r="E703" t="str">
            <v>402.07.13     HUTANG SPAREPART PT SNS</v>
          </cell>
        </row>
        <row r="704">
          <cell r="E704" t="str">
            <v>402.07.14     HUTANG SPAREPART PT.SUPRATAMA ANEKA INDUSTRI</v>
          </cell>
        </row>
        <row r="705">
          <cell r="E705" t="str">
            <v>402.07.15     HUTANG SPAREPART CV BHINEKA</v>
          </cell>
        </row>
        <row r="706">
          <cell r="E706" t="str">
            <v>402.07.16     HUTANG SPAREPART PT SURYA LESTARI HUTAMA ABADI</v>
          </cell>
        </row>
        <row r="707">
          <cell r="E707" t="str">
            <v>402.07.17     HUTANG SPAREPART ........</v>
          </cell>
        </row>
        <row r="708">
          <cell r="E708" t="str">
            <v>402.07.18     HUTANG SPARE PART ......</v>
          </cell>
        </row>
        <row r="709">
          <cell r="E709" t="str">
            <v>402.08.01     HUTANG KARTU KREDIT BCA</v>
          </cell>
        </row>
        <row r="710">
          <cell r="E710" t="str">
            <v>402.08.02     HUTANG KARTU KREDIT BII</v>
          </cell>
        </row>
        <row r="711">
          <cell r="E711" t="str">
            <v>402.08.03     HUTANG KARTU KREDIT BDI</v>
          </cell>
        </row>
        <row r="712">
          <cell r="E712" t="str">
            <v>402.08.04     HUTANG KARTU KREDIT AMERICAN EXPRESS (AMEX)</v>
          </cell>
        </row>
        <row r="713">
          <cell r="E713" t="str">
            <v>402.08.05     HUTANG KARTU KREDIT ANZ PANIN BANK</v>
          </cell>
        </row>
        <row r="714">
          <cell r="E714" t="str">
            <v>403.01.01     HUTANG LAIN-KO GUN</v>
          </cell>
        </row>
        <row r="715">
          <cell r="E715" t="str">
            <v>403.01.02     HUTANG LAIN-SURIAFI</v>
          </cell>
        </row>
        <row r="716">
          <cell r="E716" t="str">
            <v>403.01.03     HUTANG LAIN-AYUN</v>
          </cell>
        </row>
        <row r="717">
          <cell r="E717" t="str">
            <v>403.01.04     HUTANG LAIN-KO CISAN/PT. CPP</v>
          </cell>
        </row>
        <row r="718">
          <cell r="E718" t="str">
            <v>403.01.05     HUTANG LAIN-ADIRA INSURANCE</v>
          </cell>
        </row>
        <row r="719">
          <cell r="E719" t="str">
            <v>403.01.06     HUTANG LAIN-</v>
          </cell>
        </row>
        <row r="720">
          <cell r="E720" t="str">
            <v>403.01.07     HUTANG LAIN-THE SE CHIAN</v>
          </cell>
        </row>
        <row r="721">
          <cell r="E721" t="str">
            <v>403.01.08     HUTANG LAIN-ANDHI</v>
          </cell>
        </row>
        <row r="722">
          <cell r="E722" t="str">
            <v>403.01.09     HUTANG LAIN-SUTOMO</v>
          </cell>
        </row>
        <row r="723">
          <cell r="E723" t="str">
            <v>403.01.10     HUTANG BUNGA ANGSURAN BCA</v>
          </cell>
        </row>
        <row r="724">
          <cell r="E724" t="str">
            <v>403.01.11     HUTANG LAIN-ROTI AGOGO</v>
          </cell>
        </row>
        <row r="725">
          <cell r="E725" t="str">
            <v>403.01.12     HUTANG LAIN-</v>
          </cell>
        </row>
        <row r="726">
          <cell r="E726" t="str">
            <v>403.01.13     HUTANG LAIN-JAYA MAKMUR</v>
          </cell>
        </row>
        <row r="727">
          <cell r="E727" t="str">
            <v>403.01.14     HUTANG LAIN-PT.GRIYA EMAS SEJATI</v>
          </cell>
        </row>
        <row r="728">
          <cell r="E728" t="str">
            <v>403.01.15     HUTANG LAIN-PT. SUCOFINDO</v>
          </cell>
        </row>
        <row r="729">
          <cell r="E729" t="str">
            <v>403.01.16     HUTANG LAIN-</v>
          </cell>
        </row>
        <row r="730">
          <cell r="E730" t="str">
            <v>403.01.17     HUTANG LAIN-</v>
          </cell>
        </row>
        <row r="731">
          <cell r="E731" t="str">
            <v>403.01.18     HUTANG LAIN-PT. PERSADA LAMPUNG RAYA</v>
          </cell>
        </row>
        <row r="732">
          <cell r="E732" t="str">
            <v>403.01.19     HUTANG LAIN-JASINDO</v>
          </cell>
        </row>
        <row r="733">
          <cell r="E733" t="str">
            <v>403.01.20     HUTANG LAIN-LIANA</v>
          </cell>
        </row>
        <row r="734">
          <cell r="E734" t="str">
            <v>403.01.21     HUTANG LAIN- HASIL KESATUAN</v>
          </cell>
        </row>
        <row r="735">
          <cell r="E735" t="str">
            <v>403.01.22     HUTANG LAIN- KEDAUNG</v>
          </cell>
        </row>
        <row r="736">
          <cell r="E736" t="str">
            <v>403.01.23     HUTANG LAIN- PD ISTANA BAN</v>
          </cell>
        </row>
        <row r="737">
          <cell r="E737" t="str">
            <v>403.01.24     HUTANG LAIN- RUDI / LIEWATI</v>
          </cell>
        </row>
        <row r="738">
          <cell r="E738" t="str">
            <v>403.01.25     HUTANG LAIN- PT PATISINDO SAWIT</v>
          </cell>
        </row>
        <row r="739">
          <cell r="E739" t="str">
            <v>403.01.26     HUTANG LAIN-</v>
          </cell>
        </row>
        <row r="740">
          <cell r="E740" t="str">
            <v>403.01.27     HUTANG LAIN- DJAMSIN</v>
          </cell>
        </row>
        <row r="741">
          <cell r="E741" t="str">
            <v>403.01.28     HUTANG LAIN-ELECTRIK PUTRA MANDIRI</v>
          </cell>
        </row>
        <row r="742">
          <cell r="E742" t="str">
            <v>403.01.29     HUTANG LAIN PT.JASA PRIMA</v>
          </cell>
        </row>
        <row r="743">
          <cell r="E743" t="str">
            <v>403.01.30     HUTANG LAIN - PT ADHI KARYA (Persero)</v>
          </cell>
        </row>
        <row r="744">
          <cell r="E744" t="str">
            <v>403.01.77     HUTANG LAIN-............</v>
          </cell>
        </row>
        <row r="745">
          <cell r="E745" t="str">
            <v>404.01.01     HUTANG ANGSURAN MOBIL</v>
          </cell>
        </row>
        <row r="746">
          <cell r="E746" t="str">
            <v>404.01.02     HUTANG ANGSURAN KIJANG VIA BII</v>
          </cell>
        </row>
        <row r="747">
          <cell r="E747" t="str">
            <v>405.01.01     HUTANG SEMENTARA</v>
          </cell>
        </row>
        <row r="748">
          <cell r="E748" t="str">
            <v>501.01.01     HUTANG BANK BCA</v>
          </cell>
        </row>
        <row r="749">
          <cell r="E749" t="str">
            <v>501.01.02     HUTANG BANK BDI</v>
          </cell>
        </row>
        <row r="750">
          <cell r="E750" t="str">
            <v>502.01.01     HUTANG ANGSURAN JK PANJANG</v>
          </cell>
        </row>
        <row r="751">
          <cell r="E751" t="str">
            <v>502.01.02     HUTANG JK.PJG-ANGSURAN KPR BCA</v>
          </cell>
        </row>
        <row r="752">
          <cell r="E752" t="str">
            <v>601.01.01     MODAL SAHAM SUTOMO</v>
          </cell>
        </row>
        <row r="753">
          <cell r="E753" t="str">
            <v>601.01.02     MODAL SAHAM Drs.ANDI FAUZANI</v>
          </cell>
        </row>
        <row r="754">
          <cell r="E754" t="str">
            <v>602.01.01     LABA DITAHAN</v>
          </cell>
        </row>
        <row r="755">
          <cell r="E755" t="str">
            <v>602.01.02     RUGI/LABA TAHUN BERJALAN</v>
          </cell>
        </row>
        <row r="756">
          <cell r="E756" t="str">
            <v>701.01.01     PPH BADAN PASAL 29</v>
          </cell>
        </row>
        <row r="757">
          <cell r="E757" t="str">
            <v>801.01.01     PENJUALAN CPO</v>
          </cell>
        </row>
        <row r="758">
          <cell r="E758" t="str">
            <v>801.01.02     POT.PENJUALAN CPO</v>
          </cell>
        </row>
        <row r="759">
          <cell r="E759" t="str">
            <v>801.01.03     RETUR PENJUALAN CPO</v>
          </cell>
        </row>
        <row r="760">
          <cell r="E760" t="str">
            <v>801.02.01     PENJUALAN CPO **</v>
          </cell>
        </row>
        <row r="761">
          <cell r="E761" t="str">
            <v>801.02.02     POT.PENJUALAN CPO **</v>
          </cell>
        </row>
        <row r="762">
          <cell r="E762" t="str">
            <v>801.02.03     RETUR PENJUALAN CPO**</v>
          </cell>
        </row>
        <row r="763">
          <cell r="E763" t="str">
            <v>802.01.01     PENJUALAN RBD OLEIN</v>
          </cell>
        </row>
        <row r="764">
          <cell r="E764" t="str">
            <v>802.01.02     POT.PENJUALAN RBD OLEIN</v>
          </cell>
        </row>
        <row r="765">
          <cell r="E765" t="str">
            <v>802.01.03     RETUR PENJUALAN RBD OLEIN</v>
          </cell>
        </row>
        <row r="766">
          <cell r="E766" t="str">
            <v>802.02.01     PENJUALAN RBD OLEIN **</v>
          </cell>
        </row>
        <row r="767">
          <cell r="E767" t="str">
            <v>802.02.02     POT.PENJUALAN RBD OLEIN **</v>
          </cell>
        </row>
        <row r="768">
          <cell r="E768" t="str">
            <v>802.02.03     RETUR PENJUALAN RBD OLEIN **</v>
          </cell>
        </row>
        <row r="769">
          <cell r="E769" t="str">
            <v>803.01.01     PENJUALAN RBD STEARINE</v>
          </cell>
        </row>
        <row r="770">
          <cell r="E770" t="str">
            <v>803.01.02     POT.PENJUALAN RBD STEARINE</v>
          </cell>
        </row>
        <row r="771">
          <cell r="E771" t="str">
            <v>803.02.01     PENJUALAN RBD STEARINE **</v>
          </cell>
        </row>
        <row r="772">
          <cell r="E772" t="str">
            <v>803.02.02     POT.PENJUALAN RBD STEARINE **</v>
          </cell>
        </row>
        <row r="773">
          <cell r="E773" t="str">
            <v>804.01.01     PENJUALAN PFAD</v>
          </cell>
        </row>
        <row r="774">
          <cell r="E774" t="str">
            <v>804.01.02     POT.PENJUALAN PFAD</v>
          </cell>
        </row>
        <row r="775">
          <cell r="E775" t="str">
            <v>804.01.03     RETUR PENJUALAN PFAD</v>
          </cell>
        </row>
        <row r="776">
          <cell r="E776" t="str">
            <v>804.02.01     PENJUALAN PFAD **</v>
          </cell>
        </row>
        <row r="777">
          <cell r="E777" t="str">
            <v>804.02.02     POT.PENJUALAN PFAD **</v>
          </cell>
        </row>
        <row r="778">
          <cell r="E778" t="str">
            <v>804.02.03     RETUR PENJUALAN PFAD **</v>
          </cell>
        </row>
        <row r="779">
          <cell r="E779" t="str">
            <v>805.01.01     PENJUALAN MINYAK LIMBAH</v>
          </cell>
        </row>
        <row r="780">
          <cell r="E780" t="str">
            <v>805.01.02     POT.PENJUALAN MINYAK LIMBAH</v>
          </cell>
        </row>
        <row r="781">
          <cell r="E781" t="str">
            <v>805.01.03     RETUR PENJUALAN MINYAK LIMBAH</v>
          </cell>
        </row>
        <row r="782">
          <cell r="E782" t="str">
            <v>806.01.01     PENJUALAN CENGKEH</v>
          </cell>
        </row>
        <row r="783">
          <cell r="E783" t="str">
            <v>806.01.02     POT.PENJUALAN CENGKEH</v>
          </cell>
        </row>
        <row r="784">
          <cell r="E784" t="str">
            <v>807.01.01     PENJUALAN KERNEL</v>
          </cell>
        </row>
        <row r="785">
          <cell r="E785" t="str">
            <v>808.01.01     PENJUALAN CNO</v>
          </cell>
        </row>
        <row r="786">
          <cell r="E786" t="str">
            <v>808.01.02     POT. PENJUALAN CNO</v>
          </cell>
        </row>
        <row r="787">
          <cell r="E787" t="str">
            <v>811.01.01     PERSEDIAAN AWAL CPO</v>
          </cell>
        </row>
        <row r="788">
          <cell r="E788" t="str">
            <v>811.02.01     PERSEDIAAN AWAL RBD OLEIN</v>
          </cell>
        </row>
        <row r="789">
          <cell r="E789" t="str">
            <v>811.03.01     PERSEDIAAN AWAL RBD STEARINE</v>
          </cell>
        </row>
        <row r="790">
          <cell r="E790" t="str">
            <v>811.04.01     PERSEDIAAN AWAL PFAD</v>
          </cell>
        </row>
        <row r="791">
          <cell r="E791" t="str">
            <v>811.05.01     PERSEDIAAN AWAL CENGKEH</v>
          </cell>
        </row>
        <row r="792">
          <cell r="E792" t="str">
            <v>811.06.01     PERSEDIAAN AWAL MINYAK LIMBAH</v>
          </cell>
        </row>
        <row r="793">
          <cell r="E793" t="str">
            <v>811.07.01     PERSEDIAAN AWAL KERNEL</v>
          </cell>
        </row>
        <row r="794">
          <cell r="E794" t="str">
            <v>811.08.01     PERSEDIAAN AWAL CNO</v>
          </cell>
        </row>
        <row r="795">
          <cell r="E795" t="str">
            <v>812.01.01     PERSEDIAAN AKHIR CPO</v>
          </cell>
        </row>
        <row r="796">
          <cell r="E796" t="str">
            <v>812.02.01     PERSEDIAAN AKHIR RBD OLEIN</v>
          </cell>
        </row>
        <row r="797">
          <cell r="E797" t="str">
            <v>812.03.01     PERSEDIAAN AKHIR RBD STEARINE</v>
          </cell>
        </row>
        <row r="798">
          <cell r="E798" t="str">
            <v>812.04.01     PERSEDIAAN AKHIR PFAD</v>
          </cell>
        </row>
        <row r="799">
          <cell r="E799" t="str">
            <v>812.05.01     PERSEDIAAN AKHIR CENGKEH</v>
          </cell>
        </row>
        <row r="800">
          <cell r="E800" t="str">
            <v>812.06.01     PERSEDIAAN AKHIR MINYAK LIMBAH</v>
          </cell>
        </row>
        <row r="801">
          <cell r="E801" t="str">
            <v>812.07.01     PERSEDIAAN AKHIR KERNEL</v>
          </cell>
        </row>
        <row r="802">
          <cell r="E802" t="str">
            <v>812.08.01     PERSEDIAAN AKHIR CNO</v>
          </cell>
        </row>
        <row r="803">
          <cell r="E803" t="str">
            <v>821.01.01     PEMBELIAN CPO</v>
          </cell>
        </row>
        <row r="804">
          <cell r="E804" t="str">
            <v>821.01.02     POT.PEMBELIAN CPO</v>
          </cell>
        </row>
        <row r="805">
          <cell r="E805" t="str">
            <v>821.01.03     RETUR PEMBELIAN CPO</v>
          </cell>
        </row>
        <row r="806">
          <cell r="E806" t="str">
            <v>821.01.04     ONGKOS ANGKUT PEMBELIAN CPO</v>
          </cell>
        </row>
        <row r="807">
          <cell r="E807" t="str">
            <v>821.01.05     BIAYA FEE PEMBELIAN CPO</v>
          </cell>
        </row>
        <row r="808">
          <cell r="E808" t="str">
            <v>821.01.06     BY PBM &amp; FREIGHT PEMBELIAN CPO</v>
          </cell>
        </row>
        <row r="809">
          <cell r="E809" t="str">
            <v>821.02.01     PEMBELIAN CPO **</v>
          </cell>
        </row>
        <row r="810">
          <cell r="E810" t="str">
            <v>821.02.02     POT.PEMBELIAN CPO **</v>
          </cell>
        </row>
        <row r="811">
          <cell r="E811" t="str">
            <v>821.02.03     RETUR PEMBELIAN CPO **</v>
          </cell>
        </row>
        <row r="812">
          <cell r="E812" t="str">
            <v>821.02.04     ONGKOS ANGKUT PEMBELIAN CPO **</v>
          </cell>
        </row>
        <row r="813">
          <cell r="E813" t="str">
            <v>821.02.05     BIAYA FEE PEMBELIAN CPO **</v>
          </cell>
        </row>
        <row r="814">
          <cell r="E814" t="str">
            <v>821.02.06     BY PBM &amp; FREIGHT PEMBELIAN CPO **</v>
          </cell>
        </row>
        <row r="815">
          <cell r="E815" t="str">
            <v>822.01.01     PEMBELIAN RBD OLEIN</v>
          </cell>
        </row>
        <row r="816">
          <cell r="E816" t="str">
            <v>822.01.02     POT.PEMBELIAN RBD OLEIN</v>
          </cell>
        </row>
        <row r="817">
          <cell r="E817" t="str">
            <v>822.01.03     RETUR PEMBELIAN RBD OLEIN</v>
          </cell>
        </row>
        <row r="818">
          <cell r="E818" t="str">
            <v>822.01.04     ONGKOS ANGKUT PEMB.RBD OLEIN</v>
          </cell>
        </row>
        <row r="819">
          <cell r="E819" t="str">
            <v>822.01.05     BIAYA FEE PEMBELIAN RBD OLEIN</v>
          </cell>
        </row>
        <row r="820">
          <cell r="E820" t="str">
            <v>822.02.01     PEMBELIAN RBD OLEIN **</v>
          </cell>
        </row>
        <row r="821">
          <cell r="E821" t="str">
            <v>822.02.02     POT.PEMBELIAN RBD OLEIN **</v>
          </cell>
        </row>
        <row r="822">
          <cell r="E822" t="str">
            <v>822.02.03     RETUR PEMBELIAN RBD OLEIN **</v>
          </cell>
        </row>
        <row r="823">
          <cell r="E823" t="str">
            <v>822.02.04     ONGKOS ANGKUT PEMB.RBD OLEIN **</v>
          </cell>
        </row>
        <row r="824">
          <cell r="E824" t="str">
            <v>822.02.05     BIAYA FEE PEMBELIAN RBD OLEIN **</v>
          </cell>
        </row>
        <row r="825">
          <cell r="E825" t="str">
            <v>823.01.01     PEMBELIAN RBD STEARINE</v>
          </cell>
        </row>
        <row r="826">
          <cell r="E826" t="str">
            <v>823.01.02     POT.PEMBELIAN RBD STEARINE</v>
          </cell>
        </row>
        <row r="827">
          <cell r="E827" t="str">
            <v>823.02.01     PEMBELIAN RBD STEARINE **</v>
          </cell>
        </row>
        <row r="828">
          <cell r="E828" t="str">
            <v>823.02.02     POT.PEMBELIAN RBD STEARINE **</v>
          </cell>
        </row>
        <row r="829">
          <cell r="E829" t="str">
            <v>824.01.01     PEMBELIAN PFAD</v>
          </cell>
        </row>
        <row r="830">
          <cell r="E830" t="str">
            <v>824.01.02     POT.PEMBELIAN PFAD</v>
          </cell>
        </row>
        <row r="831">
          <cell r="E831" t="str">
            <v>824.02.01     PEMBELIAN PFAD **</v>
          </cell>
        </row>
        <row r="832">
          <cell r="E832" t="str">
            <v>824.02.02     POT.PEMBELIAN PFAD **</v>
          </cell>
        </row>
        <row r="833">
          <cell r="E833" t="str">
            <v>825.01.01     PEMBELIAN CENGKEH</v>
          </cell>
        </row>
        <row r="834">
          <cell r="E834" t="str">
            <v>825.01.02     POT.PEMBELIAN CENGKEH</v>
          </cell>
        </row>
        <row r="835">
          <cell r="E835" t="str">
            <v>826.01.01     PEMBELIAN MINYAK LIMBAH</v>
          </cell>
        </row>
        <row r="836">
          <cell r="E836" t="str">
            <v>826.01.02     POT.PEMBELIAN MINYAK LIMBAH</v>
          </cell>
        </row>
        <row r="837">
          <cell r="E837" t="str">
            <v>826.01.03     RETUR PEMBELIAN MINYAK LIMBAH</v>
          </cell>
        </row>
        <row r="838">
          <cell r="E838" t="str">
            <v>826.01.04     FEE PEMBELIAN LIMBAH</v>
          </cell>
        </row>
        <row r="839">
          <cell r="E839" t="str">
            <v>827.01.01     PEMBELIAN TBS</v>
          </cell>
        </row>
        <row r="840">
          <cell r="E840" t="str">
            <v>827.01.02     BIAYA TITIP OLAH TBS</v>
          </cell>
        </row>
        <row r="841">
          <cell r="E841" t="str">
            <v>827.01.03     BIAYA FEE TITIP OLAH TBS</v>
          </cell>
        </row>
        <row r="842">
          <cell r="E842" t="str">
            <v>828.01.01     PEMBELIAN KERNEL</v>
          </cell>
        </row>
        <row r="843">
          <cell r="E843" t="str">
            <v>829.01.01     PEMBELIAN CNO</v>
          </cell>
        </row>
        <row r="844">
          <cell r="E844" t="str">
            <v>829.01.02     POT. &amp; RET. PEMBELIAN CNO</v>
          </cell>
        </row>
        <row r="845">
          <cell r="E845" t="str">
            <v>829.01.03     ONGKOS ANGKUT PEMB.CNO</v>
          </cell>
        </row>
        <row r="846">
          <cell r="E846" t="str">
            <v>829.01.04     FEE PEMBELIAN CNO</v>
          </cell>
        </row>
        <row r="847">
          <cell r="E847" t="str">
            <v>901.01.01     BIAYA GAJI</v>
          </cell>
        </row>
        <row r="848">
          <cell r="E848" t="str">
            <v>901.01.02     BIAYA LEMBUR</v>
          </cell>
        </row>
        <row r="849">
          <cell r="E849" t="str">
            <v>901.01.03     BIAYA  UANG MAKAN</v>
          </cell>
        </row>
        <row r="850">
          <cell r="E850" t="str">
            <v>901.01.04     BIAYA OPSLAH, POK, STEAM</v>
          </cell>
        </row>
        <row r="851">
          <cell r="E851" t="str">
            <v>901.01.05     BIAYA KEAMANAN</v>
          </cell>
        </row>
        <row r="852">
          <cell r="E852" t="str">
            <v>901.01.06     BIAYA ASURANSI PENGAPALAN</v>
          </cell>
        </row>
        <row r="853">
          <cell r="E853" t="str">
            <v>901.01.07     BIAYA LAB. &amp; QUALITY CONTROL</v>
          </cell>
        </row>
        <row r="854">
          <cell r="E854" t="str">
            <v>901.01.12     BIAYA UPAH NAIK DRUM &amp; O.A PENJ.OLEIN</v>
          </cell>
        </row>
        <row r="855">
          <cell r="E855" t="str">
            <v>901.01.14     BIAYA MAINTENANCE</v>
          </cell>
        </row>
        <row r="856">
          <cell r="E856" t="str">
            <v>901.01.15     BIAYA TRANSPORTASI</v>
          </cell>
        </row>
        <row r="857">
          <cell r="E857" t="str">
            <v>901.01.16     BIAYA SOLAR</v>
          </cell>
        </row>
        <row r="858">
          <cell r="E858" t="str">
            <v>901.01.18     BIAYA INSENTIF</v>
          </cell>
        </row>
        <row r="859">
          <cell r="E859" t="str">
            <v>901.01.20     BIAYA KOMISI PENJUALAN</v>
          </cell>
        </row>
        <row r="860">
          <cell r="E860" t="str">
            <v>901.01.21     BIAYA TITIP OLAH</v>
          </cell>
        </row>
        <row r="861">
          <cell r="E861" t="str">
            <v>901.01.22     BIAYA OPERASIONAL LAIN</v>
          </cell>
        </row>
        <row r="862">
          <cell r="E862" t="str">
            <v>901.01.23     BIAYA PROMOSI</v>
          </cell>
        </row>
        <row r="863">
          <cell r="E863" t="str">
            <v>901.01.26     BIAYA ADMINISTRASI PENJUALAN</v>
          </cell>
        </row>
        <row r="864">
          <cell r="E864" t="str">
            <v>901.01.27     BIAYA PAJAK EKSPOR</v>
          </cell>
        </row>
        <row r="865">
          <cell r="E865" t="str">
            <v>901.01.28     BIAYA ONGKOS ANGKUT</v>
          </cell>
        </row>
        <row r="866">
          <cell r="E866" t="str">
            <v>901.01.29     BIAYA BONGKAR MUAT</v>
          </cell>
        </row>
        <row r="867">
          <cell r="E867" t="str">
            <v>901.01.30     BIAYA PENGAPALAN</v>
          </cell>
        </row>
        <row r="868">
          <cell r="E868" t="str">
            <v>901.02.01     BIAYA PERJALANAN DINAS</v>
          </cell>
        </row>
        <row r="869">
          <cell r="E869" t="str">
            <v>901.03.01     BIAYA PEMELIHARAAN &amp; PERBAIKAN BANGUNAN</v>
          </cell>
        </row>
        <row r="870">
          <cell r="E870" t="str">
            <v>901.03.02     BIAYA PEMELIHARAAN &amp; PERBAIKAN KENDARAAN</v>
          </cell>
        </row>
        <row r="871">
          <cell r="E871" t="str">
            <v>901.03.03     BIAYA PEMELIHARAAN &amp; PERBAIKAN MESIN</v>
          </cell>
        </row>
        <row r="872">
          <cell r="E872" t="str">
            <v>901.03.04     BIAYA PEMELIHARAAN &amp; PERBAIKAN  PERALATAN</v>
          </cell>
        </row>
        <row r="873">
          <cell r="E873" t="str">
            <v>901.03.05     BIAYA REPARASI &amp; PEMELIHARAAN SARANA PRASARANA</v>
          </cell>
        </row>
        <row r="874">
          <cell r="E874" t="str">
            <v>901.04.01     BIAYA UANG JALAN SOPIR EXP.METRO</v>
          </cell>
        </row>
        <row r="875">
          <cell r="E875" t="str">
            <v>901.04.02     BIAYA REPARASI &amp; PEMELIHARAAN KENDARAAN EXP.METRO</v>
          </cell>
        </row>
        <row r="876">
          <cell r="E876" t="str">
            <v>901.04.03     BIAYA LAIN LAIN EXP.METRO</v>
          </cell>
        </row>
        <row r="877">
          <cell r="E877" t="str">
            <v>901.05.01     BIAYA GAJI SOPIR BANGKA</v>
          </cell>
        </row>
        <row r="878">
          <cell r="E878" t="str">
            <v>901.05.02     BIAYA GAJI SOPIR EXP.TRIMITRA</v>
          </cell>
        </row>
        <row r="879">
          <cell r="E879" t="str">
            <v>901.05.03     BIAYA UANG JALAN SOPIR EXP.BANGKA</v>
          </cell>
        </row>
        <row r="880">
          <cell r="E880" t="str">
            <v>901.05.04     BIAYA UANG JALAN SOPIR EXP.TRIMITRA</v>
          </cell>
        </row>
        <row r="881">
          <cell r="E881" t="str">
            <v>901.05.05     BIAYA REPARASI &amp; PEMELIHARAAN KENDARAAN EXP.BANGKA</v>
          </cell>
        </row>
        <row r="882">
          <cell r="E882" t="str">
            <v>901.05.06     BIAYA REPARASI &amp; PEMELIHARAAN KENDARAAN EXP.TRIMITRA</v>
          </cell>
        </row>
        <row r="883">
          <cell r="E883" t="str">
            <v>901.05.07     BIAYA PAJAK PLAT HITAM ANGKUTAN BANGKA</v>
          </cell>
        </row>
        <row r="884">
          <cell r="E884" t="str">
            <v>901.05.08     BIAYA LAIN - LAIN EXPEDISI BANGKA</v>
          </cell>
        </row>
        <row r="885">
          <cell r="E885" t="str">
            <v>901.05.09     BIAYA LAIN-LAIN EXP. TRIMITRA</v>
          </cell>
        </row>
        <row r="886">
          <cell r="E886" t="str">
            <v>902.01.01     BIAYA GAJI</v>
          </cell>
        </row>
        <row r="887">
          <cell r="E887" t="str">
            <v>902.01.02     BIAYA LISTRIK &amp; AIR</v>
          </cell>
        </row>
        <row r="888">
          <cell r="E888" t="str">
            <v>902.01.03     BIAYA TELEPON &amp; FAX</v>
          </cell>
        </row>
        <row r="889">
          <cell r="E889" t="str">
            <v>902.01.05     BIAYA ASURANSI</v>
          </cell>
        </row>
        <row r="890">
          <cell r="E890" t="str">
            <v>902.01.07     BIAYA ENTERTAINMENT</v>
          </cell>
        </row>
        <row r="891">
          <cell r="E891" t="str">
            <v>902.01.08     BIAYA KONSUMSI</v>
          </cell>
        </row>
        <row r="892">
          <cell r="E892" t="str">
            <v>902.01.09     BIAYA PENGOBATAN</v>
          </cell>
        </row>
        <row r="893">
          <cell r="E893" t="str">
            <v>902.01.11     BIAYA POS &amp; MATERAI</v>
          </cell>
        </row>
        <row r="894">
          <cell r="E894" t="str">
            <v>902.01.12     BIAYA PERLENGKAPAN KANTOR</v>
          </cell>
        </row>
        <row r="895">
          <cell r="E895" t="str">
            <v>902.01.13     BIAYA TRANSFER</v>
          </cell>
        </row>
        <row r="896">
          <cell r="E896" t="str">
            <v>902.01.16     BIAYA THR</v>
          </cell>
        </row>
        <row r="897">
          <cell r="E897" t="str">
            <v>902.01.17     BIAYA PAJAK &amp; PBB</v>
          </cell>
        </row>
        <row r="898">
          <cell r="E898" t="str">
            <v>902.01.18     BIAYA PAJAK KENDARAAN</v>
          </cell>
        </row>
        <row r="899">
          <cell r="E899" t="str">
            <v>902.01.19     PAJAK PPH PASAL 23 FINAL</v>
          </cell>
        </row>
        <row r="900">
          <cell r="E900" t="str">
            <v>902.01.20     BIAYA PENGHAPUSAN PIUTANG &amp; PPN M YTD DIKREDITKAN</v>
          </cell>
        </row>
        <row r="901">
          <cell r="E901" t="str">
            <v>902.01.21     BIAYA SDM,DIKLAT,PELATIHAN</v>
          </cell>
        </row>
        <row r="902">
          <cell r="E902" t="str">
            <v>902.01.22     BIAYA PENGACARA</v>
          </cell>
        </row>
        <row r="903">
          <cell r="E903" t="str">
            <v>902.01.23     BIAYA PAJAK PPh PASAL 21</v>
          </cell>
        </row>
        <row r="904">
          <cell r="E904" t="str">
            <v>902.01.24     BIAYA ADMINISTRASI UMUM LAIN-LAIN</v>
          </cell>
        </row>
        <row r="905">
          <cell r="E905" t="str">
            <v>902.01.25     BIAYA ADM.KARTU KREDIT</v>
          </cell>
        </row>
        <row r="906">
          <cell r="E906" t="str">
            <v>902.01.26     BIAYA INVENTARIS</v>
          </cell>
        </row>
        <row r="907">
          <cell r="E907" t="str">
            <v>902.01.27     BIAYA PENGURUSAN IJIN</v>
          </cell>
        </row>
        <row r="908">
          <cell r="E908" t="str">
            <v>902.01.29     BIAYA SEWA BANGUNAN &amp; PRASARANA</v>
          </cell>
        </row>
        <row r="909">
          <cell r="E909" t="str">
            <v>902.01.31     BIAYA SEWA PERALATAN &amp; PERABOTAN</v>
          </cell>
        </row>
        <row r="910">
          <cell r="E910" t="str">
            <v>902.01.32     BIAYA SERAGAM</v>
          </cell>
        </row>
        <row r="911">
          <cell r="E911" t="str">
            <v>902.02.01     BIAYA PEMELIHARAAN &amp; PERBAIKAN BANGUNAN KANTOR</v>
          </cell>
        </row>
        <row r="912">
          <cell r="E912" t="str">
            <v>902.02.02     BIAYA PEMELIHARAAN &amp; PERBAIKAN PERALATAN KANTOR</v>
          </cell>
        </row>
        <row r="913">
          <cell r="E913" t="str">
            <v>902.03.01     BIAYA PENYUSUTAN BANGUNAN</v>
          </cell>
        </row>
        <row r="914">
          <cell r="E914" t="str">
            <v>902.03.02     BIAYA PENYUSUTAN KENDARAAN</v>
          </cell>
        </row>
        <row r="915">
          <cell r="E915" t="str">
            <v>902.03.03     BIAYA PENYUSUTAN PERALATAN</v>
          </cell>
        </row>
        <row r="916">
          <cell r="E916" t="str">
            <v>902.03.04     BIAYA DEPRESIASI AKTUVA TAK BERWUJUD</v>
          </cell>
        </row>
        <row r="917">
          <cell r="E917" t="str">
            <v>902.04.01     BIAYA GAJI KARYAWAN BANGKA</v>
          </cell>
        </row>
        <row r="918">
          <cell r="E918" t="str">
            <v>902.04.02     BIAYA LISTRIK &amp; TELP KTR.BANGKA</v>
          </cell>
        </row>
        <row r="919">
          <cell r="E919" t="str">
            <v>902.04.03     BIAYA POS, METERAI &amp; ATK BANGKA</v>
          </cell>
        </row>
        <row r="920">
          <cell r="E920" t="str">
            <v>902.04.04     BIAYA ADM.UMUM LAIN-LAIN KTR BANGKA</v>
          </cell>
        </row>
        <row r="921">
          <cell r="E921" t="str">
            <v>911.01.01     PENDAPATAN JASA GIRO/PROVISI BANK</v>
          </cell>
        </row>
        <row r="922">
          <cell r="E922" t="str">
            <v>911.01.05     PENDAPATAN SEWA TANKI</v>
          </cell>
        </row>
        <row r="923">
          <cell r="E923" t="str">
            <v>911.01.09     LABA SELISIH KURS</v>
          </cell>
        </row>
        <row r="924">
          <cell r="E924" t="str">
            <v>911.01.10     PENDAPATAN SELISIH PEMBAYARAN</v>
          </cell>
        </row>
        <row r="925">
          <cell r="E925" t="str">
            <v>911.01.11     PENDAPATAN LAIN-LAIN</v>
          </cell>
        </row>
        <row r="926">
          <cell r="E926" t="str">
            <v>911.01.12     PENDAPATAN ONGKOS ANGKUT PENJUALAN</v>
          </cell>
        </row>
        <row r="927">
          <cell r="E927" t="str">
            <v>911.02.01     PENDAPATAN ONGKOS  MOBIL EXP.METRO</v>
          </cell>
        </row>
        <row r="928">
          <cell r="E928" t="str">
            <v>911.02.02     PENDAPATAN ONGKOS MOBIL EXP.BANGKA</v>
          </cell>
        </row>
        <row r="929">
          <cell r="E929" t="str">
            <v>911.02.03     PENDAPATAN ONGKOS MOBIL EXP. TRIMITRA</v>
          </cell>
        </row>
        <row r="930">
          <cell r="E930" t="str">
            <v>911.02.04     PENDAPATAN ONGKOS MOBIL SAWINDO</v>
          </cell>
        </row>
        <row r="931">
          <cell r="E931">
            <v>0</v>
          </cell>
        </row>
        <row r="932">
          <cell r="E932" t="str">
            <v>921.01.01     BIAYA SUMBANGAN</v>
          </cell>
        </row>
        <row r="933">
          <cell r="E933" t="str">
            <v>921.01.02     BIAYA  ADM.BANK</v>
          </cell>
        </row>
        <row r="934">
          <cell r="E934" t="str">
            <v>921.01.03     BIAYA BUNGA BANK</v>
          </cell>
        </row>
        <row r="935">
          <cell r="E935" t="str">
            <v>921.01.04     BIAYA BUNGA PINJAMAN NON BANK</v>
          </cell>
        </row>
        <row r="936">
          <cell r="E936" t="str">
            <v>921.01.06     RUGI SELISIH KURS</v>
          </cell>
        </row>
        <row r="937">
          <cell r="E937" t="str">
            <v>921.01.08     BIAYA KERUGIAN SELISIH PEMBAYARAN</v>
          </cell>
        </row>
        <row r="938">
          <cell r="E938" t="str">
            <v>921.01.12     BIAYA LAIN-LAIN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A Addition"/>
    </sheetNames>
    <sheetDataSet>
      <sheetData sheetId="0">
        <row r="139">
          <cell r="E139" t="str">
            <v># of Selections:</v>
          </cell>
          <cell r="F139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 refreshError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 refreshError="1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I11">
            <v>8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 t="e">
            <v>#DIV/0!</v>
          </cell>
          <cell r="L12">
            <v>4.8600000000000003</v>
          </cell>
          <cell r="M12">
            <v>4.32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I13">
            <v>4.04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I14">
            <v>3.49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I15">
            <v>3.42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I16">
            <v>3.8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I20">
            <v>8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F21">
            <v>19.670000000000002</v>
          </cell>
          <cell r="G21">
            <v>9.19</v>
          </cell>
          <cell r="H21">
            <v>9.19</v>
          </cell>
          <cell r="I21">
            <v>20.99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I22">
            <v>26.07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I23">
            <v>21.18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I24">
            <v>21.79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I28" t="str">
            <v>AGT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I29">
            <v>20.7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I30">
            <v>20.99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I31">
            <v>5.93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F32">
            <v>3.12</v>
          </cell>
          <cell r="G32">
            <v>6.17</v>
          </cell>
          <cell r="H32">
            <v>6.17</v>
          </cell>
          <cell r="I32">
            <v>2.63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 refreshError="1">
        <row r="30">
          <cell r="B30">
            <v>94.814106416828707</v>
          </cell>
          <cell r="C30">
            <v>132.74279541299651</v>
          </cell>
          <cell r="D30">
            <v>157.68754663350506</v>
          </cell>
          <cell r="E30">
            <v>158.05173685068246</v>
          </cell>
          <cell r="F30">
            <v>138.20102836386553</v>
          </cell>
          <cell r="G30">
            <v>143.81331950594122</v>
          </cell>
          <cell r="H30">
            <v>175.69473175559031</v>
          </cell>
          <cell r="I30">
            <v>178.50460309773149</v>
          </cell>
          <cell r="J30">
            <v>201.01544355924358</v>
          </cell>
          <cell r="K30">
            <v>178.6221068559023</v>
          </cell>
          <cell r="L30">
            <v>183.72402652422659</v>
          </cell>
          <cell r="M30">
            <v>100.73224233989743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grafrev"/>
    </sheetNames>
    <sheetDataSet>
      <sheetData sheetId="0"/>
      <sheetData sheetId="1" refreshError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B32">
            <v>92.699025494366509</v>
          </cell>
          <cell r="C32">
            <v>91.495061130591239</v>
          </cell>
          <cell r="D32">
            <v>90.234316588633433</v>
          </cell>
          <cell r="E32">
            <v>63.137755628174247</v>
          </cell>
          <cell r="F32">
            <v>57.32</v>
          </cell>
          <cell r="G32">
            <v>64.37</v>
          </cell>
          <cell r="H32">
            <v>50.691872272065062</v>
          </cell>
          <cell r="I32">
            <v>70.222360611674233</v>
          </cell>
          <cell r="J32">
            <v>57.571915132170858</v>
          </cell>
          <cell r="K32">
            <v>53.38</v>
          </cell>
          <cell r="L32">
            <v>44.77</v>
          </cell>
          <cell r="M32">
            <v>83.31</v>
          </cell>
        </row>
      </sheetData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% Lbr vs 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  <sheetName val="PK"/>
      <sheetName val="FISIK RAB 2000"/>
      <sheetName val="Asumsi"/>
      <sheetName val="PABRIK (2)"/>
      <sheetName val="Data SRL"/>
      <sheetName val="Data Prod_Graf"/>
      <sheetName val="Premi Iuran"/>
      <sheetName val="CH_FL_QUAR"/>
      <sheetName val="BALANCE"/>
      <sheetName val="DATA_feed"/>
      <sheetName val="CH_FL_YEAR"/>
      <sheetName val="INC_FUN_FIN"/>
      <sheetName val="RUPS"/>
      <sheetName val="Sheet1"/>
      <sheetName val="12"/>
      <sheetName val="Identitas"/>
      <sheetName val="ocean voyage"/>
      <sheetName val="FISIK_RAB_2000"/>
      <sheetName val="PABRIK_(2)"/>
      <sheetName val="Data_SRL"/>
      <sheetName val="Data_Prod_Graf"/>
      <sheetName val="DATA LTW"/>
      <sheetName val="PK RM"/>
      <sheetName val="Olah"/>
      <sheetName val="TON  per Jam"/>
      <sheetName val="datateknis"/>
      <sheetName val="Data"/>
      <sheetName val="WBS1"/>
      <sheetName val="rate"/>
      <sheetName val="Ex-Rate"/>
      <sheetName val="Cashflow"/>
      <sheetName val="tabel"/>
      <sheetName val="97EST120_ok"/>
      <sheetName val="DIRECT COST"/>
      <sheetName val="DAT_1"/>
    </sheetNames>
    <sheetDataSet>
      <sheetData sheetId="0">
        <row r="29">
          <cell r="B29">
            <v>37.61</v>
          </cell>
        </row>
      </sheetData>
      <sheetData sheetId="1" refreshError="1">
        <row r="29">
          <cell r="B29">
            <v>37.61</v>
          </cell>
          <cell r="C29">
            <v>40.799999999999997</v>
          </cell>
          <cell r="D29">
            <v>47.17</v>
          </cell>
          <cell r="E29">
            <v>42.33</v>
          </cell>
          <cell r="F29">
            <v>34.99</v>
          </cell>
          <cell r="G29">
            <v>33.380000000000003</v>
          </cell>
          <cell r="H29">
            <v>35.14</v>
          </cell>
          <cell r="I29">
            <v>29.51</v>
          </cell>
          <cell r="J29">
            <v>23.82</v>
          </cell>
          <cell r="K29">
            <v>24.39</v>
          </cell>
          <cell r="L29">
            <v>38.700000000000003</v>
          </cell>
          <cell r="M29">
            <v>97.1</v>
          </cell>
        </row>
        <row r="63">
          <cell r="B63">
            <v>9.7100000000000009</v>
          </cell>
          <cell r="C63">
            <v>14.16</v>
          </cell>
          <cell r="D63">
            <v>13.4</v>
          </cell>
          <cell r="E63">
            <v>11.08</v>
          </cell>
          <cell r="F63">
            <v>13.29</v>
          </cell>
          <cell r="G63">
            <v>10.9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PT.SIP (2)"/>
      <sheetName val="aaf"/>
      <sheetName val="TONI"/>
      <sheetName val="SIP"/>
      <sheetName val="GJ-OA SMART 08"/>
      <sheetName val="coa"/>
      <sheetName val="ADJ"/>
      <sheetName val="neracasaldo"/>
      <sheetName val="L-R"/>
      <sheetName val="B-S"/>
      <sheetName val="adj LD &amp; aset audit"/>
      <sheetName val="B-S (2)"/>
      <sheetName val="RINCIAN NERACA"/>
      <sheetName val="BY PENJUALAN"/>
      <sheetName val="BY ADM"/>
      <sheetName val="PDPTN &amp; BIAYA EKSPEDISI"/>
      <sheetName val="PDPTN &amp; BY LAIN-L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E6" t="str">
            <v>101.01.01     KAS BANDAR LAMPUNG</v>
          </cell>
        </row>
        <row r="7">
          <cell r="E7" t="str">
            <v>101.01.02     KAS KANTOR METRO</v>
          </cell>
        </row>
        <row r="8">
          <cell r="E8" t="str">
            <v>101.01.03     KAS BANGKA</v>
          </cell>
        </row>
        <row r="9">
          <cell r="E9" t="str">
            <v>101.01.04     KAS KANTOR  PANJANG</v>
          </cell>
        </row>
        <row r="10">
          <cell r="E10" t="str">
            <v>101.01.05     KAS (DOLAR)</v>
          </cell>
        </row>
        <row r="11">
          <cell r="E11" t="str">
            <v>103.01.01     BILYET GIRO</v>
          </cell>
        </row>
        <row r="12">
          <cell r="E12" t="str">
            <v>104.01.01     BANK BCA AN PT SUTOMO AC 117.023242.5 (IDR)</v>
          </cell>
        </row>
        <row r="13">
          <cell r="E13" t="str">
            <v>104.01.02     BCA AN SUTOMO AC 117.025185.3 (IDR)</v>
          </cell>
        </row>
        <row r="14">
          <cell r="E14" t="str">
            <v>104.01.03     BCA AN PT SUTOMO AC 117.0330303 (USD)</v>
          </cell>
        </row>
        <row r="15">
          <cell r="E15" t="str">
            <v>104.01.04     BCA DEPOSITO AN SUTOMO AC 117.0404731</v>
          </cell>
        </row>
        <row r="16">
          <cell r="E16" t="str">
            <v>104.02.01     BANK BNI AN PT SUTOMO AC 289.000008406.001 (IDR)</v>
          </cell>
        </row>
        <row r="17">
          <cell r="E17" t="str">
            <v>104.03.01     BANK BDI AN CV SUTOMO AC 0008229692 (IDR)</v>
          </cell>
        </row>
        <row r="18">
          <cell r="E18" t="str">
            <v>104.03.02     BANK BDI AN PT SUTOMO AC 24.906687 (IDR)</v>
          </cell>
        </row>
        <row r="19">
          <cell r="E19" t="str">
            <v>104.03.03     BANK BDI AC 0055548283 ($)</v>
          </cell>
        </row>
        <row r="20">
          <cell r="E20" t="str">
            <v>104.03.04     BANK BDI PINJAMAN AC 0055556948</v>
          </cell>
        </row>
        <row r="21">
          <cell r="E21" t="str">
            <v>104.03.05     BDI DEPOSITO AC 00090419789</v>
          </cell>
        </row>
        <row r="22">
          <cell r="E22" t="str">
            <v>104.04.01     BANK BII AN. CV SUTOMO AC 2215.00089.0 (IDR)</v>
          </cell>
        </row>
        <row r="23">
          <cell r="E23" t="str">
            <v>104.05.01     REK.INTERCOMPANY</v>
          </cell>
        </row>
        <row r="24">
          <cell r="E24" t="str">
            <v>104.06.01     BANK NISP AC. 330.010.005856</v>
          </cell>
        </row>
        <row r="25">
          <cell r="E25" t="str">
            <v>104.06.02     BANK NISP AN PT.SAM AC.330.010.000588 (IDR)</v>
          </cell>
        </row>
        <row r="26">
          <cell r="E26" t="str">
            <v>105.01.01     PIUTANG DAGANG-PT MALINDO FEEDMILD</v>
          </cell>
        </row>
        <row r="27">
          <cell r="E27" t="str">
            <v>105.01.02     PIUTANG DAGANG-PT CISADANE RAYA CHEMICAL</v>
          </cell>
        </row>
        <row r="28">
          <cell r="E28" t="str">
            <v>105.01.03     PIUTANG DAGANG-PT KARTIKA TIRTA HEMA</v>
          </cell>
        </row>
        <row r="29">
          <cell r="E29" t="str">
            <v>105.01.04     PIUTANG DAGANG-PT PZ CUSSONS INDONESIA</v>
          </cell>
        </row>
        <row r="30">
          <cell r="E30" t="str">
            <v>105.01.05     PIUTANG DAGANG-PT TRIMITRA PALM NIAGA</v>
          </cell>
        </row>
        <row r="31">
          <cell r="E31" t="str">
            <v>105.01.06     PIUTANG DAGANG-PT CENTRAL HARMONI KARSA</v>
          </cell>
        </row>
        <row r="32">
          <cell r="E32" t="str">
            <v>105.01.07     PIUTANG DAGANG-PT SUMATERA NABATI OIL</v>
          </cell>
        </row>
        <row r="33">
          <cell r="E33" t="str">
            <v>105.01.08     PIUTANG DAGANG-PT MUSIM MAS</v>
          </cell>
        </row>
        <row r="34">
          <cell r="E34" t="str">
            <v>105.01.09     PIUTANG DAGANG-PT VISTA GRAIND</v>
          </cell>
        </row>
        <row r="35">
          <cell r="E35" t="str">
            <v>105.01.10     PIUTANG DAGANG-PT PRISCOLIN</v>
          </cell>
        </row>
        <row r="36">
          <cell r="E36" t="str">
            <v>105.01.100   PIUTANG DAGANG-MARWAN</v>
          </cell>
        </row>
        <row r="37">
          <cell r="E37" t="str">
            <v>105.01.101   PIUTANG DAGANG-HERMAN</v>
          </cell>
        </row>
        <row r="38">
          <cell r="E38" t="str">
            <v>105.01.102   PIUTANG DAGANG-KO AFEN</v>
          </cell>
        </row>
        <row r="39">
          <cell r="E39" t="str">
            <v>105.01.103   PIUTANG DAGANG-AFUK-SKP</v>
          </cell>
        </row>
        <row r="40">
          <cell r="E40" t="str">
            <v>105.01.104   PIUTANG DAGANG-AFUK KTB/HR</v>
          </cell>
        </row>
        <row r="41">
          <cell r="E41" t="str">
            <v>105.01.105   PIUTANG DAGANG-AGUS PS RB</v>
          </cell>
        </row>
        <row r="42">
          <cell r="E42" t="str">
            <v>105.01.106   PIUTANG DAGANG-AGUS SP4C</v>
          </cell>
        </row>
        <row r="43">
          <cell r="E43" t="str">
            <v>105.01.107   PIUTANG DAGANG-KO AHIN</v>
          </cell>
        </row>
        <row r="44">
          <cell r="E44" t="str">
            <v>105.01.108   PIUTANG DAGANG-BANY</v>
          </cell>
        </row>
        <row r="45">
          <cell r="E45" t="str">
            <v>105.01.11     PIUTANG DAGANG-PT WAHANA CITRA NABATI</v>
          </cell>
        </row>
        <row r="46">
          <cell r="E46" t="str">
            <v>105.01.111   PIUTANG DAGANG-PT. CEMANI</v>
          </cell>
        </row>
        <row r="47">
          <cell r="E47" t="str">
            <v>105.01.112   PIUTANG DAGANG-PT KEDAUNG RAYA</v>
          </cell>
        </row>
        <row r="48">
          <cell r="E48" t="str">
            <v>105.01.113   PIUTANG DAGANG-PT. SANGUN RATU</v>
          </cell>
        </row>
        <row r="49">
          <cell r="E49" t="str">
            <v>105.01.114   PIUTANG DAGANG-PT. KARYA SUKSES ABADI</v>
          </cell>
        </row>
        <row r="50">
          <cell r="E50" t="str">
            <v>105.01.115   PIUTANG DAGANG-PT.TUNAS BARU LAMPUNG Tbk</v>
          </cell>
        </row>
        <row r="51">
          <cell r="E51" t="str">
            <v>105.01.116   PIUTANG DAGANG- KO  KUKU</v>
          </cell>
        </row>
        <row r="52">
          <cell r="E52" t="str">
            <v>105.01.117   PIUTANG DAGANG- SITI /PURBOLINGGO</v>
          </cell>
        </row>
        <row r="53">
          <cell r="E53" t="str">
            <v>105.01.118   PIUTANG DAGANG- CI ACIN</v>
          </cell>
        </row>
        <row r="54">
          <cell r="E54" t="str">
            <v>105.01.119   PIUTANG DAGANG- AYAU</v>
          </cell>
        </row>
        <row r="55">
          <cell r="E55" t="str">
            <v>105.01.12     PIUTANG DAGANG-PT BUKIT KAPUR REKSA</v>
          </cell>
        </row>
        <row r="56">
          <cell r="E56" t="str">
            <v>105.01.120   PIUTANG DAGANG- SAFIC ALKAN</v>
          </cell>
        </row>
        <row r="57">
          <cell r="E57" t="str">
            <v>105.01.13     PIUTANG DAGANG-CV BANGUN JAYA MANDIRI</v>
          </cell>
        </row>
        <row r="58">
          <cell r="E58" t="str">
            <v>105.01.14     PIUTANG DAGANG-KO ENGHO</v>
          </cell>
        </row>
        <row r="59">
          <cell r="E59" t="str">
            <v>105.01.15     PIUTANG DAGANG-PT DARMEX OIL &amp; FATS</v>
          </cell>
        </row>
        <row r="60">
          <cell r="E60" t="str">
            <v>105.01.16     PIUTANG DAGANG-CV SINAR LAUT</v>
          </cell>
        </row>
        <row r="61">
          <cell r="E61" t="str">
            <v>105.01.17     PIUTANG DAGANG-TOEPFER INTERNATIONAL PTE LTD</v>
          </cell>
        </row>
        <row r="62">
          <cell r="E62" t="str">
            <v>105.01.18     PIUTANG DAGANG-PT HASIL ABADI PERDANA</v>
          </cell>
        </row>
        <row r="63">
          <cell r="E63" t="str">
            <v>105.01.19     PIUTANG DAGANG-GLOBAL ADVANCE OILS AND FATS</v>
          </cell>
        </row>
        <row r="64">
          <cell r="E64" t="str">
            <v>105.01.20     PIUTANG DAGANG-PT CHAROEN POPHAND INDONESIA</v>
          </cell>
        </row>
        <row r="65">
          <cell r="E65" t="str">
            <v>105.01.21     PIUTANG DAGANG-IBU GANI</v>
          </cell>
        </row>
        <row r="66">
          <cell r="E66" t="str">
            <v>105.01.22     PIUTANG DAGANG-PT CENTRAL PROTEINA PRIMA</v>
          </cell>
        </row>
        <row r="67">
          <cell r="E67" t="str">
            <v>105.01.23     PIUTANG DAGANG-PT TUNAS BARU LAMPUNG (BDL)</v>
          </cell>
        </row>
        <row r="68">
          <cell r="E68" t="str">
            <v>105.01.24     PIUTANG DAGANG-PT TUNAS BARU LAMPUNG (PLG)</v>
          </cell>
        </row>
        <row r="69">
          <cell r="E69" t="str">
            <v>105.01.25     PIUTANG DAGANG-PT SARI JELITA</v>
          </cell>
        </row>
        <row r="70">
          <cell r="E70" t="str">
            <v>105.01.26     PIUTANG DAGANG-PT SAWITRA OIL GRAIND</v>
          </cell>
        </row>
        <row r="71">
          <cell r="E71" t="str">
            <v>105.01.27     PIUTANG DAGANG-PT INDO KARYA INTERNUSA</v>
          </cell>
        </row>
        <row r="72">
          <cell r="E72" t="str">
            <v>105.01.28     PIUTANG DAGANG-KO TEDDY</v>
          </cell>
        </row>
        <row r="73">
          <cell r="E73" t="str">
            <v>105.01.29     PIUTANG DAGANG-PT CHEILD JEDANG SUPERFEED</v>
          </cell>
        </row>
        <row r="74">
          <cell r="E74" t="str">
            <v>105.01.30     PIUTANG DAGANG-PT JUANG JAYA ABDI ALAM</v>
          </cell>
        </row>
        <row r="75">
          <cell r="E75" t="str">
            <v>105.01.31     PIUTANG DAGANG-PT GOLD COIN</v>
          </cell>
        </row>
        <row r="76">
          <cell r="E76" t="str">
            <v>105.01.32     PIUTANG DAGANG-PT KERTA MULIA</v>
          </cell>
        </row>
        <row r="77">
          <cell r="E77" t="str">
            <v>105.01.33     PIUTANG DAGANG-PT PURIVAM</v>
          </cell>
        </row>
        <row r="78">
          <cell r="E78" t="str">
            <v>105.01.34     PIUTANG DAGANG-PT EDEN FARM</v>
          </cell>
        </row>
        <row r="79">
          <cell r="E79" t="str">
            <v>105.01.35     PIUTANG DAGANG-PT SUMBER JAYA AGRATAMA KENCANA</v>
          </cell>
        </row>
        <row r="80">
          <cell r="E80" t="str">
            <v>105.01.36     PIUTANG DAGANG-PT PANCA NABATI PRAKARSA</v>
          </cell>
        </row>
        <row r="81">
          <cell r="E81" t="str">
            <v>105.01.37     PIUTANG DAGANG-PT SALIM IVOMAS PRATAMA</v>
          </cell>
        </row>
        <row r="82">
          <cell r="E82" t="str">
            <v>105.01.38     PIUTANG DAGANG-CV KHARISMA</v>
          </cell>
        </row>
        <row r="83">
          <cell r="E83" t="str">
            <v>105.01.39     PIUTANG DAGANG-PT ANGSO DUO SAWIT</v>
          </cell>
        </row>
        <row r="84">
          <cell r="E84" t="str">
            <v>105.01.40     PIUTANG DAGANG-PT CARGIL INDONESIA</v>
          </cell>
        </row>
        <row r="85">
          <cell r="E85" t="str">
            <v>105.01.41     PIUTANG DAGANG-PT JAYA BROILER FARM</v>
          </cell>
        </row>
        <row r="86">
          <cell r="E86" t="str">
            <v>105.01.42     PIUTANG DAGANG-PT MEMORINTAMA PERKASA</v>
          </cell>
        </row>
        <row r="87">
          <cell r="E87" t="str">
            <v>105.01.43     PIUTANG DAGANG-AAVANTI INDUSTRIES Pte.Ltd</v>
          </cell>
        </row>
        <row r="88">
          <cell r="E88" t="str">
            <v>105.01.44     PIUTANG DAGANG-CINERGY CORPORATION</v>
          </cell>
        </row>
        <row r="89">
          <cell r="E89" t="str">
            <v>105.01.45     PIUTANG DAGANG-PT PALMAS ASRI</v>
          </cell>
        </row>
        <row r="90">
          <cell r="E90" t="str">
            <v>105.01.46     PIUTANG DAGANG-PT SINAR ALAM PERMAI</v>
          </cell>
        </row>
        <row r="91">
          <cell r="E91" t="str">
            <v>105.01.47     PIUTANG DAGANG-PT ASIANAGRO AGUNG JAYA</v>
          </cell>
        </row>
        <row r="92">
          <cell r="E92" t="str">
            <v>105.01.48     PIUTANG DAGANG-PT SINAR JAYA INTI MULYA</v>
          </cell>
        </row>
        <row r="93">
          <cell r="E93" t="str">
            <v>105.01.49     PIUTANG DAGANG-KO AYANG</v>
          </cell>
        </row>
        <row r="94">
          <cell r="E94" t="str">
            <v>105.01.50     PIUTANG DAGANG-KO ARI</v>
          </cell>
        </row>
        <row r="95">
          <cell r="E95" t="str">
            <v>105.01.500   PIUTANG DAGANG-ALI-SKP</v>
          </cell>
        </row>
        <row r="96">
          <cell r="E96" t="str">
            <v>105.01.501   PIUTANG DAGANG-AMSOR GAYA BARU</v>
          </cell>
        </row>
        <row r="97">
          <cell r="E97" t="str">
            <v>105.01.502   PIUTANG DAGANG-ANJARWATI TRIMODADI</v>
          </cell>
        </row>
        <row r="98">
          <cell r="E98" t="str">
            <v>105.01.503   PIUTANG DAGANG-ANOM P LINNGO</v>
          </cell>
        </row>
        <row r="99">
          <cell r="E99" t="str">
            <v>105.01.504   PIUTANG DAGANG-ANTON SKP</v>
          </cell>
        </row>
        <row r="100">
          <cell r="E100" t="str">
            <v>105.01.505   PIUTANG DAGANG-ANTON BEKRI</v>
          </cell>
        </row>
        <row r="101">
          <cell r="E101" t="str">
            <v>105.01.506   PIUTANG DAGANG-ANTON 48</v>
          </cell>
        </row>
        <row r="102">
          <cell r="E102" t="str">
            <v>105.01.507   PIUTANG DAGANG-ANWAR P LINNGO</v>
          </cell>
        </row>
        <row r="103">
          <cell r="E103" t="str">
            <v>105.01.508   PIUTANG DAGANG-ASAN METRO</v>
          </cell>
        </row>
        <row r="104">
          <cell r="E104" t="str">
            <v>105.01.509   PIUTANG DAGANG-ASAN 21</v>
          </cell>
        </row>
        <row r="105">
          <cell r="E105" t="str">
            <v>105.01.51     PIUTANG DAGANG-KO GUN</v>
          </cell>
        </row>
        <row r="106">
          <cell r="E106" t="str">
            <v>105.01.510   PIUTANG DAGANG-ASEM BEKRI</v>
          </cell>
        </row>
        <row r="107">
          <cell r="E107" t="str">
            <v>105.01.511   PIUTANG DAGANG-ASEM 21C</v>
          </cell>
        </row>
        <row r="108">
          <cell r="E108" t="str">
            <v>105.01.512   PIUTANG DAGANG-ASEM SKP</v>
          </cell>
        </row>
        <row r="109">
          <cell r="E109" t="str">
            <v>105.01.513   PIUTANG DAGANG-ASEN 21</v>
          </cell>
        </row>
        <row r="110">
          <cell r="E110" t="str">
            <v>105.01.514   PIUTANG DAGANG-ASIH SKP</v>
          </cell>
        </row>
        <row r="111">
          <cell r="E111" t="str">
            <v>105.01.515   PIUTANG DAGANG-ASIH B.HARI</v>
          </cell>
        </row>
        <row r="112">
          <cell r="E112" t="str">
            <v>105.01.516   PIUTANG DAGANG-ASIH 6</v>
          </cell>
        </row>
        <row r="113">
          <cell r="E113" t="str">
            <v>105.01.517   PIUTANG DAGANG-ATUN GAYA BARU</v>
          </cell>
        </row>
        <row r="114">
          <cell r="E114" t="str">
            <v>105.01.518   PIUTANG DAGANG-ATUN 48</v>
          </cell>
        </row>
        <row r="115">
          <cell r="E115" t="str">
            <v>105.01.519   PIUTANG DAGANG-ATUN SKP</v>
          </cell>
        </row>
        <row r="116">
          <cell r="E116" t="str">
            <v>105.01.52     PIUTANG DAGANG-PT JAPFA COMFEED INDONESIA-BDL</v>
          </cell>
        </row>
        <row r="117">
          <cell r="E117" t="str">
            <v>105.01.520   PIUTANG DAGANG-ATUN BEKRI</v>
          </cell>
        </row>
        <row r="118">
          <cell r="E118" t="str">
            <v>105.01.521   PIUTANG DAGANG-ATUNO</v>
          </cell>
        </row>
        <row r="119">
          <cell r="E119" t="str">
            <v>105.01.522   PIUTANG DAGANG-BARU SKP</v>
          </cell>
        </row>
        <row r="120">
          <cell r="E120" t="str">
            <v>105.01.524   PIUTANG DAGANG-BIBIT BEKRI</v>
          </cell>
        </row>
        <row r="121">
          <cell r="E121" t="str">
            <v>105.01.525   PIUTANG DAGANG-BIBIT 21</v>
          </cell>
        </row>
        <row r="122">
          <cell r="E122" t="str">
            <v>105.01.526   PIUTANG DAGANG-CIKMAN TRIMODADI</v>
          </cell>
        </row>
        <row r="123">
          <cell r="E123" t="str">
            <v>105.01.528   PIUTANG DAGANG-CITRO SKP</v>
          </cell>
        </row>
        <row r="124">
          <cell r="E124" t="str">
            <v>105.01.529   PIUTANG DAGANG-DARMI BEKRI</v>
          </cell>
        </row>
        <row r="125">
          <cell r="E125" t="str">
            <v>105.01.53     PIUTANG DAGANG-PT JAPFA COMFEED INDONESIA-CIKUPA</v>
          </cell>
        </row>
        <row r="126">
          <cell r="E126" t="str">
            <v>105.01.530   PIUTANG DAGANG-DELA 48</v>
          </cell>
        </row>
        <row r="127">
          <cell r="E127" t="str">
            <v>105.01.531   PIUTANG DAGANG-DELLA SKP</v>
          </cell>
        </row>
        <row r="128">
          <cell r="E128" t="str">
            <v>105.01.532   PIUTANG DAGANG-DELLA B.HARI</v>
          </cell>
        </row>
        <row r="129">
          <cell r="E129" t="str">
            <v>105.01.533   PIUTANG DAGANG-EDI AS SKP</v>
          </cell>
        </row>
        <row r="130">
          <cell r="E130" t="str">
            <v>105.01.534   PIUTANG DAGANG-EKO 48</v>
          </cell>
        </row>
        <row r="131">
          <cell r="E131" t="str">
            <v>105.01.535   PIUTANG DAGANG-HARTI GAYA BARU</v>
          </cell>
        </row>
        <row r="132">
          <cell r="E132" t="str">
            <v>105.01.536   PIUTANG DAGANG-IING P.LINNGO</v>
          </cell>
        </row>
        <row r="133">
          <cell r="E133" t="str">
            <v>105.01.537   PIUTANG DAGANG-IKROM TRIMODADI</v>
          </cell>
        </row>
        <row r="134">
          <cell r="E134" t="str">
            <v>105.01.538   PIUTANG DAGANG-IKROM WAY T</v>
          </cell>
        </row>
        <row r="135">
          <cell r="E135" t="str">
            <v>105.01.539   PIUTANG DAGANG-JADI BEKRI</v>
          </cell>
        </row>
        <row r="136">
          <cell r="E136" t="str">
            <v>105.01.54     PIUTANG DAGANG-PT JAPFA COMFEED INDONESIA-CIREBON</v>
          </cell>
        </row>
        <row r="137">
          <cell r="E137" t="str">
            <v>105.01.540   PIUTANG DAGANG-JUADI B.HARI</v>
          </cell>
        </row>
        <row r="138">
          <cell r="E138" t="str">
            <v>105.01.541   PIUTANG DAGANG-JUNAIDI 16C</v>
          </cell>
        </row>
        <row r="139">
          <cell r="E139" t="str">
            <v>105.01.542   PIUTANG DAGANG-JUWADI B.HARI</v>
          </cell>
        </row>
        <row r="140">
          <cell r="E140" t="str">
            <v>105.01.543   PIUTANG DAGANG-JUWADI BEKRI</v>
          </cell>
        </row>
        <row r="141">
          <cell r="E141" t="str">
            <v>105.01.544   PIUTANG DAGANG-KAHAR GAYA BARU</v>
          </cell>
        </row>
        <row r="142">
          <cell r="E142" t="str">
            <v>105.01.546   PIUTANG DAGANG-KATMINI P LINNGO</v>
          </cell>
        </row>
        <row r="143">
          <cell r="E143" t="str">
            <v>105.01.547   PIUTANG DAGANG-KO ASAN</v>
          </cell>
        </row>
        <row r="144">
          <cell r="E144" t="str">
            <v>105.01.548   PIUTANG DAGANG-KO ASEM METRO</v>
          </cell>
        </row>
        <row r="145">
          <cell r="E145" t="str">
            <v>105.01.549   PIUTANG DAGANG-KOMARIAH GAYA BARU</v>
          </cell>
        </row>
        <row r="146">
          <cell r="E146" t="str">
            <v>105.01.55     PIUTANG DAGANG-PT WELGRO</v>
          </cell>
        </row>
        <row r="147">
          <cell r="E147" t="str">
            <v>105.01.550   PIUTANG DAGANG-LAMINA GAYA BARU</v>
          </cell>
        </row>
        <row r="148">
          <cell r="E148" t="str">
            <v>105.01.556   PIUTANG DAGANG-MUSLIMIN GAYA BARU</v>
          </cell>
        </row>
        <row r="149">
          <cell r="E149" t="str">
            <v>105.01.557   PIUTANG DAGANG-NANANG BEKRI</v>
          </cell>
        </row>
        <row r="150">
          <cell r="E150" t="str">
            <v>105.01.558   PIUTANG DAGANG-NUR EKO 48</v>
          </cell>
        </row>
        <row r="151">
          <cell r="E151" t="str">
            <v>105.01.559   PIUTANG DAGANG-NUR EKO SKP</v>
          </cell>
        </row>
        <row r="152">
          <cell r="E152" t="str">
            <v>105.01.56     PIUTANG DAGANG-ALI JAKARTA</v>
          </cell>
        </row>
        <row r="153">
          <cell r="E153" t="str">
            <v>105.01.560   PIUTANG DAGANG-PAIMIN BEKRI</v>
          </cell>
        </row>
        <row r="154">
          <cell r="E154" t="str">
            <v>105.01.561   PIUTANG DAGANG-RAKIM P LINNGO</v>
          </cell>
        </row>
        <row r="155">
          <cell r="E155" t="str">
            <v>105.01.563   PIUTANG DAGANG- HENDRI</v>
          </cell>
        </row>
        <row r="156">
          <cell r="E156" t="str">
            <v>105.01.564   PIUTANG DAGANG-MEWAHOLEO INDUSTRIES SDN</v>
          </cell>
        </row>
        <row r="157">
          <cell r="E157" t="str">
            <v>105.01.565   PIUTANG DAGANG-SRI TAMA P LINNGO</v>
          </cell>
        </row>
        <row r="158">
          <cell r="E158" t="str">
            <v>105.01.566   PIUTANG DAGANG-SUARI BEKRI</v>
          </cell>
        </row>
        <row r="159">
          <cell r="E159" t="str">
            <v>105.01.57     PIUTANG DAGANG-PT. TELUK BAYUR BULK TERMINAL</v>
          </cell>
        </row>
        <row r="160">
          <cell r="E160" t="str">
            <v>105.01.571   PIUTANG DAGANG-SUROTO P LINNGO</v>
          </cell>
        </row>
        <row r="161">
          <cell r="E161" t="str">
            <v>105.01.572   PIUTANG DAGANG-SUTAJI GAYA BARU</v>
          </cell>
        </row>
        <row r="162">
          <cell r="E162" t="str">
            <v>105.01.574   PIUTANG DAGANG-SUTI BEKRI</v>
          </cell>
        </row>
        <row r="163">
          <cell r="E163" t="str">
            <v>105.01.576   PIUTANG DAGANG-VENUS SKP</v>
          </cell>
        </row>
        <row r="164">
          <cell r="E164" t="str">
            <v>105.01.58     PIUTANG DAGANG-PD JUJUR</v>
          </cell>
        </row>
        <row r="165">
          <cell r="E165" t="str">
            <v>105.01.580   PIUTANG DAGANG-WIDI SKP</v>
          </cell>
        </row>
        <row r="166">
          <cell r="E166" t="str">
            <v>105.01.582   PIUTANG DAGANG-YANTO TRIMODADI</v>
          </cell>
        </row>
        <row r="167">
          <cell r="E167" t="str">
            <v>105.01.584   PIUTANG DAGANG-YATI BEKRI</v>
          </cell>
        </row>
        <row r="168">
          <cell r="E168" t="str">
            <v>105.01.585   PIUTANG DAGANG-MESNO-PD</v>
          </cell>
        </row>
        <row r="169">
          <cell r="E169" t="str">
            <v>105.01.586   PIUTANG DAGANG-LELA-21A</v>
          </cell>
        </row>
        <row r="170">
          <cell r="E170" t="str">
            <v>105.01.587   PIUTANG DAGANG-NURSAID-21A</v>
          </cell>
        </row>
        <row r="171">
          <cell r="E171" t="str">
            <v>105.01.589   PIUTANG DAGANG-CAHYO-SKP</v>
          </cell>
        </row>
        <row r="172">
          <cell r="E172" t="str">
            <v>105.01.59     PIUTANG DAGANG-KO ABUN</v>
          </cell>
        </row>
        <row r="173">
          <cell r="E173" t="str">
            <v>105.01.590   PIUTANG DAGANG-PRAPTI-SKP</v>
          </cell>
        </row>
        <row r="174">
          <cell r="E174" t="str">
            <v>105.01.591   PIUTANG DAGANG-MASROAH-SKP</v>
          </cell>
        </row>
        <row r="175">
          <cell r="E175" t="str">
            <v>105.01.593   PIUTANG DAGANG-RAJINO-48</v>
          </cell>
        </row>
        <row r="176">
          <cell r="E176" t="str">
            <v>105.01.594   PIUTANG DAGANG-ALI-48</v>
          </cell>
        </row>
        <row r="177">
          <cell r="E177" t="str">
            <v>105.01.598   PIUTANG DAGANG-WAKID G.BARU</v>
          </cell>
        </row>
        <row r="178">
          <cell r="E178" t="str">
            <v>105.01.60     PIUTANG DAGANG-KO KENKEN</v>
          </cell>
        </row>
        <row r="179">
          <cell r="E179" t="str">
            <v>105.01.600   PIUTANG DAGANG-NURUL G.BARU</v>
          </cell>
        </row>
        <row r="180">
          <cell r="E180" t="str">
            <v>105.01.601   PIUTANG DAGANG-NURHAYATI G.BARU</v>
          </cell>
        </row>
        <row r="181">
          <cell r="E181" t="str">
            <v>105.01.604   PIUTANG DAGANG-ANSOR G.BARU</v>
          </cell>
        </row>
        <row r="182">
          <cell r="E182" t="str">
            <v>105.01.605   PIUTANG DAGANG-NURWAHID G.BARU</v>
          </cell>
        </row>
        <row r="183">
          <cell r="E183" t="str">
            <v>105.01.606   PIUTANG DAGANG-KALIMI G.BARU</v>
          </cell>
        </row>
        <row r="184">
          <cell r="E184" t="str">
            <v>105.01.607   PIUTANG DAGANG-MUHIDIN 28A</v>
          </cell>
        </row>
        <row r="185">
          <cell r="E185" t="str">
            <v>105.01.608   PIUTANG DAGANG-NANDANG-48</v>
          </cell>
        </row>
        <row r="186">
          <cell r="E186" t="str">
            <v>105.01.609   PIUTANG DAGANG-PURWANTO-PD</v>
          </cell>
        </row>
        <row r="187">
          <cell r="E187" t="str">
            <v>105.01.61     PIUTANG DAGANG-KO KIJUN</v>
          </cell>
        </row>
        <row r="188">
          <cell r="E188" t="str">
            <v>105.01.610   PIUTANG DAGANG-KATMINI PBL</v>
          </cell>
        </row>
        <row r="189">
          <cell r="E189" t="str">
            <v>105.01.611   PIUTANG DAGANG-SRI TAMAR PBL</v>
          </cell>
        </row>
        <row r="190">
          <cell r="E190" t="str">
            <v>105.01.612   PIUTANG DAGANG-SUROTO PBL</v>
          </cell>
        </row>
        <row r="191">
          <cell r="E191" t="str">
            <v>105.01.614   PIUTANG DAGANG-WAYAN GB</v>
          </cell>
        </row>
        <row r="192">
          <cell r="E192" t="str">
            <v>105.01.615   PIUTANG DAGANG-NURWAKID GB</v>
          </cell>
        </row>
        <row r="193">
          <cell r="E193" t="str">
            <v>105.01.616   PIUTANG DAGANG-MUKSIN SKP</v>
          </cell>
        </row>
        <row r="194">
          <cell r="E194" t="str">
            <v>105.01.617   PIUTANG DAGANG-NANDANG 28A</v>
          </cell>
        </row>
        <row r="195">
          <cell r="E195" t="str">
            <v>105.01.618   PIUTANG DAGANG-SUTRIS BEKRI</v>
          </cell>
        </row>
        <row r="196">
          <cell r="E196" t="str">
            <v>105.01.619   PIUTANG DAGANG-RAKIM PBL</v>
          </cell>
        </row>
        <row r="197">
          <cell r="E197" t="str">
            <v>105.01.62     PIUTANG DAGANG-KO SUSAM</v>
          </cell>
        </row>
        <row r="198">
          <cell r="E198" t="str">
            <v>105.01.620   PIUTANG DAGANG-MUH 28P</v>
          </cell>
        </row>
        <row r="199">
          <cell r="E199" t="str">
            <v>105.01.621   PIUTANG DAGANG-IING PBL</v>
          </cell>
        </row>
        <row r="200">
          <cell r="E200" t="str">
            <v>105.01.622   PIUTANG DAGANG-ANOM/PIPI PBL</v>
          </cell>
        </row>
        <row r="201">
          <cell r="E201" t="str">
            <v>105.01.623   PIUTANG DAGANG-SUMARSONO BEKRI</v>
          </cell>
        </row>
        <row r="202">
          <cell r="E202" t="str">
            <v>105.01.624   PIUTANG DAGANG-SUKIMIN 16C</v>
          </cell>
        </row>
        <row r="203">
          <cell r="E203" t="str">
            <v>105.01.625   PIUTANG DAGANG-JONI JEMPOL JAYA</v>
          </cell>
        </row>
        <row r="204">
          <cell r="E204" t="str">
            <v>105.01.626   PIUTANG DAGANG-NUR DAIM SKP</v>
          </cell>
        </row>
        <row r="205">
          <cell r="E205" t="str">
            <v>105.01.628   PIUTANG DAGANG-NUR</v>
          </cell>
        </row>
        <row r="206">
          <cell r="E206" t="str">
            <v>105.01.629   PIUTANG DAGANG-ALOY</v>
          </cell>
        </row>
        <row r="207">
          <cell r="E207" t="str">
            <v>105.01.63     PIUTANG DAGANG-CIK KETTY</v>
          </cell>
        </row>
        <row r="208">
          <cell r="E208" t="str">
            <v>105.01.631   PIUTANG DAGANG-PURWANTO BEKRI</v>
          </cell>
        </row>
        <row r="209">
          <cell r="E209" t="str">
            <v>105.01.633   PIUTANG DAGANG-AKHING</v>
          </cell>
        </row>
        <row r="210">
          <cell r="E210" t="str">
            <v>105.01.635   PIUTANG DAGANG-NURWAKID G.BARU</v>
          </cell>
        </row>
        <row r="211">
          <cell r="E211" t="str">
            <v>105.01.636   PIUTANG DAGANG-PT CIBADAK</v>
          </cell>
        </row>
        <row r="212">
          <cell r="E212" t="str">
            <v>105.01.637   PIUTANG DAGANG-NANDANG 38</v>
          </cell>
        </row>
        <row r="213">
          <cell r="E213" t="str">
            <v>105.01.638   PIUTANG DAGANG-TABRANI TRIMODADI</v>
          </cell>
        </row>
        <row r="214">
          <cell r="E214" t="str">
            <v>105.01.639   PIUTANG DAGANG-IYAH PBL</v>
          </cell>
        </row>
        <row r="215">
          <cell r="E215" t="str">
            <v>105.01.64     PIUTANG DAGANG-TOKO RINGGIT</v>
          </cell>
        </row>
        <row r="216">
          <cell r="E216" t="str">
            <v>105.01.640   PIUTANG DAGANG-RIBUT SKP</v>
          </cell>
        </row>
        <row r="217">
          <cell r="E217" t="str">
            <v>105.01.641   PIUTANG DAGANG-KHARISMA</v>
          </cell>
        </row>
        <row r="218">
          <cell r="E218" t="str">
            <v>105.01.643   PIUTANG DAGANG-SALES SUPRI</v>
          </cell>
        </row>
        <row r="219">
          <cell r="E219" t="str">
            <v>105.01.644   PIUTANG DAGANG-ASIONG</v>
          </cell>
        </row>
        <row r="220">
          <cell r="E220" t="str">
            <v>105.01.645   PIUTANG DAGANG-TUNJANG SKP</v>
          </cell>
        </row>
        <row r="221">
          <cell r="E221" t="str">
            <v>105.01.646   PIUTANG DAGANG-WIHARA (SUMBANGAN)</v>
          </cell>
        </row>
        <row r="222">
          <cell r="E222" t="str">
            <v>105.01.647   PIUTANG DAGANG-BARON</v>
          </cell>
        </row>
        <row r="223">
          <cell r="E223" t="str">
            <v>105.01.648   PIUTANG DAGANG-TOKO DIENG</v>
          </cell>
        </row>
        <row r="224">
          <cell r="E224" t="str">
            <v>105.01.649   PIUTANG DAGANG- RESMI</v>
          </cell>
        </row>
        <row r="225">
          <cell r="E225" t="str">
            <v>105.01.65     PIUTANG DAGANG-ROTI AGOGO</v>
          </cell>
        </row>
        <row r="226">
          <cell r="E226" t="str">
            <v>105.01.650   PIUTANG DAGANG- HADI SEKAMPUNG</v>
          </cell>
        </row>
        <row r="227">
          <cell r="E227" t="str">
            <v>105.01.651   PIUTANG DAGANG- BUDI TRIMURJO</v>
          </cell>
        </row>
        <row r="228">
          <cell r="E228" t="str">
            <v>105.01.652   PIUTANG DAGANG- WARDOYO BEKRI/SOL</v>
          </cell>
        </row>
        <row r="229">
          <cell r="E229" t="str">
            <v>105.01.653   PIUTANG DAGANG- KO ACUNG BEKRI/SOL</v>
          </cell>
        </row>
        <row r="230">
          <cell r="E230" t="str">
            <v>105.01.654   PIUTANG DAGANG- TULUS SEKAMPUNG</v>
          </cell>
        </row>
        <row r="231">
          <cell r="E231" t="str">
            <v>105.01.655   PIUTANG DAGANG- ROYANI SKP</v>
          </cell>
        </row>
        <row r="232">
          <cell r="E232" t="str">
            <v>105.01.656   PIUTANG DAGANG- IBU SUKIMAN 16C</v>
          </cell>
        </row>
        <row r="233">
          <cell r="E233" t="str">
            <v>105.01.657   PIUTANG DAGANG- PT WONOKOYO JAYA KUSUMA</v>
          </cell>
        </row>
        <row r="234">
          <cell r="E234" t="str">
            <v>105.01.658   PIUTANG DAGANG- PRAPTO SKP/SOL</v>
          </cell>
        </row>
        <row r="235">
          <cell r="E235" t="str">
            <v>105.01.659   PIUTANG DAGANG- DAYEM BEKRI</v>
          </cell>
        </row>
        <row r="236">
          <cell r="E236" t="str">
            <v>105.01.66     PIUTANG DAGANG-IBU WARNI</v>
          </cell>
        </row>
        <row r="237">
          <cell r="E237" t="str">
            <v>105.01.660   PIUTANG DAGANG- SUMARNO BUMI AYU</v>
          </cell>
        </row>
        <row r="238">
          <cell r="E238" t="str">
            <v>105.01.661   PIUTANG DAGANG- IDRIS SEKAMPUNG/SOL</v>
          </cell>
        </row>
        <row r="239">
          <cell r="E239" t="str">
            <v>105.01.662   PIUTANG DAGANG- SUTARMI 24</v>
          </cell>
        </row>
        <row r="240">
          <cell r="E240" t="str">
            <v>105.01.663   PIUTANG DAGANG- AMAN JAYA PERDANA</v>
          </cell>
        </row>
        <row r="241">
          <cell r="E241" t="str">
            <v>105.01.664   PIUTANG DAGANG- PT KARYA SAWIT LESTARI</v>
          </cell>
        </row>
        <row r="242">
          <cell r="E242" t="str">
            <v>105.01.665   PIUTANG DAGANG- PT WIJAYA KARYA</v>
          </cell>
        </row>
        <row r="243">
          <cell r="E243" t="str">
            <v>105.01.666   PIUTANG DAGANG- SUHARNO/BUMI AYU</v>
          </cell>
        </row>
        <row r="244">
          <cell r="E244" t="str">
            <v>105.01.667   PIUTANG DAGANG- MUIN</v>
          </cell>
        </row>
        <row r="245">
          <cell r="E245" t="str">
            <v>105.01.668   PIUTANG DAGANG- KO ASAN</v>
          </cell>
        </row>
        <row r="246">
          <cell r="E246" t="str">
            <v>105.01.669   PIUTANG DAGANG-AGREETRADE CO.Pte.Lte</v>
          </cell>
        </row>
        <row r="247">
          <cell r="E247" t="str">
            <v>105.01.67     PIUTANG DAGANG-IBU SULIS</v>
          </cell>
        </row>
        <row r="248">
          <cell r="E248" t="str">
            <v>105.01.670   PIUTANG DAGANG- RIBET BEKRI / SOL</v>
          </cell>
        </row>
        <row r="249">
          <cell r="E249" t="str">
            <v>105.01.671   PIUTANG DAGANG- BU HARUN</v>
          </cell>
        </row>
        <row r="250">
          <cell r="E250" t="str">
            <v>105.01.672   PIUTANG DAGANG- MUR PURBOLINGGO</v>
          </cell>
        </row>
        <row r="251">
          <cell r="E251" t="str">
            <v>105.01.673   PIUTANG DAGANG- NANOK PBL</v>
          </cell>
        </row>
        <row r="252">
          <cell r="E252" t="str">
            <v>105.01.674   PIUTANG DAGANG- PT PELITA JAMBI</v>
          </cell>
        </row>
        <row r="253">
          <cell r="E253" t="str">
            <v>105.01.675   PIUTANG DAGANG- YAMIN DJAYADIGUNA</v>
          </cell>
        </row>
        <row r="254">
          <cell r="E254" t="str">
            <v>105.01.676   PIUTANG DAGANG- FELDA MARKETING SERVICE SDN.BHD</v>
          </cell>
        </row>
        <row r="255">
          <cell r="E255" t="str">
            <v>105.01.677   PIUTANG DAGANG- DEDEK</v>
          </cell>
        </row>
        <row r="256">
          <cell r="E256" t="str">
            <v>105.01.678   PIUTANG DAGANG- EDI WANA</v>
          </cell>
        </row>
        <row r="257">
          <cell r="E257" t="str">
            <v>105.01.679   PIUTANG DAGANG-KO ABED BDL</v>
          </cell>
        </row>
        <row r="258">
          <cell r="E258" t="str">
            <v>105.01.68     PIUTANG DAGANG-NING</v>
          </cell>
        </row>
        <row r="259">
          <cell r="E259" t="str">
            <v>105.01.680   PIUTANG DAGANG- DARMA 28 PURWOSARI</v>
          </cell>
        </row>
        <row r="260">
          <cell r="E260" t="str">
            <v>105.01.681   PIUTANG DAGANG- ELA BEKRI</v>
          </cell>
        </row>
        <row r="261">
          <cell r="E261" t="str">
            <v>105.01.682   PIUTANG DAGANG- SRIYANA GB</v>
          </cell>
        </row>
        <row r="262">
          <cell r="E262" t="str">
            <v>105.01.683   PIUTANG DAGANG- NURDIN GB</v>
          </cell>
        </row>
        <row r="263">
          <cell r="E263" t="str">
            <v>105.01.684   PIUTANG DAGANG- PIAN TRIMURJO</v>
          </cell>
        </row>
        <row r="264">
          <cell r="E264" t="str">
            <v>105.01.685   PIUTANG DAGANG - JOHAN PURWOSARI</v>
          </cell>
        </row>
        <row r="265">
          <cell r="E265" t="str">
            <v>105.01.686   PIUTANG DAGANG - SLAMET PBL/SOL</v>
          </cell>
        </row>
        <row r="266">
          <cell r="E266" t="str">
            <v>105.01.689   PIUTANG DAGANG- WITO BEKRI</v>
          </cell>
        </row>
        <row r="267">
          <cell r="E267" t="str">
            <v>105.01.69     PIUTANG DAGANG-TOKO SUPANGAT</v>
          </cell>
        </row>
        <row r="268">
          <cell r="E268" t="str">
            <v>105.01.690   PIUTANG DAGANG- PT INTIBOGA SEJAHTERA</v>
          </cell>
        </row>
        <row r="269">
          <cell r="E269" t="str">
            <v>105.01.691   PIUTANG DAGANG- RUDI 21C</v>
          </cell>
        </row>
        <row r="270">
          <cell r="E270" t="str">
            <v>105.01.692   PIUTANG DAGANG-PT.SURYA MITRA SANTOSA MAKMUR</v>
          </cell>
        </row>
        <row r="271">
          <cell r="E271" t="str">
            <v>105.01.693   PIUTANG DAGANG-IDA BEKRI</v>
          </cell>
        </row>
        <row r="272">
          <cell r="E272" t="str">
            <v>105.01.70     PIUTANG DAGANG-TOKO BERKAT</v>
          </cell>
        </row>
        <row r="273">
          <cell r="E273" t="str">
            <v>105.01.71     PIUTANG DAGANG-KO INSIANG</v>
          </cell>
        </row>
        <row r="274">
          <cell r="E274" t="str">
            <v>105.01.72     PIUTANG DAGANG-KO IPAT</v>
          </cell>
        </row>
        <row r="275">
          <cell r="E275" t="str">
            <v>105.01.73     PIUTANG DAGANG-TOKO SIANTAR</v>
          </cell>
        </row>
        <row r="276">
          <cell r="E276" t="str">
            <v>105.01.74     PIUTANG DAGANG-SUBAGIO</v>
          </cell>
        </row>
        <row r="277">
          <cell r="E277" t="str">
            <v>105.01.75     PIUTANG DAGANG-TOKO BARU</v>
          </cell>
        </row>
        <row r="278">
          <cell r="E278" t="str">
            <v>105.01.77     PIUTANG DAGANG-KO AFUY</v>
          </cell>
        </row>
        <row r="279">
          <cell r="E279" t="str">
            <v>105.01.78     PIUTANG DAGANG-JAMSARI</v>
          </cell>
        </row>
        <row r="280">
          <cell r="E280" t="str">
            <v>105.01.79     PIUTANG DAGANG-TOKO HARMONI</v>
          </cell>
        </row>
        <row r="281">
          <cell r="E281" t="str">
            <v>105.01.80     PIUTANG DAGANG-CIK RIS</v>
          </cell>
        </row>
        <row r="282">
          <cell r="E282" t="str">
            <v>105.01.81     PIUTANG DAGANG-KO AKHIANG</v>
          </cell>
        </row>
        <row r="283">
          <cell r="E283" t="str">
            <v>105.01.83     PIUTANG DAGANG-H.MARJI</v>
          </cell>
        </row>
        <row r="284">
          <cell r="E284" t="str">
            <v>105.01.84     PIUTANG DAGANG-KO BASRI</v>
          </cell>
        </row>
        <row r="285">
          <cell r="E285" t="str">
            <v>105.01.85     PIUTANG DAGANG-KO ANGGI</v>
          </cell>
        </row>
        <row r="286">
          <cell r="E286" t="str">
            <v>105.01.86     PIUTANG DAGANG-KO ATIN</v>
          </cell>
        </row>
        <row r="287">
          <cell r="E287" t="str">
            <v>105.01.87     PIUTANG DAGANG-KO TOHIR</v>
          </cell>
        </row>
        <row r="288">
          <cell r="E288" t="str">
            <v>105.01.88     PIUTANG DAGANG-HARUM JAYA</v>
          </cell>
        </row>
        <row r="289">
          <cell r="E289" t="str">
            <v>105.01.89     PIUTANG DAGANG-IBU RUSMALA</v>
          </cell>
        </row>
        <row r="290">
          <cell r="E290" t="str">
            <v>105.01.91     PIUTANG DAGANG-MARYATUN</v>
          </cell>
        </row>
        <row r="291">
          <cell r="E291" t="str">
            <v>105.01.92     PIUTANG DAGANG-PT SANICHEM TUNGGAL PERTIWI</v>
          </cell>
        </row>
        <row r="292">
          <cell r="E292" t="str">
            <v>105.01.95     PIUTANG DAGANG RUDI BOGOR</v>
          </cell>
        </row>
        <row r="293">
          <cell r="E293" t="str">
            <v>105.01.96     PIUTANG DAGANG-RUDI/INSIANG</v>
          </cell>
        </row>
        <row r="294">
          <cell r="E294" t="str">
            <v>105.01.97     PIUTANG DAGANG-PT ASAP ABADI</v>
          </cell>
        </row>
        <row r="295">
          <cell r="E295" t="str">
            <v>105.01.98     PIUTANG DAGANG-KUOK OIL &amp; GRAINDS</v>
          </cell>
        </row>
        <row r="296">
          <cell r="E296" t="str">
            <v>105.01.99     PIUTANG DAGANG-KO ABED</v>
          </cell>
        </row>
        <row r="297">
          <cell r="E297" t="str">
            <v>105.02.01     PIUTANG KARYAWAN-UDIN</v>
          </cell>
        </row>
        <row r="298">
          <cell r="E298" t="str">
            <v>105.02.02     PIUTANG KARYAWAN-YONO</v>
          </cell>
        </row>
        <row r="299">
          <cell r="E299" t="str">
            <v>105.02.03     PIUTANG KARYAWAN-SUTRIS</v>
          </cell>
        </row>
        <row r="300">
          <cell r="E300" t="str">
            <v>105.02.04     PIUTANG KARYAWAN-IMAM</v>
          </cell>
        </row>
        <row r="301">
          <cell r="E301" t="str">
            <v>105.02.05     PIUTANG KARYAWAN-WAWAN</v>
          </cell>
        </row>
        <row r="302">
          <cell r="E302" t="str">
            <v>105.02.06     PIUTANG KARYAWAN-PATIMURA</v>
          </cell>
        </row>
        <row r="303">
          <cell r="E303" t="str">
            <v>105.02.07     PIUTANG KARYAWAN-DANAI</v>
          </cell>
        </row>
        <row r="304">
          <cell r="E304" t="str">
            <v>105.02.08     PIUTANG KARYAWAN-KEMI</v>
          </cell>
        </row>
        <row r="305">
          <cell r="E305" t="str">
            <v>105.02.09     PIUTANG KARYAWAN-AVIS</v>
          </cell>
        </row>
        <row r="306">
          <cell r="E306" t="str">
            <v>105.02.10     PIUTANG KARYAWAN-SATIJO</v>
          </cell>
        </row>
        <row r="307">
          <cell r="E307" t="str">
            <v>105.02.11     PIUTANG KARYAWAN-KO AKI</v>
          </cell>
        </row>
        <row r="308">
          <cell r="E308" t="str">
            <v>105.02.12     PIUTANG KARYAWAN-NAPITUPULU</v>
          </cell>
        </row>
        <row r="309">
          <cell r="E309" t="str">
            <v>105.02.13     PIUTANG KARYAWAN-SAKMUN</v>
          </cell>
        </row>
        <row r="310">
          <cell r="E310" t="str">
            <v>105.02.14     PIUTANG KARYAWAN-TULO</v>
          </cell>
        </row>
        <row r="311">
          <cell r="E311" t="str">
            <v>105.02.15     PIUTANG KARYAWAN-ANDY</v>
          </cell>
        </row>
        <row r="312">
          <cell r="E312" t="str">
            <v>105.02.16     PIUTANG KARYAWAN-SARING</v>
          </cell>
        </row>
        <row r="313">
          <cell r="E313" t="str">
            <v>105.02.17     PIUTANG KARYAWAN-RUDI</v>
          </cell>
        </row>
        <row r="314">
          <cell r="E314" t="str">
            <v>105.02.18     PIUTANG KARYAWAN-JOHANSYAH</v>
          </cell>
        </row>
        <row r="315">
          <cell r="E315" t="str">
            <v>105.02.19     PIUTANG KARYAWAN-KO CING'AN</v>
          </cell>
        </row>
        <row r="316">
          <cell r="E316" t="str">
            <v>105.02.20     PIUTANG KARYAWAN-MILAN</v>
          </cell>
        </row>
        <row r="317">
          <cell r="E317" t="str">
            <v>105.02.21     PIUTANG KARYAWAN-BUDI</v>
          </cell>
        </row>
        <row r="318">
          <cell r="E318" t="str">
            <v>105.02.22     PIUTANG KARYAWAN-JONO</v>
          </cell>
        </row>
        <row r="319">
          <cell r="E319" t="str">
            <v>105.02.23     PIUTANG KARYAWAN-MADE</v>
          </cell>
        </row>
        <row r="320">
          <cell r="E320" t="str">
            <v>105.02.24     PIUTANG KARYAWAN-MISWADI</v>
          </cell>
        </row>
        <row r="321">
          <cell r="E321" t="str">
            <v>105.02.25     PIUTANG KARYAWAN-TAHER</v>
          </cell>
        </row>
        <row r="322">
          <cell r="E322" t="str">
            <v>105.02.26     PIUTANG KARYAWAN-IGA</v>
          </cell>
        </row>
        <row r="323">
          <cell r="E323" t="str">
            <v>105.02.28     PIUTANG KARYAWAN-KUNTORO</v>
          </cell>
        </row>
        <row r="324">
          <cell r="E324" t="str">
            <v>105.02.29     PIUTANG KARYAWAN-BOBY</v>
          </cell>
        </row>
        <row r="325">
          <cell r="E325" t="str">
            <v>105.02.30     PIUTANG KARYAWAN-EVI</v>
          </cell>
        </row>
        <row r="326">
          <cell r="E326" t="str">
            <v>105.02.31     PIUTANG KARYAWAN-BE 4337 FA /SUMAR</v>
          </cell>
        </row>
        <row r="327">
          <cell r="E327" t="str">
            <v>105.02.32     PIUTANG KARYAWAN-BE 4233 FA /DANI</v>
          </cell>
        </row>
        <row r="328">
          <cell r="E328" t="str">
            <v>105.02.33     PIUTANG KARYAWAN-BE 4243 FA /GUNARTO</v>
          </cell>
        </row>
        <row r="329">
          <cell r="E329" t="str">
            <v>105.02.34     PIUTANG KARYAWAN-BE 4234 FA/ SUGENG</v>
          </cell>
        </row>
        <row r="330">
          <cell r="E330" t="str">
            <v>105.02.35     PIUTANG KARYAWAN-BE 4246 FA/ SUPENO</v>
          </cell>
        </row>
        <row r="331">
          <cell r="E331" t="str">
            <v>105.02.36     PIUTANG KARYAWAN-BE 4238 FA /HERMADI</v>
          </cell>
        </row>
        <row r="332">
          <cell r="E332" t="str">
            <v>105.02.37     PIUTANG KARYAWAN-BE 4686 FA / YUSUF</v>
          </cell>
        </row>
        <row r="333">
          <cell r="E333" t="str">
            <v>105.02.38     PIUTANG KARYAWAN-BE 4661 FA /SAHABU</v>
          </cell>
        </row>
        <row r="334">
          <cell r="E334" t="str">
            <v>105.02.39     PIUTANG KARYAWAN-BE 4209 FA /KARSIMAN</v>
          </cell>
        </row>
        <row r="335">
          <cell r="E335" t="str">
            <v>105.02.40     PIUTANG KARYAWAN-BE 4214 FA /INUGI R</v>
          </cell>
        </row>
        <row r="336">
          <cell r="E336" t="str">
            <v>105.02.41     PIUTANG KARYAWAN-BE 4666 FA /DJONGLIONG</v>
          </cell>
        </row>
        <row r="337">
          <cell r="E337" t="str">
            <v>105.02.42     PIUTANG KARYAWAN-BE 4665 FA /SUKIMAN</v>
          </cell>
        </row>
        <row r="338">
          <cell r="E338" t="str">
            <v>105.02.43     PIUTANG KARYAWAN-BE 4208 FA /ANDY W</v>
          </cell>
        </row>
        <row r="339">
          <cell r="E339" t="str">
            <v>105.02.44     PIUTANG KARYAWAN-BE 4213 F /YUSUF</v>
          </cell>
        </row>
        <row r="340">
          <cell r="E340" t="str">
            <v>105.02.45     PIUTANG KARYAWAN-BE 4211 FA /SUHARYONO</v>
          </cell>
        </row>
        <row r="341">
          <cell r="E341" t="str">
            <v>105.02.46     PIUTANG KARYAWAN-BE 4663 FA /ROBERT</v>
          </cell>
        </row>
        <row r="342">
          <cell r="E342" t="str">
            <v>105.02.47     PIUTANG KARYAWAN-BE 4241 FA /SYAHRONI</v>
          </cell>
        </row>
        <row r="343">
          <cell r="E343" t="str">
            <v>105.02.48     PIUTANG KARYAWAN-BE 4210 FA</v>
          </cell>
        </row>
        <row r="344">
          <cell r="E344" t="str">
            <v>105.02.49     PIUTANG KARYAWAN-BE 4662 FA /YAMIN</v>
          </cell>
        </row>
        <row r="345">
          <cell r="E345" t="str">
            <v>105.02.50     PIUTANG KARYAWAN-BE 4236 FA /SURYANTO</v>
          </cell>
        </row>
        <row r="346">
          <cell r="E346" t="str">
            <v>105.02.51     PIUTANG KARYAWAN-BE 4951 F</v>
          </cell>
        </row>
        <row r="347">
          <cell r="E347" t="str">
            <v>105.02.52     PIUTANG KARYAWAN-BE 4129 F</v>
          </cell>
        </row>
        <row r="348">
          <cell r="E348" t="str">
            <v>105.02.53     PIUTANG KARYAWAN-BE 4953 F</v>
          </cell>
        </row>
        <row r="349">
          <cell r="E349" t="str">
            <v>105.02.54     PIUTANG KARYAWAN-SOPIR JKT /M.SERAT</v>
          </cell>
        </row>
        <row r="350">
          <cell r="E350" t="str">
            <v>105.02.55     PIUTANG KARYAWAN-ANTONIUS</v>
          </cell>
        </row>
        <row r="351">
          <cell r="E351" t="str">
            <v>105.02.56     PIUTANG KARYAWAN BE 4207 FA/IBEN</v>
          </cell>
        </row>
        <row r="352">
          <cell r="E352" t="str">
            <v>105.02.57     PIUTANG KARYAWAN BE 4592 FA/JAMALI</v>
          </cell>
        </row>
        <row r="353">
          <cell r="E353" t="str">
            <v>105.02.58     PIUTANG KARYAWAN ATIN</v>
          </cell>
        </row>
        <row r="354">
          <cell r="E354" t="str">
            <v>105.02.59     PIUTANG KARYAWAN-TONO PJG</v>
          </cell>
        </row>
        <row r="355">
          <cell r="E355" t="str">
            <v>105.02.60     PIUTANG KARYAWAN- BE 4607 FA /SAHABU</v>
          </cell>
        </row>
        <row r="356">
          <cell r="E356" t="str">
            <v>105.02.61     PIUTANG KARYAWAN- BN 4542 FB</v>
          </cell>
        </row>
        <row r="357">
          <cell r="E357" t="str">
            <v>105.02.62     PIUTANG KARYAWAN- TEMU ARIFIN</v>
          </cell>
        </row>
        <row r="358">
          <cell r="E358" t="str">
            <v>105.02.63     PIUTANG KARYAWAN - LINDA</v>
          </cell>
        </row>
        <row r="359">
          <cell r="E359" t="str">
            <v>105.02.64     PIUTANG KARYAWAN - BE 4632 F</v>
          </cell>
        </row>
        <row r="360">
          <cell r="E360" t="str">
            <v>105.02.65     PIUTANG KARYAWAN BE 4593 FA</v>
          </cell>
        </row>
        <row r="361">
          <cell r="E361" t="str">
            <v>105.02.66     PIUTANG KARYAWAN- WIWIK</v>
          </cell>
        </row>
        <row r="362">
          <cell r="E362" t="str">
            <v>105.02.67     PIUTANG KARYAWAN- BE 9029 FC</v>
          </cell>
        </row>
        <row r="363">
          <cell r="E363" t="str">
            <v>105.03.01     PIUTANG AFILIASI-SUTOMO</v>
          </cell>
        </row>
        <row r="364">
          <cell r="E364" t="str">
            <v>105.03.02     PIUTANG AFILIASI-PT SINAR JAYA INTI MULYA</v>
          </cell>
        </row>
        <row r="365">
          <cell r="E365" t="str">
            <v>105.03.03     PIUTANG AFILIASI-PT SUMATERA NABATI OIL</v>
          </cell>
        </row>
        <row r="366">
          <cell r="E366" t="str">
            <v>105.03.04     PIUTANG AFILIASI-PT MUKOMUKO INDAH LESTARI</v>
          </cell>
        </row>
        <row r="367">
          <cell r="E367" t="str">
            <v>105.03.05     PIUTANG AFILIASI-ROTI AGOGO</v>
          </cell>
        </row>
        <row r="368">
          <cell r="E368" t="str">
            <v>105.03.06     PIUTANG AFILIASI- CV WAHYU TAMA AGRINDO</v>
          </cell>
        </row>
        <row r="369">
          <cell r="E369" t="str">
            <v>105.03.07     PIUTANG AFILIASI-PT SELUMAI INDAH LESTARI</v>
          </cell>
        </row>
        <row r="370">
          <cell r="E370" t="str">
            <v>105.03.08     PIUTANG AFILIASI KOTOMO-ANDY</v>
          </cell>
        </row>
        <row r="371">
          <cell r="E371" t="str">
            <v>105.03.09     PIUTANG AFILIASI - PT MAJAPAHIT INDAH LESTARI</v>
          </cell>
        </row>
        <row r="372">
          <cell r="E372" t="str">
            <v>105.03.10     PIUTANG AFILIASI - PT KALIREJO LESTARI</v>
          </cell>
        </row>
        <row r="373">
          <cell r="E373" t="str">
            <v>105.03.11     PIUTANG AFILIASI-FERTO REJANG</v>
          </cell>
        </row>
        <row r="374">
          <cell r="E374" t="str">
            <v>105.03.12     PIUTANG AFILIASI - PT AGRA SAWITINDO</v>
          </cell>
        </row>
        <row r="375">
          <cell r="E375" t="str">
            <v>105.03.13     PIUTANG AFILIASI - PT MENGGALA SAWITINDO</v>
          </cell>
        </row>
        <row r="376">
          <cell r="E376" t="str">
            <v>105.04.01     PIUTANG SPAREPART-BE 4209 FA/DJAMSIN</v>
          </cell>
        </row>
        <row r="377">
          <cell r="E377" t="str">
            <v>105.04.02     PIUTANG SPAREPART-BN 4686 AB /TJENFOEK</v>
          </cell>
        </row>
        <row r="378">
          <cell r="E378" t="str">
            <v>105.04.03     PIUTANG SPAREPART-AJUNG</v>
          </cell>
        </row>
        <row r="379">
          <cell r="E379" t="str">
            <v>105.04.04     PIUTANG SPAREPART SANTA</v>
          </cell>
        </row>
        <row r="380">
          <cell r="E380" t="str">
            <v>105.05.01     PIUTANG ONGKOS ANGKUT BPL</v>
          </cell>
        </row>
        <row r="381">
          <cell r="E381" t="str">
            <v>105.05.02     PIUTANG ONGKOS ANGKUT CV SKM</v>
          </cell>
        </row>
        <row r="382">
          <cell r="E382" t="str">
            <v>105.05.03     PIUTANG ONGKOS ANGKUT PT TRIMITRA P.N</v>
          </cell>
        </row>
        <row r="383">
          <cell r="E383" t="str">
            <v>105.05.04     PIUTANG ONGKOS ANGKUT BANGKA</v>
          </cell>
        </row>
        <row r="384">
          <cell r="E384" t="str">
            <v>105.05.05     PIUTANG ONGKOS ANGKUT PT. SAWINDO</v>
          </cell>
        </row>
        <row r="385">
          <cell r="E385" t="str">
            <v>105.05.06     PIUTANG ONGKOS ANGKUT PT. BUMI PERMAI LESTARI</v>
          </cell>
        </row>
        <row r="386">
          <cell r="E386" t="str">
            <v>105.05.07     PIUTANG ONGKOS ANGKUT EXP.AYUN</v>
          </cell>
        </row>
        <row r="387">
          <cell r="E387" t="str">
            <v>105.05.08     PIUTANG ONGKOS ANGKUT - PT SNS</v>
          </cell>
        </row>
        <row r="388">
          <cell r="E388" t="str">
            <v>105.05.09     PIUTANG ONGKOS ANGKUT - PT SJIM</v>
          </cell>
        </row>
        <row r="389">
          <cell r="E389" t="str">
            <v>105.05.10     PIUTANG ONGKOS ANGKUT-PT.SAP</v>
          </cell>
        </row>
        <row r="390">
          <cell r="E390" t="str">
            <v>105.06.01     PIUTANG LAIN-LAIN</v>
          </cell>
        </row>
        <row r="391">
          <cell r="E391" t="str">
            <v>105.06.02     PIUTANG LAIN- PT BIO NUSANTARA</v>
          </cell>
        </row>
        <row r="392">
          <cell r="E392" t="str">
            <v>105.06.03     PIUTANG LAIN- PT TELUK BAYUR</v>
          </cell>
        </row>
        <row r="393">
          <cell r="E393" t="str">
            <v>105.06.04     PIUTANG LAIN KO CISAN</v>
          </cell>
        </row>
        <row r="394">
          <cell r="E394" t="str">
            <v>105.06.05     PIUTANG LAIN- PT KARTIKA TIRTA HEMA</v>
          </cell>
        </row>
        <row r="395">
          <cell r="E395" t="str">
            <v>105.06.06     PIUTANG LAIN-PT KARYASUKSES UTAMAPRIMA</v>
          </cell>
        </row>
        <row r="396">
          <cell r="E396" t="str">
            <v>105.06.07     PIUTANG LAIN- INDROPURO/TENGKU SINAR</v>
          </cell>
        </row>
        <row r="397">
          <cell r="E397" t="str">
            <v>105.06.08     PIUTANG LAIN- BUMI SAWINDO PERMAI</v>
          </cell>
        </row>
        <row r="398">
          <cell r="E398" t="str">
            <v>105.06.09     PIUTANG LAIN- JHONI L</v>
          </cell>
        </row>
        <row r="399">
          <cell r="E399" t="str">
            <v>105.06.10     PIUTANG LAIN - KO AHONG</v>
          </cell>
        </row>
        <row r="400">
          <cell r="E400" t="str">
            <v>105.06.11     PIUTANG LAIN - CI MELI</v>
          </cell>
        </row>
        <row r="401">
          <cell r="E401" t="str">
            <v>105.06.12     PIUTANG LAIN - ANITA</v>
          </cell>
        </row>
        <row r="402">
          <cell r="E402" t="str">
            <v>105.06.13     PIUTANG LAIN - KO AMIN</v>
          </cell>
        </row>
        <row r="403">
          <cell r="E403" t="str">
            <v>105.06.14     PIUTANG LAIN - LILI</v>
          </cell>
        </row>
        <row r="404">
          <cell r="E404" t="str">
            <v>105.06.15     PIUTANG LAIN-JOHANSYAH</v>
          </cell>
        </row>
        <row r="405">
          <cell r="E405" t="str">
            <v>105.06.16     PIUTANG LAIN - PT SUMBER INDAH PERKASA</v>
          </cell>
        </row>
        <row r="406">
          <cell r="E406" t="str">
            <v>105.07.01     PIUTANG SEMENTARA DJAMSIN</v>
          </cell>
        </row>
        <row r="407">
          <cell r="E407" t="str">
            <v>106.01.01     ASURANSI DIBAYAR DIMUKA</v>
          </cell>
        </row>
        <row r="408">
          <cell r="E408" t="str">
            <v>106.02.01     SEWA DIBAYAR DIMUKA</v>
          </cell>
        </row>
        <row r="409">
          <cell r="E409" t="str">
            <v>106.03.01     UANG MUKA PPh PASAL 22</v>
          </cell>
        </row>
        <row r="410">
          <cell r="E410" t="str">
            <v>106.03.02     UANG MUKA PPh PASAL 23</v>
          </cell>
        </row>
        <row r="411">
          <cell r="E411" t="str">
            <v>106.03.03     UANG MUKA PPh PASAL 25</v>
          </cell>
        </row>
        <row r="412">
          <cell r="E412" t="str">
            <v>106.03.04     UANG MUKA PPN DN</v>
          </cell>
        </row>
        <row r="413">
          <cell r="E413" t="str">
            <v>106.03.05     UANG MUKA PPH PASAL 21</v>
          </cell>
        </row>
        <row r="414">
          <cell r="E414" t="str">
            <v>106.04.01     PPN MASUKAN CPO</v>
          </cell>
        </row>
        <row r="415">
          <cell r="E415" t="str">
            <v>106.04.02     PPN MASUKAN RBD OLEIN</v>
          </cell>
        </row>
        <row r="416">
          <cell r="E416" t="str">
            <v>106.04.03     PPN MASUKAN RBD STEARINE</v>
          </cell>
        </row>
        <row r="417">
          <cell r="E417" t="str">
            <v>106.04.04     PPN MASUKAN PFAD</v>
          </cell>
        </row>
        <row r="418">
          <cell r="E418" t="str">
            <v>106.04.05     PPN MASUKAN PEMB.MATERIAL</v>
          </cell>
        </row>
        <row r="419">
          <cell r="E419" t="str">
            <v>106.04.06     PPN MASUKAN YMD.DIKOMPENSASI</v>
          </cell>
        </row>
        <row r="420">
          <cell r="E420" t="str">
            <v>106.04.07     PPN MASUKAN JASA</v>
          </cell>
        </row>
        <row r="421">
          <cell r="E421" t="str">
            <v>106.04.08     PPN MASUKAN LIMBAH</v>
          </cell>
        </row>
        <row r="422">
          <cell r="E422" t="str">
            <v>106.05.01     PORSEKOT BIAYA ANDY</v>
          </cell>
        </row>
        <row r="423">
          <cell r="E423" t="str">
            <v>106.05.02     PORSEKOT BIAYA KOTOMO</v>
          </cell>
        </row>
        <row r="424">
          <cell r="E424" t="str">
            <v>106.05.03     PORSEKOT BIAYA KO JOLLY</v>
          </cell>
        </row>
        <row r="425">
          <cell r="E425" t="str">
            <v>106.05.04     PORSEKOT BIAYA KO AKI</v>
          </cell>
        </row>
        <row r="426">
          <cell r="E426" t="str">
            <v>106.05.05     PORSEKOT BIAYA JOHAN</v>
          </cell>
        </row>
        <row r="427">
          <cell r="E427" t="str">
            <v>106.05.06     PORSEKOT BIAYA PENDY</v>
          </cell>
        </row>
        <row r="428">
          <cell r="E428" t="str">
            <v>106.05.07     PORSEKOT BIAYA KANTOR JAKARTA</v>
          </cell>
        </row>
        <row r="429">
          <cell r="E429" t="str">
            <v>106.05.08     PORSEKOT BIAYA OPSLAH</v>
          </cell>
        </row>
        <row r="430">
          <cell r="E430" t="str">
            <v>106.05.09     PORSEKOT BIAYA LAIN-LAIN</v>
          </cell>
        </row>
        <row r="431">
          <cell r="E431" t="str">
            <v>106.05.10     PORSEKOT BIAYA WAWAN</v>
          </cell>
        </row>
        <row r="432">
          <cell r="E432" t="str">
            <v>106.05.11     PORSEKOT BIAYA ATOM</v>
          </cell>
        </row>
        <row r="433">
          <cell r="E433" t="str">
            <v>106.05.12     PORSEKOT BIAYA BONG DJAM SIN</v>
          </cell>
        </row>
        <row r="434">
          <cell r="E434" t="str">
            <v>106.05.13     PORSEKOT BIAYA TJEN FOEK</v>
          </cell>
        </row>
        <row r="435">
          <cell r="E435" t="str">
            <v>106.05.14     PORSEKOT BIAYA  ANDREAS</v>
          </cell>
        </row>
        <row r="436">
          <cell r="E436" t="str">
            <v>106.05.15     PORSEKOT BIAYA RIDHO</v>
          </cell>
        </row>
        <row r="437">
          <cell r="E437" t="str">
            <v>106.05.16     PORSEKOT BIAYA ADI</v>
          </cell>
        </row>
        <row r="438">
          <cell r="E438" t="str">
            <v>106.05.17     PORSEKOT BIAYA KANTOR SUCOFINDO</v>
          </cell>
        </row>
        <row r="439">
          <cell r="E439" t="str">
            <v>106.06.01     DIVIDEN DIBAYAR DIMUKA</v>
          </cell>
        </row>
        <row r="440">
          <cell r="E440" t="str">
            <v>107.01.01     PERSEDIAAN BARANG DAGANG-CPO</v>
          </cell>
        </row>
        <row r="441">
          <cell r="E441" t="str">
            <v>107.02.01     PERSEDIAAN BARANG DAGANG-RBD OLEIN</v>
          </cell>
        </row>
        <row r="442">
          <cell r="E442" t="str">
            <v>107.03.01     PERSEDIAAN BARANG DAGANG-RBD STEARINE</v>
          </cell>
        </row>
        <row r="443">
          <cell r="E443" t="str">
            <v>107.04.01     PERSEDIAAN BARANG DAGANG-PFAD</v>
          </cell>
        </row>
        <row r="444">
          <cell r="E444" t="str">
            <v>107.05.01     PERSEDIAAN BARANG DAGANG-CENGKEH</v>
          </cell>
        </row>
        <row r="445">
          <cell r="E445" t="str">
            <v>107.06.01     PERSEDIAAN BARANG DAGANG-MINYAK LIMBAH</v>
          </cell>
        </row>
        <row r="446">
          <cell r="E446" t="str">
            <v>107.07.01     PERSEDIAAN BARANG DAGANG-KERNEL</v>
          </cell>
        </row>
        <row r="447">
          <cell r="E447" t="str">
            <v>107.08.01     PERSEDIAAN BARANG DAGANG-CNO</v>
          </cell>
        </row>
        <row r="448">
          <cell r="E448" t="str">
            <v>108.01.01     KOPERASI SIMPAN PINJAM</v>
          </cell>
        </row>
        <row r="449">
          <cell r="E449" t="str">
            <v>201.01.01     TANAH</v>
          </cell>
        </row>
        <row r="450">
          <cell r="E450" t="str">
            <v>202.01.01     BANGUNAN KANTOR METRO</v>
          </cell>
        </row>
        <row r="451">
          <cell r="E451" t="str">
            <v>202.01.02     AK.PENY.BANGUNAN KANTOR METRO</v>
          </cell>
        </row>
        <row r="452">
          <cell r="E452" t="str">
            <v>202.01.03     BANGUNAN KANTOR PANJANG</v>
          </cell>
        </row>
        <row r="453">
          <cell r="E453" t="str">
            <v>202.01.04     AK. PENY.BANGUNAN KANTOR PANJANG</v>
          </cell>
        </row>
        <row r="454">
          <cell r="E454" t="str">
            <v>202.01.05     BANGUNAN KANTOR BANDARLAMPUNG</v>
          </cell>
        </row>
        <row r="455">
          <cell r="E455" t="str">
            <v>202.01.06     AK.PENY.BANGUNAN KANTOR BDL</v>
          </cell>
        </row>
        <row r="456">
          <cell r="E456" t="str">
            <v>202.02.01     BANGUNAN WORKSHOP</v>
          </cell>
        </row>
        <row r="457">
          <cell r="E457" t="str">
            <v>202.02.02     AK. PENY.BANGUNAN WORKSHOP</v>
          </cell>
        </row>
        <row r="458">
          <cell r="E458" t="str">
            <v>202.03.01     BANGUNAN POST SATPAM</v>
          </cell>
        </row>
        <row r="459">
          <cell r="E459" t="str">
            <v>202.03.02     AK. PENY. BANGUNAN POST SATPAM</v>
          </cell>
        </row>
        <row r="460">
          <cell r="E460" t="str">
            <v>202.03.04     BANGUNAN LAIN-LAIN (RUMAH)</v>
          </cell>
        </row>
        <row r="461">
          <cell r="E461" t="str">
            <v>202.04.01     BANGUNAN LAIN-LAIN (RUMAH)</v>
          </cell>
        </row>
        <row r="462">
          <cell r="E462" t="str">
            <v>202.04.02     AKUMULASI PENY.BANGUNAN LAIN-LAIN(RUMAH)</v>
          </cell>
        </row>
        <row r="463">
          <cell r="E463" t="str">
            <v>202.05.01     BANGUNAN RUKO (KANTOR JAKARTA)</v>
          </cell>
        </row>
        <row r="464">
          <cell r="E464" t="str">
            <v>202.05.02     AKUMULASI PENY.BANGUNAN RUKO</v>
          </cell>
        </row>
        <row r="465">
          <cell r="E465" t="str">
            <v>202.06.01     BANGUNAN BOILER</v>
          </cell>
        </row>
        <row r="466">
          <cell r="E466" t="str">
            <v>202.06.02     AKUMULASI PENY.BANGUNAN BOILER</v>
          </cell>
        </row>
        <row r="467">
          <cell r="E467" t="str">
            <v>203.01.01     MOBIL KANTOR</v>
          </cell>
        </row>
        <row r="468">
          <cell r="E468" t="str">
            <v>203.01.02     AK.PENYMOBIL KANTOR</v>
          </cell>
        </row>
        <row r="469">
          <cell r="E469" t="str">
            <v>203.01.03     KENDARAAN MOTOR</v>
          </cell>
        </row>
        <row r="470">
          <cell r="E470" t="str">
            <v>203.01.04     AK. PENY. KENDARAAN MOTOR</v>
          </cell>
        </row>
        <row r="471">
          <cell r="E471" t="str">
            <v>203.02.01     KENDARAAN TRUK TANKI</v>
          </cell>
        </row>
        <row r="472">
          <cell r="E472" t="str">
            <v>203.02.02     AK.PENY. KENDARAAN TRUK TANKI</v>
          </cell>
        </row>
        <row r="473">
          <cell r="E473" t="str">
            <v>204.01.01     MESIN GENSET</v>
          </cell>
        </row>
        <row r="474">
          <cell r="E474" t="str">
            <v>204.01.02     AK.PENY. MESIN GENSET</v>
          </cell>
        </row>
        <row r="475">
          <cell r="E475" t="str">
            <v>204.02.01     MESIN POMPA</v>
          </cell>
        </row>
        <row r="476">
          <cell r="E476" t="str">
            <v>204.02.02     AK. PENY.MESIN POMPA</v>
          </cell>
        </row>
        <row r="477">
          <cell r="E477" t="str">
            <v>204.03.01     MESIN MOLEN</v>
          </cell>
        </row>
        <row r="478">
          <cell r="E478" t="str">
            <v>204.03.02     AK.PENY MESIN MOLEN</v>
          </cell>
        </row>
        <row r="479">
          <cell r="E479" t="str">
            <v>204.04.01     MESIN BOILER/STEAMER</v>
          </cell>
        </row>
        <row r="480">
          <cell r="E480" t="str">
            <v>204.04.02     AK.PENY.MESIN BOILER</v>
          </cell>
        </row>
        <row r="481">
          <cell r="E481" t="str">
            <v>205.01.01     TANKI TIMBUN PANJANG I</v>
          </cell>
        </row>
        <row r="482">
          <cell r="E482" t="str">
            <v>205.01.02     AK.PENY.TANKI TIMBUN PJG I</v>
          </cell>
        </row>
        <row r="483">
          <cell r="E483" t="str">
            <v>205.02.01     TANKI TIMBUN PANJANG II</v>
          </cell>
        </row>
        <row r="484">
          <cell r="E484" t="str">
            <v>205.02.02     AK.PENY.TANKI TIMBUN PJG II</v>
          </cell>
        </row>
        <row r="485">
          <cell r="E485" t="str">
            <v>205.03.01     TANKI AIR &amp; MENARA</v>
          </cell>
        </row>
        <row r="486">
          <cell r="E486" t="str">
            <v>205.03.02     AK.PENY.TANKI AIR &amp; MENARA</v>
          </cell>
        </row>
        <row r="487">
          <cell r="E487" t="str">
            <v>205.04.01     TANKI TIMBUN TETES (PANJANG)</v>
          </cell>
        </row>
        <row r="488">
          <cell r="E488" t="str">
            <v>205.04.02     AK.PENY.TANKI TIMBUN TETES</v>
          </cell>
        </row>
        <row r="489">
          <cell r="E489" t="str">
            <v>205.05.01     TANKI TIMBUN PANJANG III</v>
          </cell>
        </row>
        <row r="490">
          <cell r="E490" t="str">
            <v>205.05.02     AK.PENY.TANKI TIMBUN PANJANG III</v>
          </cell>
        </row>
        <row r="491">
          <cell r="E491" t="str">
            <v>205.06.01     TANKI TIMBUN OLEIN PANJANG</v>
          </cell>
        </row>
        <row r="492">
          <cell r="E492" t="str">
            <v>205.06.02     AK.PENY.TANKI TIMBUN OLEIN PANJANG</v>
          </cell>
        </row>
        <row r="493">
          <cell r="E493" t="str">
            <v>206.01.01     PERALATAN &amp; PERABOTAN KANTOR</v>
          </cell>
        </row>
        <row r="494">
          <cell r="E494" t="str">
            <v>206.01.02     AK.PENY.PERALATAN KANTOR</v>
          </cell>
        </row>
        <row r="495">
          <cell r="E495" t="str">
            <v>206.02.01     PERALATAN WORKSHOP</v>
          </cell>
        </row>
        <row r="496">
          <cell r="E496" t="str">
            <v>206.02.02     AK.PENY.PERALATAN WORKSHOP</v>
          </cell>
        </row>
        <row r="497">
          <cell r="E497" t="str">
            <v>206.03.01     ALAT TIMBANGAN</v>
          </cell>
        </row>
        <row r="498">
          <cell r="E498" t="str">
            <v>206.03.02     AK.PENY.ALAT TIMBANGAN</v>
          </cell>
        </row>
        <row r="499">
          <cell r="E499" t="str">
            <v>206.04.01     METERAN MINYAK</v>
          </cell>
        </row>
        <row r="500">
          <cell r="E500" t="str">
            <v>206.04.02     AK.PENY.METERAN MINYAK</v>
          </cell>
        </row>
        <row r="501">
          <cell r="E501" t="str">
            <v>206.05.01     PERALATAN LABORATORIUM</v>
          </cell>
        </row>
        <row r="502">
          <cell r="E502" t="str">
            <v>206.05.02     AK.PENY.PERALATAN LABORATORIUM</v>
          </cell>
        </row>
        <row r="503">
          <cell r="E503" t="str">
            <v>207.01.01     SYSTEM KOMPUTERISASI</v>
          </cell>
        </row>
        <row r="504">
          <cell r="E504" t="str">
            <v>207.01.02     AK.DEP.SYSTEM KOMPUTERISASI</v>
          </cell>
        </row>
        <row r="505">
          <cell r="E505" t="str">
            <v>207.02.01     PROGRAM SIARAN TV</v>
          </cell>
        </row>
        <row r="506">
          <cell r="E506" t="str">
            <v>207.02.02     AK.DEP.PROGRAM SIARAN TV</v>
          </cell>
        </row>
        <row r="507">
          <cell r="E507" t="str">
            <v>301.01.01     PENYERTAAN SAHAM ONGFIRST Pte Ltd</v>
          </cell>
        </row>
        <row r="508">
          <cell r="E508" t="str">
            <v>301.01.02     PENYERTAAN SAHAM PLATON NIAGA BERJANGKA</v>
          </cell>
        </row>
        <row r="509">
          <cell r="E509" t="str">
            <v>301.01.03     PENYERTAAN MODAL PT MITRA SELARAS BANGUNINDO</v>
          </cell>
        </row>
        <row r="510">
          <cell r="E510" t="str">
            <v>301.02.01     AKTIVA LAIN-LAIN</v>
          </cell>
        </row>
        <row r="511">
          <cell r="E511" t="str">
            <v>401.01.01     HUTANG DAGANG-PT SUMBER INDAH PERKASA</v>
          </cell>
        </row>
        <row r="512">
          <cell r="E512" t="str">
            <v>401.01.02     HUTANG DAGANG-PT AGROMUKO</v>
          </cell>
        </row>
        <row r="513">
          <cell r="E513" t="str">
            <v>401.01.03     HUTANG DAGANG-PT AGRICINAL</v>
          </cell>
        </row>
        <row r="514">
          <cell r="E514" t="str">
            <v>401.01.04     HUTANG DAGANG-PT BUMI PERMAI LESTARI</v>
          </cell>
        </row>
        <row r="515">
          <cell r="E515" t="str">
            <v>401.01.05     HUTANG DAGANG-PT BIO NUSANTARA</v>
          </cell>
        </row>
        <row r="516">
          <cell r="E516" t="str">
            <v>401.01.06     HUTANG DAGANG-PT MITRA PUDING MAS</v>
          </cell>
        </row>
        <row r="517">
          <cell r="E517" t="str">
            <v>401.01.07     HUTANG DAGANG-PT EKAJAYA MULTI PERKASA</v>
          </cell>
        </row>
        <row r="518">
          <cell r="E518" t="str">
            <v>401.01.08     HUTANG DAGANG-PT DARIA DHARMA PRATAMA</v>
          </cell>
        </row>
        <row r="519">
          <cell r="E519" t="str">
            <v>401.01.09     HUTANG DAGANG-PT FORESTA LESTARI DWIKARYA</v>
          </cell>
        </row>
        <row r="520">
          <cell r="E520" t="str">
            <v>401.01.10     HUTANG DAGANG-PT SMART TBK</v>
          </cell>
        </row>
        <row r="521">
          <cell r="E521" t="str">
            <v>401.01.11     HUTANG DAGANG-CV KHARISMA BUANA RAYA</v>
          </cell>
        </row>
        <row r="522">
          <cell r="E522" t="str">
            <v>401.01.12     HUTANG DAGANG-PT DUTA SUMBER NABATI</v>
          </cell>
        </row>
        <row r="523">
          <cell r="E523" t="str">
            <v>401.01.13     HUTANG DAGANG-PT STELINDO WAHANA PERKASA</v>
          </cell>
        </row>
        <row r="524">
          <cell r="E524" t="str">
            <v>401.01.14     HUTANG DAGANG-PT MINANGA OGAN</v>
          </cell>
        </row>
        <row r="525">
          <cell r="E525" t="str">
            <v>401.01.15     HUTANG DAGANG-PT RAJAWALI NUSINDO</v>
          </cell>
        </row>
        <row r="526">
          <cell r="E526" t="str">
            <v>401.01.16     HUTANG DAGANG-CV BANGUN JAYA MANDIRI</v>
          </cell>
        </row>
        <row r="527">
          <cell r="E527" t="str">
            <v>401.01.17     HUTANG DAGANG-PT HARAPAN SAWIT LESTARI</v>
          </cell>
        </row>
        <row r="528">
          <cell r="E528" t="str">
            <v>401.01.18     HUTANG DAGANG-CV MEGA ALAM LESTARI</v>
          </cell>
        </row>
        <row r="529">
          <cell r="E529" t="str">
            <v>401.01.19     HUTANG DAGANG-PT AEK TARUM</v>
          </cell>
        </row>
        <row r="530">
          <cell r="E530" t="str">
            <v>401.01.20     HUTANG DAGANG-PT ALNO AGRO UTAMA</v>
          </cell>
        </row>
        <row r="531">
          <cell r="E531" t="str">
            <v>401.01.21     HUTANG DAGANG-PT SURYA MINYAK CEMERLANG</v>
          </cell>
        </row>
        <row r="532">
          <cell r="E532" t="str">
            <v>401.01.22     HUTANG DAGANG-CV LAMPUNG INTER PRATAMA</v>
          </cell>
        </row>
        <row r="533">
          <cell r="E533" t="str">
            <v>401.01.23     HUTANG DAGANG-PT SARANA JAYA SEJAHTERA</v>
          </cell>
        </row>
        <row r="534">
          <cell r="E534" t="str">
            <v>401.01.24     HUTANG DAGANG-PT LAMPUNG INTER PERTIWI</v>
          </cell>
        </row>
        <row r="535">
          <cell r="E535" t="str">
            <v>401.01.25     HUTANG DAGANG-PT KATINGAN INDAH UTAMA</v>
          </cell>
        </row>
        <row r="536">
          <cell r="E536" t="str">
            <v>401.01.26     HUTANG DAGANG-PT BUMI MAJU SAWIT</v>
          </cell>
        </row>
        <row r="537">
          <cell r="E537" t="str">
            <v>401.01.27     HUTANG DAGANG-PT ANTANG GANDA UTAMA</v>
          </cell>
        </row>
        <row r="538">
          <cell r="E538" t="str">
            <v>401.01.28     HUTANG DAGANG-PT SUMBER DIRI SEMBILAN</v>
          </cell>
        </row>
        <row r="539">
          <cell r="E539" t="str">
            <v>401.01.29     HUTANG DAGANG-PT KARYA MAKMUR BAHAGIA</v>
          </cell>
        </row>
        <row r="540">
          <cell r="E540" t="str">
            <v>401.01.30     HUTANG DAGANG-PT MITRA INTI SEJATI PLANTATION</v>
          </cell>
        </row>
        <row r="541">
          <cell r="E541" t="str">
            <v>401.01.31     HUTANG DAGANG-PT LONDON SUMATERA</v>
          </cell>
        </row>
        <row r="542">
          <cell r="E542" t="str">
            <v>401.01.32     HUTANG DAGANG-PT INDOSCO UTAMA</v>
          </cell>
        </row>
        <row r="543">
          <cell r="E543" t="str">
            <v>401.01.33     HUTANG DAGANG-PT MULTRADA MULTI  MAJU P.O.MILD</v>
          </cell>
        </row>
        <row r="544">
          <cell r="E544" t="str">
            <v>401.01.34     HUTANG DAGANG-PT UNI PRIMACOM</v>
          </cell>
        </row>
        <row r="545">
          <cell r="E545" t="str">
            <v>401.01.35     HUTANG DAGANG-CV KARYA MANDIRI</v>
          </cell>
        </row>
        <row r="546">
          <cell r="E546" t="str">
            <v>401.01.36     HUTANG DAGANG-PT SINAR ALAM PERMAI</v>
          </cell>
        </row>
        <row r="547">
          <cell r="E547" t="str">
            <v>401.01.37     HUTANG DAGANG-CV BUMI WARAS</v>
          </cell>
        </row>
        <row r="548">
          <cell r="E548" t="str">
            <v>401.01.38     HUTANG DAGANG-PT SINAR LAUT</v>
          </cell>
        </row>
        <row r="549">
          <cell r="E549" t="str">
            <v>401.01.39     HUTANG DAGANG-KO ENGHO</v>
          </cell>
        </row>
        <row r="550">
          <cell r="E550" t="str">
            <v>401.01.40     HUTANG DAGANG-PT PANCA NABATI PRAKASA</v>
          </cell>
        </row>
        <row r="551">
          <cell r="E551" t="str">
            <v>401.01.41     HUTANG DAGANG- KO ASIUNG</v>
          </cell>
        </row>
        <row r="552">
          <cell r="E552" t="str">
            <v>401.01.42     HUTANG DAGANG-PT SINAR JAYA INTI MULYA</v>
          </cell>
        </row>
        <row r="553">
          <cell r="E553" t="str">
            <v>401.01.43     HUTANG DAGANG-PD JUJUR</v>
          </cell>
        </row>
        <row r="554">
          <cell r="E554" t="str">
            <v>401.01.44     HUTANG DAGANG-PT SAWITRA OIL GRAIND</v>
          </cell>
        </row>
        <row r="555">
          <cell r="E555" t="str">
            <v>401.01.45     HUTANG DAGANG-PT KEDAUNG</v>
          </cell>
        </row>
        <row r="556">
          <cell r="E556" t="str">
            <v>401.01.46     HUTANG DAGANG-PT KARTIKA TIRTA HEMA</v>
          </cell>
        </row>
        <row r="557">
          <cell r="E557" t="str">
            <v>401.01.47     HUTANG DAGANG-TENGKU S SINAR</v>
          </cell>
        </row>
        <row r="558">
          <cell r="E558" t="str">
            <v>401.01.48     HUTANG DAGANG-PT. BUMI SAWINDO P</v>
          </cell>
        </row>
        <row r="559">
          <cell r="E559" t="str">
            <v>401.01.49     HUTANG DAGANG-PT. DARMEX OIL &amp; FAT</v>
          </cell>
        </row>
        <row r="560">
          <cell r="E560" t="str">
            <v>401.01.50     HUTANG DAGANG-PT. PRIMA NIAGA</v>
          </cell>
        </row>
        <row r="561">
          <cell r="E561" t="str">
            <v>401.01.51     HUTANG DAGANG-PT PALM MAS ASRI</v>
          </cell>
        </row>
        <row r="562">
          <cell r="E562" t="str">
            <v>401.01.52     HUTANG DAGANG-PT PRISCOLIN</v>
          </cell>
        </row>
        <row r="563">
          <cell r="E563" t="str">
            <v>401.01.53     HUTANG DAGANG-PTPN VIII/KERTAJAYA</v>
          </cell>
        </row>
        <row r="564">
          <cell r="E564" t="str">
            <v>401.01.54     HUTANG DAGANG-HARDY SUNARCIA</v>
          </cell>
        </row>
        <row r="565">
          <cell r="E565" t="str">
            <v>401.01.55     HUTANG DAGANG-PT NIAGA SATYA MANDALA</v>
          </cell>
        </row>
        <row r="566">
          <cell r="E566" t="str">
            <v>401.01.56     HUTANG DAGANG-PT. SUNGAI BUDI PERKASA</v>
          </cell>
        </row>
        <row r="567">
          <cell r="E567" t="str">
            <v>401.01.57     HUTANG DAGANG-PT. SANGUN RATU</v>
          </cell>
        </row>
        <row r="568">
          <cell r="E568" t="str">
            <v>401.01.58     HUTANG DAGANG-PT. SURYA BUMI AGRO LANGGENG</v>
          </cell>
        </row>
        <row r="569">
          <cell r="E569" t="str">
            <v>401.01.59     HUTANG DAGANG-PT. ASIANAGRO AGUNG JAYA</v>
          </cell>
        </row>
        <row r="570">
          <cell r="E570" t="str">
            <v>401.01.60     HUTANG DAGANG-PT. HASIL KESATUAN</v>
          </cell>
        </row>
        <row r="571">
          <cell r="E571" t="str">
            <v>401.01.61     HUTANG DAGANG- PT SABUT MAS ABADI</v>
          </cell>
        </row>
        <row r="572">
          <cell r="E572" t="str">
            <v>401.01.62     HUTANG DAGANG- PT ANTAR MUSTIKA SEGARA</v>
          </cell>
        </row>
        <row r="573">
          <cell r="E573" t="str">
            <v>401.01.63     HUTANG DAGANG- PT MUSIRAWAS CITRA HARPINDO</v>
          </cell>
        </row>
        <row r="574">
          <cell r="E574" t="str">
            <v>401.01.64     HUTANG DAGANG- PT AMAN JAYA PERDANA</v>
          </cell>
        </row>
        <row r="575">
          <cell r="E575" t="str">
            <v>401.01.65     HUTANG DAGANG- PT SUMBER MURNI INDAH JAYA</v>
          </cell>
        </row>
        <row r="576">
          <cell r="E576" t="str">
            <v>401.01.66     HUTANG DAGANG- PTPN VII PERSERO</v>
          </cell>
        </row>
        <row r="577">
          <cell r="E577" t="str">
            <v>401.01.67     HUTANG DAGANG- PT  BISMA DHARMA KENCANA</v>
          </cell>
        </row>
        <row r="578">
          <cell r="E578" t="str">
            <v>401.01.68     HUTANG DAGANG- PT PINAGO UTAMA</v>
          </cell>
        </row>
        <row r="579">
          <cell r="E579" t="str">
            <v>401.01.69     HUTANG DAGANG- PT VARITA MAJUTAMA</v>
          </cell>
        </row>
        <row r="580">
          <cell r="E580" t="str">
            <v>401.01.70     HUTANG DAGANG- PT BUMITAMA GUNAJAYA AGRO</v>
          </cell>
        </row>
        <row r="581">
          <cell r="E581" t="str">
            <v>401.01.71     HUTANG DAGANG- PT MUTIARA BUNDA JAYA</v>
          </cell>
        </row>
        <row r="582">
          <cell r="E582" t="str">
            <v>401.01.72     HUTANG DAGANG- PT SURYAHUTAMA SAWIT</v>
          </cell>
        </row>
        <row r="583">
          <cell r="E583" t="str">
            <v>401.01.73     HUTANG DAGANG- CV USAHA JAYA</v>
          </cell>
        </row>
        <row r="584">
          <cell r="E584" t="str">
            <v>401.01.74     HUTANG DAGANG- PT TRIMITRA PALM NIAGA</v>
          </cell>
        </row>
        <row r="585">
          <cell r="E585" t="str">
            <v>401.01.75     HUTANG DAGANG - CV PELITA</v>
          </cell>
        </row>
        <row r="586">
          <cell r="E586" t="str">
            <v>401.01.76     HUTANG DAGANG - PT PULAU HIJAU ASRI</v>
          </cell>
        </row>
        <row r="587">
          <cell r="E587" t="str">
            <v>401.01.77     HUTANG DAGANG-PT. PLATON NIAGA BERJANGKA</v>
          </cell>
        </row>
        <row r="588">
          <cell r="E588" t="str">
            <v>401.01.78     HUTANG DAGANG- PT MUKO MUKO INDAH LESTARI</v>
          </cell>
        </row>
        <row r="589">
          <cell r="E589" t="str">
            <v>401.01.79     HUTANG DAGANG-BPK FADLY</v>
          </cell>
        </row>
        <row r="590">
          <cell r="E590" t="str">
            <v>401.01.80     HUTANG DAGANG-CV MITRA SEJATI</v>
          </cell>
        </row>
        <row r="591">
          <cell r="E591" t="str">
            <v>401.01.81     HUTANG DAGANG-PT.CITA ALKAPULKO</v>
          </cell>
        </row>
        <row r="592">
          <cell r="E592" t="str">
            <v>401.01.82     HUTANG DAGANG IBU MERI</v>
          </cell>
        </row>
        <row r="593">
          <cell r="E593" t="str">
            <v>401.01.83     HUTANG DAGANG-JHONI LEONARDI</v>
          </cell>
        </row>
        <row r="594">
          <cell r="E594" t="str">
            <v>401.01.84     HUTANG DAGANG - HOI</v>
          </cell>
        </row>
        <row r="595">
          <cell r="E595" t="str">
            <v>401.01.85     HUTANG DAGANG - PT INDO KARYA</v>
          </cell>
        </row>
        <row r="596">
          <cell r="E596" t="str">
            <v>401.01.86     HUTANG DAGANG - PT KALIREJO LESTARI</v>
          </cell>
        </row>
        <row r="597">
          <cell r="E597" t="str">
            <v>401.01.87     HUTANG DAGANG - PT MUSIM MAS</v>
          </cell>
        </row>
        <row r="598">
          <cell r="E598" t="str">
            <v>401.02.01     HUTANG AFILIASI-PT. SINAR JAYA INTI MULYA</v>
          </cell>
        </row>
        <row r="599">
          <cell r="E599" t="str">
            <v>401.02.02     HUTANG AFILIASI-PT. SUMATERA NABATI OIL</v>
          </cell>
        </row>
        <row r="600">
          <cell r="E600" t="str">
            <v>401.02.04     HUTANG AFILIASI-PT. MUKO MUKO INDAH LESTARI</v>
          </cell>
        </row>
        <row r="601">
          <cell r="E601" t="str">
            <v>401.02.05     HUTANG AFILIASI-ROTI AGOGO</v>
          </cell>
        </row>
        <row r="602">
          <cell r="E602" t="str">
            <v>401.02.06     HUTANG AFILIASI- CV WAHYU TAMA AGRINDO</v>
          </cell>
        </row>
        <row r="603">
          <cell r="E603" t="str">
            <v>401.02.07     HUTANG AFILIASI- PT KALIREJO LESTARI</v>
          </cell>
        </row>
        <row r="604">
          <cell r="E604" t="str">
            <v>401.03.01     HUTANG UANG MUKA  FELDA MARKETING SERVICES Sbn Bhd</v>
          </cell>
        </row>
        <row r="605">
          <cell r="E605" t="str">
            <v>401.03.02     HUTANG UANG MUKA KUOK OIL &amp; GRAINDS</v>
          </cell>
        </row>
        <row r="606">
          <cell r="E606" t="str">
            <v>401.03.03     HUTANG UANG MUKA LAIN-LAIN</v>
          </cell>
        </row>
        <row r="607">
          <cell r="E607" t="str">
            <v>402.01.01     HUTANG GAJI</v>
          </cell>
        </row>
        <row r="608">
          <cell r="E608" t="str">
            <v>402.02.01     PPH PASAL 15 TERHUTANG</v>
          </cell>
        </row>
        <row r="609">
          <cell r="E609" t="str">
            <v>402.02.02     PPH PASAL 21 TERHUTANG</v>
          </cell>
        </row>
        <row r="610">
          <cell r="E610" t="str">
            <v>402.02.03     PPH PASAL 23 TERHUTANG</v>
          </cell>
        </row>
        <row r="611">
          <cell r="E611" t="str">
            <v>402.02.04     PPH PASAL 25 TERUTANG</v>
          </cell>
        </row>
        <row r="612">
          <cell r="E612" t="str">
            <v>402.02.05     PPH PASAL 26 TERUTANG</v>
          </cell>
        </row>
        <row r="613">
          <cell r="E613" t="str">
            <v>402.02.06     PPH PASAL 29 TERUTANG</v>
          </cell>
        </row>
        <row r="614">
          <cell r="E614" t="str">
            <v>402.02.07     PPH PASAL 4 AYAT 2 TERHUTANG</v>
          </cell>
        </row>
        <row r="615">
          <cell r="E615" t="str">
            <v>402.03.01     PPN KELUARAN CPO</v>
          </cell>
        </row>
        <row r="616">
          <cell r="E616" t="str">
            <v>402.03.02     PPN KELUARAN RBD OLEIN</v>
          </cell>
        </row>
        <row r="617">
          <cell r="E617" t="str">
            <v>402.03.03     PPN KELUARAN RBD STEARINE</v>
          </cell>
        </row>
        <row r="618">
          <cell r="E618" t="str">
            <v>402.03.04     PPN KELUARAN PFAD</v>
          </cell>
        </row>
        <row r="619">
          <cell r="E619" t="str">
            <v>402.03.05     PPN KELUARAN JASA ANGKUTAN</v>
          </cell>
        </row>
        <row r="620">
          <cell r="E620" t="str">
            <v>402.03.06     PPN DN TERHUTANG</v>
          </cell>
        </row>
        <row r="621">
          <cell r="E621" t="str">
            <v>402.03.07     PPN KELUARAN MINYAK LIMBAH</v>
          </cell>
        </row>
        <row r="622">
          <cell r="E622" t="str">
            <v>402.03.08     PPN KELUARAN LAIN-LAIN</v>
          </cell>
        </row>
        <row r="623">
          <cell r="E623" t="str">
            <v>402.04.01     HUTANG ONGKOS ANGKUT ANDY</v>
          </cell>
        </row>
        <row r="624">
          <cell r="E624" t="str">
            <v>402.04.02     HUTANG ONGKOS ANGKUT KO TOMO</v>
          </cell>
        </row>
        <row r="625">
          <cell r="E625" t="str">
            <v>402.04.03     HUTANG ONGKOS ANGKUT TRIMITRA</v>
          </cell>
        </row>
        <row r="626">
          <cell r="E626" t="str">
            <v>402.04.04     HUTANG ONGKOS ANGKUT KOP. ANGK.BENGKULU</v>
          </cell>
        </row>
        <row r="627">
          <cell r="E627" t="str">
            <v>402.04.05     HUTANG ONGKOS ANGKUT TJEN FOEK</v>
          </cell>
        </row>
        <row r="628">
          <cell r="E628" t="str">
            <v>402.04.06     HUTANG ONGKOS ANGKUT DJAMSIN</v>
          </cell>
        </row>
        <row r="629">
          <cell r="E629" t="str">
            <v>402.04.07     HUTANG ONGKOS ANGKUT EXP.PHILIP</v>
          </cell>
        </row>
        <row r="630">
          <cell r="E630" t="str">
            <v>402.04.08     HUTANG ONGKOS ANGKUT SUBUR ANGKUTAN</v>
          </cell>
        </row>
        <row r="631">
          <cell r="E631" t="str">
            <v>402.04.09     HUTANG ONGKOS ANGKUT EXP.ARIES JAYA</v>
          </cell>
        </row>
        <row r="632">
          <cell r="E632" t="str">
            <v>402.04.10     HUTANG ONGKOS ANGKUT PT SURYA MENTAYA</v>
          </cell>
        </row>
        <row r="633">
          <cell r="E633" t="str">
            <v>402.04.11     HUTANG ONGKOS ANGKUT AJUNG</v>
          </cell>
        </row>
        <row r="634">
          <cell r="E634" t="str">
            <v>402.04.12     HUTANG ONGKOS ANGKUT CV. BERKAH</v>
          </cell>
        </row>
        <row r="635">
          <cell r="E635" t="str">
            <v>402.04.13     HUTANG ONGKOS ANGKUT KO AMOY</v>
          </cell>
        </row>
        <row r="636">
          <cell r="E636" t="str">
            <v>402.04.14     HUTANG ONGKOS ANGKUT - DJUNTA MARHENDRO</v>
          </cell>
        </row>
        <row r="637">
          <cell r="E637" t="str">
            <v>402.04.15     HUTANG ONGKOS ANGKUT- PT SUMUR PANDAN WANGI</v>
          </cell>
        </row>
        <row r="638">
          <cell r="E638" t="str">
            <v>402.04.16     HUTANG ONGKOS ANGKUT- CV MITRA SEJATI</v>
          </cell>
        </row>
        <row r="639">
          <cell r="E639" t="str">
            <v>402.04.17     HUTANG ONGKOS ANGKUT PUTRA WIJAYA</v>
          </cell>
        </row>
        <row r="640">
          <cell r="E640" t="str">
            <v>402.04.18     HUTANG ONGKOS ANGKUT- CV AAF</v>
          </cell>
        </row>
        <row r="641">
          <cell r="E641" t="str">
            <v>402.04.19     HUTANG ONGKOS ANGKUT- PT MEGATAMA SUKSES LESTARI</v>
          </cell>
        </row>
        <row r="642">
          <cell r="E642" t="str">
            <v>402.04.20     HUTANG ONGKOS ANGKUT-RUDY HARYANTO</v>
          </cell>
        </row>
        <row r="643">
          <cell r="E643" t="str">
            <v>402.04.21     HUTANG ONGKOS ANGKUT EKSPD.AYUN</v>
          </cell>
        </row>
        <row r="644">
          <cell r="E644" t="str">
            <v>402.04.22     HUTANG ONGKOS ANGKUT EXP.ABUN (CV.ABADI WIJAYA)</v>
          </cell>
        </row>
        <row r="645">
          <cell r="E645" t="str">
            <v>402.04.23     HUTANG ONGKOS ANGKUT TONI (RAJAWALI)</v>
          </cell>
        </row>
        <row r="646">
          <cell r="E646" t="str">
            <v>402.04.24     HUTANG ONGKOS ANGKUT CV USAHA JAYA</v>
          </cell>
        </row>
        <row r="647">
          <cell r="E647" t="str">
            <v>402.05.01     HUTANG BIAYA PBM AGRAT JAYA BINA KENCANA</v>
          </cell>
        </row>
        <row r="648">
          <cell r="E648" t="str">
            <v>402.05.02     HUTANG BIAYA PBM GUNAWAN</v>
          </cell>
        </row>
        <row r="649">
          <cell r="E649" t="str">
            <v>402.05.03     HUTANG BIAYA PBM PT HARUM SARI</v>
          </cell>
        </row>
        <row r="650">
          <cell r="E650" t="str">
            <v>402.05.04     HUTANG BIAYA PBM PT RIZKA SURYA PERMATA</v>
          </cell>
        </row>
        <row r="651">
          <cell r="E651" t="str">
            <v>402.05.05     HUTANG BIAYA PBM PT LINTAS NUSANTARA</v>
          </cell>
        </row>
        <row r="652">
          <cell r="E652" t="str">
            <v>402.05.06     HUTANG BIAYA PBM PT PELINDO</v>
          </cell>
        </row>
        <row r="653">
          <cell r="E653" t="str">
            <v>402.05.07     HUTANG BIAYA PBM PT VARUNA TIRTA PRAKARSYA</v>
          </cell>
        </row>
        <row r="654">
          <cell r="E654" t="str">
            <v>402.05.08     HUTANG BIAYA PBM PT GUNA SEMPURNA</v>
          </cell>
        </row>
        <row r="655">
          <cell r="E655" t="str">
            <v>402.05.09     HUTANG BIAYA PBM PT SARANA DERMAGA MUSI</v>
          </cell>
        </row>
        <row r="656">
          <cell r="E656" t="str">
            <v>402.05.10     HUTANG BIAYA PBM PT BINTANG FAUHAN</v>
          </cell>
        </row>
        <row r="657">
          <cell r="E657" t="str">
            <v>402.05.11     HUTANG BIAYA PBM PT INTI SENTOSA ALAM BAHTERA</v>
          </cell>
        </row>
        <row r="658">
          <cell r="E658" t="str">
            <v>402.05.12     HUTANG BIAYA PBM PT.BARUNA KARYA INVESTAMA</v>
          </cell>
        </row>
        <row r="659">
          <cell r="E659" t="str">
            <v>402.05.13     HUTANG BIAYA PBM PT NUSA INDAH SAMUDERA</v>
          </cell>
        </row>
        <row r="660">
          <cell r="E660" t="str">
            <v>402.06.01     HUTANG BIAYA PENGAPALAN PT TARUNA CIPTA KENCANA</v>
          </cell>
        </row>
        <row r="661">
          <cell r="E661" t="str">
            <v>402.06.02     HUTANG BIAYA PENGAPALAN PT USDA SEROJA JAYA</v>
          </cell>
        </row>
        <row r="662">
          <cell r="E662" t="str">
            <v>402.06.03     HUTANG BIAYA PENGAPALAN PT ARMADA SEGARA PERKASA</v>
          </cell>
        </row>
        <row r="663">
          <cell r="E663" t="str">
            <v>402.06.04     HUTANG BIAYA PENGAPALAN PT LINTAS ARMADA</v>
          </cell>
        </row>
        <row r="664">
          <cell r="E664" t="str">
            <v>402.06.05     HUTANG BIAYA PENGAPALAN PT KARYA MAKMUR ARMADA</v>
          </cell>
        </row>
        <row r="665">
          <cell r="E665" t="str">
            <v>402.06.06     HUTANG BIAYA PENGAPALAN PT PEL.TSP SHIP</v>
          </cell>
        </row>
        <row r="666">
          <cell r="E666" t="str">
            <v>402.06.07     HUTANG BIAYA PENGAPALAN PT SANGGAR TIRTA MAKMUR</v>
          </cell>
        </row>
        <row r="667">
          <cell r="E667" t="str">
            <v>402.06.08     HUTANG BIAYA PENGAPALAN PT SAMUDERA MAS JAYA</v>
          </cell>
        </row>
        <row r="668">
          <cell r="E668" t="str">
            <v>402.06.09     HUTANG BIAYA PENGAPALAN PT MARGO INDONESIA SERVICESTAMA</v>
          </cell>
        </row>
        <row r="669">
          <cell r="E669" t="str">
            <v>402.06.10     HUTANG BIAYA PENGAPALAN PT MERCUSUAR KASIH  LESTARI</v>
          </cell>
        </row>
        <row r="670">
          <cell r="E670" t="str">
            <v>402.06.11     HUTANG BIAYA PENGAPALAN PT CAKRAWALA NUSA MANDIRI</v>
          </cell>
        </row>
        <row r="671">
          <cell r="E671" t="str">
            <v>402.06.12     HUTANG BIAYA PENGAPALAN PT PEL WIJAYA BAHARI NUSANTARA</v>
          </cell>
        </row>
        <row r="672">
          <cell r="E672" t="str">
            <v>402.06.13     HUTANG BIAYA PENGAPALAN PT SUMBER MAHTERA KENCANA</v>
          </cell>
        </row>
        <row r="673">
          <cell r="E673" t="str">
            <v>402.06.14     HUTANG BIAYA PENGAPALAN PT PEL.MASITTAH LATIEF</v>
          </cell>
        </row>
        <row r="674">
          <cell r="E674" t="str">
            <v>402.06.15     HUTANG BIAYA PENGAPALAN PT ARINDI BINA BERSAMA</v>
          </cell>
        </row>
        <row r="675">
          <cell r="E675" t="str">
            <v>402.06.16     HUTANG BIAYA PENGAPALAN PT PUSPA SAMUDERA PERMATA</v>
          </cell>
        </row>
        <row r="676">
          <cell r="E676" t="str">
            <v>402.06.17     HUTANG BIAYA PENGAPALAN PT BUMI PERKASA BAHTERA Ltd</v>
          </cell>
        </row>
        <row r="677">
          <cell r="E677" t="str">
            <v>402.06.18     HUTANG BIAYA PENGAPALAN PT KAPUAS ARMADA NUSANTARA</v>
          </cell>
        </row>
        <row r="678">
          <cell r="E678" t="str">
            <v>402.06.19     HUTANG BIAYA PENGAPALAN PT TAHTA BAHTERA</v>
          </cell>
        </row>
        <row r="679">
          <cell r="E679" t="str">
            <v>402.06.20     HUTANG BIAYA PENGAPALAN PT CITRA ARMADA NUSANTARA</v>
          </cell>
        </row>
        <row r="680">
          <cell r="E680" t="str">
            <v>402.06.21     HUTANG BIAYA PENGAPALAN PT TANJUNG MAS BAHARI PERKASA</v>
          </cell>
        </row>
        <row r="681">
          <cell r="E681" t="str">
            <v>402.06.22     HUTANG BIAYA PENGAPALAN PT CAHAYA ANUGERAH SARANA</v>
          </cell>
        </row>
        <row r="682">
          <cell r="E682" t="str">
            <v>402.06.23     HUTANG BIAYA PENGAPALAN PD CAHAYA KAPUAS</v>
          </cell>
        </row>
        <row r="683">
          <cell r="E683" t="str">
            <v>402.06.24     HUTANG BIAYA PENGAPALAN CV WASANTARA WIRAKO</v>
          </cell>
        </row>
        <row r="684">
          <cell r="E684" t="str">
            <v>402.06.25     HUTANG BIAYA PENGAPALAN  PT. INDOMAS BAHARI MAKMUR</v>
          </cell>
        </row>
        <row r="685">
          <cell r="E685" t="str">
            <v>402.06.26     HUTANG BIAYA PENGAPALAN PT KARYATAMA SRIWIJAYA</v>
          </cell>
        </row>
        <row r="686">
          <cell r="E686" t="str">
            <v>402.06.27     HUTANG BIAYA PENGAPALAN PT SAHABAT KAPUAS</v>
          </cell>
        </row>
        <row r="687">
          <cell r="E687" t="str">
            <v>402.06.28     HUTANG BIAYA PENGAPALAN PT KATIMURI MARINE</v>
          </cell>
        </row>
        <row r="688">
          <cell r="E688" t="str">
            <v>402.06.29     HUTANG BIAYA PENGAPALAN PT.MIKI SHIPPING</v>
          </cell>
        </row>
        <row r="689">
          <cell r="E689" t="str">
            <v>402.06.30     HUTANG BIAYA PENGAPALAN PT PEL.SURI ADIDAYA KAPUAS</v>
          </cell>
        </row>
        <row r="690">
          <cell r="E690" t="str">
            <v>402.06.31     HUTANG BIAYA PENGAPALAN PT TERATAI RAYA</v>
          </cell>
        </row>
        <row r="691">
          <cell r="E691" t="str">
            <v>402.07.01     HUTANG SPAREPART PT. TRIMITRA</v>
          </cell>
        </row>
        <row r="692">
          <cell r="E692" t="str">
            <v>402.07.02     HUTANG SPAREPART KO TOMO</v>
          </cell>
        </row>
        <row r="693">
          <cell r="E693" t="str">
            <v>402.07.03     HUTANG SPAREPART PD GADING JAYA</v>
          </cell>
        </row>
        <row r="694">
          <cell r="E694" t="str">
            <v>402.07.04     HUTANG SPAREPART PD AA PULLY</v>
          </cell>
        </row>
        <row r="695">
          <cell r="E695" t="str">
            <v>402.07.05     HUTANG SPAREPART CATUR NUGROHO</v>
          </cell>
        </row>
        <row r="696">
          <cell r="E696" t="str">
            <v>402.07.06     HUTANG SPAREPART SUMBER BAUT</v>
          </cell>
        </row>
        <row r="697">
          <cell r="E697" t="str">
            <v>402.07.07     HUTANG SPAREPART BIMA JAYA MANDIRI</v>
          </cell>
        </row>
        <row r="698">
          <cell r="E698" t="str">
            <v>402.07.08     HUTANG SPAREPART PT GALFINDO S.S.A</v>
          </cell>
        </row>
        <row r="699">
          <cell r="E699" t="str">
            <v>402.07.09     HUTANG SPAREPART PT BADJA ABADI</v>
          </cell>
        </row>
        <row r="700">
          <cell r="E700" t="str">
            <v>402.07.10     HUTANG SPAREPART WIJAYA MOTOR</v>
          </cell>
        </row>
        <row r="701">
          <cell r="E701" t="str">
            <v>402.07.11     HUTANG SPAREPART GUDANG MASYARAKAT</v>
          </cell>
        </row>
        <row r="702">
          <cell r="E702" t="str">
            <v>402.07.12     HUTANG SPAREPART TUNAS SURYA BUMINDO</v>
          </cell>
        </row>
        <row r="703">
          <cell r="E703" t="str">
            <v>402.07.13     HUTANG SPAREPART PT SNS</v>
          </cell>
        </row>
        <row r="704">
          <cell r="E704" t="str">
            <v>402.07.14     HUTANG SPAREPART PT.SUPRATAMA ANEKA INDUSTRI</v>
          </cell>
        </row>
        <row r="705">
          <cell r="E705" t="str">
            <v>402.07.15     HUTANG SPAREPART CV BHINEKA</v>
          </cell>
        </row>
        <row r="706">
          <cell r="E706" t="str">
            <v>402.07.16     HUTANG SPAREPART PT SURYA LESTARI HUTAMA ABADI</v>
          </cell>
        </row>
        <row r="707">
          <cell r="E707" t="str">
            <v>402.07.17     HUTANG SPAREPART ........</v>
          </cell>
        </row>
        <row r="708">
          <cell r="E708" t="str">
            <v>402.07.18     HUTANG SPARE PART ......</v>
          </cell>
        </row>
        <row r="709">
          <cell r="E709" t="str">
            <v>402.08.01     HUTANG KARTU KREDIT BCA</v>
          </cell>
        </row>
        <row r="710">
          <cell r="E710" t="str">
            <v>402.08.02     HUTANG KARTU KREDIT BII</v>
          </cell>
        </row>
        <row r="711">
          <cell r="E711" t="str">
            <v>402.08.03     HUTANG KARTU KREDIT BDI</v>
          </cell>
        </row>
        <row r="712">
          <cell r="E712" t="str">
            <v>402.08.04     HUTANG KARTU KREDIT AMERICAN EXPRESS (AMEX)</v>
          </cell>
        </row>
        <row r="713">
          <cell r="E713" t="str">
            <v>402.08.05     HUTANG KARTU KREDIT ANZ PANIN BANK</v>
          </cell>
        </row>
        <row r="714">
          <cell r="E714" t="str">
            <v>403.01.01     HUTANG LAIN-KO GUN</v>
          </cell>
        </row>
        <row r="715">
          <cell r="E715" t="str">
            <v>403.01.02     HUTANG LAIN-SURIAFI</v>
          </cell>
        </row>
        <row r="716">
          <cell r="E716" t="str">
            <v>403.01.03     HUTANG LAIN-AYUN</v>
          </cell>
        </row>
        <row r="717">
          <cell r="E717" t="str">
            <v>403.01.04     HUTANG LAIN-KO CISAN/PT. CPP</v>
          </cell>
        </row>
        <row r="718">
          <cell r="E718" t="str">
            <v>403.01.05     HUTANG LAIN-ADIRA INSURANCE</v>
          </cell>
        </row>
        <row r="719">
          <cell r="E719" t="str">
            <v>403.01.06     HUTANG LAIN-</v>
          </cell>
        </row>
        <row r="720">
          <cell r="E720" t="str">
            <v>403.01.07     HUTANG LAIN-THE SE CHIAN</v>
          </cell>
        </row>
        <row r="721">
          <cell r="E721" t="str">
            <v>403.01.08     HUTANG LAIN-ANDHI</v>
          </cell>
        </row>
        <row r="722">
          <cell r="E722" t="str">
            <v>403.01.09     HUTANG LAIN-SUTOMO</v>
          </cell>
        </row>
        <row r="723">
          <cell r="E723" t="str">
            <v>403.01.10     HUTANG BUNGA ANGSURAN BCA</v>
          </cell>
        </row>
        <row r="724">
          <cell r="E724" t="str">
            <v>403.01.11     HUTANG LAIN-ROTI AGOGO</v>
          </cell>
        </row>
        <row r="725">
          <cell r="E725" t="str">
            <v>403.01.12     HUTANG LAIN-</v>
          </cell>
        </row>
        <row r="726">
          <cell r="E726" t="str">
            <v>403.01.13     HUTANG LAIN-JAYA MAKMUR</v>
          </cell>
        </row>
        <row r="727">
          <cell r="E727" t="str">
            <v>403.01.14     HUTANG LAIN-PT.GRIYA EMAS SEJATI</v>
          </cell>
        </row>
        <row r="728">
          <cell r="E728" t="str">
            <v>403.01.15     HUTANG LAIN-PT. SUCOFINDO</v>
          </cell>
        </row>
        <row r="729">
          <cell r="E729" t="str">
            <v>403.01.16     HUTANG LAIN-</v>
          </cell>
        </row>
        <row r="730">
          <cell r="E730" t="str">
            <v>403.01.17     HUTANG LAIN-</v>
          </cell>
        </row>
        <row r="731">
          <cell r="E731" t="str">
            <v>403.01.18     HUTANG LAIN-PT. PERSADA LAMPUNG RAYA</v>
          </cell>
        </row>
        <row r="732">
          <cell r="E732" t="str">
            <v>403.01.19     HUTANG LAIN-JASINDO</v>
          </cell>
        </row>
        <row r="733">
          <cell r="E733" t="str">
            <v>403.01.20     HUTANG LAIN-LIANA</v>
          </cell>
        </row>
        <row r="734">
          <cell r="E734" t="str">
            <v>403.01.21     HUTANG LAIN- HASIL KESATUAN</v>
          </cell>
        </row>
        <row r="735">
          <cell r="E735" t="str">
            <v>403.01.22     HUTANG LAIN- KEDAUNG</v>
          </cell>
        </row>
        <row r="736">
          <cell r="E736" t="str">
            <v>403.01.23     HUTANG LAIN- PD ISTANA BAN</v>
          </cell>
        </row>
        <row r="737">
          <cell r="E737" t="str">
            <v>403.01.24     HUTANG LAIN- RUDI / LIEWATI</v>
          </cell>
        </row>
        <row r="738">
          <cell r="E738" t="str">
            <v>403.01.25     HUTANG LAIN- PT PATISINDO SAWIT</v>
          </cell>
        </row>
        <row r="739">
          <cell r="E739" t="str">
            <v>403.01.26     HUTANG LAIN-</v>
          </cell>
        </row>
        <row r="740">
          <cell r="E740" t="str">
            <v>403.01.27     HUTANG LAIN- DJAMSIN</v>
          </cell>
        </row>
        <row r="741">
          <cell r="E741" t="str">
            <v>403.01.28     HUTANG LAIN-ELECTRIK PUTRA MANDIRI</v>
          </cell>
        </row>
        <row r="742">
          <cell r="E742" t="str">
            <v>403.01.29     HUTANG LAIN PT.JASA PRIMA</v>
          </cell>
        </row>
        <row r="743">
          <cell r="E743" t="str">
            <v>403.01.30     HUTANG LAIN - PT ADHI KARYA (Persero)</v>
          </cell>
        </row>
        <row r="744">
          <cell r="E744" t="str">
            <v>403.01.77     HUTANG LAIN-............</v>
          </cell>
        </row>
        <row r="745">
          <cell r="E745" t="str">
            <v>404.01.01     HUTANG ANGSURAN MOBIL</v>
          </cell>
        </row>
        <row r="746">
          <cell r="E746" t="str">
            <v>404.01.02     HUTANG ANGSURAN KIJANG VIA BII</v>
          </cell>
        </row>
        <row r="747">
          <cell r="E747" t="str">
            <v>405.01.01     HUTANG SEMENTARA</v>
          </cell>
        </row>
        <row r="748">
          <cell r="E748" t="str">
            <v>501.01.01     HUTANG BANK BCA</v>
          </cell>
        </row>
        <row r="749">
          <cell r="E749" t="str">
            <v>501.01.02     HUTANG BANK BDI</v>
          </cell>
        </row>
        <row r="750">
          <cell r="E750" t="str">
            <v>502.01.01     HUTANG ANGSURAN JK PANJANG</v>
          </cell>
        </row>
        <row r="751">
          <cell r="E751" t="str">
            <v>502.01.02     HUTANG JK.PJG-ANGSURAN KPR BCA</v>
          </cell>
        </row>
        <row r="752">
          <cell r="E752" t="str">
            <v>601.01.01     MODAL SAHAM SUTOMO</v>
          </cell>
        </row>
        <row r="753">
          <cell r="E753" t="str">
            <v>601.01.02     MODAL SAHAM Drs.ANDI FAUZANI</v>
          </cell>
        </row>
        <row r="754">
          <cell r="E754" t="str">
            <v>602.01.01     LABA DITAHAN</v>
          </cell>
        </row>
        <row r="755">
          <cell r="E755" t="str">
            <v>602.01.02     RUGI/LABA TAHUN BERJALAN</v>
          </cell>
        </row>
        <row r="756">
          <cell r="E756" t="str">
            <v>701.01.01     PPH BADAN PASAL 29</v>
          </cell>
        </row>
        <row r="757">
          <cell r="E757" t="str">
            <v>801.01.01     PENJUALAN CPO</v>
          </cell>
        </row>
        <row r="758">
          <cell r="E758" t="str">
            <v>801.01.02     POT.PENJUALAN CPO</v>
          </cell>
        </row>
        <row r="759">
          <cell r="E759" t="str">
            <v>801.01.03     RETUR PENJUALAN CPO</v>
          </cell>
        </row>
        <row r="760">
          <cell r="E760" t="str">
            <v>801.02.01     PENJUALAN CPO **</v>
          </cell>
        </row>
        <row r="761">
          <cell r="E761" t="str">
            <v>801.02.02     POT.PENJUALAN CPO **</v>
          </cell>
        </row>
        <row r="762">
          <cell r="E762" t="str">
            <v>801.02.03     RETUR PENJUALAN CPO**</v>
          </cell>
        </row>
        <row r="763">
          <cell r="E763" t="str">
            <v>802.01.01     PENJUALAN RBD OLEIN</v>
          </cell>
        </row>
        <row r="764">
          <cell r="E764" t="str">
            <v>802.01.02     POT.PENJUALAN RBD OLEIN</v>
          </cell>
        </row>
        <row r="765">
          <cell r="E765" t="str">
            <v>802.01.03     RETUR PENJUALAN RBD OLEIN</v>
          </cell>
        </row>
        <row r="766">
          <cell r="E766" t="str">
            <v>802.02.01     PENJUALAN RBD OLEIN **</v>
          </cell>
        </row>
        <row r="767">
          <cell r="E767" t="str">
            <v>802.02.02     POT.PENJUALAN RBD OLEIN **</v>
          </cell>
        </row>
        <row r="768">
          <cell r="E768" t="str">
            <v>802.02.03     RETUR PENJUALAN RBD OLEIN **</v>
          </cell>
        </row>
        <row r="769">
          <cell r="E769" t="str">
            <v>803.01.01     PENJUALAN RBD STEARINE</v>
          </cell>
        </row>
        <row r="770">
          <cell r="E770" t="str">
            <v>803.01.02     POT.PENJUALAN RBD STEARINE</v>
          </cell>
        </row>
        <row r="771">
          <cell r="E771" t="str">
            <v>803.02.01     PENJUALAN RBD STEARINE **</v>
          </cell>
        </row>
        <row r="772">
          <cell r="E772" t="str">
            <v>803.02.02     POT.PENJUALAN RBD STEARINE **</v>
          </cell>
        </row>
        <row r="773">
          <cell r="E773" t="str">
            <v>804.01.01     PENJUALAN PFAD</v>
          </cell>
        </row>
        <row r="774">
          <cell r="E774" t="str">
            <v>804.01.02     POT.PENJUALAN PFAD</v>
          </cell>
        </row>
        <row r="775">
          <cell r="E775" t="str">
            <v>804.01.03     RETUR PENJUALAN PFAD</v>
          </cell>
        </row>
        <row r="776">
          <cell r="E776" t="str">
            <v>804.02.01     PENJUALAN PFAD **</v>
          </cell>
        </row>
        <row r="777">
          <cell r="E777" t="str">
            <v>804.02.02     POT.PENJUALAN PFAD **</v>
          </cell>
        </row>
        <row r="778">
          <cell r="E778" t="str">
            <v>804.02.03     RETUR PENJUALAN PFAD **</v>
          </cell>
        </row>
        <row r="779">
          <cell r="E779" t="str">
            <v>805.01.01     PENJUALAN MINYAK LIMBAH</v>
          </cell>
        </row>
        <row r="780">
          <cell r="E780" t="str">
            <v>805.01.02     POT.PENJUALAN MINYAK LIMBAH</v>
          </cell>
        </row>
        <row r="781">
          <cell r="E781" t="str">
            <v>805.01.03     RETUR PENJUALAN MINYAK LIMBAH</v>
          </cell>
        </row>
        <row r="782">
          <cell r="E782" t="str">
            <v>806.01.01     PENJUALAN CENGKEH</v>
          </cell>
        </row>
        <row r="783">
          <cell r="E783" t="str">
            <v>806.01.02     POT.PENJUALAN CENGKEH</v>
          </cell>
        </row>
        <row r="784">
          <cell r="E784" t="str">
            <v>807.01.01     PENJUALAN KERNEL</v>
          </cell>
        </row>
        <row r="785">
          <cell r="E785" t="str">
            <v>808.01.01     PENJUALAN CNO</v>
          </cell>
        </row>
        <row r="786">
          <cell r="E786" t="str">
            <v>808.01.02     POT. PENJUALAN CNO</v>
          </cell>
        </row>
        <row r="787">
          <cell r="E787" t="str">
            <v>811.01.01     PERSEDIAAN AWAL CPO</v>
          </cell>
        </row>
        <row r="788">
          <cell r="E788" t="str">
            <v>811.02.01     PERSEDIAAN AWAL RBD OLEIN</v>
          </cell>
        </row>
        <row r="789">
          <cell r="E789" t="str">
            <v>811.03.01     PERSEDIAAN AWAL RBD STEARINE</v>
          </cell>
        </row>
        <row r="790">
          <cell r="E790" t="str">
            <v>811.04.01     PERSEDIAAN AWAL PFAD</v>
          </cell>
        </row>
        <row r="791">
          <cell r="E791" t="str">
            <v>811.05.01     PERSEDIAAN AWAL CENGKEH</v>
          </cell>
        </row>
        <row r="792">
          <cell r="E792" t="str">
            <v>811.06.01     PERSEDIAAN AWAL MINYAK LIMBAH</v>
          </cell>
        </row>
        <row r="793">
          <cell r="E793" t="str">
            <v>811.07.01     PERSEDIAAN AWAL KERNEL</v>
          </cell>
        </row>
        <row r="794">
          <cell r="E794" t="str">
            <v>811.08.01     PERSEDIAAN AWAL CNO</v>
          </cell>
        </row>
        <row r="795">
          <cell r="E795" t="str">
            <v>812.01.01     PERSEDIAAN AKHIR CPO</v>
          </cell>
        </row>
        <row r="796">
          <cell r="E796" t="str">
            <v>812.02.01     PERSEDIAAN AKHIR RBD OLEIN</v>
          </cell>
        </row>
        <row r="797">
          <cell r="E797" t="str">
            <v>812.03.01     PERSEDIAAN AKHIR RBD STEARINE</v>
          </cell>
        </row>
        <row r="798">
          <cell r="E798" t="str">
            <v>812.04.01     PERSEDIAAN AKHIR PFAD</v>
          </cell>
        </row>
        <row r="799">
          <cell r="E799" t="str">
            <v>812.05.01     PERSEDIAAN AKHIR CENGKEH</v>
          </cell>
        </row>
        <row r="800">
          <cell r="E800" t="str">
            <v>812.06.01     PERSEDIAAN AKHIR MINYAK LIMBAH</v>
          </cell>
        </row>
        <row r="801">
          <cell r="E801" t="str">
            <v>812.07.01     PERSEDIAAN AKHIR KERNEL</v>
          </cell>
        </row>
        <row r="802">
          <cell r="E802" t="str">
            <v>812.08.01     PERSEDIAAN AKHIR CNO</v>
          </cell>
        </row>
        <row r="803">
          <cell r="E803" t="str">
            <v>821.01.01     PEMBELIAN CPO</v>
          </cell>
        </row>
        <row r="804">
          <cell r="E804" t="str">
            <v>821.01.02     POT.PEMBELIAN CPO</v>
          </cell>
        </row>
        <row r="805">
          <cell r="E805" t="str">
            <v>821.01.03     RETUR PEMBELIAN CPO</v>
          </cell>
        </row>
        <row r="806">
          <cell r="E806" t="str">
            <v>821.01.04     ONGKOS ANGKUT PEMBELIAN CPO</v>
          </cell>
        </row>
        <row r="807">
          <cell r="E807" t="str">
            <v>821.01.05     BIAYA FEE PEMBELIAN CPO</v>
          </cell>
        </row>
        <row r="808">
          <cell r="E808" t="str">
            <v>821.01.06     BY PBM &amp; FREIGHT PEMBELIAN CPO</v>
          </cell>
        </row>
        <row r="809">
          <cell r="E809" t="str">
            <v>821.02.01     PEMBELIAN CPO **</v>
          </cell>
        </row>
        <row r="810">
          <cell r="E810" t="str">
            <v>821.02.02     POT.PEMBELIAN CPO **</v>
          </cell>
        </row>
        <row r="811">
          <cell r="E811" t="str">
            <v>821.02.03     RETUR PEMBELIAN CPO **</v>
          </cell>
        </row>
        <row r="812">
          <cell r="E812" t="str">
            <v>821.02.04     ONGKOS ANGKUT PEMBELIAN CPO **</v>
          </cell>
        </row>
        <row r="813">
          <cell r="E813" t="str">
            <v>821.02.05     BIAYA FEE PEMBELIAN CPO **</v>
          </cell>
        </row>
        <row r="814">
          <cell r="E814" t="str">
            <v>821.02.06     BY PBM &amp; FREIGHT PEMBELIAN CPO **</v>
          </cell>
        </row>
        <row r="815">
          <cell r="E815" t="str">
            <v>822.01.01     PEMBELIAN RBD OLEIN</v>
          </cell>
        </row>
        <row r="816">
          <cell r="E816" t="str">
            <v>822.01.02     POT.PEMBELIAN RBD OLEIN</v>
          </cell>
        </row>
        <row r="817">
          <cell r="E817" t="str">
            <v>822.01.03     RETUR PEMBELIAN RBD OLEIN</v>
          </cell>
        </row>
        <row r="818">
          <cell r="E818" t="str">
            <v>822.01.04     ONGKOS ANGKUT PEMB.RBD OLEIN</v>
          </cell>
        </row>
        <row r="819">
          <cell r="E819" t="str">
            <v>822.01.05     BIAYA FEE PEMBELIAN RBD OLEIN</v>
          </cell>
        </row>
        <row r="820">
          <cell r="E820" t="str">
            <v>822.02.01     PEMBELIAN RBD OLEIN **</v>
          </cell>
        </row>
        <row r="821">
          <cell r="E821" t="str">
            <v>822.02.02     POT.PEMBELIAN RBD OLEIN **</v>
          </cell>
        </row>
        <row r="822">
          <cell r="E822" t="str">
            <v>822.02.03     RETUR PEMBELIAN RBD OLEIN **</v>
          </cell>
        </row>
        <row r="823">
          <cell r="E823" t="str">
            <v>822.02.04     ONGKOS ANGKUT PEMB.RBD OLEIN **</v>
          </cell>
        </row>
        <row r="824">
          <cell r="E824" t="str">
            <v>822.02.05     BIAYA FEE PEMBELIAN RBD OLEIN **</v>
          </cell>
        </row>
        <row r="825">
          <cell r="E825" t="str">
            <v>823.01.01     PEMBELIAN RBD STEARINE</v>
          </cell>
        </row>
        <row r="826">
          <cell r="E826" t="str">
            <v>823.01.02     POT.PEMBELIAN RBD STEARINE</v>
          </cell>
        </row>
        <row r="827">
          <cell r="E827" t="str">
            <v>823.02.01     PEMBELIAN RBD STEARINE **</v>
          </cell>
        </row>
        <row r="828">
          <cell r="E828" t="str">
            <v>823.02.02     POT.PEMBELIAN RBD STEARINE **</v>
          </cell>
        </row>
        <row r="829">
          <cell r="E829" t="str">
            <v>824.01.01     PEMBELIAN PFAD</v>
          </cell>
        </row>
        <row r="830">
          <cell r="E830" t="str">
            <v>824.01.02     POT.PEMBELIAN PFAD</v>
          </cell>
        </row>
        <row r="831">
          <cell r="E831" t="str">
            <v>824.02.01     PEMBELIAN PFAD **</v>
          </cell>
        </row>
        <row r="832">
          <cell r="E832" t="str">
            <v>824.02.02     POT.PEMBELIAN PFAD **</v>
          </cell>
        </row>
        <row r="833">
          <cell r="E833" t="str">
            <v>825.01.01     PEMBELIAN CENGKEH</v>
          </cell>
        </row>
        <row r="834">
          <cell r="E834" t="str">
            <v>825.01.02     POT.PEMBELIAN CENGKEH</v>
          </cell>
        </row>
        <row r="835">
          <cell r="E835" t="str">
            <v>826.01.01     PEMBELIAN MINYAK LIMBAH</v>
          </cell>
        </row>
        <row r="836">
          <cell r="E836" t="str">
            <v>826.01.02     POT.PEMBELIAN MINYAK LIMBAH</v>
          </cell>
        </row>
        <row r="837">
          <cell r="E837" t="str">
            <v>826.01.03     RETUR PEMBELIAN MINYAK LIMBAH</v>
          </cell>
        </row>
        <row r="838">
          <cell r="E838" t="str">
            <v>826.01.04     FEE PEMBELIAN LIMBAH</v>
          </cell>
        </row>
        <row r="839">
          <cell r="E839" t="str">
            <v>827.01.01     PEMBELIAN TBS</v>
          </cell>
        </row>
        <row r="840">
          <cell r="E840" t="str">
            <v>827.01.02     BIAYA TITIP OLAH TBS</v>
          </cell>
        </row>
        <row r="841">
          <cell r="E841" t="str">
            <v>827.01.03     BIAYA FEE TITIP OLAH TBS</v>
          </cell>
        </row>
        <row r="842">
          <cell r="E842" t="str">
            <v>828.01.01     PEMBELIAN KERNEL</v>
          </cell>
        </row>
        <row r="843">
          <cell r="E843" t="str">
            <v>829.01.01     PEMBELIAN CNO</v>
          </cell>
        </row>
        <row r="844">
          <cell r="E844" t="str">
            <v>829.01.02     POT. &amp; RET. PEMBELIAN CNO</v>
          </cell>
        </row>
        <row r="845">
          <cell r="E845" t="str">
            <v>829.01.03     ONGKOS ANGKUT PEMB.CNO</v>
          </cell>
        </row>
        <row r="846">
          <cell r="E846" t="str">
            <v>829.01.04     FEE PEMBELIAN CNO</v>
          </cell>
        </row>
        <row r="847">
          <cell r="E847" t="str">
            <v>901.01.01     BIAYA GAJI</v>
          </cell>
        </row>
        <row r="848">
          <cell r="E848" t="str">
            <v>901.01.02     BIAYA LEMBUR</v>
          </cell>
        </row>
        <row r="849">
          <cell r="E849" t="str">
            <v>901.01.03     BIAYA  UANG MAKAN</v>
          </cell>
        </row>
        <row r="850">
          <cell r="E850" t="str">
            <v>901.01.04     BIAYA OPSLAH, POK, STEAM</v>
          </cell>
        </row>
        <row r="851">
          <cell r="E851" t="str">
            <v>901.01.05     BIAYA KEAMANAN</v>
          </cell>
        </row>
        <row r="852">
          <cell r="E852" t="str">
            <v>901.01.06     BIAYA ASURANSI PENGAPALAN</v>
          </cell>
        </row>
        <row r="853">
          <cell r="E853" t="str">
            <v>901.01.07     BIAYA LAB. &amp; QUALITY CONTROL</v>
          </cell>
        </row>
        <row r="854">
          <cell r="E854" t="str">
            <v>901.01.12     BIAYA UPAH NAIK DRUM &amp; O.A PENJ.OLEIN</v>
          </cell>
        </row>
        <row r="855">
          <cell r="E855" t="str">
            <v>901.01.14     BIAYA MAINTENANCE</v>
          </cell>
        </row>
        <row r="856">
          <cell r="E856" t="str">
            <v>901.01.15     BIAYA TRANSPORTASI</v>
          </cell>
        </row>
        <row r="857">
          <cell r="E857" t="str">
            <v>901.01.16     BIAYA SOLAR</v>
          </cell>
        </row>
        <row r="858">
          <cell r="E858" t="str">
            <v>901.01.18     BIAYA INSENTIF</v>
          </cell>
        </row>
        <row r="859">
          <cell r="E859" t="str">
            <v>901.01.20     BIAYA KOMISI PENJUALAN</v>
          </cell>
        </row>
        <row r="860">
          <cell r="E860" t="str">
            <v>901.01.21     BIAYA TITIP OLAH</v>
          </cell>
        </row>
        <row r="861">
          <cell r="E861" t="str">
            <v>901.01.22     BIAYA OPERASIONAL LAIN</v>
          </cell>
        </row>
        <row r="862">
          <cell r="E862" t="str">
            <v>901.01.23     BIAYA PROMOSI</v>
          </cell>
        </row>
        <row r="863">
          <cell r="E863" t="str">
            <v>901.01.26     BIAYA ADMINISTRASI PENJUALAN</v>
          </cell>
        </row>
        <row r="864">
          <cell r="E864" t="str">
            <v>901.01.27     BIAYA PAJAK EKSPOR</v>
          </cell>
        </row>
        <row r="865">
          <cell r="E865" t="str">
            <v>901.01.28     BIAYA ONGKOS ANGKUT</v>
          </cell>
        </row>
        <row r="866">
          <cell r="E866" t="str">
            <v>901.01.29     BIAYA BONGKAR MUAT</v>
          </cell>
        </row>
        <row r="867">
          <cell r="E867" t="str">
            <v>901.01.30     BIAYA PENGAPALAN</v>
          </cell>
        </row>
        <row r="868">
          <cell r="E868" t="str">
            <v>901.02.01     BIAYA PERJALANAN DINAS</v>
          </cell>
        </row>
        <row r="869">
          <cell r="E869" t="str">
            <v>901.03.01     BIAYA PEMELIHARAAN &amp; PERBAIKAN BANGUNAN</v>
          </cell>
        </row>
        <row r="870">
          <cell r="E870" t="str">
            <v>901.03.02     BIAYA PEMELIHARAAN &amp; PERBAIKAN KENDARAAN</v>
          </cell>
        </row>
        <row r="871">
          <cell r="E871" t="str">
            <v>901.03.03     BIAYA PEMELIHARAAN &amp; PERBAIKAN MESIN</v>
          </cell>
        </row>
        <row r="872">
          <cell r="E872" t="str">
            <v>901.03.04     BIAYA PEMELIHARAAN &amp; PERBAIKAN  PERALATAN</v>
          </cell>
        </row>
        <row r="873">
          <cell r="E873" t="str">
            <v>901.03.05     BIAYA REPARASI &amp; PEMELIHARAAN SARANA PRASARANA</v>
          </cell>
        </row>
        <row r="874">
          <cell r="E874" t="str">
            <v>901.04.01     BIAYA UANG JALAN SOPIR EXP.METRO</v>
          </cell>
        </row>
        <row r="875">
          <cell r="E875" t="str">
            <v>901.04.02     BIAYA REPARASI &amp; PEMELIHARAAN KENDARAAN EXP.METRO</v>
          </cell>
        </row>
        <row r="876">
          <cell r="E876" t="str">
            <v>901.04.03     BIAYA LAIN LAIN EXP.METRO</v>
          </cell>
        </row>
        <row r="877">
          <cell r="E877" t="str">
            <v>901.05.01     BIAYA GAJI SOPIR BANGKA</v>
          </cell>
        </row>
        <row r="878">
          <cell r="E878" t="str">
            <v>901.05.02     BIAYA GAJI SOPIR EXP.TRIMITRA</v>
          </cell>
        </row>
        <row r="879">
          <cell r="E879" t="str">
            <v>901.05.03     BIAYA UANG JALAN SOPIR EXP.BANGKA</v>
          </cell>
        </row>
        <row r="880">
          <cell r="E880" t="str">
            <v>901.05.04     BIAYA UANG JALAN SOPIR EXP.TRIMITRA</v>
          </cell>
        </row>
        <row r="881">
          <cell r="E881" t="str">
            <v>901.05.05     BIAYA REPARASI &amp; PEMELIHARAAN KENDARAAN EXP.BANGKA</v>
          </cell>
        </row>
        <row r="882">
          <cell r="E882" t="str">
            <v>901.05.06     BIAYA REPARASI &amp; PEMELIHARAAN KENDARAAN EXP.TRIMITRA</v>
          </cell>
        </row>
        <row r="883">
          <cell r="E883" t="str">
            <v>901.05.07     BIAYA PAJAK PLAT HITAM ANGKUTAN BANGKA</v>
          </cell>
        </row>
        <row r="884">
          <cell r="E884" t="str">
            <v>901.05.08     BIAYA LAIN - LAIN EXPEDISI BANGKA</v>
          </cell>
        </row>
        <row r="885">
          <cell r="E885" t="str">
            <v>901.05.09     BIAYA LAIN-LAIN EXP. TRIMITRA</v>
          </cell>
        </row>
        <row r="886">
          <cell r="E886" t="str">
            <v>902.01.01     BIAYA GAJI</v>
          </cell>
        </row>
        <row r="887">
          <cell r="E887" t="str">
            <v>902.01.02     BIAYA LISTRIK &amp; AIR</v>
          </cell>
        </row>
        <row r="888">
          <cell r="E888" t="str">
            <v>902.01.03     BIAYA TELEPON &amp; FAX</v>
          </cell>
        </row>
        <row r="889">
          <cell r="E889" t="str">
            <v>902.01.05     BIAYA ASURANSI</v>
          </cell>
        </row>
        <row r="890">
          <cell r="E890" t="str">
            <v>902.01.07     BIAYA ENTERTAINMENT</v>
          </cell>
        </row>
        <row r="891">
          <cell r="E891" t="str">
            <v>902.01.08     BIAYA KONSUMSI</v>
          </cell>
        </row>
        <row r="892">
          <cell r="E892" t="str">
            <v>902.01.09     BIAYA PENGOBATAN</v>
          </cell>
        </row>
        <row r="893">
          <cell r="E893" t="str">
            <v>902.01.11     BIAYA POS &amp; MATERAI</v>
          </cell>
        </row>
        <row r="894">
          <cell r="E894" t="str">
            <v>902.01.12     BIAYA PERLENGKAPAN KANTOR</v>
          </cell>
        </row>
        <row r="895">
          <cell r="E895" t="str">
            <v>902.01.13     BIAYA TRANSFER</v>
          </cell>
        </row>
        <row r="896">
          <cell r="E896" t="str">
            <v>902.01.16     BIAYA THR</v>
          </cell>
        </row>
        <row r="897">
          <cell r="E897" t="str">
            <v>902.01.17     BIAYA PAJAK &amp; PBB</v>
          </cell>
        </row>
        <row r="898">
          <cell r="E898" t="str">
            <v>902.01.18     BIAYA PAJAK KENDARAAN</v>
          </cell>
        </row>
        <row r="899">
          <cell r="E899" t="str">
            <v>902.01.19     PAJAK PPH PASAL 23 FINAL</v>
          </cell>
        </row>
        <row r="900">
          <cell r="E900" t="str">
            <v>902.01.20     BIAYA PENGHAPUSAN PIUTANG &amp; PPN M YTD DIKREDITKAN</v>
          </cell>
        </row>
        <row r="901">
          <cell r="E901" t="str">
            <v>902.01.21     BIAYA SDM,DIKLAT,PELATIHAN</v>
          </cell>
        </row>
        <row r="902">
          <cell r="E902" t="str">
            <v>902.01.22     BIAYA PENGACARA</v>
          </cell>
        </row>
        <row r="903">
          <cell r="E903" t="str">
            <v>902.01.23     BIAYA PAJAK PPh PASAL 21</v>
          </cell>
        </row>
        <row r="904">
          <cell r="E904" t="str">
            <v>902.01.24     BIAYA ADMINISTRASI UMUM LAIN-LAIN</v>
          </cell>
        </row>
        <row r="905">
          <cell r="E905" t="str">
            <v>902.01.25     BIAYA ADM.KARTU KREDIT</v>
          </cell>
        </row>
        <row r="906">
          <cell r="E906" t="str">
            <v>902.01.26     BIAYA INVENTARIS</v>
          </cell>
        </row>
        <row r="907">
          <cell r="E907" t="str">
            <v>902.01.27     BIAYA PENGURUSAN IJIN</v>
          </cell>
        </row>
        <row r="908">
          <cell r="E908" t="str">
            <v>902.01.29     BIAYA SEWA BANGUNAN &amp; PRASARANA</v>
          </cell>
        </row>
        <row r="909">
          <cell r="E909" t="str">
            <v>902.01.31     BIAYA SEWA PERALATAN &amp; PERABOTAN</v>
          </cell>
        </row>
        <row r="910">
          <cell r="E910" t="str">
            <v>902.01.32     BIAYA SERAGAM</v>
          </cell>
        </row>
        <row r="911">
          <cell r="E911" t="str">
            <v>902.02.01     BIAYA PEMELIHARAAN &amp; PERBAIKAN BANGUNAN KANTOR</v>
          </cell>
        </row>
        <row r="912">
          <cell r="E912" t="str">
            <v>902.02.02     BIAYA PEMELIHARAAN &amp; PERBAIKAN PERALATAN KANTOR</v>
          </cell>
        </row>
        <row r="913">
          <cell r="E913" t="str">
            <v>902.03.01     BIAYA PENYUSUTAN BANGUNAN</v>
          </cell>
        </row>
        <row r="914">
          <cell r="E914" t="str">
            <v>902.03.02     BIAYA PENYUSUTAN KENDARAAN</v>
          </cell>
        </row>
        <row r="915">
          <cell r="E915" t="str">
            <v>902.03.03     BIAYA PENYUSUTAN PERALATAN</v>
          </cell>
        </row>
        <row r="916">
          <cell r="E916" t="str">
            <v>902.03.04     BIAYA DEPRESIASI AKTUVA TAK BERWUJUD</v>
          </cell>
        </row>
        <row r="917">
          <cell r="E917" t="str">
            <v>902.04.01     BIAYA GAJI KARYAWAN BANGKA</v>
          </cell>
        </row>
        <row r="918">
          <cell r="E918" t="str">
            <v>902.04.02     BIAYA LISTRIK &amp; TELP KTR.BANGKA</v>
          </cell>
        </row>
        <row r="919">
          <cell r="E919" t="str">
            <v>902.04.03     BIAYA POS, METERAI &amp; ATK BANGKA</v>
          </cell>
        </row>
        <row r="920">
          <cell r="E920" t="str">
            <v>902.04.04     BIAYA ADM.UMUM LAIN-LAIN KTR BANGKA</v>
          </cell>
        </row>
        <row r="921">
          <cell r="E921" t="str">
            <v>911.01.01     PENDAPATAN JASA GIRO/PROVISI BANK</v>
          </cell>
        </row>
        <row r="922">
          <cell r="E922" t="str">
            <v>911.01.05     PENDAPATAN SEWA TANKI</v>
          </cell>
        </row>
        <row r="923">
          <cell r="E923" t="str">
            <v>911.01.09     LABA SELISIH KURS</v>
          </cell>
        </row>
        <row r="924">
          <cell r="E924" t="str">
            <v>911.01.10     PENDAPATAN SELISIH PEMBAYARAN</v>
          </cell>
        </row>
        <row r="925">
          <cell r="E925" t="str">
            <v>911.01.11     PENDAPATAN LAIN-LAIN</v>
          </cell>
        </row>
        <row r="926">
          <cell r="E926" t="str">
            <v>911.01.12     PENDAPATAN ONGKOS ANGKUT PENJUALAN</v>
          </cell>
        </row>
        <row r="927">
          <cell r="E927" t="str">
            <v>911.02.01     PENDAPATAN ONGKOS  MOBIL EXP.METRO</v>
          </cell>
        </row>
        <row r="928">
          <cell r="E928" t="str">
            <v>911.02.02     PENDAPATAN ONGKOS MOBIL EXP.BANGKA</v>
          </cell>
        </row>
        <row r="929">
          <cell r="E929" t="str">
            <v>911.02.03     PENDAPATAN ONGKOS MOBIL EXP. TRIMITRA</v>
          </cell>
        </row>
        <row r="930">
          <cell r="E930" t="str">
            <v>911.02.04     PENDAPATAN ONGKOS MOBIL SAWINDO</v>
          </cell>
        </row>
        <row r="931">
          <cell r="E931" t="str">
            <v/>
          </cell>
        </row>
        <row r="932">
          <cell r="E932" t="str">
            <v>921.01.01     BIAYA SUMBANGAN</v>
          </cell>
        </row>
        <row r="933">
          <cell r="E933" t="str">
            <v>921.01.02     BIAYA  ADM.BANK</v>
          </cell>
        </row>
        <row r="934">
          <cell r="E934" t="str">
            <v>921.01.03     BIAYA BUNGA BANK</v>
          </cell>
        </row>
        <row r="935">
          <cell r="E935" t="str">
            <v>921.01.04     BIAYA BUNGA PINJAMAN NON BANK</v>
          </cell>
        </row>
        <row r="936">
          <cell r="E936" t="str">
            <v>921.01.06     RUGI SELISIH KURS</v>
          </cell>
        </row>
        <row r="937">
          <cell r="E937" t="str">
            <v>921.01.08     BIAYA KERUGIAN SELISIH PEMBAYARAN</v>
          </cell>
        </row>
        <row r="938">
          <cell r="E938" t="str">
            <v>921.01.12     BIAYA LAIN-LAIN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KKP _2006 _INTERN _Final"/>
      <sheetName val="CLK_ANUGERAH_06_Final"/>
      <sheetName val="NERACA_ANUGERAH _06_Final"/>
      <sheetName val="LABA RUGI_ANUGERAH_06_Final"/>
      <sheetName val="Statement Of Capital_06 FINAL"/>
      <sheetName val="JK ANUGERAH_2006_Final"/>
      <sheetName val="Arus Kas_ANUGERAH_06_Final"/>
      <sheetName val="DAT_ANUGERAH_2006_Final"/>
      <sheetName val="Persed. Obat_Final"/>
      <sheetName val="PENDAPATAN PERAWATAN_06_final"/>
      <sheetName val="KKP _ANUGERAH_2006 _INTERN"/>
      <sheetName val="PENDPTN PRWTN_PER RUANGAN_06"/>
      <sheetName val="DAFTAR PENDAPATAN_ANUGERAH 06"/>
      <sheetName val="Lam"/>
      <sheetName val="COVER"/>
      <sheetName val="Daftar Hutang (2)"/>
      <sheetName val="Pasien via Bank_ANUGERAH_06"/>
      <sheetName val="Tanah_ANUGERAH_06"/>
      <sheetName val="Daftar_AT_Lain-Lain_Final"/>
      <sheetName val="Rawat_Inap_Final"/>
      <sheetName val="Rawat_Jalan_Final"/>
      <sheetName val="Jurnal Koreksi_04_Final"/>
      <sheetName val="CF_Oprasi"/>
      <sheetName val="CF_Pra_Oprasi"/>
      <sheetName val="CF_Pra_Oprasi_Asli"/>
      <sheetName val="cf"/>
      <sheetName val="LR_Fiskal"/>
      <sheetName val="LR_Komersial"/>
      <sheetName val="Daftar_Aktiva_Total"/>
      <sheetName val="Cash_Flow"/>
      <sheetName val="Rawat_Inap_Asli"/>
      <sheetName val="CF_Oprasi_Asli"/>
      <sheetName val="Perhit_Persd akhir"/>
      <sheetName val="Consolidated BS"/>
      <sheetName val="Consolidated PL"/>
      <sheetName val="Equity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lamp.2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AJE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WBS-1"/>
      <sheetName val="WBS-2"/>
      <sheetName val="WPL"/>
      <sheetName val="PAJE&amp;CAJE"/>
      <sheetName val="Cash Flow"/>
      <sheetName val="Taxes"/>
      <sheetName val="Taxes-111"/>
      <sheetName val="Taxes (2)"/>
      <sheetName val="Cash"/>
      <sheetName val="AR-Trade"/>
      <sheetName val="AR-Employees"/>
      <sheetName val="AR-Other"/>
      <sheetName val="Claim for tax refund"/>
      <sheetName val="Prepaid-Exp"/>
      <sheetName val="Prepaid-Tax"/>
      <sheetName val="Defered Tax Assets"/>
      <sheetName val="Investment"/>
      <sheetName val="FA"/>
      <sheetName val="Refundable-Dep"/>
      <sheetName val="MI for Disp"/>
      <sheetName val="AP Yimm"/>
      <sheetName val="Other payable"/>
      <sheetName val="LeasePayable"/>
      <sheetName val="TaxesPayable"/>
      <sheetName val="Est.Liab.Empl.Ben"/>
      <sheetName val="Accrued Exp"/>
      <sheetName val="CS"/>
      <sheetName val="Misc Dep Rec"/>
      <sheetName val="Sales"/>
      <sheetName val="OpEx"/>
      <sheetName val="OtherIncome"/>
      <sheetName val="Other Expense"/>
      <sheetName val="OtherIncome (Expense)-report"/>
      <sheetName val="Notes"/>
      <sheetName val="Perhit, PPh 21 bulnan 07"/>
      <sheetName val="TB-WP"/>
      <sheetName val="FS"/>
      <sheetName val="Checker"/>
      <sheetName val="0000"/>
      <sheetName val="0000000"/>
      <sheetName val="00000000"/>
      <sheetName val="000000000"/>
      <sheetName val="Cross Check data Aktuari-PNP"/>
      <sheetName val="P-1.1"/>
      <sheetName val="LK 2002"/>
      <sheetName val="Movement of Hutang Leasing"/>
      <sheetName val="PAJE-CAJE-PRJE"/>
      <sheetName val="BS-PL Komersil and Fiskal"/>
      <sheetName val="Deferred Tax Calculation"/>
      <sheetName val="List of Disposal"/>
      <sheetName val="Predictive Depreciation Exp."/>
      <sheetName val="K-Mutation PNP"/>
      <sheetName val="FA Fiscal 2003"/>
      <sheetName val="AR Subsequent Collection"/>
      <sheetName val="AP Subsequent Payment"/>
      <sheetName val="C"/>
      <sheetName val="CC"/>
      <sheetName val="D"/>
      <sheetName val="DD"/>
      <sheetName val="E"/>
      <sheetName val="E-3"/>
      <sheetName val="G"/>
      <sheetName val="G-1"/>
      <sheetName val="G-2"/>
      <sheetName val="G-3"/>
      <sheetName val="I"/>
      <sheetName val="L"/>
      <sheetName val="J.1"/>
      <sheetName val="K"/>
      <sheetName val="M"/>
      <sheetName val="N"/>
      <sheetName val="N-1"/>
      <sheetName val="Pred. by APBMI N -1-1"/>
      <sheetName val="O"/>
      <sheetName val="P-1"/>
      <sheetName val="P-2"/>
      <sheetName val="Q"/>
      <sheetName val="R"/>
      <sheetName val="Perhit. def tax R-1"/>
      <sheetName val="T"/>
      <sheetName val="TT"/>
      <sheetName val="U-1"/>
      <sheetName val="U-2"/>
      <sheetName val="U-3"/>
      <sheetName val="U-4"/>
      <sheetName val="U-5"/>
      <sheetName val="Materiality and TE"/>
      <sheetName val="Fiskal"/>
      <sheetName val="CF Calculation"/>
      <sheetName val="Reclassification"/>
      <sheetName val="Hut-Piut Afiliasi"/>
      <sheetName val="NAV000"/>
      <sheetName val="pldt"/>
      <sheetName val="P-1.1 Update"/>
      <sheetName val="Uang Muka Operasi"/>
      <sheetName val="Vouching Add. FA"/>
      <sheetName val="Koreksi Uang Muka "/>
      <sheetName val="Analytical Review-MTCont"/>
      <sheetName val="Uang Muka Sewa Lahan"/>
      <sheetName val="Review Notes to DD"/>
      <sheetName val="Point to be discussed w Client"/>
      <sheetName val="FA Fiscal MTCont 2003"/>
      <sheetName val="Deferred Tax Calculation MTCont"/>
      <sheetName val="Materiality &amp; TE"/>
      <sheetName val="PRJE'03"/>
      <sheetName val="PAJE'03"/>
      <sheetName val="CAJE'03"/>
      <sheetName val="To do List for Team"/>
      <sheetName val="Pending Items"/>
      <sheetName val="Basis Reclass Uang Muka"/>
      <sheetName val="Worksheet-03"/>
      <sheetName val="Analy Rvw"/>
      <sheetName val="PAJE-02"/>
      <sheetName val="PRJE-02"/>
      <sheetName val="CAJE-02"/>
      <sheetName val="E-1"/>
      <sheetName val="Sorted by USD E-1.1"/>
      <sheetName val="Sorted by IDR E-1.2"/>
      <sheetName val="AR-Aging IDR E-2 p.1"/>
      <sheetName val="AR-Aging USD E-2 p.2 "/>
      <sheetName val="Subsequent IDR E-3 p.1"/>
      <sheetName val="Subsequent USD E-3 p.2"/>
      <sheetName val="E-4"/>
      <sheetName val="E-4.1"/>
      <sheetName val="EE"/>
      <sheetName val="F-1"/>
      <sheetName val="Stock take result F-1.1"/>
      <sheetName val="H"/>
      <sheetName val="II"/>
      <sheetName val="J"/>
      <sheetName val="Predictive Test Sewa Lahan"/>
      <sheetName val="Predictive sewa lahan J 5-1"/>
      <sheetName val="JJ"/>
      <sheetName val="pred. insurance"/>
      <sheetName val="Predictive of insurance"/>
      <sheetName val="Data polis"/>
      <sheetName val="Insurred Aktiva"/>
      <sheetName val="Harga perolehan"/>
      <sheetName val="Predict depre"/>
      <sheetName val="K coba"/>
      <sheetName val="trial K-3"/>
      <sheetName val="K-1"/>
      <sheetName val="NN-3"/>
      <sheetName val="N-4"/>
      <sheetName val="P-3"/>
      <sheetName val=" Q"/>
      <sheetName val="Movement of Bank Loan Q-1"/>
      <sheetName val="Movement of Leasing Q-2"/>
      <sheetName val="Interest exp Q-3"/>
      <sheetName val="QQ-3"/>
      <sheetName val="Current Leasing Q-4"/>
      <sheetName val="TT-1"/>
      <sheetName val="T-1"/>
      <sheetName val="Penjelasan Net"/>
      <sheetName val="U-4.1"/>
      <sheetName val="FISCAL 2002"/>
      <sheetName val="Table of Contents"/>
      <sheetName val="Wrap Up"/>
      <sheetName val="Labarugi fiskal"/>
      <sheetName val="Neraca fiskal"/>
      <sheetName val="fa-fiscal"/>
      <sheetName val="Penambahan FA"/>
      <sheetName val="Penj. AT_Fiskal"/>
      <sheetName val="NBV-Fiskal Sewa Lahan"/>
      <sheetName val="Daftar Karyawan yang keluar"/>
      <sheetName val="Amortisasi sewa lahan"/>
      <sheetName val="REPORT"/>
      <sheetName val="TOTAL"/>
      <sheetName val="HP Bangunan"/>
      <sheetName val="HP Inventaris"/>
      <sheetName val="HP Kendaraan"/>
      <sheetName val="Ak. Peny. Bangunan"/>
      <sheetName val="Ak. Peny. Inventaris"/>
      <sheetName val="Ak. Peny. Kendaraan"/>
      <sheetName val="Sheet3"/>
      <sheetName val="Analytical"/>
      <sheetName val="RENTABILITAS"/>
      <sheetName val="CashFL"/>
      <sheetName val="PPAP"/>
      <sheetName val="KAP 4 Report"/>
      <sheetName val="Maturity ++"/>
      <sheetName val="BMPK"/>
      <sheetName val="Konsen-1"/>
      <sheetName val="Konsentrasi"/>
      <sheetName val="PDN ++"/>
      <sheetName val="PDN"/>
      <sheetName val="CAR Versi BI"/>
      <sheetName val="CAR"/>
      <sheetName val="NRC"/>
      <sheetName val="PL"/>
      <sheetName val="EQ"/>
      <sheetName val="DEFFERED TAX"/>
      <sheetName val="AYD"/>
      <sheetName val="KYD Terkait"/>
      <sheetName val="WS"/>
      <sheetName val="CAJE"/>
      <sheetName val="RJE"/>
      <sheetName val="CCJE"/>
      <sheetName val="Passed"/>
      <sheetName val="Ratio PPAP Audited"/>
      <sheetName val="Trading Bonds (Rp) 2003"/>
      <sheetName val="Trading Bonds (USD) 2003"/>
      <sheetName val="Held to Maturity Bonds(Rp) 2003"/>
      <sheetName val="REPORT and DISCLOSURES"/>
      <sheetName val="tickmark"/>
      <sheetName val="K1"/>
      <sheetName val="rekap report"/>
      <sheetName val="K2"/>
      <sheetName val="K3"/>
      <sheetName val="K4"/>
      <sheetName val="K5"/>
      <sheetName val="K6"/>
      <sheetName val="K7"/>
      <sheetName val="K8"/>
      <sheetName val="K8.1"/>
      <sheetName val="K9"/>
      <sheetName val="K10"/>
      <sheetName val="K11"/>
      <sheetName val="K11.1"/>
      <sheetName val="budget per type"/>
      <sheetName val="A1_ Income Statement Projection"/>
      <sheetName val="PjkTgghn"/>
      <sheetName val="Rekap"/>
      <sheetName val="Lamp_AT"/>
      <sheetName val="AT &amp; Depr (GL)"/>
      <sheetName val="Sst02BBng&lt;95 (Dep123)"/>
      <sheetName val="Sst02Bng&lt;95"/>
      <sheetName val="Sst02&gt;=95 (Dep123)"/>
      <sheetName val="Sst02&gt;=95 (Dep456)"/>
      <sheetName val="Sst02Bng&gt;=95"/>
      <sheetName val="Car_Jkt&gt;=2003"/>
      <sheetName val="Car_Ckp&gt;=2003"/>
      <sheetName val="dbgFIRNA"/>
      <sheetName val="adj"/>
      <sheetName val="DBG"/>
      <sheetName val="Planning Materiality "/>
      <sheetName val="Subsequent event"/>
      <sheetName val="WBS1"/>
      <sheetName val="WBS2"/>
      <sheetName val="WPL Detail"/>
      <sheetName val="CashFlow"/>
      <sheetName val="CashFlow (2)"/>
      <sheetName val="Deferred"/>
      <sheetName val="SPT 1721"/>
      <sheetName val="PAJE-PRJE-07"/>
      <sheetName val="CAJE-CRJE-07"/>
      <sheetName val="Tax"/>
      <sheetName val="SKP"/>
      <sheetName val="transaksi Istimewa"/>
      <sheetName val="Aging"/>
      <sheetName val="Test of detail - Purchase"/>
      <sheetName val="Jaminan"/>
      <sheetName val="ass kend."/>
      <sheetName val="ass_ stock_gdg"/>
      <sheetName val="temuan"/>
      <sheetName val="pending"/>
      <sheetName val="3"/>
      <sheetName val="4"/>
      <sheetName val="5"/>
      <sheetName val="7"/>
      <sheetName val="8"/>
      <sheetName val="9"/>
      <sheetName val="10"/>
      <sheetName val="11"/>
      <sheetName val="12"/>
      <sheetName val="13"/>
      <sheetName val="14"/>
      <sheetName val="14 (2)"/>
      <sheetName val="15"/>
      <sheetName val="16"/>
      <sheetName val="17"/>
      <sheetName val="18"/>
      <sheetName val="19"/>
      <sheetName val="TB_WP"/>
      <sheetName val="Rates"/>
      <sheetName val="IS"/>
      <sheetName val="BS"/>
      <sheetName val="Engagement Memorandum"/>
      <sheetName val="NOTE"/>
      <sheetName val="FISCOM"/>
      <sheetName val="ADJ'09"/>
      <sheetName val="tb_01122009"/>
      <sheetName val="Persediaan"/>
      <sheetName val="Aset Tetap"/>
      <sheetName val="Fixed Asset"/>
      <sheetName val="Vouch Fixed Asset"/>
      <sheetName val="Penjualan"/>
      <sheetName val="Sales_2009"/>
      <sheetName val="Harga Pokok"/>
      <sheetName val="HPP!"/>
      <sheetName val="Conf. Control"/>
      <sheetName val="PPN"/>
      <sheetName val="PPH 21"/>
      <sheetName val="PPH 23"/>
      <sheetName val="PPh 4 (2) Penjualan"/>
      <sheetName val="PPh 4 (2)"/>
      <sheetName val="Sheet4"/>
      <sheetName val="Petunjuk"/>
      <sheetName val="Summary-Customer"/>
      <sheetName val="LTLGroup-Trans"/>
      <sheetName val="LTLGroup-Rent"/>
      <sheetName val="LTLGroup-SD"/>
      <sheetName val="LTLGroup-Oth"/>
      <sheetName val="NONLTL-Trans"/>
      <sheetName val="NONLTL-Rent"/>
      <sheetName val="NONLTL-SD"/>
      <sheetName val="NONLTL-OTH"/>
      <sheetName val="PL monthly analysis"/>
      <sheetName val="EM"/>
      <sheetName val="NERACA"/>
      <sheetName val="LABA-RUGI"/>
      <sheetName val="RE"/>
      <sheetName val="PRJE"/>
      <sheetName val="ARUS-KAS"/>
      <sheetName val="TAX 1"/>
      <sheetName val="Kas &amp; Setara Kas"/>
      <sheetName val="Piutang Dagang"/>
      <sheetName val="Piutang Lain-lain"/>
      <sheetName val="Deposito"/>
      <sheetName val="Piutang Pemborong"/>
      <sheetName val="Pinjaman"/>
      <sheetName val="Persekot"/>
      <sheetName val="FA Komersial"/>
      <sheetName val="HGU-09 e SPT X"/>
      <sheetName val="REKAP-FIS09 HGU TERPISAH S.D'09"/>
      <sheetName val="Hutang Dagang"/>
      <sheetName val="Hutang Lain-lain"/>
      <sheetName val="Hutang Pajak"/>
      <sheetName val="Hutang Gaji"/>
      <sheetName val="Uang Muka Pelanggan."/>
      <sheetName val="Accrued"/>
      <sheetName val="Biaya"/>
      <sheetName val="Pendapatan"/>
      <sheetName val="Selisih kurs"/>
      <sheetName val="PPh 22"/>
      <sheetName val="Preapid 23"/>
      <sheetName val="PPh 21 Medan"/>
      <sheetName val="deviden"/>
      <sheetName val="Asuransi"/>
      <sheetName val="Mutasi FA"/>
      <sheetName val="Pndp Bunga"/>
      <sheetName val="Barang impor"/>
      <sheetName val="PPN (2)"/>
      <sheetName val="IF add"/>
      <sheetName val="BARANG-GUDANG"/>
      <sheetName val="DAT-1"/>
      <sheetName val="DAT-2"/>
      <sheetName val="DAT-3"/>
      <sheetName val="DAT-4"/>
      <sheetName val="DAT-5"/>
      <sheetName val="ARPs 1"/>
      <sheetName val="ARPs 2"/>
      <sheetName val="Ket"/>
      <sheetName val="AR lain"/>
      <sheetName val="Blog"/>
      <sheetName val="Land"/>
      <sheetName val="DBase"/>
      <sheetName val="PPh Final"/>
      <sheetName val="HPS"/>
      <sheetName val="Uang Muka&amp;BYDM"/>
      <sheetName val="Aktiva Tetap"/>
      <sheetName val="Garansi"/>
      <sheetName val="Proyek Kemitraan Kokar"/>
      <sheetName val="Beban Pokok Penjualan"/>
      <sheetName val="Operating Exp"/>
      <sheetName val="Beban Lain-Lain"/>
      <sheetName val="TAX Computation"/>
      <sheetName val="Cut Off test"/>
      <sheetName val="TOC - Sales"/>
      <sheetName val="TOC - Purchases"/>
      <sheetName val="TOT - operating expenses"/>
      <sheetName val="TOT - Fixed Asset Addition"/>
      <sheetName val="Rekap Deposito"/>
      <sheetName val="REKAP PENJUALAN CANGKANG DAN MI"/>
      <sheetName val="REKAP PENJUALAN INTI DAN MINYAK"/>
      <sheetName val="PPH 21 Jakarta"/>
      <sheetName val="PPH 25 Jakarta"/>
      <sheetName val="PPh 23 Jakarta"/>
      <sheetName val="PPh 23 Medan"/>
      <sheetName val="PPh 4(2) Medan"/>
      <sheetName val="Sheet8"/>
      <sheetName val="Sheet2"/>
      <sheetName val="REKAP'09 Siddik"/>
      <sheetName val="Jakarta"/>
      <sheetName val="Medan"/>
      <sheetName val="Telda"/>
      <sheetName val="Kalsa"/>
      <sheetName val="Kalda"/>
      <sheetName val="Kokar"/>
      <sheetName val="FD-GAP09"/>
      <sheetName val="GAP09-BD"/>
      <sheetName val="Introduction"/>
      <sheetName val="Income Statement"/>
      <sheetName val="Balance Sheet"/>
      <sheetName val="Operating Cycle"/>
      <sheetName val="DuPont Analysis"/>
      <sheetName val="Sources &amp; Uses"/>
      <sheetName val="Altman Z"/>
      <sheetName val="Summary"/>
      <sheetName val="RASIO"/>
      <sheetName val="ISK 01-03"/>
      <sheetName val="ISK 01-03 (2)"/>
      <sheetName val="RATIO NEW (2)"/>
      <sheetName val="dpt 2002 Kntrk Mjn"/>
      <sheetName val="dpt Lap.UnAudited Des'02"/>
      <sheetName val="dpt 2003 Kntrk Mjn"/>
      <sheetName val="dpt 2003 RKAP"/>
      <sheetName val="Altman Z Score"/>
      <sheetName val="Finance Ratio"/>
      <sheetName val="dpt 02 kntrk man."/>
      <sheetName val="dpt 02 un-audited"/>
      <sheetName val="dpt RKAP 2003"/>
      <sheetName val="REVISI 2003 (Novetel)"/>
      <sheetName val="RASIO (2)"/>
      <sheetName val="IS Komparatif"/>
      <sheetName val="LABARUGI"/>
      <sheetName val="SB0103 (3)"/>
      <sheetName val="GAB JUL0102"/>
      <sheetName val="Sheet1 (2)"/>
      <sheetName val="PLTELKOM"/>
      <sheetName val="ALL-FA"/>
      <sheetName val="Instruction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K"/>
      <sheetName val="CMA Addition"/>
      <sheetName val="XXXXXX"/>
      <sheetName val="XXXX"/>
      <sheetName val="1000"/>
      <sheetName val="lb-rugi"/>
      <sheetName val="ADJ 2003"/>
      <sheetName val="worksheet"/>
      <sheetName val="nrcaktv"/>
      <sheetName val="Neraca psv"/>
      <sheetName val="laba rugi"/>
      <sheetName val="Equitas"/>
      <sheetName val="ArusKas"/>
      <sheetName val="PABRIK (2)"/>
      <sheetName val="Jurnal"/>
      <sheetName val="NM"/>
      <sheetName val="BY8"/>
      <sheetName val="BY6"/>
      <sheetName val="ahp"/>
      <sheetName val="LMK"/>
      <sheetName val="LR"/>
      <sheetName val="gby"/>
      <sheetName val="gpp"/>
      <sheetName val="grl"/>
      <sheetName val="gpen"/>
      <sheetName val="AT"/>
      <sheetName val="INV"/>
      <sheetName val="LPDSH"/>
      <sheetName val="MARGM"/>
      <sheetName val="KBLN"/>
      <sheetName val="piut.kry&amp;phkIII"/>
      <sheetName val="UM. PEMB"/>
      <sheetName val="R-L"/>
      <sheetName val="XL4Test5"/>
      <sheetName val="STOCK DO (3)"/>
      <sheetName val="STOCK DO (2)"/>
      <sheetName val="STOCK DO"/>
      <sheetName val="XXXXX"/>
      <sheetName val="XXXX0"/>
      <sheetName val="XXXX1"/>
      <sheetName val="00000"/>
      <sheetName val="XXXX2"/>
      <sheetName val="XXXX3"/>
      <sheetName val="Rugi"/>
      <sheetName val="Kashplo"/>
      <sheetName val="nrc."/>
      <sheetName val="wS sAP"/>
      <sheetName val="Piutang"/>
      <sheetName val="Hutang Usaha."/>
      <sheetName val="Hutang Usaha"/>
      <sheetName val="BLS"/>
      <sheetName val="DFTR KUANTITAS"/>
      <sheetName val="DFTR KUANTITAS (2)"/>
      <sheetName val="Harga"/>
      <sheetName val="MAT"/>
      <sheetName val="REKAP MAT"/>
      <sheetName val="SUB KON"/>
      <sheetName val="SCHE"/>
      <sheetName val="SUBKON"/>
      <sheetName val="Informasi-oke"/>
      <sheetName val="Mobilisasi (2)"/>
      <sheetName val="RUTIN"/>
      <sheetName val="STEEL"/>
      <sheetName val="hbaup"/>
      <sheetName val="DIV.2"/>
      <sheetName val="Dft MPU"/>
      <sheetName val="analat"/>
      <sheetName val="DIV.3"/>
      <sheetName val="DIV.4"/>
      <sheetName val="DIV.5"/>
      <sheetName val="DIV.6"/>
      <sheetName val="DIV.7 Batch"/>
      <sheetName val="DIV.7"/>
      <sheetName val="Besi"/>
      <sheetName val="7.9"/>
      <sheetName val="8.4 (1)"/>
      <sheetName val="8.1. (5)"/>
      <sheetName val="agr hls ksr"/>
      <sheetName val="A"/>
      <sheetName val="LPA"/>
      <sheetName val="LPB"/>
      <sheetName val="timb biasa"/>
      <sheetName val="NP"/>
      <sheetName val="Additional"/>
      <sheetName val="Gal_Cold Milling"/>
      <sheetName val="Gal_Jack Hammer"/>
      <sheetName val="Kronologi"/>
      <sheetName val="INFO"/>
      <sheetName val="Data-Kont"/>
      <sheetName val="M-ITEM"/>
      <sheetName val="boq"/>
      <sheetName val="ON-SITE"/>
      <sheetName val="UPAH&amp;BHN"/>
      <sheetName val="BOP"/>
      <sheetName val="Surat-Pen"/>
      <sheetName val="SCHEDULE"/>
      <sheetName val="ANALISA"/>
      <sheetName val="METHOD"/>
      <sheetName val="SUB-KONTR"/>
      <sheetName val="T-TERIMA"/>
      <sheetName val="LIST"/>
      <sheetName val="s-inti"/>
      <sheetName val="SPernyataan"/>
      <sheetName val="d-alat"/>
      <sheetName val="sieve analysis HOTBIN"/>
      <sheetName val="SHEET6"/>
      <sheetName val="Informasi"/>
      <sheetName val="Post"/>
      <sheetName val="RAP"/>
      <sheetName val="BILL (2)"/>
      <sheetName val="BILL"/>
      <sheetName val="Time"/>
      <sheetName val="Daft.NP"/>
      <sheetName val="Basic Price"/>
      <sheetName val="Div1"/>
      <sheetName val="Div3"/>
      <sheetName val="Div7"/>
      <sheetName val="Peralatan"/>
      <sheetName val="Kap.Alat"/>
      <sheetName val="Analisa Quarry"/>
      <sheetName val="sub "/>
      <sheetName val="asli"/>
      <sheetName val="kol"/>
      <sheetName val="Labul"/>
      <sheetName val="Sandi"/>
      <sheetName val="Denda"/>
      <sheetName val="konfirm"/>
      <sheetName val="perhit hrg tanah"/>
      <sheetName val="HPP"/>
      <sheetName val="Hutang Tanah up date"/>
      <sheetName val="Kop-97"/>
      <sheetName val="Dafis"/>
      <sheetName val="Bab"/>
      <sheetName val="Opini"/>
      <sheetName val="Ongko"/>
      <sheetName val="COST+EXP"/>
      <sheetName val="Annual-Plan-1998-A-US$-Rupiah-F"/>
      <sheetName val="master supplier"/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KASUS5"/>
      <sheetName val="LATIH5"/>
      <sheetName val="KASUS6"/>
      <sheetName val="LATIH6"/>
      <sheetName val="Srt-Perm"/>
      <sheetName val="MPK1"/>
      <sheetName val="MPK2"/>
      <sheetName val="MPK3"/>
      <sheetName val="Jadual Angsuran"/>
      <sheetName val="SKK "/>
      <sheetName val="PPK"/>
      <sheetName val="Sirkulasi PAK"/>
      <sheetName val="Uji Kepatuhan"/>
      <sheetName val="Surat Pernyataan"/>
      <sheetName val="SRT-PENG"/>
      <sheetName val="PP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SKK-PERP "/>
      <sheetName val="FRP Tab"/>
      <sheetName val="FRP BCA"/>
      <sheetName val="FRP Ta"/>
      <sheetName val="FRP"/>
      <sheetName val="FAK"/>
      <sheetName val="RL-1"/>
      <sheetName val="NRC-1"/>
      <sheetName val="siap"/>
      <sheetName val="RL-2"/>
      <sheetName val="NRC-2"/>
      <sheetName val="RL-sem"/>
      <sheetName val="NRC-sem"/>
      <sheetName val="Call"/>
      <sheetName val="Call (2)"/>
      <sheetName val="Call Tri &amp; Sem"/>
      <sheetName val="FPHP"/>
      <sheetName val="FPHP Sem"/>
      <sheetName val="lampJMN"/>
      <sheetName val="Struktur KMK"/>
      <sheetName val="Struktur KMK tarik jaminan"/>
      <sheetName val="SKK tarik jaminan"/>
      <sheetName val="SKK"/>
      <sheetName val="Surat Ke Cabang"/>
      <sheetName val="FPJ"/>
      <sheetName val="FPJ Sem"/>
      <sheetName val="FPJ tarik jaminan"/>
      <sheetName val="FPS"/>
      <sheetName val="FPS BARU"/>
      <sheetName val="Memo 1"/>
      <sheetName val="Memo 2"/>
      <sheetName val="RevPAK"/>
      <sheetName val="MPJ"/>
      <sheetName val="Data MPJ"/>
      <sheetName val="MPJ-2"/>
      <sheetName val="MPJ3"/>
      <sheetName val="FRH"/>
      <sheetName val="DATA"/>
      <sheetName val="hal1"/>
      <sheetName val="hal2"/>
      <sheetName val="hal3"/>
      <sheetName val="hal4"/>
      <sheetName val="hal5"/>
      <sheetName val="hal6"/>
      <sheetName val="hal"/>
      <sheetName val="KLASF"/>
      <sheetName val="MhnBG"/>
      <sheetName val="Srt Pernyataan"/>
      <sheetName val="hal-1"/>
      <sheetName val="hal-2"/>
      <sheetName val="hal-3"/>
      <sheetName val="hal-4"/>
      <sheetName val="hal-5 &amp; 6 &amp; 7"/>
      <sheetName val="riwayat"/>
      <sheetName val="verivikasi"/>
      <sheetName val="call tri"/>
      <sheetName val="LKS"/>
      <sheetName val="S-Mohon"/>
      <sheetName val="TAKSASI (2)"/>
      <sheetName val="PLOTTING"/>
      <sheetName val="Gbr-2"/>
      <sheetName val="CONTROL"/>
      <sheetName val="KeuFKS"/>
      <sheetName val="116c"/>
      <sheetName val="pak03"/>
      <sheetName val="FKS"/>
      <sheetName val="MPK(PAK01.C)"/>
      <sheetName val="c-memo"/>
      <sheetName val="Mak"/>
      <sheetName val="BAP1"/>
      <sheetName val="FBA"/>
      <sheetName val="119C"/>
      <sheetName val="mek"/>
      <sheetName val="PERMOHONAN"/>
      <sheetName val="FIP"/>
      <sheetName val="117"/>
      <sheetName val="guyan"/>
      <sheetName val="TAKSASI"/>
      <sheetName val="stock"/>
      <sheetName val="pak-03"/>
      <sheetName val="pak-03 (2)"/>
      <sheetName val="PAK01-1"/>
      <sheetName val="PAK01-2"/>
      <sheetName val="PAK01-2 (2)"/>
      <sheetName val="PAK01-3 (2)"/>
      <sheetName val="PAK01-3"/>
      <sheetName val="PAK01-4"/>
      <sheetName val="PAK01-4 (2)"/>
      <sheetName val="PAK01-5"/>
      <sheetName val="PAK05-1B"/>
      <sheetName val="PAK01-6"/>
      <sheetName val="PAK02-1"/>
      <sheetName val="PAK02-1 (2)"/>
      <sheetName val="PAK02-2"/>
      <sheetName val="PAK02-2 (2)"/>
      <sheetName val="PAK02-3"/>
      <sheetName val="PAK02-3 (2)"/>
      <sheetName val="PAK02-4"/>
      <sheetName val="PAK02-4 (2)"/>
      <sheetName val="PAK-05"/>
      <sheetName val="PAK05-1"/>
      <sheetName val="FBA (2)"/>
      <sheetName val="FRP-2"/>
      <sheetName val="FRP-1"/>
      <sheetName val="FRP-3"/>
      <sheetName val="CALL1"/>
      <sheetName val="call-s"/>
      <sheetName val="cf-1"/>
      <sheetName val="bni-136c"/>
      <sheetName val="jadwal-angs"/>
      <sheetName val="jadw-ang"/>
      <sheetName val="check-PAK"/>
      <sheetName val="pp-bcm"/>
      <sheetName val="FIP02"/>
      <sheetName val="MPK"/>
      <sheetName val="MPK-2"/>
      <sheetName val="NRC2"/>
      <sheetName val="FKS04"/>
      <sheetName val="FAK03"/>
      <sheetName val="Plott1"/>
      <sheetName val="Plott2"/>
      <sheetName val="Plott3"/>
      <sheetName val="GB-Plott2"/>
      <sheetName val="BNI-105"/>
      <sheetName val="CALL 1"/>
      <sheetName val="CALL2"/>
      <sheetName val="CALL3"/>
      <sheetName val="117C"/>
      <sheetName val="106C"/>
      <sheetName val="135C"/>
      <sheetName val="NEG02"/>
      <sheetName val="Plott"/>
      <sheetName val="GB-Plott1"/>
      <sheetName val="FCM1"/>
      <sheetName val="FCM2"/>
      <sheetName val="FCM3"/>
      <sheetName val="Plot"/>
      <sheetName val="Gbr"/>
      <sheetName val="PAK01-2 "/>
      <sheetName val="pak01-5 (2)"/>
      <sheetName val="PAK04-1"/>
      <sheetName val="PAK04-2"/>
      <sheetName val="PAK04-3"/>
      <sheetName val="bni-115C (2)"/>
      <sheetName val="daft-stock"/>
      <sheetName val="FRP "/>
      <sheetName val="data penj"/>
      <sheetName val="penj-pemb."/>
      <sheetName val="cf (3)"/>
      <sheetName val="plott-1"/>
      <sheetName val="f-plot"/>
      <sheetName val="pertanyaan"/>
      <sheetName val="check-PAK (2)"/>
      <sheetName val="PAK-05 (2)"/>
      <sheetName val="PAK05-1 (2)"/>
      <sheetName val="plot 2"/>
      <sheetName val="plot 3"/>
      <sheetName val="plot 4"/>
      <sheetName val="plot 5"/>
      <sheetName val="FRP (2)"/>
      <sheetName val="CALL1 (2)"/>
      <sheetName val="bni-117c (2)"/>
      <sheetName val="plot 1"/>
      <sheetName val="cf "/>
      <sheetName val="bendahara"/>
      <sheetName val="black-list"/>
      <sheetName val="ptp-xii kebun pancur"/>
      <sheetName val="telpon"/>
      <sheetName val="call-kukplus"/>
      <sheetName val="Checklist"/>
      <sheetName val="review"/>
      <sheetName val="MRK AKHIR"/>
      <sheetName val="MRK"/>
      <sheetName val="BNI-115"/>
      <sheetName val="BNI-116 (2)"/>
      <sheetName val="BNI-116 (3)"/>
      <sheetName val="BNI-116 (4)"/>
      <sheetName val="116-D"/>
      <sheetName val="BNI-119  (2)"/>
      <sheetName val="FBATJ"/>
      <sheetName val="UT"/>
      <sheetName val="USP"/>
      <sheetName val="UPb"/>
      <sheetName val="UPi"/>
      <sheetName val="UI"/>
      <sheetName val="Rincian Keu"/>
      <sheetName val="LapKeu-FAK"/>
      <sheetName val="FAK1"/>
      <sheetName val="FAK2"/>
      <sheetName val="FAK3"/>
      <sheetName val="FAK4"/>
      <sheetName val="asumsi (2)"/>
      <sheetName val="CF1"/>
      <sheetName val="CF2"/>
      <sheetName val="batas file"/>
      <sheetName val=" Rincian OTS"/>
      <sheetName val="FAK awal"/>
      <sheetName val="LIST KUR"/>
      <sheetName val="Lamp. BTU tes"/>
      <sheetName val="Uji-Kepatuhan"/>
      <sheetName val="C-List"/>
      <sheetName val="Lamp. BTU baru"/>
      <sheetName val="ploting "/>
      <sheetName val="denah"/>
      <sheetName val="BATA"/>
      <sheetName val="Call Memo"/>
      <sheetName val="Hal-01"/>
      <sheetName val="Hal-02"/>
      <sheetName val="Pendapat KPK WK I"/>
      <sheetName val="Pendapat KPK Pemp"/>
      <sheetName val="PAK01-1 (2)"/>
      <sheetName val="daftar persd"/>
      <sheetName val="plott-1 (2)"/>
      <sheetName val="plott-1 (3)"/>
      <sheetName val="call-tri"/>
      <sheetName val="bni-119c (2)"/>
      <sheetName val="BNI-105 (2)"/>
      <sheetName val="PAK 03"/>
      <sheetName val="hitungan"/>
      <sheetName val="hitungan (2)"/>
      <sheetName val="plot-1"/>
      <sheetName val="plot-2"/>
      <sheetName val="plot-3"/>
      <sheetName val="plot-4"/>
      <sheetName val="plot-5"/>
      <sheetName val="FRP (3)"/>
      <sheetName val="S33"/>
      <sheetName val="S40"/>
      <sheetName val="S29"/>
      <sheetName val="S22"/>
      <sheetName val="PAK"/>
      <sheetName val="Bab I"/>
      <sheetName val="Bab II"/>
      <sheetName val="Bab III"/>
      <sheetName val="Bab IV"/>
      <sheetName val="Ratio"/>
      <sheetName val="Lampiran"/>
      <sheetName val="ekuitasx"/>
      <sheetName val="Gam.Um."/>
      <sheetName val="TARIF"/>
      <sheetName val="isi"/>
      <sheetName val="cv"/>
      <sheetName val="Laba(rugi)"/>
      <sheetName val="ekui"/>
      <sheetName val="Arus Kas"/>
      <sheetName val="CTT"/>
      <sheetName val="GIRO 1"/>
      <sheetName val="PU 2"/>
      <sheetName val="PL 3"/>
      <sheetName val="aktap 4"/>
      <sheetName val="Hutang Usaha 5"/>
      <sheetName val="Rekap B.Besar"/>
      <sheetName val="Pembelian"/>
      <sheetName val="penjelasan"/>
      <sheetName val="All"/>
      <sheetName val="Monthly2"/>
      <sheetName val="Month"/>
      <sheetName val="top adm &amp; umum1"/>
      <sheetName val="General-Journal"/>
      <sheetName val="JPA-F"/>
      <sheetName val="KKP (2)"/>
      <sheetName val="LAI"/>
      <sheetName val="LK"/>
      <sheetName val="ArK"/>
      <sheetName val="CALK"/>
      <sheetName val="Gabum"/>
      <sheetName val="Lamp"/>
      <sheetName val="Beban usaha"/>
      <sheetName val="lap bulanan 2012"/>
      <sheetName val="lap bulanan 2013"/>
      <sheetName val="lap bulanan 2011"/>
      <sheetName val="itung pajak"/>
      <sheetName val="BIaya Bunga"/>
      <sheetName val="GIRO"/>
      <sheetName val="bunga 2013"/>
      <sheetName val="data 2"/>
      <sheetName val="MESIN"/>
      <sheetName val="ÀùÕ_x0004_ö10_x0000_"/>
      <sheetName val=""/>
      <sheetName val="FAK "/>
      <sheetName val="CF-00"/>
      <sheetName val="CF-00 (2)"/>
      <sheetName val="LPP"/>
      <sheetName val="Stok"/>
      <sheetName val="FPFKTL"/>
      <sheetName val="CF_00"/>
      <sheetName val="BNI-116C"/>
      <sheetName val="PAK-04C"/>
      <sheetName val="BRT-PLOT"/>
      <sheetName val="BAP"/>
      <sheetName val="PROD-PENJ"/>
      <sheetName val="PAK-01C5"/>
      <sheetName val="PAK-01C1-4"/>
      <sheetName val="PAK-01C1-2"/>
      <sheetName val="PAK-01C1-1"/>
      <sheetName val="PAK-01C1-3"/>
      <sheetName val="PAK-01C2"/>
      <sheetName val="Surat"/>
      <sheetName val="Chasflow"/>
      <sheetName val="Parameter"/>
      <sheetName val="HPS Paket 3 RJKB"/>
      <sheetName val="HPS-Shd 1"/>
      <sheetName val="HPS-Shd 2"/>
      <sheetName val="HPS-Shd 3"/>
      <sheetName val="HPS-Shd 4"/>
      <sheetName val="Berat Tower"/>
      <sheetName val="SCH 1 - TRW"/>
      <sheetName val="PARAM"/>
      <sheetName val="Dari P3B H_S_Versi 1"/>
      <sheetName val="HPS Paket 3 RJKB (2)"/>
      <sheetName val="KKP LR"/>
      <sheetName val="KKP NERACA"/>
      <sheetName val="SEKRETARIAT"/>
      <sheetName val="KAS_OPNAME"/>
      <sheetName val="SEKRETARIAT (2)"/>
      <sheetName val="daftar peminjam per KSM  "/>
      <sheetName val="lead schedule"/>
      <sheetName val="Std_Industri"/>
      <sheetName val="Tab"/>
      <sheetName val="NrcFKS"/>
      <sheetName val="Struktur1"/>
      <sheetName val="Struktur1 (2)"/>
      <sheetName val="usul"/>
      <sheetName val="Memo 1 (2)"/>
      <sheetName val="Memo 2 (2)"/>
      <sheetName val="MemFas"/>
      <sheetName val="hal3dst"/>
      <sheetName val="FAK EDIT"/>
      <sheetName val="FAK AKHIR"/>
      <sheetName val="DATA UMUM"/>
      <sheetName val="rek giro"/>
      <sheetName val="TABLE CUST"/>
      <sheetName val="CUSTOMER"/>
      <sheetName val="SALES JUNK"/>
      <sheetName val="ASSET"/>
      <sheetName val="PP-NVR-IRR"/>
      <sheetName val="PROYEKSI KI (2)"/>
      <sheetName val="2009 2010"/>
      <sheetName val="2011"/>
      <sheetName val="HUTANG PIUTANG"/>
      <sheetName val="PROYEKSI KI"/>
      <sheetName val="BNI-116"/>
      <sheetName val="BNI-117"/>
      <sheetName val="BNI-119"/>
      <sheetName val="BNI-138"/>
      <sheetName val="Rincian"/>
      <sheetName val="108C"/>
      <sheetName val="115C"/>
      <sheetName val="Srt Mohon"/>
      <sheetName val="Surat OTS"/>
      <sheetName val="138C"/>
      <sheetName val="FOTOW"/>
      <sheetName val="Sketsa"/>
      <sheetName val="LapKeu"/>
      <sheetName val="RL"/>
      <sheetName val="Kalkulasi"/>
      <sheetName val="Neraca OTS1"/>
      <sheetName val="Neraca OTS2"/>
      <sheetName val="Neraca OTS3"/>
      <sheetName val="Dftr. Persediaan"/>
      <sheetName val="105C"/>
      <sheetName val="Pemantauan"/>
      <sheetName val="PAK-01C"/>
      <sheetName val="CEV"/>
      <sheetName val="STRUK"/>
      <sheetName val="KPK (2)"/>
      <sheetName val="FRH "/>
      <sheetName val="P04"/>
      <sheetName val="AK"/>
      <sheetName val="Fill this out first___"/>
      <sheetName val="PAK 41"/>
      <sheetName val="PAK 42"/>
      <sheetName val="Rumus"/>
      <sheetName val="Sales,Hut,Piut,Persediaan"/>
      <sheetName val="Penyusutan"/>
      <sheetName val="Angsuran"/>
      <sheetName val="Sensitivitas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bhn"/>
      <sheetName val="spek"/>
      <sheetName val="altok"/>
      <sheetName val="bumok"/>
      <sheetName val="altprec"/>
      <sheetName val="bumprec"/>
      <sheetName val="Draft Neraca"/>
      <sheetName val="PAK 04-1"/>
      <sheetName val="RESUME"/>
      <sheetName val="ASUMSI CF"/>
      <sheetName val="NERACA PROYEKSI"/>
      <sheetName val="HPP "/>
      <sheetName val="UPAH LANGSUNG "/>
      <sheetName val="PEMBELIAN "/>
      <sheetName val="BIAYA UMUM &amp; ADFMINISTRASI"/>
      <sheetName val="BIAYA PRODUKSI LANGSUNG"/>
      <sheetName val="Jadwal Angsuran"/>
      <sheetName val="DEPRESIASI"/>
      <sheetName val="ASUMSI CASHFLOW"/>
      <sheetName val="projectcost"/>
      <sheetName val="BUNGA"/>
      <sheetName val="Tabel Penyusutan"/>
      <sheetName val="BANK UMUM KOPERASI"/>
      <sheetName val="BANK NIAGA"/>
      <sheetName val="BANK DANAMON (2)"/>
      <sheetName val="BANK DANAMON"/>
      <sheetName val="BANK BNI II"/>
      <sheetName val="BANK BNI I"/>
      <sheetName val="REKAP ELEKTRIKAL"/>
      <sheetName val="LISTRIK"/>
      <sheetName val="TELEPON"/>
      <sheetName val="SOUND"/>
      <sheetName val="F ALARM"/>
      <sheetName val="BAS"/>
      <sheetName val="CCTV"/>
      <sheetName val="GENSET"/>
      <sheetName val="TRAFO"/>
      <sheetName val="REKAP MEKANIKAL"/>
      <sheetName val="AC"/>
      <sheetName val="ELEVATOR"/>
      <sheetName val="PLUMBING"/>
      <sheetName val="HYDRANT"/>
      <sheetName val="SPRINKLER"/>
      <sheetName val="UIR"/>
      <sheetName val="CRR"/>
      <sheetName val="CCR"/>
      <sheetName val="Reporting"/>
      <sheetName val="Std-Industri"/>
      <sheetName val="ANGGARAN"/>
      <sheetName val="PIUTANG1"/>
      <sheetName val="PIUTANG2"/>
      <sheetName val="PIUTANG3"/>
      <sheetName val="HUTANG"/>
      <sheetName val="HANDPHONE-1"/>
      <sheetName val="HANDPHONE-2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RUMUS BEKISTING"/>
      <sheetName val="HIT BEKISTING"/>
      <sheetName val="Hari"/>
      <sheetName val="CallScd"/>
      <sheetName val="ACB"/>
      <sheetName val="130503"/>
      <sheetName val="Jan03"/>
      <sheetName val="Feb03"/>
      <sheetName val="Mar03"/>
      <sheetName val="Apr03"/>
      <sheetName val="Voucher"/>
      <sheetName val="Pejabat"/>
      <sheetName val="Logbook"/>
      <sheetName val="Relasi"/>
      <sheetName val="Daft1"/>
      <sheetName val="Daft1M"/>
      <sheetName val="Daft2"/>
      <sheetName val="Daft2M"/>
      <sheetName val="Afil"/>
      <sheetName val="AfilM"/>
      <sheetName val="Solist"/>
      <sheetName val="SolistM"/>
      <sheetName val="Inti"/>
      <sheetName val="Kartu"/>
      <sheetName val="Instansi"/>
      <sheetName val="KU"/>
      <sheetName val="SPI"/>
      <sheetName val="BNI-114C"/>
      <sheetName val="JASAMARGA"/>
      <sheetName val="PAK 5"/>
      <sheetName val="Past"/>
      <sheetName val="As"/>
      <sheetName val="PInv"/>
      <sheetName val="FInv"/>
      <sheetName val="PB"/>
      <sheetName val="BII"/>
      <sheetName val="BTK"/>
      <sheetName val="Kap"/>
      <sheetName val="MK"/>
      <sheetName val="Jad"/>
      <sheetName val="AP(1)"/>
      <sheetName val="AP(2)"/>
      <sheetName val="AP(3)"/>
      <sheetName val="Oth"/>
      <sheetName val="Stand"/>
      <sheetName val="Rot"/>
      <sheetName val="Renc"/>
      <sheetName val="SProd"/>
      <sheetName val="DHSB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PAK-01"/>
      <sheetName val="PAK-04"/>
      <sheetName val="PAK-061-ssw"/>
      <sheetName val="PAK-062-ssw"/>
      <sheetName val="PAK-061-msp"/>
      <sheetName val="PAK-062-msp1"/>
      <sheetName val="PAK-062-msp"/>
      <sheetName val="PAK-061-bss"/>
      <sheetName val="PAK-062-bss1"/>
      <sheetName val="PAK-062-bss"/>
      <sheetName val="PAK-061-ssp"/>
      <sheetName val="PAK-062-ssp1"/>
      <sheetName val="PAK-062-ssp"/>
      <sheetName val="PAK-062-bbs1"/>
      <sheetName val="PAK-062-bbs"/>
      <sheetName val="PAK-061-ssj"/>
      <sheetName val="PAK-062-ssj1"/>
      <sheetName val="PAK-062-SSJ"/>
      <sheetName val="PAK-061-bssh"/>
      <sheetName val="PAK-062-bssh1"/>
      <sheetName val="PAK-062-bssh"/>
      <sheetName val="PAK-062-ssw1"/>
      <sheetName val="Preliminaries"/>
      <sheetName val="An-Prelim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  <sheetName val="Analisa Tend (3)"/>
      <sheetName val="Analisa Tend (2)"/>
      <sheetName val="Analisa "/>
      <sheetName val="Analisa Tend"/>
      <sheetName val="Lantai"/>
      <sheetName val="Dinding (2)"/>
      <sheetName val="DINDING"/>
      <sheetName val="Pintu &amp; Jendela"/>
      <sheetName val="Daf-C"/>
      <sheetName val="Balok L.1"/>
      <sheetName val="Balok L.2"/>
      <sheetName val="Balok L.3"/>
      <sheetName val="Balok L.4"/>
      <sheetName val="Balok L.5"/>
      <sheetName val="Balok L.Atap"/>
      <sheetName val="coa"/>
      <sheetName val="AWL2002 KIE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#REF"/>
      <sheetName val="nonbti"/>
      <sheetName val="Lead Sch"/>
      <sheetName val="Ws Jul-2004"/>
      <sheetName val="AJE (2)"/>
      <sheetName val="Neraca "/>
      <sheetName val="Neraca  (2)"/>
      <sheetName val="Laba Rugi "/>
      <sheetName val="NOTE7"/>
      <sheetName val="NOTE8"/>
      <sheetName val="Ringkasan"/>
      <sheetName val="Account (2)"/>
      <sheetName val="Buku Besar 1"/>
      <sheetName val="Buku Besar 2"/>
      <sheetName val="Rekap SPT Masa PPh 21"/>
      <sheetName val="RIgkasan Koreksi"/>
      <sheetName val="Koreksi Objek PPh 21"/>
      <sheetName val="Koreksi Objek PPh 23"/>
      <sheetName val="Koreksi Objek PPh 4 Ayat 2"/>
      <sheetName val="RIngkasan Koreksi Biaya"/>
      <sheetName val="Koreksi Biaya"/>
      <sheetName val="Sisa 1"/>
      <sheetName val="Sisa 2"/>
      <sheetName val="WBS &amp; WPL"/>
      <sheetName val="PAJE FIXED ASSET"/>
      <sheetName val="MATERIALITY - PL"/>
      <sheetName val="MATERIALITY - BS"/>
      <sheetName val="PREPAID ADJUSTMENT"/>
      <sheetName val="Adjustment"/>
      <sheetName val="AR"/>
      <sheetName val="AR -OTHER"/>
      <sheetName val="OTHER ASSET"/>
      <sheetName val="AP"/>
      <sheetName val="ACCRUED EXPENSE"/>
      <sheetName val="DEFFERED TAXES"/>
      <sheetName val="COGS"/>
      <sheetName val="TAXATION"/>
      <sheetName val="NONOPEX"/>
      <sheetName val="PROGRESS"/>
      <sheetName val="AWP "/>
      <sheetName val="MATERIALITY "/>
      <sheetName val="Financial Ratios"/>
      <sheetName val="TEST FOR UNRECORDED AR"/>
      <sheetName val="STOT FIXED ASSET"/>
      <sheetName val="FA LISTING (PBC)"/>
      <sheetName val="REASONABLESS TEST"/>
      <sheetName val="SUBSTANTIF FIXED ASSET"/>
      <sheetName val="Asuransi kendaraan"/>
      <sheetName val="TEST FOR UNRECORDED AP"/>
      <sheetName val="PAYROLL DATA"/>
      <sheetName val="PAYROLL FLUCS"/>
      <sheetName val="SSP"/>
      <sheetName val="sample 1"/>
      <sheetName val="SUBSTANTIV SALES"/>
      <sheetName val="PENGHASILAN DEPOSIT"/>
      <sheetName val="LEASING"/>
      <sheetName val="ANLS"/>
      <sheetName val="vouching"/>
      <sheetName val="REKALKULASI U. PEND. JASA GIRO"/>
      <sheetName val="manfaat"/>
      <sheetName val="perhitungan"/>
      <sheetName val="2001GeneralInfo"/>
      <sheetName val="identitas (2)"/>
      <sheetName val="2001Marshal"/>
      <sheetName val="2001profit - loss"/>
      <sheetName val="2000biaya lain-lain"/>
      <sheetName val="2001neraca"/>
      <sheetName val="2001REC-FISCAL"/>
      <sheetName val="2001FA-DEPR"/>
      <sheetName val="2001depr-fisc"/>
      <sheetName val="2001PPh ps 22"/>
      <sheetName val="2001Exit fiscal"/>
      <sheetName val="2001PPh 25"/>
      <sheetName val="2001Art 23(prepaid)"/>
      <sheetName val="2001Pengurus"/>
      <sheetName val="2000dftlamp"/>
      <sheetName val="2002Art25 calc"/>
      <sheetName val="FI-1771$.P1"/>
      <sheetName val="FE-1771$.P1"/>
      <sheetName val="FI-1771$.P2"/>
      <sheetName val="FE-1771$.P2"/>
      <sheetName val="FI-1771-I$"/>
      <sheetName val="FE-1771-I$"/>
      <sheetName val="FI-1771-II$"/>
      <sheetName val="FE-1771-II$"/>
      <sheetName val="FI-1771-III$"/>
      <sheetName val="FE-1771-III$"/>
      <sheetName val="FI-1771-IV"/>
      <sheetName val="FE-1771-IV"/>
      <sheetName val="FI-1771-V"/>
      <sheetName val="FE-1771-V"/>
      <sheetName val="FI-1771-VI $"/>
      <sheetName val="FE-1771-VI$"/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  <sheetName val="May"/>
      <sheetName val="YTD"/>
      <sheetName val="CASHFLOW "/>
      <sheetName val="DETAILBS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SPLIT9907"/>
      <sheetName val="SPLIT9906"/>
      <sheetName val="Resin in Tank"/>
      <sheetName val="FA 06"/>
      <sheetName val="ASSETS05"/>
      <sheetName val="FA 06 OKE"/>
      <sheetName val="asset 2005"/>
      <sheetName val="ngitung akum. toniji"/>
      <sheetName val="FA 06 (2)"/>
      <sheetName val="AA"/>
      <sheetName val="OPsample"/>
      <sheetName val="TPsample"/>
      <sheetName val="AA.1"/>
      <sheetName val="AA.2"/>
      <sheetName val="AA.3"/>
      <sheetName val="AA.3.2"/>
      <sheetName val="AP ACCRUED"/>
      <sheetName val="OTHER ACCOUNT CLAIM"/>
      <sheetName val="BB"/>
      <sheetName val="BB.1"/>
      <sheetName val="BB.1.1"/>
      <sheetName val="BB.1.2"/>
      <sheetName val="BB.2"/>
      <sheetName val="BB-2.1"/>
      <sheetName val="BB.2.1.1"/>
      <sheetName val="BB.2.2"/>
      <sheetName val="BB.2.3"/>
      <sheetName val="BB.3"/>
      <sheetName val="CC-1"/>
      <sheetName val="CC-2"/>
      <sheetName val="EE-1"/>
      <sheetName val="invt_jun03 _2_"/>
      <sheetName val="COMPARATTIVE"/>
      <sheetName val="vendorjun04"/>
      <sheetName val="INVTJUN04"/>
      <sheetName val="invt_jun03 (2)"/>
      <sheetName val="Comperative_by_Vendor jan_may"/>
      <sheetName val="CODE"/>
      <sheetName val="Jan"/>
      <sheetName val="Feb"/>
      <sheetName val="Mar"/>
      <sheetName val="Apr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RM_COST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deprec"/>
      <sheetName val="Details in Rp"/>
      <sheetName val="By Dept"/>
      <sheetName val="By Dept in Rp"/>
      <sheetName val="by_type in USD"/>
      <sheetName val="by_type in Rp"/>
      <sheetName val="Depr&amp;Amort"/>
      <sheetName val="62404"/>
      <sheetName val="budget idr"/>
      <sheetName val="Grafik"/>
      <sheetName val="daftar"/>
      <sheetName val="Pack"/>
      <sheetName val="Lainnya"/>
      <sheetName val="Roaster"/>
      <sheetName val="F.Drying"/>
      <sheetName val="Molen"/>
      <sheetName val="hitung"/>
      <sheetName val="Selisih"/>
      <sheetName val="Grafik mesin"/>
      <sheetName val="Dapur"/>
      <sheetName val="Tiris"/>
      <sheetName val="Packing"/>
      <sheetName val="mixer kanji"/>
      <sheetName val="Oven"/>
      <sheetName val="Juice bawang"/>
      <sheetName val="Bucket"/>
      <sheetName val="Roasting"/>
      <sheetName val="Mesin Ayak"/>
      <sheetName val="Colloid mill"/>
      <sheetName val="Gotrok"/>
      <sheetName val="40 Memo"/>
      <sheetName val="40 Lead"/>
      <sheetName val="40.1Freight Expense"/>
      <sheetName val="Biaya Air (2)"/>
      <sheetName val="40.2Biaya Listrik"/>
      <sheetName val="40.3 ARP"/>
      <sheetName val="F Lead"/>
      <sheetName val="Purchase Cutoff"/>
      <sheetName val="DNR_Sep"/>
      <sheetName val="Other_Sep"/>
      <sheetName val="8500"/>
      <sheetName val="8500.1"/>
      <sheetName val="8500.1.2"/>
      <sheetName val="BIO DIESEL"/>
      <sheetName val="8500.2"/>
      <sheetName val="8500.3"/>
      <sheetName val="8500.2.1 TOD"/>
      <sheetName val=" ARA"/>
      <sheetName val="Perincian HPP"/>
      <sheetName val="8500.1.3 JURNAL"/>
      <sheetName val="C1"/>
      <sheetName val="C2"/>
      <sheetName val="C2.1"/>
      <sheetName val="C2.2"/>
      <sheetName val="C2.3"/>
      <sheetName val="C3"/>
      <sheetName val="C4"/>
      <sheetName val="C5"/>
      <sheetName val="C5.1"/>
      <sheetName val="C6"/>
      <sheetName val="C7"/>
      <sheetName val="C8"/>
      <sheetName val="C.tod"/>
      <sheetName val="C.ARA"/>
      <sheetName val="HARGA_BKS"/>
      <sheetName val="AKHIR BKS"/>
      <sheetName val="HPP_JULI"/>
      <sheetName val="STOCK_AWAL"/>
      <sheetName val="BELI AGST"/>
      <sheetName val="HPP_NON_OPEN"/>
      <sheetName val="HPP_CPN"/>
      <sheetName val="HPP_SRG"/>
      <sheetName val="HPP_TGR_NEW"/>
      <sheetName val="HPP_BKS_NEW"/>
      <sheetName val="REFRES"/>
      <sheetName val="HPP_0803"/>
      <sheetName val="non"/>
      <sheetName val="cpn"/>
      <sheetName val="srg"/>
      <sheetName val="tgr"/>
      <sheetName val="HPP_JUNI"/>
      <sheetName val="BELI JULI"/>
      <sheetName val="HAP"/>
      <sheetName val="Qunion_Penjualan_PerBULAN_JULI"/>
      <sheetName val="HPP PER UNIT"/>
      <sheetName val="Stock Akhir"/>
      <sheetName val="Jual per unit"/>
      <sheetName val="Beli &amp; Retur"/>
      <sheetName val="HPP PER UNIT CPN"/>
      <sheetName val="Stock Akhir CIPINANG"/>
      <sheetName val="Beli &amp; Retur CPN"/>
      <sheetName val="HPP_0503"/>
      <sheetName val="HPP_0503 CPN"/>
      <sheetName val="M_BARANG"/>
      <sheetName val="SALGO GS"/>
      <sheetName val="SALDO_GS_CPN"/>
      <sheetName val="BELI0503"/>
      <sheetName val="SLD AWAL"/>
      <sheetName val="KD_BELI WITH NPN"/>
      <sheetName val="HG_BEL"/>
      <sheetName val="Print"/>
      <sheetName val="DATAIL"/>
      <sheetName val="HPP_AGUSTUS"/>
      <sheetName val="BELI _SEPTEMBER"/>
      <sheetName val="COPY"/>
      <sheetName val="Qunion_penjualan"/>
      <sheetName val="PIVOT"/>
      <sheetName val="JL_BEL"/>
      <sheetName val="DATA_JUALAN"/>
      <sheetName val="HPPNON"/>
      <sheetName val="HPPCPN"/>
      <sheetName val="HPPSRG"/>
      <sheetName val="HPPTGR"/>
      <sheetName val="HPPBKS"/>
      <sheetName val="REKAP_JUALAN"/>
      <sheetName val="PIVOT'TE"/>
      <sheetName val="HPP_0703"/>
      <sheetName val="DATA2"/>
      <sheetName val="JUALLAN"/>
      <sheetName val="MAS"/>
      <sheetName val="BALI"/>
      <sheetName val="JBR"/>
      <sheetName val="KDR"/>
      <sheetName val="MDN"/>
      <sheetName val="MDR"/>
      <sheetName val="MLG"/>
      <sheetName val="PRB"/>
      <sheetName val="NGELOM"/>
      <sheetName val="GLOBAL"/>
      <sheetName val="S_AWAL-hpp"/>
      <sheetName val="S_AKHIR"/>
      <sheetName val="JUAL@RETUR"/>
      <sheetName val="DATA AWAL"/>
      <sheetName val="PABRIK"/>
      <sheetName val="SAMPEL"/>
      <sheetName val="BONUS"/>
      <sheetName val="BAD STOCK"/>
      <sheetName val="OPNAME GOOD STOCK"/>
      <sheetName val="OPNAME SALES"/>
      <sheetName val="OPNAME BAD STOCK"/>
      <sheetName val="SALDO GOOD STOCK"/>
      <sheetName val="SALDO BAD STOCK"/>
      <sheetName val="SheetGMP"/>
      <sheetName val="SheetGMT"/>
      <sheetName val="KKP13 50 Deb tentiv"/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_1_1 BNI"/>
      <sheetName val="TCM"/>
      <sheetName val="Ranges"/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Tabel-LHP"/>
      <sheetName val="Balance end 2002"/>
      <sheetName val="Balance 30-06-03"/>
      <sheetName val="Ecr"/>
      <sheetName val="Exchange Rate"/>
      <sheetName val="Compta X - 2"/>
      <sheetName val="sept"/>
      <sheetName val="okt"/>
      <sheetName val="WBS"/>
      <sheetName val="Ratio-C"/>
      <sheetName val="Ratio-P"/>
      <sheetName val="BS-C"/>
      <sheetName val="BS-P"/>
      <sheetName val="IS-C"/>
      <sheetName val="IS-P"/>
      <sheetName val="SE-C"/>
      <sheetName val="SE-P"/>
      <sheetName val="ICF-C"/>
      <sheetName val="DCF-C"/>
      <sheetName val="DCF-C_2003"/>
      <sheetName val="ICF-P"/>
      <sheetName val="Mutation CF"/>
      <sheetName val="Catatan-C"/>
      <sheetName val="Catatan-P"/>
      <sheetName val="Detail-C+P"/>
      <sheetName val="Combine Entries"/>
      <sheetName val="Consolidation Entries"/>
      <sheetName val="Investment-P"/>
      <sheetName val="Intercompany-C"/>
      <sheetName val="Intercompany-P"/>
      <sheetName val="FA-C"/>
      <sheetName val="FA-P"/>
      <sheetName val="Allowance-P"/>
      <sheetName val="Retained Earnings"/>
      <sheetName val="Rekon-Fiskal-BSU"/>
      <sheetName val="Tax Calculation up to 2004"/>
      <sheetName val="DIT - Up to 2004"/>
      <sheetName val="Fiscal Loss up to 2004"/>
      <sheetName val="Bank Loans-BSU"/>
      <sheetName val="Hutang Usaha-BSU"/>
      <sheetName val="Freeze+Resticted fund"/>
      <sheetName val="Foreign Currency-C"/>
      <sheetName val="Foreign Currency-P"/>
      <sheetName val="SE_C"/>
      <sheetName val="EQ "/>
      <sheetName val="WS 2007"/>
      <sheetName val="AJE 2007"/>
      <sheetName val="TAX 07 "/>
      <sheetName val="DEPR07"/>
      <sheetName val="WSCF07"/>
      <sheetName val="WSBS 05-ok"/>
      <sheetName val="BS-Pro WBS"/>
      <sheetName val="PL-Pro WSIS06"/>
      <sheetName val="WSIS 04"/>
      <sheetName val="WSBS 04"/>
      <sheetName val="WS 2005"/>
      <sheetName val="WS 2006"/>
      <sheetName val="AJE 2006"/>
      <sheetName val="TAX 06"/>
      <sheetName val="TAX05"/>
      <sheetName val="DEPR05"/>
      <sheetName val="DEPR06"/>
      <sheetName val="WSCF06"/>
      <sheetName val="WSCF05"/>
      <sheetName val="WSBS 05_ok"/>
      <sheetName val="BS_Pro WBS"/>
      <sheetName val="PL_Pro WSIS06"/>
      <sheetName val="PAJE"/>
      <sheetName val="AREA 1"/>
      <sheetName val="AREA 2"/>
      <sheetName val="AREA 3"/>
      <sheetName val="DATA KPI"/>
      <sheetName val="REGION"/>
      <sheetName val="PERUMUSAN MSL "/>
      <sheetName val="DATA UNIT"/>
      <sheetName val="DATA VALUE"/>
      <sheetName val="AKUM-TB (2)"/>
      <sheetName val="AKUM-TB"/>
      <sheetName val="BTL"/>
      <sheetName val="Schedule Loan"/>
      <sheetName val="5200.15 Loan"/>
      <sheetName val="NSP-ANP"/>
      <sheetName val="Report Tax"/>
      <sheetName val="TPSF"/>
      <sheetName val="RJE TPSF"/>
      <sheetName val="PAJE TPSF "/>
      <sheetName val="WS2005"/>
      <sheetName val="TB 1205&amp;1206"/>
      <sheetName val="ELIMINASI"/>
      <sheetName val="Investasi"/>
      <sheetName val="WS Konsolidasi"/>
      <sheetName val="TPS"/>
      <sheetName val="Tax-TPS Solo"/>
      <sheetName val="CAJE TPS"/>
      <sheetName val="PAJE TPS"/>
      <sheetName val="RJE TPS"/>
      <sheetName val="5300.85 Foreign. AP"/>
      <sheetName val="WS2006 PBC"/>
      <sheetName val="LC"/>
      <sheetName val="MTN "/>
      <sheetName val="Reclass "/>
      <sheetName val="Cash Flow."/>
      <sheetName val="SKP-STP"/>
      <sheetName val="Mata Uang Asing."/>
      <sheetName val="Segment."/>
      <sheetName val="Struktur Perusahaan Anak"/>
      <sheetName val="LPE"/>
      <sheetName val="P&amp;L"/>
      <sheetName val="Kas&amp;Bank"/>
      <sheetName val="Inv JP"/>
      <sheetName val="Piutang Usaha"/>
      <sheetName val="Perikatan"/>
      <sheetName val="HutangBank"/>
      <sheetName val="Hut Obligasi"/>
      <sheetName val="Hut Usaha"/>
      <sheetName val="Pajak"/>
      <sheetName val="BMHD"/>
      <sheetName val="HSGU"/>
      <sheetName val="Pinj Jk Panjang"/>
      <sheetName val="Modal Saham"/>
      <sheetName val="Penjualan Bersih"/>
      <sheetName val="Pokok Penjualan"/>
      <sheetName val="Imbalan KErja"/>
      <sheetName val="BebabBunga"/>
      <sheetName val="Entitas Sepengendali"/>
      <sheetName val="EPS"/>
      <sheetName val="Rel PArties"/>
      <sheetName val="5100.00 Lead"/>
      <sheetName val="Konfirm leasing"/>
      <sheetName val="Cek Pembayaran Poko"/>
      <sheetName val="Lead 2"/>
      <sheetName val="SEP02"/>
      <sheetName val="AUG02"/>
      <sheetName val="Current"/>
      <sheetName val="NOV03"/>
      <sheetName val="OCT03"/>
      <sheetName val="SEP03"/>
      <sheetName val="AUG03"/>
      <sheetName val="DEC02"/>
      <sheetName val="NOV02"/>
      <sheetName val="OCT02"/>
      <sheetName val="Input_tables"/>
      <sheetName val="Benefit_Tab"/>
      <sheetName val="cALC"/>
      <sheetName val="PSC_Calc"/>
      <sheetName val="output"/>
      <sheetName val="summary_frm_output"/>
      <sheetName val="decr_table"/>
      <sheetName val="Data Karyawan"/>
      <sheetName val="JHT"/>
      <sheetName val="Payments"/>
      <sheetName val="Presentation1"/>
      <sheetName val="Lap Akturia 2004"/>
      <sheetName val="discl_present_gab"/>
      <sheetName val="AG_presntn"/>
      <sheetName val="GraphBen"/>
      <sheetName val="worksheet Actual"/>
      <sheetName val="worksheet Budget"/>
      <sheetName val="Analysis"/>
      <sheetName val="Present"/>
      <sheetName val="Assumption"/>
      <sheetName val="Insurance"/>
      <sheetName val="Throughput"/>
      <sheetName val="Revenue Trend"/>
      <sheetName val="Revenue"/>
      <sheetName val="FA-PELINDO"/>
      <sheetName val="FA-HTP"/>
      <sheetName val="Ass-Fiscal"/>
      <sheetName val="FA-HTP (Fiskal)"/>
      <sheetName val="Salary"/>
      <sheetName val="Material @"/>
      <sheetName val="Material"/>
      <sheetName val="Maintenance"/>
      <sheetName val="Rent"/>
      <sheetName val="Royalty"/>
      <sheetName val="Fin Stat"/>
      <sheetName val="Fin Pro 1"/>
      <sheetName val="Loan"/>
      <sheetName val="Fin Pro - HTP"/>
      <sheetName val="FA-HTP (Fiskal) (2)"/>
      <sheetName val="Depr - HTP (inl. cap interest)"/>
      <sheetName val="Depr Forex"/>
      <sheetName val="8_1 Bill_Collect Monthly"/>
      <sheetName val="Revenue Trend (XXX)"/>
      <sheetName val="FA-PELINDO (Koja)"/>
      <sheetName val="FA-HTP (Fiskal) "/>
      <sheetName val="Total Fiskal"/>
      <sheetName val="FA-HTP (Koja)"/>
      <sheetName val="FA-HTP (Komersial)"/>
      <sheetName val="FA-HTP (Komersial) (2)"/>
      <sheetName val="Total Komersial"/>
      <sheetName val="Perbandingan FA (XXX)"/>
      <sheetName val="Depr-Int (XXX)"/>
      <sheetName val="Material @ (XXX)"/>
      <sheetName val="Fin Pro 1 (XXX)"/>
      <sheetName val="Loan Schedule"/>
      <sheetName val="Income Tax "/>
      <sheetName val="Graph (XXX)"/>
      <sheetName val="Rescheduling"/>
      <sheetName val="1. Budget PL ASCO 2010"/>
      <sheetName val="2. Budget PL OPCO"/>
      <sheetName val="3. PL ASCO"/>
      <sheetName val="4. PL OPCO"/>
      <sheetName val="5.PL ASCO+OPCO"/>
      <sheetName val="6. PL LMIRT YTD"/>
      <sheetName val="6a.PL LMIRT-Current"/>
      <sheetName val="7a. BS"/>
      <sheetName val="7. BS LMIRT "/>
      <sheetName val="8a. Notes to BS"/>
      <sheetName val="Actual P&amp;L (Rp penuh)"/>
      <sheetName val="Actual Note to BS (Rp penuh)"/>
      <sheetName val="Actual BS  (Rp penuh)"/>
      <sheetName val="8. Notes to BS LMIRT "/>
      <sheetName val="9.Budget CF Asco+Opco"/>
      <sheetName val="9a.Budget CF Asco"/>
      <sheetName val="9b.Budget Opco"/>
      <sheetName val="10. CF Monhy"/>
      <sheetName val="11.CF YTD"/>
      <sheetName val="12. SecDep"/>
      <sheetName val="13. Interest SH"/>
      <sheetName val="14.Unrealised Exchg Diff"/>
      <sheetName val="15.Other Inc."/>
      <sheetName val="16. Int.Inc"/>
      <sheetName val="17.Misc exp."/>
      <sheetName val="18.Legal Exp"/>
      <sheetName val="19. Cash held"/>
      <sheetName val="20. Interest Remit"/>
      <sheetName val="1001"/>
      <sheetName val="1002"/>
      <sheetName val="1003"/>
      <sheetName val="1004"/>
      <sheetName val="1005"/>
      <sheetName val="1006"/>
      <sheetName val="1007"/>
      <sheetName val="1008"/>
      <sheetName val="1009"/>
      <sheetName val="1010"/>
      <sheetName val="NLPAWAL"/>
      <sheetName val="INDIKATOR (3)"/>
      <sheetName val="KOMP.INDKTR.KEU (3)"/>
      <sheetName val="JUAL AT"/>
      <sheetName val="BELI AT "/>
      <sheetName val="HP AT"/>
      <sheetName val="NLP "/>
      <sheetName val="RLP "/>
      <sheetName val="WS CF"/>
      <sheetName val="BUA"/>
      <sheetName val="PLL"/>
      <sheetName val="BLL"/>
      <sheetName val="DI"/>
      <sheetName val="PRW.05(10)"/>
      <sheetName val="PRW.06(21)"/>
      <sheetName val="PRW.07(15)"/>
      <sheetName val="EW.01A"/>
      <sheetName val="EW.01A(Rkp)"/>
      <sheetName val="EW.01B"/>
      <sheetName val="EW.01B(Rkp)"/>
      <sheetName val="EW.02"/>
      <sheetName val="Estm-HU"/>
      <sheetName val="Estm-Progres"/>
      <sheetName val="EW.02 (Rkp)"/>
      <sheetName val="EW.03"/>
      <sheetName val="DATA_2009"/>
      <sheetName val="RWD-02"/>
      <sheetName val="RWD-04"/>
      <sheetName val="tw 1"/>
      <sheetName val="tw 2"/>
      <sheetName val="tw 3"/>
      <sheetName val="tw 4"/>
      <sheetName val="barat"/>
      <sheetName val="tengah"/>
      <sheetName val="timur"/>
      <sheetName val="LN"/>
      <sheetName val="gedung"/>
      <sheetName val="sipil"/>
      <sheetName val="(Pusat TW1)"/>
      <sheetName val="(Pusat TW2)"/>
      <sheetName val="(Pusat TW3)"/>
      <sheetName val="(Pusat TW4)"/>
      <sheetName val="(Realisasi TW1)"/>
      <sheetName val="(proyekTW2)"/>
      <sheetName val="(proyekTW3)"/>
      <sheetName val="(proyekTW4"/>
      <sheetName val="tw1"/>
      <sheetName val="tw2"/>
      <sheetName val="tw3"/>
      <sheetName val="tw4"/>
      <sheetName val="tw4 (revisi)"/>
      <sheetName val="oret2an"/>
      <sheetName val="map"/>
      <sheetName val="rab"/>
      <sheetName val="railing"/>
      <sheetName val="anal-1-4"/>
      <sheetName val="anal-5"/>
      <sheetName val="anal-6"/>
      <sheetName val="61004"/>
      <sheetName val="61005"/>
      <sheetName val="61006"/>
      <sheetName val="61007"/>
      <sheetName val="61008"/>
      <sheetName val="mapp"/>
      <sheetName val="opow"/>
      <sheetName val="anal-1"/>
      <sheetName val="antek"/>
      <sheetName val="oret"/>
      <sheetName val="RKP-DKH"/>
      <sheetName val="DKH-BP07"/>
      <sheetName val="RKP-DKH-UPRT"/>
      <sheetName val="DKH-BP07-UPRT"/>
      <sheetName val="DKH-BP07C"/>
      <sheetName val="ANAL-2"/>
      <sheetName val="MOS"/>
      <sheetName val="PLANT"/>
      <sheetName val="MPU"/>
      <sheetName val="DAKON"/>
      <sheetName val="ap-12a"/>
      <sheetName val="ap-12b"/>
      <sheetName val="ap-12c"/>
      <sheetName val="DB"/>
      <sheetName val="RKPANAL"/>
      <sheetName val="TANYA"/>
      <sheetName val="BREAKSTRUKTUR"/>
      <sheetName val="TEST"/>
      <sheetName val="ANALBETON"/>
      <sheetName val="teknis"/>
      <sheetName val="s-curve BP05 (7)"/>
      <sheetName val="s-curve BP05 (6)"/>
      <sheetName val="s-curve BP05 (5)"/>
      <sheetName val="s-curve BP05A"/>
      <sheetName val="s-curve BP05A (yg dipakai)"/>
      <sheetName val="Alat BP05A"/>
      <sheetName val="Rekap Biaya"/>
      <sheetName val="Kuantitas &amp; Harga"/>
      <sheetName val="%"/>
      <sheetName val="Ranking %"/>
      <sheetName val="rkp-map"/>
      <sheetName val="map-jo-koreksi"/>
      <sheetName val="evaluasi"/>
      <sheetName val="map-jo"/>
      <sheetName val="sepakat"/>
      <sheetName val="rkp2"/>
      <sheetName val="LAIN"/>
      <sheetName val="ANTEK-1"/>
      <sheetName val="ANTEK-2"/>
      <sheetName val="ANTEK3"/>
      <sheetName val="IDC"/>
      <sheetName val="RIGID"/>
      <sheetName val="RKP-DB"/>
      <sheetName val="DASBOARD"/>
      <sheetName val="ANAL-MPU"/>
      <sheetName val="RAB-EIB40"/>
      <sheetName val="RAB-EIB39"/>
      <sheetName val="RAB-EIB38"/>
      <sheetName val="RAB-EIB37"/>
      <sheetName val="ANLS-40"/>
      <sheetName val="ANLS-39"/>
      <sheetName val="ANLS-38"/>
      <sheetName val="ANLS-37"/>
      <sheetName val="HS-DASAR"/>
      <sheetName val="RKP-BOQ"/>
      <sheetName val="DAFT-MPU"/>
      <sheetName val="SUBKONT"/>
      <sheetName val="LAMP-6a"/>
      <sheetName val="LAMP-8"/>
      <sheetName val="LAMP-13"/>
      <sheetName val="ANAL-TEKNIK"/>
      <sheetName val="PROD-ALAT"/>
      <sheetName val="PROD-ALAT2"/>
      <sheetName val="REKAPALAT"/>
      <sheetName val="SKDL-ALAT"/>
      <sheetName val="DFTR-ALAT"/>
      <sheetName val="RKP"/>
      <sheetName val="ANAL"/>
      <sheetName val="RKP-ANAL"/>
      <sheetName val="SKDL"/>
      <sheetName val="basic"/>
      <sheetName val="ALAT"/>
      <sheetName val="data-1"/>
      <sheetName val="data-2"/>
      <sheetName val="simak"/>
      <sheetName val="RECORD"/>
      <sheetName val="anal-mob"/>
      <sheetName val="div7-1"/>
      <sheetName val="div7-2"/>
      <sheetName val="dt-1"/>
      <sheetName val="dt-2"/>
      <sheetName val="dt-3"/>
      <sheetName val="dt-5"/>
      <sheetName val="RAB-HUSEIN"/>
      <sheetName val="DKH"/>
      <sheetName val="APP-12"/>
      <sheetName val="APP-12b"/>
      <sheetName val="APP-12c"/>
      <sheetName val="GANTI"/>
      <sheetName val="coba"/>
      <sheetName val="DASHBOARD"/>
      <sheetName val="Penawaran"/>
      <sheetName val="JO"/>
      <sheetName val="Kuant&amp;Harga"/>
      <sheetName val="Har Sat"/>
      <sheetName val="lamp1"/>
      <sheetName val="lamp2"/>
      <sheetName val="lamp3a"/>
      <sheetName val="lamp4ae"/>
      <sheetName val="Lamp5"/>
      <sheetName val="LAMP7"/>
      <sheetName val="Metoda"/>
      <sheetName val="CV Teknik"/>
      <sheetName val="Struk Org Proy"/>
      <sheetName val="DafPerson"/>
      <sheetName val="604"/>
      <sheetName val="605"/>
      <sheetName val="606"/>
      <sheetName val="H-SAT"/>
      <sheetName val="610.04"/>
      <sheetName val="610.05"/>
      <sheetName val="610.06"/>
      <sheetName val="610.07A"/>
      <sheetName val="610.08"/>
      <sheetName val="Angkut material"/>
      <sheetName val="Metode"/>
      <sheetName val="BAU"/>
      <sheetName val="Rupa2"/>
      <sheetName val="Bank"/>
      <sheetName val="Gaji"/>
      <sheetName val="Allowance"/>
      <sheetName val="SPJ"/>
      <sheetName val="Galian Biasa"/>
      <sheetName val="Galian batu"/>
      <sheetName val="Urugan biasa"/>
      <sheetName val="stripping"/>
      <sheetName val="Urugan pilihan"/>
      <sheetName val="Trans Agg"/>
      <sheetName val="Hotmix 4 cm"/>
      <sheetName val="Hotmix 5 cm"/>
      <sheetName val="Hotmix 6 cm"/>
      <sheetName val="ANA-ALAT"/>
      <sheetName val="DBoard"/>
      <sheetName val="BD_Alat"/>
      <sheetName val="An_Alat"/>
      <sheetName val="EFGH"/>
      <sheetName val="610.07B"/>
      <sheetName val="Rekapitulasi"/>
      <sheetName val="Mobilisasi"/>
      <sheetName val="LAB"/>
      <sheetName val="An Teknis"/>
      <sheetName val="Detour"/>
      <sheetName val="Rambu"/>
      <sheetName val="Major"/>
      <sheetName val="SCH"/>
      <sheetName val="Alat2"/>
      <sheetName val="PP2"/>
      <sheetName val="BAU2"/>
      <sheetName val="Rupa22"/>
      <sheetName val="Bank2"/>
      <sheetName val="Rekap Volume"/>
      <sheetName val="2ktr"/>
      <sheetName val="4ktr"/>
      <sheetName val="5ktr"/>
      <sheetName val="6ktr"/>
      <sheetName val="7ktr"/>
      <sheetName val="2A"/>
      <sheetName val="3A"/>
      <sheetName val="4A"/>
      <sheetName val="5A"/>
      <sheetName val="6A"/>
      <sheetName val="7A"/>
      <sheetName val="2B"/>
      <sheetName val="4B"/>
      <sheetName val="5B"/>
      <sheetName val="6B"/>
      <sheetName val="7B"/>
      <sheetName val="2C"/>
      <sheetName val="4C"/>
      <sheetName val="5C"/>
      <sheetName val="6C"/>
      <sheetName val="7C"/>
      <sheetName val="PriceList"/>
      <sheetName val="AnaBahan"/>
      <sheetName val="DEDI"/>
      <sheetName val="Catatan"/>
      <sheetName val="Jadwal"/>
      <sheetName val="TDR"/>
      <sheetName val="REKAP-MAP"/>
      <sheetName val="PKT-III-1"/>
      <sheetName val="RKP-JEMB"/>
      <sheetName val="RAB-JEMB"/>
      <sheetName val="ANAL_bab_1"/>
      <sheetName val="UM31_jln"/>
      <sheetName val="ANAL_jln"/>
      <sheetName val="UM31_jembt"/>
      <sheetName val="ANAL_jembt"/>
      <sheetName val="HS-1"/>
      <sheetName val="CIREBON"/>
      <sheetName val="Bandung"/>
      <sheetName val="BS BPKP"/>
      <sheetName val="PL BPKP"/>
      <sheetName val="ACC_CODE"/>
      <sheetName val="Saldo Awal"/>
      <sheetName val="Nop"/>
      <sheetName val="Des"/>
      <sheetName val="Jurnal 2005"/>
      <sheetName val="Subtotal Akun"/>
      <sheetName val="Worksheet 2005"/>
      <sheetName val="Palopo Bermasalah"/>
      <sheetName val="Pere -Pare  Bermasalah"/>
      <sheetName val="Rekap Ptg"/>
      <sheetName val="Rincian Piutang"/>
      <sheetName val="Rekap Piutang Rincian"/>
      <sheetName val="Kode Nasabah"/>
      <sheetName val="Kumpul"/>
      <sheetName val="Data Sumber"/>
      <sheetName val="Rekap Piutang"/>
      <sheetName val="Rekap %"/>
      <sheetName val="Rekap Perwil"/>
      <sheetName val="Rkap"/>
      <sheetName val="Rekap Piutang Wil"/>
      <sheetName val="Rekap % 1"/>
      <sheetName val="% PaK Hsn"/>
      <sheetName val="Rkap (2)"/>
      <sheetName val="Rekap Piut"/>
      <sheetName val="Rekap2"/>
      <sheetName val="D Isi"/>
      <sheetName val="Targer &amp; Realisasi Penjualan"/>
      <sheetName val="Rencan &amp; Realisasi"/>
      <sheetName val="Perbandingan Penjualan"/>
      <sheetName val="Perbandinga Perbulan"/>
      <sheetName val="Realisasi Jual"/>
      <sheetName val="Ren Jual"/>
      <sheetName val="Analisa Cash &amp; Kredit"/>
      <sheetName val="Rekap posisi Piutang"/>
      <sheetName val="Transfer"/>
      <sheetName val="Rencana &amp; Realisasi Cash In"/>
      <sheetName val="REKAP PEND. NON OP &amp; BIA N AJUS"/>
      <sheetName val="REKAP BIAYA OPERASIONAL AJUST"/>
      <sheetName val="REKAP HPP AJUST"/>
      <sheetName val="REKAP LABA RUGI AJUST"/>
      <sheetName val="LABA RUGI WILAYAH AJUST"/>
      <sheetName val="LABA RUGI CETAK"/>
      <sheetName val="PERBANDINAGN 2001 2002"/>
      <sheetName val="GRAFIK PERCABANG AJUST"/>
      <sheetName val="GRAFIK PERCABANG"/>
      <sheetName val="GRAFIK PERBULAN AJUST"/>
      <sheetName val="GRAFIK PERBULAN"/>
      <sheetName val="REKAP PERBULAN AJUST"/>
      <sheetName val="REKAP PERCABANG AJUST"/>
      <sheetName val="REKAP BULAN BERJALAN AJUST"/>
      <sheetName val="REKAP BAHAN RAPAT KWARTAL I"/>
      <sheetName val="BAHAN RAPAT KWARTAL I"/>
      <sheetName val="SUL SEL KAMAL"/>
      <sheetName val="SUL SEL ARDI"/>
      <sheetName val="KOLAKA"/>
      <sheetName val="KENDARI"/>
      <sheetName val="MANADO"/>
      <sheetName val="GORONTALO"/>
      <sheetName val="SAMARINDA"/>
      <sheetName val="BALIKPAPAN"/>
      <sheetName val="BANYUWANGI"/>
      <sheetName val="SURABAYA setelah di ajust"/>
      <sheetName val="SURABAYA"/>
      <sheetName val="JAKARTA setelah di ajust"/>
      <sheetName val="DENPASAR"/>
      <sheetName val="SALES 04"/>
      <sheetName val="chemcal"/>
      <sheetName val="gasses"/>
      <sheetName val="fuel"/>
      <sheetName val="lubricant"/>
      <sheetName val="blasting"/>
      <sheetName val="welding"/>
      <sheetName val="fire brick"/>
      <sheetName val="building maint"/>
      <sheetName val="infrastructure"/>
      <sheetName val="machinery maint"/>
      <sheetName val="mm"/>
      <sheetName val="heavy eq. maint"/>
      <sheetName val="hem"/>
      <sheetName val="tools maint"/>
      <sheetName val="vehicle maint"/>
      <sheetName val="elect.maint"/>
      <sheetName val="laboratory eq. main"/>
      <sheetName val="factory off.sup.maint"/>
      <sheetName val="external serv.maint"/>
      <sheetName val="factory suplies"/>
      <sheetName val="book, magazine "/>
      <sheetName val="fotocopy"/>
      <sheetName val="document mailing exp."/>
      <sheetName val="power consp."/>
      <sheetName val="factory comp. sup"/>
      <sheetName val="office suplies exp."/>
      <sheetName val="meeting exp."/>
      <sheetName val="catering "/>
      <sheetName val="transportation"/>
      <sheetName val="goods delivery exp."/>
      <sheetName val="foreign domestic"/>
      <sheetName val="quality control exp"/>
      <sheetName val="depletion"/>
      <sheetName val="amortisasi"/>
      <sheetName val="minig contri"/>
      <sheetName val="HE cost "/>
      <sheetName val="miscellaneous"/>
      <sheetName val="development exp"/>
      <sheetName val="printing"/>
      <sheetName val="register tambang"/>
      <sheetName val="refreshing &amp; sport"/>
      <sheetName val="f01"/>
      <sheetName val="MH CIVIL"/>
      <sheetName val="20"/>
      <sheetName val="22"/>
      <sheetName val="23"/>
      <sheetName val="24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_1"/>
      <sheetName val="36_2"/>
      <sheetName val="36_3"/>
      <sheetName val="36_4"/>
      <sheetName val="37"/>
      <sheetName val="38"/>
      <sheetName val="41"/>
      <sheetName val="42"/>
      <sheetName val="43"/>
      <sheetName val="44"/>
      <sheetName val="45"/>
      <sheetName val="46"/>
      <sheetName val="49"/>
      <sheetName val="51"/>
      <sheetName val="52"/>
      <sheetName val="53 "/>
      <sheetName val="54"/>
      <sheetName val="61"/>
      <sheetName val="62"/>
      <sheetName val="63"/>
      <sheetName val="64_1"/>
      <sheetName val="64_2"/>
      <sheetName val="64_3"/>
      <sheetName val="64_4"/>
      <sheetName val="64_5"/>
      <sheetName val="64_6"/>
      <sheetName val="64_14"/>
      <sheetName val="CRA-Detail"/>
      <sheetName val="Control Risk Aspects"/>
      <sheetName val="Customize Work Program"/>
      <sheetName val="CRA-Det"/>
      <sheetName val="Marshal"/>
      <sheetName val="attachment"/>
      <sheetName val="Loss recap"/>
      <sheetName val="Depr"/>
      <sheetName val="Data Per 19 Mei 2005"/>
      <sheetName val="SILICATE"/>
      <sheetName val="Sum Jan - Aug (New)"/>
      <sheetName val="Projected Gross Profit Vanemei "/>
      <sheetName val="Sum Jan - Aug (Old)"/>
      <sheetName val="Individual Gross Profit J - Aug"/>
      <sheetName val="PROFIT-LOSS"/>
      <sheetName val="COMP.ASSUMPTION"/>
      <sheetName val="Summ-Jan - Jun 2005"/>
      <sheetName val="Summ-GP"/>
      <sheetName val="Historical Vanamei Cost"/>
      <sheetName val="MASTER"/>
      <sheetName val="Nt"/>
      <sheetName val="Sensitivity-Analysis"/>
      <sheetName val="DES'03"/>
      <sheetName val="PL-FARM-MON"/>
      <sheetName val="PL-FARM-VAN"/>
      <sheetName val="PL-FARM-MON (NIAGA)"/>
      <sheetName val="PL-FARM-VAN (NIAGA)"/>
      <sheetName val="PL-CSD"/>
      <sheetName val="Profit-Loss-xx1"/>
      <sheetName val="PL-CSD-JAN-DEC"/>
      <sheetName val="CAPEX-1"/>
      <sheetName val="Intrst+Man Fee-xx1"/>
      <sheetName val="Cash Flow-xx1"/>
      <sheetName val="TR_Coll-xx1"/>
      <sheetName val="TP-xx1"/>
      <sheetName val="Sales-xx1"/>
      <sheetName val="Cost-Rm-Csd-CONV"/>
      <sheetName val="Cost-xx1"/>
      <sheetName val="JURNAL-xx1"/>
      <sheetName val="BS-xx1"/>
      <sheetName val="&lt;&lt;&gt;&gt;"/>
      <sheetName val="  Analisa_Ratio"/>
      <sheetName val="DEPOSITO-ALOC"/>
      <sheetName val="Gain-(Loss)-Forex"/>
      <sheetName val="Forex-Journal-xx1"/>
      <sheetName val="Sch.CB-Niaga"/>
      <sheetName val="TR A (36Jt)"/>
      <sheetName val="Sch.CB-Prima"/>
      <sheetName val="Loan Payment-2003"/>
      <sheetName val="Loan Payment-2004"/>
      <sheetName val="Non Cash Exp"/>
      <sheetName val="Total-Pond-Mon-Van"/>
      <sheetName val="Farmer-Pond-Monodon"/>
      <sheetName val="Farmer-Pond-Vannamei"/>
      <sheetName val="Company-Pond-Monodon"/>
      <sheetName val="Company-Pond-Vannamei"/>
      <sheetName val="Target &amp; Budget 2 Year"/>
      <sheetName val="Budget Categories"/>
      <sheetName val="Budget Categories (2)"/>
      <sheetName val="Management  "/>
      <sheetName val="M &amp; E"/>
      <sheetName val="Technical Assistant  "/>
      <sheetName val="PSM"/>
      <sheetName val=" Central Level"/>
      <sheetName val="Unit Cost"/>
      <sheetName val="Unit Cost Advisory Team"/>
      <sheetName val="Definitions"/>
      <sheetName val="National"/>
      <sheetName val="DKI JAKARTA2 (2)"/>
      <sheetName val="SOUTH SUM2 (2)"/>
      <sheetName val="RIAU ISLAND2 (2)"/>
      <sheetName val="RIAU2 (2)"/>
      <sheetName val="NORTH SUM (2)"/>
      <sheetName val="WEST PAPUA2 (2)"/>
      <sheetName val="PAPUA2 (2)"/>
      <sheetName val="SOUTH SUL2 (2)"/>
      <sheetName val="BALI2 (2)"/>
      <sheetName val="EAST JAVA2 (2)"/>
      <sheetName val="CENTRAL JAVA2 (2)"/>
      <sheetName val="WEST JAVA2 (2)"/>
      <sheetName val="Technical Assistant"/>
      <sheetName val="Management"/>
      <sheetName val="M&amp;E"/>
      <sheetName val="Community Outreach"/>
      <sheetName val="TA"/>
      <sheetName val="Village"/>
      <sheetName val="Detail Budget Per Year"/>
      <sheetName val="bayar_04_fak"/>
      <sheetName val="bayar_04_cus"/>
      <sheetName val="Oracle"/>
      <sheetName val="EFECTIF"/>
      <sheetName val="RMS-PENSIUN"/>
      <sheetName val="RMS - STR"/>
      <sheetName val="Rekap Stru"/>
      <sheetName val="Rek Stru2"/>
      <sheetName val="struktur"/>
      <sheetName val="RMS FUNGSIONAL"/>
      <sheetName val="rek fung2"/>
      <sheetName val="fungsional"/>
      <sheetName val="rek"/>
      <sheetName val="non rek"/>
      <sheetName val="rek2"/>
      <sheetName val="non rek2"/>
      <sheetName val="rek2 (2)"/>
      <sheetName val="Lead"/>
      <sheetName val="Links"/>
      <sheetName val="Tickmarks"/>
      <sheetName val="S.26"/>
      <sheetName val="S.26.1"/>
      <sheetName val="S.26.2"/>
      <sheetName val="S.26.3"/>
      <sheetName val="S.26.4"/>
      <sheetName val="S.26.5"/>
      <sheetName val="S.26.6"/>
      <sheetName val="S.26.7"/>
      <sheetName val="Rekap SPT Pembetulan"/>
      <sheetName val="Mei"/>
      <sheetName val="Juni"/>
      <sheetName val="P.Afl0608"/>
      <sheetName val="P.Afl0508"/>
      <sheetName val="H.Ans.Kend"/>
      <sheetName val="BOQ FORM FOR INQUIRY"/>
      <sheetName val="FORM OF PROPOSAL RFP-003"/>
      <sheetName val="合成単価作成表-BLDG"/>
      <sheetName val="뜃맟뭁돽띿맟?-BLDG"/>
      <sheetName val="合成??作成表-BLDG"/>
      <sheetName val="崌惉扨壙嶌惉?-BLDG"/>
      <sheetName val="??-BLDG"/>
      <sheetName val="?-BLDG"/>
      <sheetName val="‡¬’P‰¿ì¬?-BLDG"/>
      <sheetName val="合成単価作成表_BLDG"/>
      <sheetName val="GONDOLA"/>
      <sheetName val="PEK.TAMBAH KURANG"/>
      <sheetName val="BIAYA CADANGAN"/>
      <sheetName val="REKAPITULASI AKHIR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K.TambahAC"/>
      <sheetName val="FH"/>
      <sheetName val="K.TambahFH"/>
      <sheetName val="valve 16k"/>
      <sheetName val="ASS-PL"/>
      <sheetName val="Fitting"/>
      <sheetName val="ELEKTRIKAL"/>
      <sheetName val="Dafmat"/>
      <sheetName val="Pompa"/>
      <sheetName val="Ven Fan"/>
      <sheetName val="valve-20k"/>
      <sheetName val="valve-10k"/>
      <sheetName val="I_KAMAR"/>
      <sheetName val="PLB-Basement 2.8.2-R1"/>
      <sheetName val="Div2"/>
      <sheetName val="Div4"/>
      <sheetName val="Div5"/>
      <sheetName val="Div6"/>
      <sheetName val="Div8"/>
      <sheetName val="Div9"/>
      <sheetName val="CIKARANG"/>
      <sheetName val="CIBITUNG"/>
      <sheetName val="KARAWANG A&amp;B"/>
      <sheetName val="KARAWANG D&amp;E"/>
      <sheetName val="Area"/>
      <sheetName val="KAP1"/>
      <sheetName val="KAP2"/>
      <sheetName val="Ach aging"/>
      <sheetName val="Sby Aging"/>
      <sheetName val="cbt aging"/>
      <sheetName val="retensi cbt"/>
      <sheetName val="Piutang_aging"/>
      <sheetName val="Ach institusi"/>
      <sheetName val="Cbt Institusi"/>
      <sheetName val="Sby Institusi"/>
      <sheetName val="Piutang_institusi 1"/>
      <sheetName val="COLLECTION PERIOD"/>
      <sheetName val="CF Ach"/>
      <sheetName val="CF Sby"/>
      <sheetName val="CF Cbt"/>
      <sheetName val="CF Ktr Unit"/>
      <sheetName val="KONSOLIDASI CF PLANT"/>
      <sheetName val="PERFORMANCE KEU"/>
      <sheetName val="Monitoring Hutang"/>
      <sheetName val="Pemetaan piutang Aceh"/>
      <sheetName val="Pemetaan Piutang Sby"/>
      <sheetName val="Pemetaan Piutang Cbt"/>
      <sheetName val="Action plant"/>
      <sheetName val="Pemetaan Piutang"/>
      <sheetName val="Eval Piut Nrc 2010"/>
      <sheetName val="Cbt Produk"/>
      <sheetName val="Ach Product"/>
      <sheetName val="Sby Product"/>
      <sheetName val="Piutang_Product"/>
      <sheetName val="CF UNIT"/>
      <sheetName val="Piutang bermslh Ach"/>
      <sheetName val="Piutang Bermslh Sby"/>
      <sheetName val="Piutang Bermslh cbt"/>
      <sheetName val="CC PRESLAB"/>
      <sheetName val="EVA"/>
      <sheetName val="SRT PENAWARAN"/>
      <sheetName val="uraian kuantitas"/>
      <sheetName val="Jadual dok"/>
      <sheetName val="Analisa Mob"/>
      <sheetName val="Analisa Harsat"/>
      <sheetName val="DMP-Utama"/>
      <sheetName val="SubKontrak"/>
      <sheetName val="Check List"/>
      <sheetName val="Pembatas"/>
      <sheetName val="CC VOIDED"/>
      <sheetName val="R-45B"/>
      <sheetName val="REKAP RAB"/>
      <sheetName val="Rekap (2)"/>
      <sheetName val="CC SP LA CITY"/>
      <sheetName val="CC TP "/>
      <sheetName val="1. ASUMSI"/>
      <sheetName val="2. TABULASI"/>
      <sheetName val="Dashboard Sales &amp; Laba"/>
      <sheetName val="Grafik Sales"/>
      <sheetName val="Grafik Laba"/>
      <sheetName val="Kapasitas Prod. Slab"/>
      <sheetName val="Analisa Biaya"/>
      <sheetName val="INVEST ALAT"/>
      <sheetName val="SCHEDULE ALAT"/>
      <sheetName val="Siklus Prod"/>
      <sheetName val="3. B"/>
      <sheetName val="4. ASUKI"/>
      <sheetName val="5.SALES BIAYA LR"/>
      <sheetName val="6.PRC-BEAM"/>
      <sheetName val="7.PRC-PILE"/>
      <sheetName val="8.PRC- SLAB &amp; LAIN"/>
      <sheetName val="9.PRC-BATCHING PLANT"/>
      <sheetName val="9A.PRC-BATCHING PLANT"/>
      <sheetName val="9B.PRC-BATCHING PLANT"/>
      <sheetName val="10.PRC-PLANT"/>
      <sheetName val="7.Dashboard"/>
      <sheetName val="8.SIMULASI CASH IN"/>
      <sheetName val="9.CASHFLOW"/>
      <sheetName val="10.PIUTANG"/>
      <sheetName val="11.NERACA"/>
      <sheetName val="BU"/>
      <sheetName val="Sar1"/>
      <sheetName val="Sar2"/>
      <sheetName val="Sales1"/>
      <sheetName val="Sales2"/>
      <sheetName val="SDM1"/>
      <sheetName val="SDM2"/>
      <sheetName val="SDM3"/>
      <sheetName val="SDM4"/>
      <sheetName val="INV1"/>
      <sheetName val="INV2"/>
      <sheetName val="INV2a"/>
      <sheetName val="INV3"/>
      <sheetName val="INV4"/>
      <sheetName val="Biaya HSO"/>
      <sheetName val="CC GIRDER "/>
      <sheetName val="Per Kontrak"/>
      <sheetName val="Perb Rnc &amp; Real Kon"/>
      <sheetName val="Perolehan 2007"/>
      <sheetName val="Perolehan 2008 s d akhir tahun"/>
      <sheetName val="L R"/>
      <sheetName val="Komp Piut"/>
      <sheetName val="REKAP RENCANA 2010"/>
      <sheetName val="BU 2010"/>
      <sheetName val="ANALISA 2010"/>
      <sheetName val="Cash Out Proyek 2010"/>
      <sheetName val="Cash Out Carry Over 2009"/>
      <sheetName val="BU 2009"/>
      <sheetName val="KomBiproject"/>
      <sheetName val="form cf unit"/>
      <sheetName val="Sumber Dana"/>
      <sheetName val="Real CF"/>
      <sheetName val="table"/>
      <sheetName val="Plafon MK"/>
      <sheetName val="Piut 07"/>
      <sheetName val="Umur Piut"/>
      <sheetName val="FCs_dDES08"/>
      <sheetName val="reAL KONT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FF"/>
      <sheetName val="MAIN"/>
      <sheetName val="BOLT-DATA"/>
      <sheetName val="BOLT"/>
      <sheetName val="Resume (2)"/>
      <sheetName val="PrelimStruktur"/>
      <sheetName val="H. Prelimstruktur"/>
      <sheetName val="Substruktur"/>
      <sheetName val="H.Struktur"/>
      <sheetName val="PrelimFinishing"/>
      <sheetName val="H. PrelimFinishing"/>
      <sheetName val="H.Finishing"/>
      <sheetName val="analisa harga satuan"/>
      <sheetName val="Floor"/>
      <sheetName val="Wall"/>
      <sheetName val="Door"/>
      <sheetName val="Plafond"/>
      <sheetName val="Roof"/>
      <sheetName val="Sanitair"/>
      <sheetName val="Luasanlantai"/>
      <sheetName val="LuasanDinding"/>
      <sheetName val="VolBeton"/>
      <sheetName val="LuasBegisting"/>
      <sheetName val="Pembesian"/>
      <sheetName val="Rekapi"/>
      <sheetName val="AHS"/>
      <sheetName val="Bul"/>
      <sheetName val="Upah1"/>
      <sheetName val="Bang A"/>
      <sheetName val="Bang B"/>
      <sheetName val="Sarana"/>
      <sheetName val="Asrama"/>
      <sheetName val="Utility"/>
      <sheetName val="Kamar"/>
      <sheetName val="WI"/>
      <sheetName val="Kuantitas"/>
      <sheetName val="Anl-Mob"/>
      <sheetName val="Analisa Sat"/>
      <sheetName val="On Site"/>
      <sheetName val="Susunan"/>
      <sheetName val="Personil"/>
      <sheetName val="Instruksi"/>
      <sheetName val="Skedul"/>
      <sheetName val="Sub-Kontrak"/>
      <sheetName val="Bahan LN"/>
      <sheetName val="S-Penawaran (2)"/>
      <sheetName val="Skedul "/>
      <sheetName val="Harga Satuan"/>
      <sheetName val="DMPU"/>
      <sheetName val="Analisa Harga"/>
      <sheetName val="Met Ag A B"/>
      <sheetName val="met Besi dan bajaPas Sal"/>
      <sheetName val="Sekat"/>
      <sheetName val="Analisa Alat"/>
      <sheetName val="Jadual"/>
      <sheetName val="Harga Satuan "/>
      <sheetName val="dt  personalia"/>
      <sheetName val="S-Penawaran"/>
      <sheetName val="cv jam"/>
      <sheetName val="2. cv srtpen (2)"/>
      <sheetName val="dafkuan"/>
      <sheetName val="Jadpel"/>
      <sheetName val="Analisa DMPU"/>
      <sheetName val="Harsat Bahan&amp;Upah"/>
      <sheetName val="harsatAlat"/>
      <sheetName val="Metoda Lataston"/>
      <sheetName val="Metode Perekat"/>
      <sheetName val="Metode Beton"/>
      <sheetName val="Metode Pas Batu"/>
      <sheetName val="lumsum"/>
      <sheetName val="DAFALAT"/>
      <sheetName val="dafper"/>
      <sheetName val="dafusul"/>
      <sheetName val="2. cv srtpen"/>
      <sheetName val="2. cv srtpen (3)"/>
      <sheetName val="Analisa Mobilisasi (3)"/>
      <sheetName val="Cover "/>
      <sheetName val="Peta"/>
      <sheetName val="Analisa Mobilisasi"/>
      <sheetName val="Analisa Mobilisasi (2)"/>
      <sheetName val="Analisa Harga MPU"/>
      <sheetName val="Kamus"/>
      <sheetName val="B _ Norelec"/>
      <sheetName val="PLB"/>
      <sheetName val="VAC "/>
      <sheetName val="LIS"/>
      <sheetName val="EF "/>
      <sheetName val="TLP&amp;DATA "/>
      <sheetName val="SS&amp;MATV"/>
      <sheetName val="AHS- AC"/>
      <sheetName val="AHS-EE"/>
      <sheetName val="AHS-EL"/>
      <sheetName val="ahs-pipa"/>
      <sheetName val="ahs-Gate Valve "/>
      <sheetName val="RekapITULASI "/>
      <sheetName val="Rekap_Persiapan"/>
      <sheetName val="Persiapan"/>
      <sheetName val="Rekap_Total Struktur"/>
      <sheetName val="PONDASI"/>
      <sheetName val="Rekap_Struktur Atas"/>
      <sheetName val="STRUKTUR ATAS"/>
      <sheetName val="Rekap_Struktur GWT, STP"/>
      <sheetName val="GWT, STP"/>
      <sheetName val="TAMBAH KURANG"/>
      <sheetName val="Grand Sumarry"/>
      <sheetName val="Rough CP Aceh Trade Mall"/>
      <sheetName val="Galian LW RV.01"/>
      <sheetName val="Rekap Pile Cap"/>
      <sheetName val="Rekap Pit Life"/>
      <sheetName val="Rekap Plat"/>
      <sheetName val="Rekap Balok"/>
      <sheetName val="Rekap Colom Rasio (190)"/>
      <sheetName val="Rekap Tangga"/>
      <sheetName val="Luas Bangnn poltek"/>
      <sheetName val="VOL BESI"/>
      <sheetName val="VOL CUT &amp; FILL"/>
      <sheetName val="VOL IRONMNGRY"/>
      <sheetName val="VOL BAK SAMPAH"/>
      <sheetName val="VOL-GUEST HOUSE,GENSET&amp;POSJAGA"/>
      <sheetName val="VOL STRUKTUR &amp; ARSITEKTUR "/>
      <sheetName val="ANALISA SNI"/>
      <sheetName val="Analisa jalan"/>
      <sheetName val="Analisa non standar"/>
      <sheetName val="Analisa Pintu"/>
      <sheetName val="Analisa Preliminary "/>
      <sheetName val="PRELIM"/>
      <sheetName val="ASRAMA (C)"/>
      <sheetName val="REKTORAT (A)"/>
      <sheetName val="WORKSHOP (H)"/>
      <sheetName val="GENSET,POMPA &amp; GROUNDTANK (K)"/>
      <sheetName val="R.KOMPRESOR"/>
      <sheetName val="POS JAGA"/>
      <sheetName val="SITE"/>
      <sheetName val="harga sat.bhn"/>
      <sheetName val="analisa bhn&amp;upah"/>
      <sheetName val="tt-suara"/>
      <sheetName val="telp"/>
      <sheetName val="tt-udr"/>
      <sheetName val="hdrant"/>
      <sheetName val="REKAP CIVIL &amp; ME"/>
      <sheetName val="000000"/>
      <sheetName val="DataTeknis"/>
      <sheetName val="Hit. zone"/>
      <sheetName val="Luas Gedung"/>
      <sheetName val="DataPersonil"/>
      <sheetName val="DataPersiapan"/>
      <sheetName val="DataToilet"/>
      <sheetName val="AnalisaScafolding"/>
      <sheetName val="DataShoring"/>
      <sheetName val="DataAlat"/>
      <sheetName val="Rinci alat"/>
      <sheetName val="ATK"/>
      <sheetName val="Perlengkapan ktr"/>
      <sheetName val="Bea Lap"/>
      <sheetName val="Lain2"/>
      <sheetName val="Safety_QC"/>
      <sheetName val="Provisi"/>
      <sheetName val="Resiko Manajemen"/>
      <sheetName val="Rekap "/>
      <sheetName val="Termin "/>
      <sheetName val="Prelim versi Fidic davis langd"/>
      <sheetName val="Penjumlahan"/>
      <sheetName val="Cover depan"/>
      <sheetName val="cover(PJML)"/>
      <sheetName val="Cover (1)"/>
      <sheetName val="Cover (2)"/>
      <sheetName val="Cover (3)"/>
      <sheetName val="COVER (4)"/>
      <sheetName val="CAT_HRG"/>
      <sheetName val="Bag_1"/>
      <sheetName val="DAF_1"/>
      <sheetName val="DAF_2 "/>
      <sheetName val="DAF_3"/>
      <sheetName val="DAF_4"/>
      <sheetName val="DAF_5"/>
      <sheetName val="DAF_ 6"/>
      <sheetName val="DAFTAR 7"/>
      <sheetName val="DAFTAR_8"/>
      <sheetName val="DAFTAR_9"/>
      <sheetName val="DAFTAR_10"/>
      <sheetName val="DAFTAR_11"/>
      <sheetName val="Daf___"/>
      <sheetName val="Add ME"/>
      <sheetName val="LIST MATERIAL REV"/>
      <sheetName val="Bag_III"/>
      <sheetName val="Bag_IV"/>
      <sheetName val="ana"/>
      <sheetName val="u"/>
      <sheetName val="b"/>
      <sheetName val="s"/>
      <sheetName val="DAF-6"/>
      <sheetName val="DAF-7"/>
      <sheetName val="DAF-8"/>
      <sheetName val="DAF-9"/>
      <sheetName val="DAF-10"/>
      <sheetName val="DAF-11"/>
      <sheetName val="DataTeknis1"/>
      <sheetName val="Luas Gedung1"/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AGENDA"/>
      <sheetName val="LUAS LANTAI"/>
      <sheetName val="JUMLAH(3)"/>
      <sheetName val="JUMLAH(2)"/>
      <sheetName val="D2.1-Cover"/>
      <sheetName val="D2.1"/>
      <sheetName val="D2.2-Cover"/>
      <sheetName val="D2.2"/>
      <sheetName val="D3.1-Cover(MALL&amp;PARK)"/>
      <sheetName val="D3.1"/>
      <sheetName val="D3.2-Cover(LANDS)"/>
      <sheetName val="D3.2"/>
      <sheetName val="D3.3-Cover(T-A)"/>
      <sheetName val="D3.3"/>
      <sheetName val="D3.4-Cover(T-B)"/>
      <sheetName val="D3.4"/>
      <sheetName val="D3.5-Cover(T-C)"/>
      <sheetName val="D3.5"/>
      <sheetName val="D.3.6-Cover.BAJA"/>
      <sheetName val="D3.6"/>
      <sheetName val="2"/>
      <sheetName val="2.1"/>
      <sheetName val="2.2"/>
      <sheetName val="2.3"/>
      <sheetName val="2.4"/>
      <sheetName val="2.5A"/>
      <sheetName val="2.5B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Elekt"/>
      <sheetName val="SS"/>
      <sheetName val="MATV"/>
      <sheetName val="Elv"/>
      <sheetName val="Traf&amp;Genst"/>
      <sheetName val="DATA CENTER"/>
      <sheetName val="OFFICE 4 LT"/>
      <sheetName val="OFFICE 2 LT"/>
      <sheetName val="COV2.4 "/>
      <sheetName val="D2.4"/>
      <sheetName val="COV3.3"/>
      <sheetName val="COV4.3 "/>
      <sheetName val="D4.3 (TE)"/>
      <sheetName val="COV5.3"/>
      <sheetName val="D5.3 (TF) "/>
      <sheetName val="COV6.3"/>
      <sheetName val="D6.3 (TG)"/>
      <sheetName val="COV7.3"/>
      <sheetName val="D7.3 (TH)"/>
      <sheetName val="COV8.3"/>
      <sheetName val="D8.3 (TJ)"/>
      <sheetName val="COV9.3"/>
      <sheetName val="D9.3 (TK) "/>
      <sheetName val="COVER PLAFOND"/>
      <sheetName val="COVER BASEMEN"/>
      <sheetName val="D3.4.1"/>
      <sheetName val="COVER PODIUM"/>
      <sheetName val="D3.4.2"/>
      <sheetName val="COVER APARTEMEN"/>
      <sheetName val="D3.4.3"/>
      <sheetName val="COVER HOTEL"/>
      <sheetName val="D3.4.4"/>
      <sheetName val="COVER BOUTIQUE"/>
      <sheetName val="D3.4.5"/>
      <sheetName val="HRG BHN"/>
      <sheetName val="ANALS ARS"/>
      <sheetName val="ANALS KY"/>
      <sheetName val="ANALS ME"/>
      <sheetName val="01A- RAB"/>
      <sheetName val="1A RKAB TTL"/>
      <sheetName val="01A- RAB (ars)"/>
      <sheetName val="Mandor"/>
      <sheetName val="HT"/>
      <sheetName val="SELASAR"/>
      <sheetName val="SELASAR-2"/>
      <sheetName val="GT-2 "/>
      <sheetName val="me"/>
      <sheetName val="REKAP UTAMA"/>
      <sheetName val="FINISHING"/>
      <sheetName val="HALAMAN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  <sheetName val="Cashflow2x"/>
      <sheetName val="UM 10%"/>
      <sheetName val="Cashflow3x"/>
      <sheetName val="Cashflow perbl"/>
      <sheetName val="Lingkup"/>
      <sheetName val="STR-ARS"/>
      <sheetName val="Cover Daf-2"/>
      <sheetName val="Cover Daf-2 (2)"/>
      <sheetName val="BQ Daf-2"/>
      <sheetName val="MISC"/>
      <sheetName val="BLN"/>
      <sheetName val="GSK"/>
      <sheetName val="Currency Rate"/>
      <sheetName val="Cover_Luar"/>
      <sheetName val="PEKERJAAN PERSIAPAN"/>
      <sheetName val="LAIN-LAIN "/>
      <sheetName val="PENJUMLAHAN TOTAL"/>
      <sheetName val="Catatan Harga"/>
      <sheetName val="PANEL TM "/>
      <sheetName val="KABEL TM "/>
      <sheetName val="PENTANAHAN"/>
      <sheetName val="KABEL LADDER"/>
      <sheetName val="Rekap Progres"/>
      <sheetName val="Kontrak"/>
      <sheetName val="Traf_Genst"/>
      <sheetName val="D3_1"/>
      <sheetName val="Cover Daf_2"/>
      <sheetName val="DATA PROYEK"/>
      <sheetName val="DATA KEUANGAN"/>
      <sheetName val="Pekerjaan Utama"/>
      <sheetName val="Rekap Costplan"/>
      <sheetName val="Statement Bahan"/>
      <sheetName val="Statement Subkon"/>
      <sheetName val="STO"/>
      <sheetName val="Data Pesonil Inti"/>
      <sheetName val="REK PRINT"/>
      <sheetName val="RAB PRINT"/>
      <sheetName val="RAB CIMAHI"/>
      <sheetName val="8LT 12"/>
      <sheetName val="8LT PAK"/>
      <sheetName val="8LT SAR"/>
      <sheetName val="8LT TATA"/>
      <sheetName val="TNH"/>
      <sheetName val="FORM X COST"/>
      <sheetName val="SPL"/>
      <sheetName val="ren.bupati a"/>
      <sheetName val="rek-bup"/>
      <sheetName val="ren.hubbup"/>
      <sheetName val="rek-hub"/>
      <sheetName val="temu"/>
      <sheetName val="rek-temu"/>
      <sheetName val="pond"/>
      <sheetName val="rek-pond"/>
      <sheetName val="1-4"/>
      <sheetName val="rek1-4"/>
      <sheetName val="SAT"/>
      <sheetName val="landscp"/>
      <sheetName val="rek-landscp"/>
      <sheetName val="Data_Data"/>
      <sheetName val="sLABcad"/>
      <sheetName val="SHEAR Wall "/>
      <sheetName val="CORE Wall"/>
      <sheetName val="result of Slab"/>
      <sheetName val="Result 4 all"/>
      <sheetName val="Database"/>
      <sheetName val="BALOK LT_5"/>
      <sheetName val="TYPICAL LOFT"/>
      <sheetName val="TYPICAL MAIN "/>
      <sheetName val="LV19_21_23_26_28_30 "/>
      <sheetName val="LV20_22_25_27_29_31"/>
      <sheetName val="LV32_35_37"/>
      <sheetName val="LV33_36_38"/>
      <sheetName val="LV PENTHOUSE_LGPH_CEK"/>
      <sheetName val="LVGPH fixed"/>
      <sheetName val="LVROOF DECK"/>
      <sheetName val="LV RM"/>
      <sheetName val="sumari"/>
      <sheetName val="TOTALL"/>
      <sheetName val=" STP 1"/>
      <sheetName val="Gwt"/>
      <sheetName val="PiTLIft"/>
      <sheetName val="wall KOLAM RENANG)"/>
      <sheetName val="TANGGULAN"/>
      <sheetName val="PERIMETER"/>
      <sheetName val="RAMP "/>
      <sheetName val="TANGGA _"/>
      <sheetName val="formula"/>
      <sheetName val="tumbuh"/>
      <sheetName val="atmr"/>
      <sheetName val="AMORTISASI SOL"/>
      <sheetName val="atmrnew"/>
      <sheetName val="kk.bank"/>
      <sheetName val="Kesbank"/>
      <sheetName val="Kesbank-NEW"/>
      <sheetName val="CAMEL"/>
      <sheetName val="CAPITAL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Front"/>
      <sheetName val="Check Sheet"/>
      <sheetName val="BSHO Report"/>
      <sheetName val="PLHO Report"/>
      <sheetName val="PLHOENG"/>
      <sheetName val="Group_Samples_STEP1"/>
      <sheetName val="GroupDebtors_STEP2"/>
      <sheetName val=" D.1 Memo"/>
      <sheetName val="D.1 Lead "/>
      <sheetName val="D.1.1 List OS"/>
      <sheetName val="D.1.1.1  EY Vouch Result"/>
      <sheetName val="D.1.2 Inc. test Resblns"/>
      <sheetName val="D.1.2.1 Avg. Placement"/>
      <sheetName val="D.1.2.2 Avg. CAWOB"/>
      <sheetName val="D.1.2.3 SL - int. income"/>
      <sheetName val="JASINDO"/>
      <sheetName val="BOSOWA"/>
      <sheetName val="ULTRA JAYA"/>
      <sheetName val="ANUGRAH PRIMA"/>
      <sheetName val="KID"/>
      <sheetName val="SAMPLE"/>
      <sheetName val="C-4 Index"/>
      <sheetName val="C-4 (LEAD)"/>
      <sheetName val="C-4 LEAD"/>
      <sheetName val="C-4.1"/>
      <sheetName val="C-4.2"/>
      <sheetName val="C-4.4"/>
      <sheetName val="C-4.3"/>
      <sheetName val="C-4.5"/>
      <sheetName val="CC-4"/>
      <sheetName val="C-4 Syariah"/>
      <sheetName val="E-2.2 int receivable"/>
      <sheetName val="U-  1.5.2"/>
      <sheetName val="U-1.5.2"/>
      <sheetName val="U-1.5.2.1"/>
      <sheetName val="U-1.5.2.2"/>
      <sheetName val="REPORT (2)"/>
      <sheetName val="OutputDoc"/>
      <sheetName val="Memo"/>
      <sheetName val="1"/>
      <sheetName val="URC Code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MatProv"/>
      <sheetName val="S4.2.1.2 Accept UPAS Detail "/>
      <sheetName val="GLvsDetail"/>
      <sheetName val="TOC"/>
      <sheetName val="RN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D.1.8 Unrealized Gain-Equity"/>
      <sheetName val="D.1.8.1 Test of Unrealized Gain"/>
      <sheetName val="D.1.9 Real-Unreal Gain-P&amp;L"/>
      <sheetName val="D.1.9.1 test unreal MS-tra"/>
      <sheetName val="D.1.9.2 test unreal GB-tra"/>
      <sheetName val="D.1.9.3 PBC Unrealized"/>
      <sheetName val="D.1.9.4 Realized Gain MS"/>
      <sheetName val="D.1.9.3List SaleAFS &amp; MatureHTM"/>
      <sheetName val="D.19.4 List of Sale-SBI"/>
      <sheetName val="D.1.9.5 List of Sale-Trading"/>
      <sheetName val="D.1.9.6 List of Sale-Overseas"/>
      <sheetName val="D.1.9.5List SaleAFS &amp; MatureHTM"/>
      <sheetName val="D.1.9.6 List of Sale-SBI"/>
      <sheetName val="D.1.9.7 List of Sale-Trading"/>
      <sheetName val="D.1.9.8 List of Sale-Overseas"/>
      <sheetName val="D.1.9.4 List Sale-Pak Cecep"/>
      <sheetName val="D.1.9.5 List of Sale SBI"/>
      <sheetName val="D.1.9.6 List of Sale CIB"/>
      <sheetName val="A3"/>
      <sheetName val="GL Correction"/>
      <sheetName val="C5.BO-Lead"/>
      <sheetName val="MS ARPs"/>
      <sheetName val="C5.1 Detai - SB"/>
      <sheetName val="C5.1.1BO-TRADING"/>
      <sheetName val="C5.1.2 BO-AFS"/>
      <sheetName val="C5.1.3 BO-HTM"/>
      <sheetName val="C5.2.1 BMEL"/>
      <sheetName val="C5.2.2 HK"/>
      <sheetName val="C5.2.3 CIB"/>
      <sheetName val="C5.2.4 SPORE"/>
      <sheetName val="C5.2a Summary"/>
      <sheetName val="PPAP-Rating"/>
      <sheetName val="Market Price"/>
      <sheetName val="Cover Reporting Package"/>
      <sheetName val="Exch.rate"/>
      <sheetName val="1-Cash"/>
      <sheetName val="2-Nostro"/>
      <sheetName val="2.1 Nostro Reconciliation"/>
      <sheetName val="3-Placement"/>
      <sheetName val="4-Marketable securities"/>
      <sheetName val="4.1 List of Sale - MS"/>
      <sheetName val="4.1-MS-maturity date"/>
      <sheetName val="5-Trade Document"/>
      <sheetName val="6-Reverse repo"/>
      <sheetName val="7-derivatives"/>
      <sheetName val="7.1 Additional Info"/>
      <sheetName val="8-Loan"/>
      <sheetName val="8.1-loan detail"/>
      <sheetName val="9-acceptance receivable"/>
      <sheetName val="10-Shares investment"/>
      <sheetName val="11-Fixed assets"/>
      <sheetName val="12-Other assets"/>
      <sheetName val="12.1-Deferred tax"/>
      <sheetName val="12.2-Corp.inc.tax rec.-payable"/>
      <sheetName val="13-Deposit"/>
      <sheetName val="14-Placement &amp; fund borrowing"/>
      <sheetName val="15-Securities issued"/>
      <sheetName val="16-Repo"/>
      <sheetName val="17-acceptance liability"/>
      <sheetName val="18-Accrued exp"/>
      <sheetName val="19-Other liabilities"/>
      <sheetName val="20-Commitments"/>
      <sheetName val="21-Subord.loan"/>
      <sheetName val="22-Loan capital"/>
      <sheetName val="IS_Support"/>
      <sheetName val="SoC in Equity"/>
      <sheetName val="Cash Flows"/>
      <sheetName val="Addiional Info - Avg i rate"/>
      <sheetName val="Additional_info"/>
      <sheetName val="MS portfolio all"/>
      <sheetName val="Trade Doc"/>
      <sheetName val="ATMR-SBLC"/>
      <sheetName val="ATMR BG-Credit"/>
      <sheetName val="Irrevoc. LC"/>
      <sheetName val="ATMR BG-Non CR"/>
      <sheetName val="D1 memo"/>
      <sheetName val="D1 a Lead Consol"/>
      <sheetName val="D1 b Portfolio Consol"/>
      <sheetName val="D1 b.1 Summary Portfolio"/>
      <sheetName val="D1 c Elimination"/>
      <sheetName val="D1 c.1 BMEL MS"/>
      <sheetName val="D1 c.2 Mandsek MS"/>
      <sheetName val="D1 c.3 BSM MS"/>
      <sheetName val="D1 c.4 PIM MS"/>
      <sheetName val="D1 c.5 UGBDN MS"/>
      <sheetName val="D1 d Lead Bank only"/>
      <sheetName val="D1 d.1-GL corr"/>
      <sheetName val="D1.0 ARPs Unaudited"/>
      <sheetName val="D1.0 ARPs Audited"/>
      <sheetName val="D1.1 Portfolio Bank Only"/>
      <sheetName val="D1.2 SBI portfolio"/>
      <sheetName val="D1.2.1 SBI S4"/>
      <sheetName val="D1.3 MS HO"/>
      <sheetName val="D1.4.1 MS HK"/>
      <sheetName val="D1.4.2 MS S'pore"/>
      <sheetName val="D1.4.3 MS CIB"/>
      <sheetName val="D1.5.1 HTM Movt-HO"/>
      <sheetName val="D1.5.2 HTM Movt-CIB"/>
      <sheetName val="D1.5.3 HTM Movt-Spore"/>
      <sheetName val="D.1.5.4 HTM Movt-HK"/>
      <sheetName val="D.1.5.5 HTM Movt-BMEL"/>
      <sheetName val="D1.6 Memo on PPAP"/>
      <sheetName val="D1.6a Lead PPAP"/>
      <sheetName val="D1.6b GL Cor PPAP"/>
      <sheetName val="D1.6.1 PPAP analysis scen1"/>
      <sheetName val="D1.6.1 PPAP analysis scen2"/>
      <sheetName val="PPAP Subs"/>
      <sheetName val="D1.6.7 Memo on Reksadana"/>
      <sheetName val="D1.6.8 PPAP Movt CONSOL"/>
      <sheetName val="D1.6.1 PPAP analysis"/>
      <sheetName val="D1 Report form 2005"/>
      <sheetName val="D1 Report form 2004"/>
      <sheetName val="D1 c.1-GL corr"/>
      <sheetName val="D1.6.1.1 PPAP Subs"/>
      <sheetName val="D1.6.8 Movement PPAP"/>
      <sheetName val="D1 c.4 PIM MS ok"/>
      <sheetName val="ALLOWANCE-FINAL"/>
      <sheetName val="Dec-Audited"/>
      <sheetName val="Sep-Audited"/>
      <sheetName val="Dec-Un"/>
      <sheetName val="Sep-Un"/>
      <sheetName val="KasInTransit-Dec07-Sep07-AllCur"/>
      <sheetName val="KasInTransit-Dec07-Dec06-AllCur"/>
      <sheetName val="Pivot-KasInTransit-Dec07"/>
      <sheetName val="Pivot-KasInTransit-Sep07"/>
      <sheetName val="Pivot-KasInTransit-Dec06"/>
      <sheetName val="KasInTransit-Dec07"/>
      <sheetName val="KasInTransit-Sep07"/>
      <sheetName val="KasInTransit-Dec06"/>
      <sheetName val="KasUtama-Dec07-Sep07-AllCur"/>
      <sheetName val="KasUtama-Dec07-Dec06-AllCurr"/>
      <sheetName val="KasUtama-Dec07-Dec06-PerCurr"/>
      <sheetName val="Pivot-KasUtama-Dec07"/>
      <sheetName val="KasUtama-Dec07"/>
      <sheetName val="Pivot-KasUtama-Dec06"/>
      <sheetName val="KasUtama-Dec06"/>
      <sheetName val="Pivot-KasUtama-Sep07"/>
      <sheetName val="KasUtama-Sep07"/>
      <sheetName val="Selisih ATM"/>
      <sheetName val="7.1-derivatives details"/>
      <sheetName val="Est. loss on Cont &amp; Comm"/>
      <sheetName val="BS Detail"/>
      <sheetName val="Int Acc"/>
      <sheetName val="HOASS"/>
      <sheetName val="HOLIAB"/>
      <sheetName val="J1.1"/>
      <sheetName val="J1.1.1"/>
      <sheetName val="J1.2"/>
      <sheetName val="J1.2.1"/>
      <sheetName val="J1.2.2"/>
      <sheetName val="J1.3"/>
      <sheetName val="J1.3.1"/>
      <sheetName val="J1.3.2"/>
      <sheetName val="J1.3.3"/>
      <sheetName val="J1.4"/>
      <sheetName val="J1.4.1"/>
      <sheetName val="J1.5"/>
      <sheetName val="J1.5.1"/>
      <sheetName val="J1.5.2"/>
      <sheetName val="J1.6"/>
      <sheetName val="J1.6.1"/>
      <sheetName val="J1.6.2"/>
      <sheetName val="J1.7"/>
      <sheetName val="J1.7.1"/>
      <sheetName val="J1.7.2"/>
      <sheetName val="J1.8"/>
      <sheetName val="J1.8.1"/>
      <sheetName val="J1.8.2"/>
      <sheetName val="J1.9"/>
      <sheetName val="J1.9.1"/>
      <sheetName val="J1.9.2"/>
      <sheetName val="J1.10"/>
      <sheetName val="J1.10.1"/>
      <sheetName val="J1.10.2"/>
      <sheetName val="J1.11"/>
      <sheetName val="Koreksi RAK"/>
      <sheetName val="Koreksi Audit"/>
      <sheetName val="NAktiva"/>
      <sheetName val="NPasiva"/>
      <sheetName val="Rugi Laba"/>
      <sheetName val="Ekuitas"/>
      <sheetName val="2001"/>
      <sheetName val="Aktap"/>
      <sheetName val="ADM"/>
      <sheetName val="Print-Rin.Psv"/>
      <sheetName val="Print-Rin.Akt"/>
      <sheetName val="input-Rin.Psv"/>
      <sheetName val="input-Rin.Akt"/>
      <sheetName val="input-So.AKT"/>
      <sheetName val="Input-So.PAS"/>
      <sheetName val="Input-RAK Debet"/>
      <sheetName val="Input-RAK Kredit"/>
      <sheetName val="input-Adm"/>
      <sheetName val="Data-Syariah"/>
      <sheetName val="fm13(Giro)"/>
      <sheetName val="Periode"/>
      <sheetName val="Now"/>
      <sheetName val="Old vs New"/>
      <sheetName val="D-Krd"/>
      <sheetName val="Pend Dit"/>
      <sheetName val="Krd Deb"/>
      <sheetName val="PvtValDeb"/>
      <sheetName val="PvtDeb"/>
      <sheetName val="PvtvalMU"/>
      <sheetName val="PivotMU"/>
      <sheetName val="Korporasi"/>
      <sheetName val="Komersial"/>
      <sheetName val="Lancar"/>
      <sheetName val="DPK"/>
      <sheetName val="KL"/>
      <sheetName val="Diragukan"/>
      <sheetName val="Macet"/>
      <sheetName val="Konsumen"/>
      <sheetName val="Pvt Kol"/>
      <sheetName val="Rkp1-5"/>
      <sheetName val="cek blokir"/>
      <sheetName val="__4DEB_KREDIT__FINISH_"/>
      <sheetName val="Kom1"/>
      <sheetName val="Kom2"/>
      <sheetName val="Kom3"/>
      <sheetName val="Kom5"/>
      <sheetName val="Kor1"/>
      <sheetName val="Kor2"/>
      <sheetName val="Kor3"/>
      <sheetName val="April"/>
      <sheetName val="Addition"/>
      <sheetName val="4.1 List of Sales - MS"/>
      <sheetName val="4.2-MS-maturity date"/>
      <sheetName val="7.1 Derivatives Details"/>
      <sheetName val="Comm&amp; Cont.loss est."/>
      <sheetName val="Q1.4 Memo"/>
      <sheetName val="Q1.4 Detail of BA"/>
      <sheetName val="Q1.4.1 Nature of BA Transaction"/>
      <sheetName val="17.7-Direct Offshore Loan"/>
      <sheetName val="P.Jimmy"/>
      <sheetName val="P.Jimmy (2)"/>
      <sheetName val="SW1"/>
      <sheetName val="COF-VOF"/>
      <sheetName val="TOR"/>
      <sheetName val="BIXY"/>
      <sheetName val="lisplank"/>
      <sheetName val="BALOK "/>
      <sheetName val="wall (2)"/>
      <sheetName val="kolom (2)"/>
      <sheetName val="DP"/>
      <sheetName val="I.Total ambil alih"/>
      <sheetName val="II.TOTALL-retail"/>
      <sheetName val="III.TOTALL MSCP"/>
      <sheetName val="IV.TOTALL condo B"/>
      <sheetName val="V.TOTALL condo A"/>
      <sheetName val="VI.1.Mon Condo A"/>
      <sheetName val="VI.2.Mon Condo B"/>
      <sheetName val="VI.3. Mon MSCP"/>
      <sheetName val="VII.1.Kurva S-rev0"/>
      <sheetName val="VII.2.Kurva S-rev2"/>
      <sheetName val="VII.2.Kurva S-rev3 "/>
      <sheetName val="XII.4.Schedule Juni"/>
      <sheetName val="XII.3.Schedule Mei"/>
      <sheetName val="XI.Prosented MSCP&amp;CONDO"/>
      <sheetName val="XII.KONTRAK"/>
      <sheetName val="XII.Sched.Maret"/>
      <sheetName val="XII.2.Sched.April"/>
      <sheetName val="XIII. Kondisi"/>
      <sheetName val="VII.2.Kurva S-rev4 "/>
      <sheetName val="Title"/>
      <sheetName val="Price Persiapan dan Penunjang"/>
      <sheetName val="Price Diesel Generator"/>
      <sheetName val="Price Pengujian dan Camms"/>
      <sheetName val="Price Biaya Cadangan"/>
      <sheetName val="Price Rekapitulasi Akhir"/>
      <sheetName val="BQ.Persiapan dan  Penunjang"/>
      <sheetName val="BQ.Diesel Generator  "/>
      <sheetName val="BQ.Pengujian dan  Comms"/>
      <sheetName val="BQ.Pemeliharaan"/>
      <sheetName val="BQ.Biaya Cadangan"/>
      <sheetName val="BQ.Rekapitulasi  Akhir"/>
      <sheetName val="Eva-bahan"/>
      <sheetName val="Progress "/>
      <sheetName val="cek sisa bahan"/>
      <sheetName val="Mntr BMP"/>
      <sheetName val="BIAYA UMUM"/>
      <sheetName val="Rekap PI"/>
      <sheetName val="Lapangan"/>
      <sheetName val="Sumda"/>
      <sheetName val="Equipment"/>
      <sheetName val="Ls"/>
      <sheetName val="AngL01B"/>
      <sheetName val="AngL03"/>
      <sheetName val="depo"/>
      <sheetName val="CASTINGYARD"/>
      <sheetName val="REKAP A BESAR"/>
      <sheetName val="Pt"/>
      <sheetName val="daftarbhn"/>
      <sheetName val="Mess"/>
      <sheetName val="By"/>
      <sheetName val="HSatuan"/>
      <sheetName val="REF_ONLY"/>
      <sheetName val="Markup"/>
      <sheetName val="REQDELTA"/>
      <sheetName val="UNIT PRICE"/>
      <sheetName val="BoQ Merak"/>
      <sheetName val="Daftar - Isi"/>
      <sheetName val="Hit Vol Str Jambi"/>
      <sheetName val="Hit Vol_PSU"/>
      <sheetName val="R A B"/>
      <sheetName val="&quot;S&quot; Curve"/>
      <sheetName val="UPAH _ ALAT"/>
      <sheetName val="BoQ "/>
      <sheetName val="B_Alat"/>
      <sheetName val="XXXXXXXXX"/>
      <sheetName val="XXXXXXXX0"/>
      <sheetName val="XXXXXXXX1"/>
      <sheetName val="XXXXXXXX2"/>
      <sheetName val="XXXXXXXX3"/>
      <sheetName val="XXXXXXXX4"/>
      <sheetName val="XXXXXXXX5"/>
      <sheetName val="XXXXXXXX6"/>
      <sheetName val="XXXXXXXX7"/>
      <sheetName val="XXXXXXXX8"/>
      <sheetName val="XXXXXXXX9"/>
      <sheetName val="XXXXXXXXA"/>
      <sheetName val="XXXXXXXXB"/>
      <sheetName val="XXXXXXXXC"/>
      <sheetName val="XXXXXXXXD"/>
      <sheetName val="XXXXXXXXE"/>
      <sheetName val="Pers"/>
      <sheetName val="Tunjang"/>
      <sheetName val="INDEKS"/>
      <sheetName val="JABATAN"/>
      <sheetName val="Umum"/>
      <sheetName val="A_ars"/>
      <sheetName val="str"/>
      <sheetName val="ceiling"/>
      <sheetName val="dw"/>
      <sheetName val="others"/>
      <sheetName val="index"/>
      <sheetName val="rate (3)"/>
      <sheetName val="rate"/>
      <sheetName val="rate (2)"/>
      <sheetName val="unit rate"/>
      <sheetName val="1-8"/>
      <sheetName val="rek1-8"/>
      <sheetName val="Recap"/>
      <sheetName val="B-ARS"/>
      <sheetName val="U-ARS"/>
      <sheetName val="A-ARS"/>
      <sheetName val="S-ARS"/>
      <sheetName val="AN-KUSEN"/>
      <sheetName val="AN-PAS.&amp;PLESTR"/>
      <sheetName val="Ars Twr A&amp;C (Hitungan)"/>
      <sheetName val="AN-LANTAI&amp;WPROOF"/>
      <sheetName val="AN-PLAFOND"/>
      <sheetName val="AN-CAT"/>
      <sheetName val="AN-SANITAIR"/>
      <sheetName val="AN-PEKTAMBHN"/>
      <sheetName val="AN-TANG+PLESTR"/>
      <sheetName val="Vol kusen "/>
      <sheetName val="Analisa (1)"/>
      <sheetName val="ANALISA (2)"/>
      <sheetName val="CM"/>
      <sheetName val="COST CONTROL"/>
      <sheetName val="progres"/>
      <sheetName val="EVA-R"/>
      <sheetName val="TREND RASIO"/>
      <sheetName val="PQ.PMT-003.08"/>
      <sheetName val="FORECAST FEBRUARI"/>
      <sheetName val="FORECAST MARET"/>
      <sheetName val="FORECAST APRIL"/>
      <sheetName val="FORECAST MEI"/>
      <sheetName val="Col Periode"/>
      <sheetName val="piut masalah"/>
      <sheetName val="INFO AWL THN"/>
      <sheetName val="FC AWL THN"/>
      <sheetName val="REAL KONT"/>
      <sheetName val="REALISI KONT 08"/>
      <sheetName val="ESTMSI KONT"/>
      <sheetName val="EVA PENJLN 08"/>
      <sheetName val="Rencana Kerja Readymix"/>
      <sheetName val="Size_share08"/>
      <sheetName val="grafik (2)"/>
      <sheetName val="SEGMENTASI"/>
      <sheetName val="M_AREA PSR"/>
      <sheetName val="Pert_Psar"/>
      <sheetName val="Pertm_Mrkt Size"/>
      <sheetName val="Harga rta2"/>
      <sheetName val="EVALUASI SAR 08"/>
      <sheetName val="Actn Plant"/>
      <sheetName val="RENC KONTRK 2009"/>
      <sheetName val="Pertm_Mrkt"/>
      <sheetName val="EV_SIZE"/>
      <sheetName val="Kinerja"/>
      <sheetName val="REAL JULI"/>
      <sheetName val="ANALISA PEK.UMUM"/>
      <sheetName val="INF08"/>
      <sheetName val="EVAINF08"/>
      <sheetName val="EVAINF08 (PPT)"/>
      <sheetName val="REKAPMS08 (31%) (2)"/>
      <sheetName val="RENCKTRK08"/>
      <sheetName val="RENCKTRK08 (2)"/>
      <sheetName val="IT-SDSEPT"/>
      <sheetName val="ITSDSEPT"/>
      <sheetName val="PENYERAPANKTRK"/>
      <sheetName val="BoQ1"/>
      <sheetName val="Hs_Bhn"/>
      <sheetName val="Sewa"/>
      <sheetName val="Mob"/>
      <sheetName val="Div.7.1"/>
      <sheetName val="Div.7.2"/>
      <sheetName val="L1"/>
      <sheetName val="S1"/>
      <sheetName val="s2"/>
      <sheetName val="Rbul"/>
      <sheetName val="Volume"/>
      <sheetName val="Analisa Alat Berat"/>
      <sheetName val="An_1"/>
      <sheetName val="An_2"/>
      <sheetName val="An_3"/>
      <sheetName val="1.TABULASI"/>
      <sheetName val="1.SAR JKT Rev TW 1"/>
      <sheetName val="Renc Awal Thn 2013 (slab)"/>
      <sheetName val="1.SAR JKT Rev TW 2"/>
      <sheetName val="1.SAR JKT Rev TW 3"/>
      <sheetName val="Rekap Action Plan"/>
      <sheetName val="Agu"/>
      <sheetName val="RUGI-LAB"/>
      <sheetName val="BP&amp;L"/>
      <sheetName val="NERACA-P"/>
      <sheetName val="L-TAHAN"/>
      <sheetName val="KAS-BANK"/>
      <sheetName val="P-DAGANG"/>
      <sheetName val="P-JALAN"/>
      <sheetName val="P-KEBUN"/>
      <sheetName val="P-R&amp;D"/>
      <sheetName val="P-SEPUPU"/>
      <sheetName val="P-BRG"/>
      <sheetName val="P-DINAS"/>
      <sheetName val="BY-MUKA"/>
      <sheetName val="P-LAIN"/>
      <sheetName val="PPN "/>
      <sheetName val="AK-PLUS"/>
      <sheetName val="AKTIVA"/>
      <sheetName val="AKTIVA RND"/>
      <sheetName val="TM"/>
      <sheetName val="CIP"/>
      <sheetName val="B-TANGGU"/>
      <sheetName val="H-DAGANG"/>
      <sheetName val="B-UTANG"/>
      <sheetName val="PPH-21 &amp; 23"/>
      <sheetName val="H-PPN"/>
      <sheetName val="H-PT"/>
      <sheetName val="H-LAIN"/>
      <sheetName val="H-BANK"/>
      <sheetName val="BBTL"/>
      <sheetName val="BTL-1"/>
      <sheetName val="SALES-C"/>
      <sheetName val="SALES-F"/>
      <sheetName val="OEXP BTL"/>
      <sheetName val="platts_prod(MOPS)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Ex-Rate"/>
      <sheetName val="CODESS"/>
      <sheetName val="PPN_"/>
      <sheetName val="AKTIVA_RND"/>
      <sheetName val="PPH-21_&amp;_23"/>
      <sheetName val="OEXP_BTL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ABK.04.AWALR+CO+TAB.RUPS"/>
      <sheetName val="R-1"/>
      <sheetName val="R-14.OIL"/>
      <sheetName val="Recovered_Sheet1"/>
      <sheetName val="10000"/>
      <sheetName val="Recovered_Sheet2"/>
      <sheetName val="Recovered_Sheet3"/>
      <sheetName val="Recovered_Sheet4"/>
      <sheetName val="Recovered_Sheet5"/>
      <sheetName val="Recovered_Sheet6"/>
      <sheetName val="20000"/>
      <sheetName val="30000"/>
      <sheetName val="2000"/>
      <sheetName val="3000"/>
      <sheetName val="Assets"/>
      <sheetName val="NetSales"/>
      <sheetName val="topWBS2"/>
      <sheetName val="topWBS1"/>
      <sheetName val="Consolidated jurnal"/>
      <sheetName val="dtlE1"/>
      <sheetName val="TopPL"/>
      <sheetName val="E2"/>
      <sheetName val="N2"/>
      <sheetName val="P"/>
      <sheetName val="dtlN1"/>
      <sheetName val="E1"/>
      <sheetName val="N1"/>
      <sheetName val="U4"/>
      <sheetName val="U.3"/>
      <sheetName val="U.5"/>
      <sheetName val="U.1"/>
      <sheetName val="notused2"/>
      <sheetName val="notused"/>
      <sheetName val="notused1"/>
      <sheetName val="F1,2,3"/>
      <sheetName val="WS for Report-BS"/>
      <sheetName val="WS for Report-PL"/>
      <sheetName val="PRJE For Report Purposes"/>
      <sheetName val="Passed_adj"/>
      <sheetName val="DataCon"/>
      <sheetName val="PM"/>
      <sheetName val="A4.1"/>
      <sheetName val="A4.2"/>
      <sheetName val="A4.3"/>
      <sheetName val="A4.4"/>
      <sheetName val="CAJE&amp;CRJE"/>
      <sheetName val="TB2012"/>
      <sheetName val="TB Oct"/>
      <sheetName val="A4"/>
      <sheetName val="A3 BS"/>
      <sheetName val="A3 IS "/>
      <sheetName val="SRM"/>
      <sheetName val="def.albert"/>
      <sheetName val="corp tax"/>
      <sheetName val="FS-oni"/>
      <sheetName val="A3-aft PPh21"/>
      <sheetName val="AJE-aft PPh21"/>
      <sheetName val="ML tax auria"/>
      <sheetName val="2-asi-00"/>
      <sheetName val="FCG, B but MF"/>
      <sheetName val="TIS Report Printscreen"/>
      <sheetName val="Gen Info"/>
      <sheetName val="Procedures"/>
      <sheetName val="Master Entries"/>
      <sheetName val="Master for Print"/>
      <sheetName val="Entries by Acct"/>
      <sheetName val="Entries for Tax"/>
      <sheetName val="Setup Sheet"/>
      <sheetName val="BS Effect"/>
      <sheetName val="IS Effect"/>
      <sheetName val="Formulas&amp;Settings"/>
      <sheetName val="Tax Formulas"/>
      <sheetName val="Done Mssg Box"/>
      <sheetName val="total marketing"/>
      <sheetName val="marketing opal"/>
      <sheetName val="marketing amethys"/>
      <sheetName val="Profit &amp; loss"/>
      <sheetName val="product development"/>
      <sheetName val="Oct-06 own prod"/>
      <sheetName val="Sept-06 own prod"/>
      <sheetName val="manitol Oct 06"/>
      <sheetName val="manitol Sept 06 "/>
      <sheetName val="neurotam Sept'06"/>
      <sheetName val="neurotam Oct'06 "/>
      <sheetName val="cravit Oct-06"/>
      <sheetName val="cravit Sept-06"/>
      <sheetName val="hemosol Oct-06"/>
      <sheetName val="hemosol Sept-06"/>
      <sheetName val="K Lead"/>
      <sheetName val="K.1 FA Sum"/>
      <sheetName val="K.1.1 Predictive June'06"/>
      <sheetName val="K Lead May"/>
      <sheetName val="K.1 FA Sum May"/>
      <sheetName val="K.1.1 Predictive May'06"/>
      <sheetName val="bs_pl_mar_06_vs_jun_06"/>
      <sheetName val="WBSA report  "/>
      <sheetName val="WBSB report"/>
      <sheetName val="Adjustment "/>
      <sheetName val="CF-March'05"/>
      <sheetName val="Recon"/>
      <sheetName val="CFnot used"/>
      <sheetName val="F 001"/>
      <sheetName val="F.100 "/>
      <sheetName val="F.200"/>
      <sheetName val="F.300 TACM "/>
      <sheetName val="F 400 INV TO"/>
      <sheetName val="F 500"/>
      <sheetName val="F.501"/>
      <sheetName val="F 502"/>
      <sheetName val="mutation "/>
      <sheetName val="VB.001"/>
      <sheetName val="VB 100 June 2"/>
      <sheetName val="VB 200 June2"/>
      <sheetName val="VB 300 June 2"/>
      <sheetName val="VB 300 May"/>
      <sheetName val="VB 100 June"/>
      <sheetName val="VB 200 June"/>
      <sheetName val="VB 300 June"/>
      <sheetName val="VB 400 June"/>
      <sheetName val="VB 500 June"/>
      <sheetName val="VB 100 May"/>
      <sheetName val="VB 200 May"/>
      <sheetName val="VB 400 May"/>
      <sheetName val="VB 100 March"/>
      <sheetName val="VB 200 March"/>
      <sheetName val="VB 300 March"/>
      <sheetName val="VB 400 March"/>
      <sheetName val="K 001"/>
      <sheetName val="K 100 Mar"/>
      <sheetName val="K 100 Feb"/>
      <sheetName val="K 100 Dec"/>
      <sheetName val="Mutation FA"/>
      <sheetName val="BS_PL as of Dec '08 &amp; as of Dec"/>
      <sheetName val="Prepaid 22"/>
      <sheetName val="Prepaid 23"/>
      <sheetName val="Prepaid 25"/>
      <sheetName val="SKFLN"/>
      <sheetName val=" 2nd Q"/>
      <sheetName val="GL apr-mei"/>
      <sheetName val="GL Jun"/>
      <sheetName val="fisc depr 2nd"/>
      <sheetName val="Deferred tax-30%"/>
      <sheetName val="Allowance AP"/>
      <sheetName val="Sold Asset in 2009"/>
      <sheetName val="BS_PL Apr-Mei"/>
      <sheetName val="C Memo"/>
      <sheetName val="C Section"/>
      <sheetName val="bank CO"/>
      <sheetName val="F Memo"/>
      <sheetName val="F-Lead"/>
      <sheetName val="Ftest"/>
      <sheetName val="Frollforward"/>
      <sheetName val="Sales CO"/>
      <sheetName val="Purchase CO"/>
      <sheetName val="Frollforward (2)"/>
      <sheetName val="E.2 Lead"/>
      <sheetName val="E.2.1"/>
      <sheetName val="E.2.2"/>
      <sheetName val="E.2.2.1"/>
      <sheetName val="E.2.2.2"/>
      <sheetName val="E.2.3"/>
      <sheetName val="E.2.4"/>
      <sheetName val="E.2.4.1"/>
      <sheetName val="GL"/>
      <sheetName val="VB"/>
      <sheetName val="VB.1"/>
      <sheetName val="VB.2"/>
      <sheetName val="VC"/>
      <sheetName val="VC.1"/>
      <sheetName val="VC.2"/>
      <sheetName val="VC.3"/>
      <sheetName val="VC.4"/>
      <sheetName val="SALESDES_04"/>
      <sheetName val="DISCOUNT"/>
      <sheetName val="RETUR"/>
      <sheetName val="NET SALES"/>
      <sheetName val="SALESAGT_04"/>
      <sheetName val="SALESJAN_04"/>
      <sheetName val="SALESFEB_04"/>
      <sheetName val="SALESMRT_04"/>
      <sheetName val="SALESAPR_04"/>
      <sheetName val="SALESMEI_04"/>
      <sheetName val="SALESJUNI_04"/>
      <sheetName val="SALESJULI_04"/>
      <sheetName val="SALESSEPT_04"/>
      <sheetName val="SALESOKT_04"/>
      <sheetName val="SALES OKT06"/>
      <sheetName val="SALESNOP_04"/>
      <sheetName val="SALESJAN_03"/>
      <sheetName val="SALESFEB_03"/>
      <sheetName val="SALESMRT_03"/>
      <sheetName val="SALESAPR_03"/>
      <sheetName val="SALESMEI_03"/>
      <sheetName val="SALESJUNI_03"/>
      <sheetName val="SALESJULI_03"/>
      <sheetName val="SALESAGT_03"/>
      <sheetName val="SALESSEP_03"/>
      <sheetName val="SALESOKT_03"/>
      <sheetName val="SALESNOP_03"/>
      <sheetName val="SALESDES_03"/>
      <sheetName val="pcs_avg"/>
      <sheetName val="sum_prd"/>
      <sheetName val="sum_pack"/>
      <sheetName val="personal"/>
      <sheetName val="note_defect"/>
      <sheetName val="lat"/>
      <sheetName val="itwil"/>
      <sheetName val="bupati"/>
      <sheetName val="bappeda"/>
      <sheetName val="ah sanitary"/>
      <sheetName val="saklar"/>
      <sheetName val="lampu"/>
      <sheetName val="kabel"/>
      <sheetName val="hs inst. elektrikal"/>
      <sheetName val="pipa"/>
      <sheetName val="exhaust"/>
      <sheetName val="ducting"/>
      <sheetName val="spesifikasi mat dan type"/>
      <sheetName val="Ars"/>
      <sheetName val="LF"/>
      <sheetName val="EL"/>
      <sheetName val="TP"/>
      <sheetName val="TS"/>
      <sheetName val="ah.cp"/>
      <sheetName val="hs.cp"/>
      <sheetName val="hs me"/>
      <sheetName val="hs pipa"/>
      <sheetName val="acc pl"/>
      <sheetName val="p refr"/>
      <sheetName val="duct"/>
      <sheetName val="AN-ARS"/>
      <sheetName val="AN-STR"/>
      <sheetName val="HS-BAHAN"/>
      <sheetName val="HS-UPAH"/>
      <sheetName val="HS- ALAT"/>
      <sheetName val="refrigerant"/>
      <sheetName val="accesories pl"/>
      <sheetName val="Sheet16"/>
      <sheetName val="Sheet15"/>
      <sheetName val="Non Std Mek"/>
      <sheetName val="Non Std Elekt"/>
      <sheetName val="hs elektrikal"/>
      <sheetName val="dft peralatan"/>
      <sheetName val="schedyle"/>
      <sheetName val="dft material"/>
      <sheetName val="kop brosur"/>
      <sheetName val="take up mtrl ducting"/>
      <sheetName val="alamat"/>
      <sheetName val="UBS-Realisasi 1999"/>
      <sheetName val="UBS-bayar"/>
      <sheetName val="UBS-bayar (2)"/>
      <sheetName val="TBM"/>
      <sheetName val="NERKON "/>
      <sheetName val="KB"/>
      <sheetName val="P-Kebun "/>
      <sheetName val="P-DGN"/>
      <sheetName val="PsDiPj"/>
      <sheetName val="PPEGxx"/>
      <sheetName val="BYRMXX"/>
      <sheetName val="PPEMxx"/>
      <sheetName val="PLL "/>
      <sheetName val="REKAP-AT"/>
      <sheetName val="Depre-TM"/>
      <sheetName val="AL-BTL KK (2)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B "/>
      <sheetName val="HBJP"/>
      <sheetName val="PJR.PENJ "/>
      <sheetName val="JASAGIRO"/>
      <sheetName val="DAF.ISI"/>
      <sheetName val="Ak_pro "/>
      <sheetName val="PJR.PENJ"/>
      <sheetName val="SAWIT"/>
      <sheetName val="KARET"/>
      <sheetName val="TEH"/>
      <sheetName val="KANDIR"/>
      <sheetName val="NERACA LAJUR"/>
      <sheetName val="LARU-KOM"/>
      <sheetName val="LARU-BI"/>
      <sheetName val="PER-HP"/>
      <sheetName val="L-R RKAP"/>
      <sheetName val="L-R per Kom"/>
      <sheetName val="L-R RKAP 1Thn"/>
      <sheetName val="L-R per Kom (2)"/>
      <sheetName val="L-R per Kom BI"/>
      <sheetName val="LR-PROG"/>
      <sheetName val="PJK_FIS"/>
      <sheetName val="ahp duct bdn"/>
      <sheetName val="pipa hydr bdn"/>
      <sheetName val="access duct bdn"/>
      <sheetName val="Sheet5"/>
      <sheetName val="ahp duct dan hydrat bdn"/>
      <sheetName val="hs elektrikal bdn"/>
      <sheetName val="panel bdn &amp; acce ducting"/>
      <sheetName val="daftar peralatan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Beban-beban"/>
      <sheetName val="Beban-beban Jan-Jun Olah"/>
      <sheetName val="Pajak Tangguhan"/>
      <sheetName val="Pajak Tangguhan (2)"/>
      <sheetName val="TBS"/>
      <sheetName val="Cash_Flow_Mar 03"/>
      <sheetName val="NewCash_Flow_Mar '03"/>
      <sheetName val="Perubahan EkuitasMar '03"/>
      <sheetName val="Neraca_Mar 03"/>
      <sheetName val="Form_Breakdown"/>
      <sheetName val="RL_JMver_Mar 03"/>
      <sheetName val="Maret2003"/>
      <sheetName val="Cash_Flow_Des '02"/>
      <sheetName val="Neraca_Des 02"/>
      <sheetName val="RL_JMver_Des'02"/>
      <sheetName val="Jun2002"/>
      <sheetName val="Instruction"/>
      <sheetName val="All Sites"/>
      <sheetName val="Core Sites"/>
      <sheetName val="KPI All Sites"/>
      <sheetName val="KPI Dev All Sites"/>
      <sheetName val="KPI Dev Core Sites"/>
      <sheetName val="Site Details"/>
      <sheetName val="SiteBench"/>
      <sheetName val="BI Global"/>
      <sheetName val="Tabelle1"/>
      <sheetName val="MasterData"/>
      <sheetName val="Auxiliary"/>
      <sheetName val="Plasma"/>
      <sheetName val="Inti_2000 (2)"/>
      <sheetName val="Deftax"/>
      <sheetName val="Tax recon"/>
      <sheetName val="Adj kash"/>
      <sheetName val="99-00"/>
      <sheetName val="Cflow00"/>
      <sheetName val="2000-2001"/>
      <sheetName val="Cflow01"/>
      <sheetName val="CFW-01"/>
      <sheetName val="CFS-01"/>
      <sheetName val="2001-2002"/>
      <sheetName val="Cflow02"/>
      <sheetName val="CFW-02"/>
      <sheetName val="CFS-02"/>
      <sheetName val="2002-2003"/>
      <sheetName val="Combined WBS PL"/>
      <sheetName val="WBS PL HO"/>
      <sheetName val="WBS PL Branch 1"/>
      <sheetName val="AJE HO"/>
      <sheetName val="AJE Branch 1"/>
      <sheetName val="RJE Combine"/>
      <sheetName val="Flow PSDH_306"/>
      <sheetName val="LEAD_UNIT_301"/>
      <sheetName val="SUPPORT PER KPH_302"/>
      <sheetName val="II M_307"/>
      <sheetName val="Setoran PSDH_303"/>
      <sheetName val="Supp_304"/>
      <sheetName val="Supp_305"/>
      <sheetName val="N. AP trade"/>
      <sheetName val="P.1 Accrued expense"/>
      <sheetName val="P.2 Advance from customer"/>
      <sheetName val="O. Taxes payable"/>
      <sheetName val="O.1 Ps 21"/>
      <sheetName val="O.2 Ps 22"/>
      <sheetName val="O.3 Ps 23"/>
      <sheetName val="O.4 Ps 26"/>
      <sheetName val="O.5 Ps 25"/>
      <sheetName val="Q.1 Bank Loan"/>
      <sheetName val="Q.2 Leasing"/>
      <sheetName val="Q.3 Pension Fund"/>
      <sheetName val="R.Deferred tax liabilities"/>
      <sheetName val="T.CAPITAL STOCK"/>
      <sheetName val="U.1.1 Sales"/>
      <sheetName val="U.2.1 COGS"/>
      <sheetName val="U.2.1.1"/>
      <sheetName val="U.2.2 Opex"/>
      <sheetName val="Kegiatan per bidang jasa"/>
      <sheetName val="asumsi 2011"/>
      <sheetName val="asumsi 2012"/>
      <sheetName val="daftar nama"/>
      <sheetName val="posisi-personil"/>
      <sheetName val="Program kerja"/>
      <sheetName val="Ringkasan RAB"/>
      <sheetName val="Definisi biaya"/>
      <sheetName val="GPs"/>
      <sheetName val="Pengisian GPs"/>
      <sheetName val="U.1.2 Other charges (income)"/>
      <sheetName val="PROVISION INCOME TAX"/>
      <sheetName val="C.1 Cash on hand and in banks"/>
      <sheetName val="Confirmation"/>
      <sheetName val="C.2 Time deposit"/>
      <sheetName val="D. Notes Receivable"/>
      <sheetName val="D.1 NR"/>
      <sheetName val="D.2 Laverton"/>
      <sheetName val="E.ACCOUNT RECEVABLE"/>
      <sheetName val="I. Other receivable (payable)"/>
      <sheetName val="F. Inventories"/>
      <sheetName val="F.1 Test Pricing"/>
      <sheetName val="G.1 Advance to supplier"/>
      <sheetName val="G.2 Prepaid Exp"/>
      <sheetName val="G.3 Prepaid Taxes"/>
      <sheetName val="K Memo"/>
      <sheetName val="K.1 MOVEMENT"/>
      <sheetName val="K.1.1 SME"/>
      <sheetName val="K.1.1.1 TM"/>
      <sheetName val="K.1.1.2 BUILDINGS"/>
      <sheetName val="K.1.1.3 LAND.IMPVMT"/>
      <sheetName val="K.1.1.4 MACHINERY &amp; EQUIPMENT"/>
      <sheetName val="K.1.1.5 HEAVY EQP.&amp;VEHICLE"/>
      <sheetName val="K.1.1.6 OFF.EQUIP.&amp;FIXTURES"/>
      <sheetName val="K.1.1.7 CIP"/>
      <sheetName val="K.1.2 KKE"/>
      <sheetName val="K.1.2.1 TM"/>
      <sheetName val="K.1.2.2 TBM"/>
      <sheetName val="K.1.2.3 BUILDINGS"/>
      <sheetName val="K.1.2.4 LAND.IMPRVT."/>
      <sheetName val="K.1.2.5 MACHINERY &amp;EQUIP"/>
      <sheetName val="K.1.2.6 HEAVY EQUIP.&amp;VEHICLE"/>
      <sheetName val="K.1.2.7 OFF.EQUIP&amp;FIXTURE"/>
      <sheetName val="K.1.2.8 CIP"/>
      <sheetName val="K.1.3 SIE"/>
      <sheetName val="K.1.3.1 TM "/>
      <sheetName val="K.1.3.2 TBM"/>
      <sheetName val="K.1.3.3 BUILDINGS"/>
      <sheetName val="K.1.3.4 MACHINERY&amp;EQUIPT"/>
      <sheetName val="K.1.3.5 HEAVY EQUIP.&amp;VEHICLE"/>
      <sheetName val="K.1.3.6 OFF.EQUIP&amp;FIX"/>
      <sheetName val="K.1.3.7 CIP"/>
      <sheetName val="K.1.4 SMF"/>
      <sheetName val="K.1.4.1 BUILDINGS"/>
      <sheetName val="K.1.4.2 LAND.IMPRVT"/>
      <sheetName val="K.1.4.3 MACHINERY&amp;EQUIP"/>
      <sheetName val="K.1.4.4 HEAVY EQUIP.&amp;VEHICLE"/>
      <sheetName val="K.1.4.5 OFF.EQUIP"/>
      <sheetName val="K.1.4.6 CIP"/>
      <sheetName val="K2 Vouching"/>
      <sheetName val="J. Other Assets"/>
      <sheetName val="J.1 Deffered Landright"/>
      <sheetName val="TBM  (3)"/>
      <sheetName val="CIP USD"/>
      <sheetName val="rekapSept"/>
      <sheetName val="tanah"/>
      <sheetName val="bgn"/>
      <sheetName val="pra"/>
      <sheetName val="kend "/>
      <sheetName val="bengk."/>
      <sheetName val="air&amp;lis"/>
      <sheetName val="invent."/>
      <sheetName val="K-B"/>
      <sheetName val="REKON P-KEBUN"/>
      <sheetName val="P-DGG"/>
      <sheetName val="PERS-DP"/>
      <sheetName val="BYRM"/>
      <sheetName val="PJR-PEM"/>
      <sheetName val="PINJ-PEG"/>
      <sheetName val="PJR-LL"/>
      <sheetName val="P-LL "/>
      <sheetName val="PPN-MASUKAN"/>
      <sheetName val="BIBIT"/>
      <sheetName val="AK-PRS"/>
      <sheetName val="BTGH"/>
      <sheetName val="H-DGG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P-Kebun-XX "/>
      <sheetName val="PPEG"/>
      <sheetName val="BYRM-XX"/>
      <sheetName val="PPEM"/>
      <sheetName val="BT-XX"/>
      <sheetName val="Ak_pro-XX"/>
      <sheetName val="HUT"/>
      <sheetName val="HK-XX"/>
      <sheetName val="HLL"/>
      <sheetName val="pph"/>
      <sheetName val="HB"/>
      <sheetName val="AL-BTL KK"/>
      <sheetName val="BTL-RO"/>
      <sheetName val="PASIVA"/>
      <sheetName val="PERUBAHAN EQUITAS"/>
      <sheetName val="Kertas Kerja Neraca_2007_PT"/>
      <sheetName val="AJP 2006"/>
      <sheetName val="Jurkor 2007"/>
      <sheetName val="Kertas Kerja Laba-Rugi_2007_PT"/>
      <sheetName val="2006"/>
      <sheetName val="AJP 2005"/>
      <sheetName val="Piutang Usaha_edited_PT"/>
      <sheetName val="Piutang Usaha_Sort_PT"/>
      <sheetName val="Asuransi_edited_PT"/>
      <sheetName val="Hutang_Edited_PT"/>
      <sheetName val="RJP 2006"/>
      <sheetName val="2005"/>
      <sheetName val="2004"/>
      <sheetName val="Pjk kini"/>
      <sheetName val="Pjk kini_2007_PT"/>
      <sheetName val="Pjk tangguhan"/>
      <sheetName val="Rekon pjk"/>
      <sheetName val="General"/>
      <sheetName val="Capex Sum"/>
      <sheetName val="AAL"/>
      <sheetName val="IIS"/>
      <sheetName val="AARJ"/>
      <sheetName val="march"/>
      <sheetName val="rsk"/>
      <sheetName val="aic"/>
      <sheetName val="Ist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CRITERIA3"/>
      <sheetName val="CCAI BOOK TEMPLATE"/>
      <sheetName val="CRITERIA2"/>
      <sheetName val="CRITERIA1"/>
      <sheetName val="Formita"/>
      <sheetName val="Semangka"/>
      <sheetName val="CabeAGP-23"/>
      <sheetName val="CabeMas47 "/>
      <sheetName val="TBM-OP97 660 HA"/>
      <sheetName val="TBM-OP'96 211 HA"/>
      <sheetName val="TBM-OP96 236 HA"/>
      <sheetName val="TBM-OP96 287 HA"/>
      <sheetName val="TBM-OP96 246 HA"/>
      <sheetName val="TBM-OP97 281 HA"/>
      <sheetName val="TBM-OP95 304 HA"/>
      <sheetName val="TBM-OP98 200 HA"/>
      <sheetName val="127 Ha Out of HGU"/>
      <sheetName val="HPPKS"/>
      <sheetName val="CPO"/>
      <sheetName val="BO"/>
      <sheetName val="PENJ"/>
      <sheetName val="PENDPT"/>
      <sheetName val="SEL-KURS"/>
      <sheetName val="fix-ass"/>
      <sheetName val="laroux"/>
      <sheetName val="Cab Utama"/>
      <sheetName val="KANPUS"/>
      <sheetName val="GABUNGAN"/>
      <sheetName val="realjuli"/>
      <sheetName val="prakjuli"/>
      <sheetName val="KonPusat"/>
      <sheetName val="Pusat"/>
      <sheetName val="P-KebunXX"/>
      <sheetName val="LEAD KONSOL"/>
      <sheetName val="AGING KONSOL"/>
      <sheetName val="PENDING KONFIRMASI ALL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A PJK_FIS N6"/>
      <sheetName val="L33B PJK_FIS BK"/>
      <sheetName val="L34A Perhit_Pjk Tangguhan PN6"/>
      <sheetName val="L34B Perhit_Pjk Tangguhan BK"/>
      <sheetName val="L37 PJK_FIS"/>
      <sheetName val="L38 Tenaker"/>
      <sheetName val="L40 Kinerja 198"/>
      <sheetName val="L33 PJK_FIS"/>
      <sheetName val="U2_2"/>
      <sheetName val="SALE FFI 2003"/>
      <sheetName val="SALE FFI 2003 (2)"/>
      <sheetName val="SALE FFI 2003 (3)"/>
      <sheetName val="WBS 1_MBI Consol"/>
      <sheetName val="For reporting"/>
      <sheetName val="Notes for reporting"/>
      <sheetName val="WPL Fiskal_MBI Consol"/>
      <sheetName val="Deferred Tax"/>
      <sheetName val="WBS 2_MBI Consol"/>
      <sheetName val="WPL_MBI Consol"/>
      <sheetName val="Jurnal consol_Dec 2007"/>
      <sheetName val="OPEX_MBI Consol"/>
      <sheetName val="Detail for report"/>
      <sheetName val="Cash Flow Direct_MBI"/>
      <sheetName val="Cash Flow Direct_report_MBI"/>
      <sheetName val="retirement benefit"/>
      <sheetName val="des_06"/>
      <sheetName val="9E1_3"/>
      <sheetName val="B. PENYUSUTAN"/>
      <sheetName val="KEND"/>
      <sheetName val="KOMP"/>
      <sheetName val="Pen Ner"/>
      <sheetName val="Ak Inv"/>
      <sheetName val="Kas &amp; Bank"/>
      <sheetName val="Mutasi Aktiva"/>
      <sheetName val="By. Tanaman"/>
      <sheetName val="IS(RINGKAS)"/>
      <sheetName val="DETAIL BS"/>
      <sheetName val="DETAIL IS"/>
      <sheetName val="DETAIL ACTIVITY"/>
      <sheetName val="TBA"/>
      <sheetName val="JOURNAL UMUM"/>
      <sheetName val="GL Okt"/>
      <sheetName val="Kas Kebun"/>
      <sheetName val="BRI"/>
      <sheetName val="Permata"/>
      <sheetName val="Kas Perwakilan"/>
      <sheetName val="Uang Muka HO"/>
      <sheetName val="Voucher Pengeluaran Bank"/>
      <sheetName val="Voucher Penerimaan Bank"/>
      <sheetName val="Voucher Penerimaan Kas"/>
      <sheetName val="Voucher Pengeluaran Kas"/>
      <sheetName val="Jurnal Memorial"/>
      <sheetName val="NER"/>
      <sheetName val="Laru"/>
      <sheetName val="TB_GAB"/>
      <sheetName val="TB_SAP"/>
      <sheetName val="CADSED"/>
      <sheetName val="AGING1"/>
      <sheetName val="PJKINI"/>
      <sheetName val="BUSAHA"/>
      <sheetName val="AnHPP"/>
      <sheetName val="4D"/>
      <sheetName val="4E"/>
      <sheetName val="6"/>
      <sheetName val="6J"/>
      <sheetName val="10D"/>
      <sheetName val="10I"/>
      <sheetName val="AJE_SelKurs"/>
      <sheetName val="AJECOSTSAP"/>
      <sheetName val="AJEACTCOST"/>
      <sheetName val="Rek_PAU"/>
      <sheetName val="SelKurs"/>
      <sheetName val="BPlain"/>
      <sheetName val="BBOld"/>
      <sheetName val="BJold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Invoice"/>
      <sheetName val="Tracker"/>
      <sheetName val="Time Report"/>
      <sheetName val="Help"/>
      <sheetName val="Codestable"/>
      <sheetName val="F2"/>
      <sheetName val="LTR"/>
      <sheetName val="Summary over-under accrued"/>
      <sheetName val="Aging AR FRP"/>
      <sheetName val="Expense clasiffication-FRP"/>
      <sheetName val="Insurance-FRP"/>
      <sheetName val="Accrued-FRP"/>
      <sheetName val="Mngmnt Fee-FRP"/>
      <sheetName val="PM (Dec 31, 2006)"/>
      <sheetName val="PRJE "/>
      <sheetName val="T-Account"/>
      <sheetName val="A3.1"/>
      <sheetName val="A3.2"/>
      <sheetName val="A3.3"/>
      <sheetName val="C Lead"/>
      <sheetName val="C-1"/>
      <sheetName val="C-4"/>
      <sheetName val="C-5"/>
      <sheetName val="C-5.1"/>
      <sheetName val="C-5.2"/>
      <sheetName val="C Memo (2)"/>
      <sheetName val="E Lead"/>
      <sheetName val="E Memo"/>
      <sheetName val="E-1.1"/>
      <sheetName val="E-2"/>
      <sheetName val="E-2.1 Aging-Summary"/>
      <sheetName val="E-2.2"/>
      <sheetName val="E-2.3"/>
      <sheetName val="GHB-BHH"/>
      <sheetName val="F-2"/>
      <sheetName val="F-3"/>
      <sheetName val="F-4"/>
      <sheetName val="F-5"/>
      <sheetName val="G Lead"/>
      <sheetName val="G-1.1"/>
      <sheetName val="G-1.2"/>
      <sheetName val="J Lead"/>
      <sheetName val="J-1"/>
      <sheetName val="Cost Analysis"/>
      <sheetName val="Retail"/>
      <sheetName val="Recap Inv"/>
      <sheetName val="Purchase"/>
      <sheetName val="Consumed"/>
      <sheetName val="Case"/>
      <sheetName val="Master Data"/>
      <sheetName val="Receiv-liabil"/>
      <sheetName val="Appendix 1 receiv."/>
      <sheetName val="Appendix 2 advan.-paym."/>
      <sheetName val="Appendix 3 liabilities"/>
      <sheetName val="Appendix 4 paym.-receiv."/>
      <sheetName val="BDO"/>
      <sheetName val="WBSA"/>
      <sheetName val="WBSA-Round"/>
      <sheetName val="WBSL"/>
      <sheetName val="WBSL-Round"/>
      <sheetName val="WPL-Round"/>
      <sheetName val="CIT-Audit"/>
      <sheetName val="Corp Tax 2009"/>
      <sheetName val="DTA"/>
      <sheetName val="FA Fiskal 2009"/>
      <sheetName val="FA Fiskal 2008"/>
      <sheetName val="Piutang Hubungan Istimewa"/>
      <sheetName val="Inventory"/>
      <sheetName val="HTI &amp; FA"/>
      <sheetName val="Penyertaan"/>
      <sheetName val="Hutang jangka Pjg&amp;Pdk"/>
      <sheetName val="Selling Expense"/>
      <sheetName val="G&amp;A"/>
      <sheetName val="Penghasilan-Beban Bunga"/>
      <sheetName val="SHE"/>
      <sheetName val="Matrl"/>
      <sheetName val="Pa(r)je 2005"/>
      <sheetName val="elim area I"/>
      <sheetName val="elim areas"/>
      <sheetName val="Dec 2005 "/>
      <sheetName val="Fiscal-computation"/>
      <sheetName val="Tax Effect"/>
      <sheetName val="Lap. Keuangan"/>
      <sheetName val="BPT"/>
      <sheetName val="TYSP"/>
      <sheetName val="TAIWI"/>
      <sheetName val="Wiranusa"/>
      <sheetName val="Gire"/>
      <sheetName val="Glue di persediaan"/>
      <sheetName val="Elim jual log dan glue"/>
      <sheetName val="Rincian labarugi Subsd"/>
      <sheetName val="Pajak Parent"/>
      <sheetName val="NDE"/>
      <sheetName val="Sum tax Compt"/>
      <sheetName val="AMORTIZATION"/>
      <sheetName val="Amor Goodwill"/>
      <sheetName val="Dec 2003"/>
      <sheetName val="Fnc-Highlight"/>
      <sheetName val="Dec 2004"/>
      <sheetName val="ML"/>
      <sheetName val="WBS-A"/>
      <sheetName val="WBS-L"/>
      <sheetName val="Analitical"/>
      <sheetName val="PTD"/>
      <sheetName val="A-2"/>
      <sheetName val="A-3"/>
      <sheetName val="C-2"/>
      <sheetName val="C-3"/>
      <sheetName val="H-1"/>
      <sheetName val="H-2"/>
      <sheetName val="H-2-2"/>
      <sheetName val="H-3"/>
      <sheetName val="H-3-1"/>
      <sheetName val="K-2"/>
      <sheetName val="K-3"/>
      <sheetName val="K-4"/>
      <sheetName val="K-5"/>
      <sheetName val="BB-1"/>
      <sheetName val="BB-2"/>
      <sheetName val="GG"/>
      <sheetName val="GG-1"/>
      <sheetName val="GG-2"/>
      <sheetName val="GG-3"/>
      <sheetName val="HH"/>
      <sheetName val="SS-1"/>
      <sheetName val="SS-2"/>
      <sheetName val="II-1"/>
      <sheetName val="II-2"/>
      <sheetName val="III"/>
      <sheetName val="IV"/>
      <sheetName val="Fiscal Diff"/>
      <sheetName val="Materiality"/>
      <sheetName val="Analitical Procedure"/>
      <sheetName val="E-1-1"/>
      <sheetName val="E-1-2"/>
      <sheetName val="D-1"/>
      <sheetName val="D-2"/>
      <sheetName val="D-3"/>
      <sheetName val="D-4"/>
      <sheetName val="C-1-1"/>
      <sheetName val="C-1-2"/>
      <sheetName val="C-2-1"/>
      <sheetName val="C-2-1-1"/>
      <sheetName val="C-2-1-2"/>
      <sheetName val="C-2-2"/>
      <sheetName val="C-2-3"/>
      <sheetName val="B-1"/>
      <sheetName val="A2"/>
      <sheetName val="A2-1"/>
      <sheetName val="A2-2"/>
      <sheetName val="A2-3"/>
      <sheetName val="A2-4"/>
      <sheetName val="A2-5"/>
      <sheetName val="A2-6"/>
      <sheetName val="A2-7"/>
      <sheetName val="A2-8"/>
      <sheetName val="L-1"/>
      <sheetName val="L-2"/>
      <sheetName val="L-3"/>
      <sheetName val="21"/>
      <sheetName val="4(2)"/>
      <sheetName val="25"/>
      <sheetName val="A-1"/>
      <sheetName val="A-3-1"/>
      <sheetName val="A-4"/>
      <sheetName val="A-5"/>
      <sheetName val="C-1-3"/>
      <sheetName val="D-1-1"/>
      <sheetName val="D-1-1-1"/>
      <sheetName val="G-1-1"/>
      <sheetName val="G-1-1-1"/>
      <sheetName val="G-1-1-2"/>
      <sheetName val="G-1-1-3"/>
      <sheetName val="G-1-1-4"/>
      <sheetName val="G-1-1-5"/>
      <sheetName val="PPh 22-Import"/>
      <sheetName val="PPh 22-Import-Detail"/>
      <sheetName val="Rekon"/>
      <sheetName val="Fr GL"/>
      <sheetName val="Fr SPT Masa"/>
      <sheetName val="G-2-1"/>
      <sheetName val="J-1-1"/>
      <sheetName val="J-2"/>
      <sheetName val="J-2-1"/>
      <sheetName val="J-3"/>
      <sheetName val="J-3-1"/>
      <sheetName val="J-4"/>
      <sheetName val="J-4-1"/>
      <sheetName val="J-5"/>
      <sheetName val="J-5-1"/>
      <sheetName val="J-6"/>
      <sheetName val="J-6-1"/>
      <sheetName val="J-7"/>
      <sheetName val="J-7-1"/>
      <sheetName val="J-8"/>
      <sheetName val="J-8-1"/>
      <sheetName val="FA Mvmt Summary"/>
      <sheetName val="List FA"/>
      <sheetName val="WBS-B"/>
      <sheetName val="HH-1"/>
      <sheetName val="HH2"/>
      <sheetName val="HH-3"/>
      <sheetName val="Sheet12"/>
      <sheetName val="spt-21"/>
      <sheetName val="H-1-1"/>
      <sheetName val="DD-1"/>
      <sheetName val="DD-2"/>
      <sheetName val="DD-3"/>
      <sheetName val="DD-4"/>
      <sheetName val="I-1"/>
      <sheetName val="MIS"/>
      <sheetName val="Trial Balance"/>
      <sheetName val="Data Request"/>
      <sheetName val="E-5-1"/>
      <sheetName val="E-5-3"/>
      <sheetName val="E-5-4"/>
      <sheetName val="E-2-1"/>
      <sheetName val="E-2-1-1"/>
      <sheetName val="E-2-1-2"/>
      <sheetName val="E-2-2"/>
      <sheetName val="E-2-3"/>
      <sheetName val="E-2-3-1"/>
      <sheetName val="A-2-1"/>
      <sheetName val="A-2-2"/>
      <sheetName val="A-2-3"/>
      <sheetName val="A-2-4"/>
      <sheetName val="A-2-5"/>
      <sheetName val="B-2"/>
      <sheetName val="L-2 "/>
      <sheetName val="H-4"/>
      <sheetName val="P-1-1"/>
      <sheetName val="Q-1"/>
      <sheetName val="AnalyticaL Oct'04"/>
      <sheetName val="F1"/>
      <sheetName val="F3"/>
      <sheetName val="F4"/>
      <sheetName val="F5"/>
      <sheetName val="PPN-combined"/>
      <sheetName val="PPN Maluku"/>
      <sheetName val="PPN Ambon"/>
      <sheetName val="UV"/>
      <sheetName val="X"/>
      <sheetName val="Z"/>
      <sheetName val="Rekap PPH21"/>
      <sheetName val="Rekap PPH23"/>
      <sheetName val="Rekap Prep.Tax-22"/>
      <sheetName val="Rekap PPh25"/>
      <sheetName val="NN"/>
      <sheetName val="Pricing test"/>
      <sheetName val="40"/>
      <sheetName val="Predictive Test-Insurance"/>
      <sheetName val="SPT 2006"/>
      <sheetName val="Rekap &amp; Allowance"/>
      <sheetName val="Rekap JHT &amp; PPh"/>
      <sheetName val="Detail Gaji"/>
      <sheetName val="Detail Gaji (2)"/>
      <sheetName val="Top FA-2004"/>
      <sheetName val="Bangunan"/>
      <sheetName val="Perlengkapan-Bangunan"/>
      <sheetName val="Perlengkapan-Bengkel"/>
      <sheetName val="Inventaris Kantor"/>
      <sheetName val="Mesin &amp; Peralatan"/>
      <sheetName val="Kendaraan Bermotor"/>
      <sheetName val="Aktiva Dlm - Penyelesaian"/>
      <sheetName val="CONVERED-PROD-PLAN"/>
      <sheetName val="DAILY-PLANNING-2"/>
      <sheetName val="production requirement (NOV)"/>
      <sheetName val="WEEKLY-PRODUCTION-PROGRAMME"/>
      <sheetName val="CM-MODULE-1-3"/>
      <sheetName val="CM-MODULE-4A-4B-7"/>
      <sheetName val="CUTRAG REQUIREMENT"/>
      <sheetName val="DAILY-PLANNING-1"/>
      <sheetName val="MACH-UTL.-SUMMARY"/>
      <sheetName val="MACH-UTL.-SUMMARY-MONTHLY"/>
      <sheetName val="SOP-11-2001"/>
      <sheetName val="DAILY-PROD-PLAN(JUNE)"/>
      <sheetName val="CUT-TOBACCO-RECEIVED &amp; REQ."/>
      <sheetName val="PRIMARY-PLANNING-(1)"/>
      <sheetName val="SOP-9"/>
      <sheetName val="PACKER-CAPACITY"/>
      <sheetName val="FACTORY"/>
      <sheetName val="Q1"/>
      <sheetName val="Q2"/>
      <sheetName val="Q3"/>
      <sheetName val="Q4"/>
      <sheetName val="Q1-02"/>
      <sheetName val="Q2-02"/>
      <sheetName val="LEAF COST DETAIL"/>
      <sheetName val="WRAPPING_COST"/>
      <sheetName val="WM-BYBRAND-QUARTER"/>
      <sheetName val="Det_Stock"/>
      <sheetName val="Blend F"/>
      <sheetName val="Usage (2)"/>
      <sheetName val="cc b"/>
      <sheetName val="DOM"/>
      <sheetName val="IMP"/>
      <sheetName val="Trends CC"/>
      <sheetName val="cost per mille"/>
      <sheetName val="CC 01M"/>
      <sheetName val="CC 02"/>
      <sheetName val="CC 05"/>
      <sheetName val="CC 06"/>
      <sheetName val="CC 15"/>
      <sheetName val="CC 15A"/>
      <sheetName val="CC 21M"/>
      <sheetName val="CC 30"/>
      <sheetName val="CC 29"/>
      <sheetName val="Casing"/>
      <sheetName val="Usage by Blend"/>
      <sheetName val="Usage"/>
      <sheetName val="000"/>
      <sheetName val="BAT"/>
      <sheetName val="projection "/>
      <sheetName val="nppc"/>
      <sheetName val="apc"/>
      <sheetName val="mbrship "/>
      <sheetName val="amoortisation"/>
      <sheetName val="FAS-88-DP"/>
      <sheetName val="FAS-88-TPMK"/>
      <sheetName val="FAS-88-sample"/>
      <sheetName val="Sheet7"/>
      <sheetName val="Sheet9"/>
      <sheetName val="Sheet10"/>
      <sheetName val="Sheet11"/>
      <sheetName val="Sheet13"/>
      <sheetName val="Sheet14"/>
      <sheetName val="CF 2007"/>
      <sheetName val="TB-FINAL 2007"/>
      <sheetName val="TB-FINAL 2006"/>
      <sheetName val="Bank_2006"/>
      <sheetName val="Diff_BS"/>
      <sheetName val="Mapped 2006 P&amp;L"/>
      <sheetName val="TB_Final_2006"/>
      <sheetName val="PAJE PRJE"/>
      <sheetName val="CLR"/>
      <sheetName val="Corporate tax 2007"/>
      <sheetName val="Deferred tax 2007"/>
      <sheetName val="4100"/>
      <sheetName val="3700"/>
      <sheetName val="3300"/>
      <sheetName val="3400"/>
      <sheetName val="3800a"/>
      <sheetName val="3800b"/>
      <sheetName val="3800c"/>
      <sheetName val="4300a"/>
      <sheetName val="4300b"/>
      <sheetName val="4600"/>
      <sheetName val="5200a"/>
      <sheetName val="5200b"/>
      <sheetName val="5200c"/>
      <sheetName val="5200d"/>
      <sheetName val="4500"/>
      <sheetName val="3200"/>
      <sheetName val="4200"/>
      <sheetName val="5500"/>
      <sheetName val="5800a"/>
      <sheetName val="5800b"/>
      <sheetName val="5900"/>
      <sheetName val="tb-mar"/>
      <sheetName val="TB1"/>
      <sheetName val="TB2"/>
      <sheetName val="TB3"/>
      <sheetName val="TB4"/>
      <sheetName val="Mapping"/>
      <sheetName val="TB-Clean"/>
      <sheetName val="Settings"/>
      <sheetName val="Calculations"/>
      <sheetName val="LS_Standard"/>
      <sheetName val="DEPT  LOB FOR EY 2-10-06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Elim-penyertaan"/>
      <sheetName val="Nilai Penyertaan"/>
      <sheetName val="BSISCF"/>
      <sheetName val="Eku-baru"/>
      <sheetName val="New Eku"/>
      <sheetName val="Data RK"/>
      <sheetName val="Daftar RK"/>
      <sheetName val="Perubah ekuitas"/>
      <sheetName val="Mutasi PSAK 06"/>
      <sheetName val="daftar isi"/>
      <sheetName val="KK-Lap.keu 2004"/>
      <sheetName val="Daf ekitas In-AP06"/>
      <sheetName val="MInor 04"/>
      <sheetName val="PSAK 24"/>
      <sheetName val="Per Anak"/>
      <sheetName val="KK-NRC"/>
      <sheetName val="Afiliasi"/>
      <sheetName val="Eku-br rev"/>
      <sheetName val="Nrc Unaudit-audit"/>
      <sheetName val="Perban Nrc 08-07"/>
      <sheetName val="eku-sma Tw207"/>
      <sheetName val="eku perban"/>
      <sheetName val="Rkap-NRC"/>
      <sheetName val="Rincian2"/>
      <sheetName val="Ekuitas AP"/>
      <sheetName val="Perub Eku Anak"/>
      <sheetName val="Rincian Rklas"/>
      <sheetName val="Daf kend-perabot"/>
      <sheetName val="Audit-Unaudit"/>
      <sheetName val="Rekap-NRC"/>
      <sheetName val="Perban Nrc 07-06"/>
      <sheetName val="Daf isi"/>
      <sheetName val="Penjl"/>
      <sheetName val="Kk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"/>
      <sheetName val="UM memo"/>
      <sheetName val="PIUTANG KARYAWAN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to notes"/>
      <sheetName val="LK 2009"/>
      <sheetName val="perpajakan"/>
      <sheetName val="perhitungan bunga"/>
      <sheetName val="TAX MK INHOUSE"/>
      <sheetName val="lamp.kinerja"/>
      <sheetName val="lampiran2"/>
      <sheetName val="LK 2009 (2)"/>
      <sheetName val="SL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Ch_OS_Pro"/>
      <sheetName val="Rep_OS_Pro"/>
      <sheetName val="Ch_OS_Com"/>
      <sheetName val="Rep_OS_Com"/>
      <sheetName val="Ch_OS_Con"/>
      <sheetName val="Rep_OS_Con"/>
      <sheetName val="Rep_OS_Con_MD"/>
      <sheetName val="Ch_OS_Sit"/>
      <sheetName val="Rep_OS_Sit"/>
      <sheetName val="Rep_OS_Details"/>
      <sheetName val="Ch_IS_Pro"/>
      <sheetName val="Rep_IS_Pro"/>
      <sheetName val="Ch_IS_Com"/>
      <sheetName val="Rep_IS_Com"/>
      <sheetName val="Ch_IS_Con"/>
      <sheetName val="Rep_IS_Con"/>
      <sheetName val="PaRS_Data"/>
      <sheetName val="Contracts_Data"/>
      <sheetName val="SKU_PPP_Data"/>
      <sheetName val="IS_Data"/>
      <sheetName val="IS_Customer"/>
      <sheetName val="Piv_OS_Pro"/>
      <sheetName val="Piv_OS_Com"/>
      <sheetName val="Piv_OS_Con"/>
      <sheetName val="Piv_OS_Sit"/>
      <sheetName val="Piv_IS_Pro"/>
      <sheetName val="Piv_IS_Com"/>
      <sheetName val="Piv_IS_Con"/>
      <sheetName val="IS_Site"/>
      <sheetName val="PaRS_Import"/>
      <sheetName val="PaRs_Import_Corr"/>
      <sheetName val="ABBR"/>
      <sheetName val="Company"/>
      <sheetName val="Country"/>
      <sheetName val="COMBINE"/>
      <sheetName val="COMBINE02"/>
      <sheetName val="Sulawesi"/>
      <sheetName val="Jatim"/>
      <sheetName val="Sumbagsel"/>
      <sheetName val="Jabar"/>
      <sheetName val="Jateng"/>
      <sheetName val="Sumbagut"/>
      <sheetName val="koreksi fiskal"/>
      <sheetName val="Lead Piutang Usaha Kons"/>
      <sheetName val="Disclose_Konsol 2"/>
      <sheetName val="Disclose_Induk Debitur1"/>
      <sheetName val="Disclose_Induk 2"/>
      <sheetName val="C-3 Gab"/>
      <sheetName val="C-4 Jwb Konf"/>
      <sheetName val="C-5 AR&gt;3M Avloop"/>
      <sheetName val="PENY.PIUT"/>
      <sheetName val="PENY.PIUT_A"/>
      <sheetName val="Ptg&gt;12bulan"/>
      <sheetName val="PiutgB'mslh"/>
      <sheetName val="Aging07"/>
      <sheetName val="Peny. Piut07"/>
      <sheetName val="TOC_pngakuanARC"/>
      <sheetName val="TOC_PELUNSAN ARC."/>
      <sheetName val="Conclusion"/>
      <sheetName val="SIA07(P.Anas)"/>
      <sheetName val="Owner07(P.Anas)"/>
      <sheetName val="Aging07(P.Anas)"/>
      <sheetName val="Peny. Piut07(P.Anas)"/>
      <sheetName val="Aging Schedule"/>
      <sheetName val="Rincian Aging Schedule"/>
      <sheetName val="Penyisihan"/>
      <sheetName val="Konfirmasi"/>
      <sheetName val="Avloop"/>
      <sheetName val="Notisi"/>
      <sheetName val="WBS-WPL"/>
      <sheetName val="PPh Badan (Versi PBC)"/>
      <sheetName val="Rekap PPh 23_25"/>
      <sheetName val="AKTIVA BERWUJUD"/>
      <sheetName val="AKTIVA TIDAK BERWUJUD"/>
      <sheetName val="Propose AJE"/>
      <sheetName val="CIE"/>
      <sheetName val="margin"/>
      <sheetName val="CALK (3)"/>
      <sheetName val="WP-CP11"/>
      <sheetName val="wp FISKAL"/>
      <sheetName val="PPh Badan"/>
      <sheetName val="G-4 AT Fiskal"/>
      <sheetName val="ATB FISKAL"/>
      <sheetName val="Ps.25"/>
      <sheetName val="AJE 2009"/>
      <sheetName val="2009"/>
      <sheetName val="Reklas 2010"/>
      <sheetName val="Koreksi 2010"/>
      <sheetName val="WBS_WPL"/>
      <sheetName val="KKA arus kas"/>
      <sheetName val="akru jasprod"/>
      <sheetName val="tabungan"/>
      <sheetName val="bg"/>
      <sheetName val="kredit"/>
      <sheetName val="AT FISKAL"/>
      <sheetName val="pajak kini"/>
      <sheetName val="PPh Badan (2)"/>
      <sheetName val="MONITORING"/>
      <sheetName val="Proyeksi PPh29"/>
      <sheetName val="Proyeksi PPh29 update"/>
      <sheetName val="Rekap PPh23_25 2011&amp;2012"/>
      <sheetName val="Rekap PPh23 dan 25 (PNM)"/>
      <sheetName val="AB 2012 (PBC)"/>
      <sheetName val="ATB LAIN-LAIN &amp; APL KEU 2012"/>
      <sheetName val="AB 2012 (PNM)"/>
      <sheetName val="AB 2011"/>
      <sheetName val="ATB 2011"/>
      <sheetName val="Lamp.IK"/>
      <sheetName val="Beban IK vs Kew"/>
      <sheetName val="Lampiran AJE2010"/>
      <sheetName val="WP-CF 10"/>
      <sheetName val="WP-CF 09"/>
      <sheetName val="A. Tetap Fiskal"/>
      <sheetName val="A. Tak Berwujud"/>
      <sheetName val="REKFIS"/>
      <sheetName val="koreksi sandingan"/>
      <sheetName val="PPh Badan (Versi Audit PNM)"/>
      <sheetName val="PPh Badan (Versi Audit PNM) (2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Minoritas"/>
      <sheetName val="gab"/>
      <sheetName val="Nilai pertanggungan"/>
      <sheetName val="STNK"/>
      <sheetName val="JENIS KEND"/>
      <sheetName val="JUAL"/>
      <sheetName val="KERJASAMA"/>
      <sheetName val="TAHUN"/>
      <sheetName val="DATA ASLI"/>
      <sheetName val="GED.&amp;REKL"/>
      <sheetName val="DATA KENDARAAN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Operasional"/>
      <sheetName val="POSLK"/>
      <sheetName val="NeracaSQL"/>
      <sheetName val="R-LabaSQL"/>
      <sheetName val="labathn"/>
      <sheetName val="Markt+Tenc"/>
      <sheetName val="By.Karyawan"/>
      <sheetName val="BI.ADM+UMUM"/>
      <sheetName val="ops"/>
      <sheetName val="OTHER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FORMAT KORAN"/>
      <sheetName val="WKS-KONSOL-MD"/>
      <sheetName val="elim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Daf-isi-A-OK"/>
      <sheetName val="Ekuitas-10"/>
      <sheetName val="jelas-nrc-OK"/>
      <sheetName val="bi-adm"/>
      <sheetName val="L-R-BR"/>
      <sheetName val="Per Grade"/>
      <sheetName val="Sortasi"/>
      <sheetName val="Rektivikasi"/>
      <sheetName val="Lokal"/>
      <sheetName val="Eks"/>
      <sheetName val="K.KERJA"/>
      <sheetName val="Eks (2)"/>
      <sheetName val="Eks (3)"/>
      <sheetName val="Lokal (2)"/>
      <sheetName val="Nrc-Inap"/>
      <sheetName val="Unaudit-audit"/>
      <sheetName val="Dumtk"/>
      <sheetName val="1a"/>
      <sheetName val="1c"/>
      <sheetName val="Rincian Iuran"/>
      <sheetName val="PASTEK"/>
      <sheetName val="Data Rekon"/>
      <sheetName val="Premi Iuran"/>
      <sheetName val="INVS"/>
      <sheetName val="flow"/>
      <sheetName val="AAP (2)"/>
      <sheetName val="AAN"/>
      <sheetName val="AP-LR"/>
      <sheetName val="AProduksi"/>
      <sheetName val="RPenjualan"/>
      <sheetName val="AAHPP"/>
      <sheetName val="AABPG"/>
      <sheetName val="AABU"/>
      <sheetName val="ABProduksi"/>
      <sheetName val="HPP Per Ku"/>
      <sheetName val="HPP Per Ku (2)"/>
      <sheetName val="HPPGLTT"/>
      <sheetName val="SDM"/>
      <sheetName val="AAI"/>
      <sheetName val="KP"/>
      <sheetName val="PSA-LTR"/>
      <sheetName val="SKOR"/>
      <sheetName val="BUMN"/>
      <sheetName val="BUMNL"/>
      <sheetName val="strategi"/>
      <sheetName val="KRITERIA"/>
      <sheetName val="laporan"/>
      <sheetName val="KPI_konsol"/>
      <sheetName val="KPI"/>
      <sheetName val="konsolidasi"/>
      <sheetName val="Per_PT"/>
      <sheetName val="grafikper-pt"/>
      <sheetName val="hasil_kpi"/>
      <sheetName val="prod"/>
      <sheetName val="Konsol (2)"/>
      <sheetName val="131"/>
      <sheetName val="Konsol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skor-kinerja"/>
      <sheetName val="tk_kshtan"/>
      <sheetName val="lain-lain"/>
      <sheetName val="bulanan"/>
      <sheetName val="rts"/>
      <sheetName val="laskar"/>
      <sheetName val="holding"/>
      <sheetName val="kk_nrc"/>
      <sheetName val="buku1"/>
      <sheetName val="buku2"/>
      <sheetName val="buku_nrc"/>
      <sheetName val="trovi"/>
      <sheetName val="lampirann"/>
      <sheetName val="SLED."/>
      <sheetName val="Bhn Rpt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jprod"/>
      <sheetName val="gdg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NERACA REVISI"/>
      <sheetName val="Neraca SBLM REV"/>
      <sheetName val="PROYEKSI BUNGA"/>
      <sheetName val="REAL SD APRIL13"/>
      <sheetName val="Rincian (2)"/>
      <sheetName val="KOM"/>
      <sheetName val="DIR"/>
      <sheetName val="SEKORP"/>
      <sheetName val="AKT&amp;KEU"/>
      <sheetName val="SDM,UMUM&amp;ASET"/>
      <sheetName val="PROD&amp;IT"/>
      <sheetName val="REN &amp; BANG"/>
      <sheetName val="400"/>
      <sheetName val="401"/>
      <sheetName val="414"/>
      <sheetName val="415"/>
      <sheetName val="416"/>
      <sheetName val="418"/>
      <sheetName val="419"/>
      <sheetName val="440"/>
      <sheetName val="461"/>
      <sheetName val="483"/>
      <sheetName val="409"/>
      <sheetName val="410"/>
      <sheetName val="420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Neranca bln"/>
      <sheetName val="LR blnan"/>
      <sheetName val="Penjualan (3)"/>
      <sheetName val="Bi Prod"/>
      <sheetName val="Bi prod.bln"/>
      <sheetName val="REKAP 3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NERACA (2)"/>
      <sheetName val="Investasi2013"/>
      <sheetName val="cashflow2013"/>
      <sheetName val="FCD"/>
      <sheetName val="Direksi"/>
      <sheetName val="2004 nihil"/>
      <sheetName val="MATCH IKLAN"/>
      <sheetName val="budget05"/>
      <sheetName val="TABEL"/>
      <sheetName val="IRATE"/>
      <sheetName val="IRATE DD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F-peng-dana_wanto"/>
      <sheetName val="tarippasif_wanto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JE Result"/>
      <sheetName val="Information"/>
      <sheetName val="Structure Depo"/>
      <sheetName val="Nilai Wajar"/>
      <sheetName val="SSBVls-Subdebt"/>
      <sheetName val="Nrc Per Cabang"/>
      <sheetName val="Map 1006"/>
      <sheetName val="SL1006 (IDR)"/>
      <sheetName val="SL1006 (VLS)"/>
      <sheetName val="Report BS"/>
      <sheetName val="Report PL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trf tunda"/>
      <sheetName val="hint tunda"/>
      <sheetName val="rekap0 phdp"/>
      <sheetName val="dt31 des03"/>
      <sheetName val="lampir2"/>
      <sheetName val="p-000"/>
      <sheetName val="lists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1"/>
      <sheetName val="Module2"/>
      <sheetName val="05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3"/>
      <sheetName val="lamp.4"/>
      <sheetName val="lamp3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kd"/>
      <sheetName val="rata-rata-usia"/>
      <sheetName val="hit-PKT"/>
      <sheetName val="hitYPK"/>
      <sheetName val="hit-YRS"/>
      <sheetName val="Hit-Pensiunan"/>
      <sheetName val="hit-Tunda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Review Notes"/>
      <sheetName val="H Lead - Investment Lead"/>
      <sheetName val="H100"/>
      <sheetName val="H.200"/>
      <sheetName val="H210"/>
      <sheetName val="H300"/>
      <sheetName val="H.400"/>
      <sheetName val="H500"/>
      <sheetName val="UB Lead"/>
      <sheetName val="UB100"/>
      <sheetName val="UB200"/>
      <sheetName val="UB300"/>
      <sheetName val="UB400"/>
      <sheetName val="UB500"/>
      <sheetName val="WP-Panu'02"/>
      <sheetName val="PL fiskal"/>
      <sheetName val="PM, TE, SAD"/>
      <sheetName val="CIT_09"/>
      <sheetName val="Deftax 09"/>
      <sheetName val="KF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1"/>
      <sheetName val="C 2"/>
      <sheetName val="C 3"/>
      <sheetName val="AP-1098"/>
      <sheetName val="Profile"/>
      <sheetName val="F1771-IV"/>
      <sheetName val="F1771-V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PAJE '04"/>
      <sheetName val="PRJE '04"/>
      <sheetName val="CAJE-04"/>
      <sheetName val="PYJE '04"/>
      <sheetName val="WP-PBM-04"/>
      <sheetName val="WBS2005"/>
      <sheetName val="Rincian BS"/>
      <sheetName val="CC "/>
      <sheetName val="K Movement"/>
      <sheetName val="M-4"/>
      <sheetName val="N-2"/>
      <sheetName val="NN "/>
      <sheetName val="O-1_PPh 21"/>
      <sheetName val="O-1.1 Rekap gaji"/>
      <sheetName val="O-2_PPh 23"/>
      <sheetName val="O-3_PPh 25"/>
      <sheetName val="O-5_PPN"/>
      <sheetName val="Q-3"/>
      <sheetName val="Q-3.1"/>
      <sheetName val="QQ"/>
      <sheetName val="R-1 Perhitungan def. tax"/>
      <sheetName val="Kep-150"/>
      <sheetName val="Salaries"/>
      <sheetName val="Salaries (2)"/>
      <sheetName val="Macro "/>
      <sheetName val="Ali"/>
      <sheetName val="Agus"/>
      <sheetName val="Andy"/>
      <sheetName val="Arief"/>
      <sheetName val="Chairul"/>
      <sheetName val="Doddy"/>
      <sheetName val="Diana"/>
      <sheetName val="Endang"/>
      <sheetName val="Fadly"/>
      <sheetName val="Hasneli"/>
      <sheetName val="Helena"/>
      <sheetName val="Heny"/>
      <sheetName val="Herman"/>
      <sheetName val="Ivan"/>
      <sheetName val="Iman"/>
      <sheetName val="Kristin"/>
      <sheetName val="Lena"/>
      <sheetName val="Lorraine"/>
      <sheetName val="Milo"/>
      <sheetName val="Nuridin"/>
      <sheetName val="Natalia"/>
      <sheetName val="Sentot"/>
      <sheetName val="Sugianto"/>
      <sheetName val="Suryanto"/>
      <sheetName val="Syamsu"/>
      <sheetName val="Win"/>
      <sheetName val="zhafira"/>
      <sheetName val="CET"/>
      <sheetName val="0209TR"/>
      <sheetName val="MLE"/>
      <sheetName val="JAN-SEP'11"/>
      <sheetName val="JAN-SEP'11 MLE"/>
      <sheetName val="FEB'11"/>
      <sheetName val="MAR'11"/>
      <sheetName val="APR'11"/>
      <sheetName val="mei'11"/>
      <sheetName val="jun'11"/>
      <sheetName val="jul'11"/>
      <sheetName val="sep'11"/>
      <sheetName val="COP-SEP'11"/>
      <sheetName val="buku besar"/>
      <sheetName val="NRC,RL"/>
      <sheetName val="GL Jan-Mrt (2)"/>
      <sheetName val="AP_Mei"/>
      <sheetName val="ARJUN"/>
      <sheetName val="AR JULI"/>
      <sheetName val="AR AGST"/>
      <sheetName val="AR Sept"/>
      <sheetName val="AT (2)"/>
      <sheetName val="List Aset"/>
      <sheetName val="Wks Konsol_ RE_ISSUE"/>
      <sheetName val="Tanah Kavling_2010"/>
      <sheetName val="Tanah Kavling_2011"/>
      <sheetName val="Ruko_Cimandala"/>
      <sheetName val="WKS_2012"/>
      <sheetName val="REKAP AP"/>
      <sheetName val="PREPAID INSURANCE BUILD"/>
      <sheetName val="AP (2)"/>
      <sheetName val="AP (3)"/>
      <sheetName val="KAPITALISASI"/>
      <sheetName val="TANAH YG BLM DIKEMBANGKAN"/>
      <sheetName val="jan-jun'12"/>
      <sheetName val="Lampiran Aging AR (2)"/>
      <sheetName val="dasi"/>
      <sheetName val="CETJULI"/>
      <sheetName val="penjualan-ruko"/>
      <sheetName val="penjualan-GC2"/>
      <sheetName val="penj-kav bgy"/>
      <sheetName val="penj-kav GC2"/>
      <sheetName val="penjualan-bgy"/>
      <sheetName val="HPP-RUKO"/>
      <sheetName val="HPP RMH GC2"/>
      <sheetName val="HPP KAV BGC "/>
      <sheetName val="HPP KAV GC 2"/>
      <sheetName val="HPP RMH"/>
      <sheetName val="MD"/>
      <sheetName val="TPD"/>
      <sheetName val="MMP"/>
      <sheetName val="MD Des 12"/>
      <sheetName val="TPD Des 12"/>
      <sheetName val="AR AGEING"/>
      <sheetName val="AP AGEING"/>
      <sheetName val="MTS-PRSD"/>
      <sheetName val="AR1"/>
      <sheetName val="PREPAID INSURANCE "/>
      <sheetName val="AGING AP"/>
      <sheetName val="SEWA "/>
      <sheetName val="Report Mpi"/>
      <sheetName val="Report konsol"/>
      <sheetName val="FORMAT KORAN (2)"/>
      <sheetName val="JAN-JUN 2013"/>
      <sheetName val="JAN-JUN'13"/>
      <sheetName val="RUKO CINERE ONE"/>
      <sheetName val="RUKO CBS"/>
      <sheetName val="KIOSK_CBS_15%"/>
      <sheetName val="KIOSK CBS"/>
      <sheetName val="APARTEMEN CBS"/>
      <sheetName val="BS IS"/>
      <sheetName val="BSIS"/>
      <sheetName val="DES 2013"/>
      <sheetName val="HdSheet"/>
      <sheetName val="Deskrip"/>
      <sheetName val="luas"/>
      <sheetName val="BQ-1A"/>
      <sheetName val="eskal"/>
      <sheetName val="Dom "/>
      <sheetName val="BQ_1A"/>
      <sheetName val="Isolasi Luar"/>
      <sheetName val="Isolasi Luar Dalam"/>
      <sheetName val="DAFTAR NO_1_PRELIM"/>
      <sheetName val="DAFTAR NO_2 PEK_ ELEKTRIKAL"/>
      <sheetName val="Trafo &amp; Panel"/>
      <sheetName val="Lampu &amp; Saklar"/>
      <sheetName val="Inst. Elektrikal"/>
      <sheetName val="Kabel Ladder &amp; Tray"/>
      <sheetName val="DAFTAR NO_3 PENANGKAL PETIR"/>
      <sheetName val="DAFTAR NO_4 PEK_ FIRE ALARM"/>
      <sheetName val="Equip-Fire"/>
      <sheetName val="DAFTAR NO_5 PEK_ TELEPON"/>
      <sheetName val="Equip-Telp."/>
      <sheetName val="Inst. Elektronik"/>
      <sheetName val="DAFTAR NO_6 PEK_ TATA SUARA"/>
      <sheetName val="Equip-TS"/>
      <sheetName val="DAFTAR NO_7 PEK_ MATV"/>
      <sheetName val="Equip-MATV"/>
      <sheetName val="DAFTAR NO_8 PEK_ CCTV"/>
      <sheetName val="Equip-CCTV"/>
      <sheetName val="DAFTAR NO_9 PEK_ VIDEOPHONE"/>
      <sheetName val="Equip-Videophone"/>
      <sheetName val="DAFTAR NO_10 PEK_ ACCESS CONTRO"/>
      <sheetName val="Equip-Access"/>
      <sheetName val="DAFTAR NO_11 TAM-KUR"/>
      <sheetName val="Preambul"/>
      <sheetName val="326CHEL"/>
      <sheetName val="analisa listrik"/>
      <sheetName val="Harga Satuan Bahan"/>
      <sheetName val="hrst upah"/>
      <sheetName val="analisa hrst elektrik"/>
      <sheetName val="ME RR1"/>
      <sheetName val="RR1 (EL)"/>
      <sheetName val="RR1 (AC)"/>
      <sheetName val="RR1 (PLB)"/>
      <sheetName val="ME RR2"/>
      <sheetName val="RR2 (EL)"/>
      <sheetName val="RR2 (AC)"/>
      <sheetName val="RR2 (PLB)"/>
      <sheetName val="ME RR3"/>
      <sheetName val="RR3 (EL)"/>
      <sheetName val="RR3 (AC)"/>
      <sheetName val="RR3 (PLB)"/>
      <sheetName val="ME RRK1"/>
      <sheetName val="RRK1 (EL)"/>
      <sheetName val="RRK1 (AC)"/>
      <sheetName val="RRK1 (PLB)"/>
      <sheetName val="ME RRK2"/>
      <sheetName val="RRK2 (EL)"/>
      <sheetName val="RRK2 (AC)"/>
      <sheetName val="RRK2 (PLB)"/>
      <sheetName val="ME RRK3"/>
      <sheetName val="RRK3 (EL)"/>
      <sheetName val="RRK3 (AC)"/>
      <sheetName val="RRK3 (PLB)"/>
      <sheetName val="ME RB1"/>
      <sheetName val="RB1 (EL)"/>
      <sheetName val="RB1 (AC)"/>
      <sheetName val="RB1 (PLB)"/>
      <sheetName val="ME RB2"/>
      <sheetName val="RB2 (EL)"/>
      <sheetName val="RB2 (AC)"/>
      <sheetName val="RB2 (PLB)"/>
      <sheetName val="ME RB3"/>
      <sheetName val="RB3 (EL)"/>
      <sheetName val="RB3 (AC)"/>
      <sheetName val="RB3 (PLB)"/>
      <sheetName val="RST"/>
      <sheetName val="Cover Paket"/>
      <sheetName val="Cover PJT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Paket"/>
      <sheetName val="Cov."/>
      <sheetName val="Cover Analisa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Bill 1-0"/>
      <sheetName val="Ana RAP"/>
      <sheetName val="faktor"/>
      <sheetName val="---"/>
      <sheetName val="RINCIAN HARGA"/>
      <sheetName val="FINISHING DALAM (2)"/>
      <sheetName val="FINISHING DALAM"/>
      <sheetName val="AN-KOSEN (KAYU &amp; ALL) (2)"/>
      <sheetName val="FINISHING (A)"/>
      <sheetName val="AN-KOSEN (KAYU &amp; ALL)"/>
      <sheetName val="Material pintu jendela"/>
      <sheetName val="ANFIS"/>
      <sheetName val="COVER (ANALISA)"/>
      <sheetName val="An Struktur"/>
      <sheetName val="Upah &amp; Material"/>
      <sheetName val="AN-KOSEN (BESI)"/>
      <sheetName val="AN-KOSEN (KACA FRAMELESS)"/>
      <sheetName val="AN CW"/>
      <sheetName val="sumintr"/>
      <sheetName val="Sum BUL &amp; Alat"/>
      <sheetName val="Bul "/>
      <sheetName val="Alat PLP2 "/>
      <sheetName val="Provisi "/>
      <sheetName val="analisa-komp"/>
      <sheetName val="analisa bore"/>
      <sheetName val="Sub-Kont"/>
      <sheetName val="pintuu"/>
      <sheetName val="BQ Struktur"/>
      <sheetName val="BQ Arsitektur"/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REKAP IT"/>
      <sheetName val="IT"/>
      <sheetName val="ANDAT"/>
      <sheetName val="1-LISTRIK print"/>
      <sheetName val="2-Genset print"/>
      <sheetName val="SumBoQ C4"/>
      <sheetName val="BoQ C4"/>
      <sheetName val="DayWorks"/>
      <sheetName val="mat.dominan"/>
      <sheetName val="Resiko"/>
      <sheetName val="Horisontal"/>
      <sheetName val="REKAP III"/>
      <sheetName val="Est ME"/>
      <sheetName val="Lift &amp; Escalator"/>
      <sheetName val="Pareto"/>
      <sheetName val="Alat (TC) (2)"/>
      <sheetName val="MU (2)"/>
      <sheetName val="Casflow (5)"/>
      <sheetName val="Casflow (4)"/>
      <sheetName val="Casflow (6)"/>
      <sheetName val="Casflow"/>
      <sheetName val="REKAP STR T"/>
      <sheetName val="BQ STR T"/>
      <sheetName val="DF-2 (2)"/>
      <sheetName val="DF-2"/>
      <sheetName val="MOM"/>
      <sheetName val="Cond harga 9 Nov'06"/>
      <sheetName val="Cond.1"/>
      <sheetName val="Dur"/>
      <sheetName val="Bill No. 01"/>
      <sheetName val="Break DW Bill 1"/>
      <sheetName val="Cost Sum 2"/>
      <sheetName val="Cost Sum 1"/>
      <sheetName val="Rekap Angg 9 Nov"/>
      <sheetName val="Sum BoQ Intr"/>
      <sheetName val="Pemeliharaan E"/>
      <sheetName val="Pemeliharaan"/>
      <sheetName val="Bul &amp; Persiapan"/>
      <sheetName val="sched alat"/>
      <sheetName val="Sched Man Power"/>
      <sheetName val="Sewa Alat"/>
      <sheetName val="Provisi &amp; Asuransi"/>
      <sheetName val="Review Listrik"/>
      <sheetName val="sched daya"/>
      <sheetName val="Bul dan Persiapan1"/>
      <sheetName val="Rekap Angg 12 Okt"/>
      <sheetName val="TC"/>
      <sheetName val="Cost"/>
      <sheetName val="rek det 1-3"/>
      <sheetName val="Arsitektur"/>
      <sheetName val="p&amp;p"/>
      <sheetName val="BDP Scaff"/>
      <sheetName val="BDP Tinggi"/>
      <sheetName val="FIRE FIGHTING"/>
      <sheetName val="COV_UTAMA"/>
      <sheetName val="COV_ D1"/>
      <sheetName val="D1"/>
      <sheetName val="COV_ D5"/>
      <sheetName val="COV_ D5_1"/>
      <sheetName val="5_1"/>
      <sheetName val="COV_ D5_2"/>
      <sheetName val="D5_2"/>
      <sheetName val="COV_ D5_3"/>
      <sheetName val="D5_3"/>
      <sheetName val="COV_ D5_4"/>
      <sheetName val="D5_4"/>
      <sheetName val="COV_ D5_5"/>
      <sheetName val="5_5"/>
      <sheetName val="COV_ D5_6"/>
      <sheetName val="D5_6"/>
      <sheetName val="COV_ D5_7"/>
      <sheetName val="D5_7"/>
      <sheetName val="COV_ D5_8"/>
      <sheetName val="COV_ D6"/>
      <sheetName val="D_6"/>
      <sheetName val="COV_ D7"/>
      <sheetName val="D_7"/>
      <sheetName val="analisys"/>
      <sheetName val="unit_rate_works"/>
      <sheetName val="dewatering"/>
      <sheetName val="sparing"/>
      <sheetName val="ALT_MBT"/>
      <sheetName val="rekap_ana"/>
      <sheetName val="ALT_1"/>
      <sheetName val="rekab"/>
      <sheetName val="rekab Point"/>
      <sheetName val="RAB POINT"/>
      <sheetName val="Ana Beton"/>
      <sheetName val="Ana Sanitair"/>
      <sheetName val="analisa Str"/>
      <sheetName val="Mark Up DK 1"/>
      <sheetName val="Mark Up C 8"/>
      <sheetName val="Kondisi"/>
      <sheetName val="Evaluasi Ang"/>
      <sheetName val="sumEXL"/>
      <sheetName val="Rekap Ang"/>
      <sheetName val="Prelim Extr"/>
      <sheetName val="BreakD Prelim"/>
      <sheetName val="CM Temp Office"/>
      <sheetName val="Over Time"/>
      <sheetName val="390MC-PS"/>
      <sheetName val="Fee Coord"/>
      <sheetName val="NSC"/>
      <sheetName val="Scafolding"/>
      <sheetName val="GFA "/>
      <sheetName val="DafProyek"/>
      <sheetName val="Bul (2)"/>
      <sheetName val="Alt"/>
      <sheetName val="Alt (2)"/>
      <sheetName val="DafAlt"/>
      <sheetName val="SPH"/>
      <sheetName val="mu rev"/>
      <sheetName val="overhead"/>
      <sheetName val="-"/>
      <sheetName val="CMA - GA"/>
      <sheetName val="Accoun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Mutasi Final"/>
      <sheetName val="BSAA"/>
      <sheetName val="Disposals"/>
      <sheetName val="LOKASI"/>
      <sheetName val="panther"/>
      <sheetName val="KKP 01 Audit"/>
      <sheetName val="Down Payment Invoice"/>
      <sheetName val="divI"/>
      <sheetName val="divII"/>
      <sheetName val="Data Sheet"/>
      <sheetName val="Worksheet in 8311 Substantive A"/>
      <sheetName val="SumDet"/>
      <sheetName val="DEPN 2001"/>
      <sheetName val="Template "/>
      <sheetName val="BS-level1"/>
      <sheetName val="PL-level 1"/>
      <sheetName val="PL-Level2"/>
      <sheetName val="SENSUS"/>
      <sheetName val="MAPING PL"/>
      <sheetName val="MAPING BS"/>
      <sheetName val="2017BS"/>
      <sheetName val="2017LR"/>
      <sheetName val="TB 10"/>
      <sheetName val="RKAP 2017"/>
      <sheetName val="2017 LISTING"/>
      <sheetName val="2016BS"/>
      <sheetName val="2016LR"/>
      <sheetName val="2016CF "/>
      <sheetName val="2016OPENITEM"/>
      <sheetName val="2016 CAT NRC"/>
      <sheetName val="Spending VS Revenue"/>
      <sheetName val="Detail Revenue Obat"/>
      <sheetName val="AR Ins &amp; Inventroy Days"/>
      <sheetName val="NPWP"/>
      <sheetName val="1721"/>
      <sheetName val="PEGAWAI"/>
      <sheetName val="1721-A"/>
      <sheetName val="1721-A (2)"/>
      <sheetName val="1721-A1"/>
      <sheetName val="1721-A1 (2)"/>
      <sheetName val="1721-A2"/>
      <sheetName val="1721-B"/>
      <sheetName val="1721-C"/>
      <sheetName val="12THR"/>
      <sheetName val="REKAP PERHITUNGAN PPh 2005"/>
      <sheetName val="JUAL_STD"/>
      <sheetName val="PL-level 1 Cash Av"/>
      <sheetName val="短期借款"/>
      <sheetName val="应付票据"/>
      <sheetName val="应付帐款"/>
      <sheetName val="应付工资"/>
      <sheetName val="应付福利费"/>
      <sheetName val="应缴税金"/>
      <sheetName val="其他应付款"/>
      <sheetName val="预提费用"/>
      <sheetName val="长期借款"/>
      <sheetName val="专项应付款"/>
      <sheetName val="Detailed PL"/>
      <sheetName val="Reclass"/>
      <sheetName val="Journals"/>
      <sheetName val="Schedules"/>
      <sheetName val="Invest"/>
      <sheetName val="Grp Jrl"/>
      <sheetName val="Shldr hist &amp; Chgs"/>
      <sheetName val="J2"/>
      <sheetName val="J1"/>
      <sheetName val="U-receipt"/>
      <sheetName val="U-exp test"/>
      <sheetName val="W"/>
      <sheetName val="payroll"/>
      <sheetName val="STD"/>
      <sheetName val="Audit Ticks"/>
      <sheetName val="Adj "/>
      <sheetName val="share capital"/>
      <sheetName val="G1"/>
      <sheetName val="H1"/>
      <sheetName val="Os"/>
      <sheetName val="O1"/>
      <sheetName val="P1"/>
      <sheetName val="P2"/>
      <sheetName val="Qs"/>
      <sheetName val="R1"/>
      <sheetName val="Us (2)"/>
      <sheetName val="Us"/>
      <sheetName val="W1"/>
      <sheetName val="W2"/>
      <sheetName val="W5"/>
      <sheetName val="X1"/>
      <sheetName val="X2"/>
      <sheetName val="X3"/>
      <sheetName val="X4"/>
      <sheetName val="X5"/>
      <sheetName val="X6"/>
      <sheetName val="X7"/>
      <sheetName val="Ys"/>
      <sheetName val="LTI(99)"/>
      <sheetName val="Subsid&amp;MI(99)"/>
      <sheetName val="LTI(00)"/>
      <sheetName val="Subsid&amp;MI(00)"/>
      <sheetName val="LTI(01)"/>
      <sheetName val="Subsid&amp;MI(01)"/>
      <sheetName val="LTI(02-03-31)"/>
      <sheetName val="Subsid&amp;MI(02-03-31)"/>
      <sheetName val="Comparison"/>
      <sheetName val="2002-03NL"/>
      <sheetName val="2001-12NL"/>
      <sheetName val="2000-12NL"/>
      <sheetName val="1999-12NL"/>
      <sheetName val="Adjustment summary"/>
      <sheetName val="Unadjusted errors"/>
      <sheetName val="汇总"/>
      <sheetName val="2002"/>
      <sheetName val="1999"/>
      <sheetName val="交换网络部"/>
      <sheetName val="信息网络部"/>
      <sheetName val="实业部"/>
      <sheetName val="寻呼机部"/>
      <sheetName val="总务部"/>
      <sheetName val="数据部"/>
      <sheetName val="物业管理部"/>
      <sheetName val="集团科室"/>
      <sheetName val="经营部"/>
      <sheetName val="153541"/>
      <sheetName val="154501"/>
      <sheetName val="154505"/>
      <sheetName val="155000"/>
      <sheetName val="155500"/>
      <sheetName val="312020"/>
      <sheetName val="312022"/>
      <sheetName val="312040"/>
      <sheetName val="313010"/>
      <sheetName val="313011"/>
      <sheetName val="313012"/>
      <sheetName val="313020"/>
      <sheetName val="361000"/>
      <sheetName val="365000"/>
      <sheetName val="CF Konsol-BM"/>
      <sheetName val="BALANCE ACTUAL"/>
      <sheetName val="L0"/>
      <sheetName val="L0 (2)"/>
      <sheetName val="BPCS"/>
      <sheetName val="RUGILABA"/>
      <sheetName val="Subsequent receipt"/>
      <sheetName val="data (2)"/>
      <sheetName val="gg.1"/>
      <sheetName val="WHT-21"/>
      <sheetName val="DAFTAR NOMINATIF"/>
      <sheetName val="EE.2"/>
      <sheetName val="TB 13"/>
      <sheetName val="WTB"/>
      <sheetName val="BS PL"/>
      <sheetName val="CIT"/>
      <sheetName val="J. FALCON"/>
      <sheetName val="TAX|DTA"/>
      <sheetName val="FA "/>
      <sheetName val="CF 2012"/>
      <sheetName val="PERALATAN 09"/>
      <sheetName val="PERLENGKAPAN 09"/>
      <sheetName val="TANAH 09"/>
      <sheetName val="KENDARAAN 09"/>
      <sheetName val="BANGUNAN 09"/>
      <sheetName val="By Pra Operasional"/>
      <sheetName val="Akt Lain 08"/>
      <sheetName val="0282A"/>
      <sheetName val="SD"/>
      <sheetName val="ocean voyage"/>
      <sheetName val="FS - US$"/>
      <sheetName val="PN"/>
      <sheetName val="FISIK RAB 2000"/>
      <sheetName val="Planting"/>
      <sheetName val="SALESJAN'03"/>
      <sheetName val="SALESFEB'03"/>
      <sheetName val="SALESMRT'03"/>
      <sheetName val="SALESAPR'03"/>
      <sheetName val="SALESMEI'03"/>
      <sheetName val="SALESJUNI'03"/>
      <sheetName val="SALESJULI'03"/>
      <sheetName val="SALESAGT'03"/>
      <sheetName val="SALESSEP'03"/>
      <sheetName val="SALESOKT'03"/>
      <sheetName val="SALESNOP'03"/>
      <sheetName val="SALESDES'03"/>
      <sheetName val="BUDGET_1999"/>
      <sheetName val="Akun"/>
      <sheetName val="List PT"/>
      <sheetName val="Holiday"/>
      <sheetName val="Indr"/>
      <sheetName val="Income"/>
      <sheetName val="KMK"/>
      <sheetName val="KI-2A"/>
      <sheetName val="KI-2B"/>
      <sheetName val="KMKUSD"/>
      <sheetName val="KI2"/>
      <sheetName val="Brahm-KI3"/>
      <sheetName val="KI10M "/>
      <sheetName val="KI4"/>
      <sheetName val="KI11,8M"/>
      <sheetName val="KIexSIC"/>
      <sheetName val="KI8M ADM"/>
      <sheetName val="KI13,2M"/>
      <sheetName val="KI-1-SELESAI"/>
      <sheetName val="rekon fiskal"/>
      <sheetName val="PAJE 08"/>
      <sheetName val="PAJE 09"/>
      <sheetName val="PARE"/>
      <sheetName val="Corporate Income tax"/>
      <sheetName val="Proof"/>
      <sheetName val="5y pm"/>
      <sheetName val="1y pm "/>
      <sheetName val="act plan 1y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KPI (2)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HK Rawat"/>
      <sheetName val="Price List 2008Est"/>
      <sheetName val="NORMA PN"/>
      <sheetName val="Norma MN"/>
      <sheetName val="Norma TBM0"/>
      <sheetName val="MN"/>
      <sheetName val="PN (2)"/>
      <sheetName val="MN (2)"/>
      <sheetName val="LC Mekanis"/>
      <sheetName val="Infrastruktur"/>
      <sheetName val="TBM-0"/>
      <sheetName val="TBM-1"/>
      <sheetName val="TBM-2"/>
      <sheetName val="TBM-3"/>
      <sheetName val="RAB2008 Mineral"/>
      <sheetName val="Rekap Harian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pl-cy ai"/>
      <sheetName val="coe detil 2003"/>
      <sheetName val="coe detil 2003 (2)"/>
      <sheetName val="coe detil 2003 (r 0)"/>
      <sheetName val="COE (r 1)"/>
      <sheetName val="IN"/>
      <sheetName val="OUT"/>
      <sheetName val="Ko.Mat (2)"/>
      <sheetName val="Master Barang"/>
      <sheetName val="Piut-karyawan"/>
      <sheetName val="LC(tidak dipakai)"/>
      <sheetName val="Norma LC (tidak dipakai)"/>
      <sheetName val="K.1"/>
      <sheetName val="K.2"/>
      <sheetName val="VB.1.1"/>
      <sheetName val="TMP1"/>
      <sheetName val="WORKS"/>
      <sheetName val="Analytical Review"/>
      <sheetName val="NOT"/>
      <sheetName val="mutasiCF"/>
      <sheetName val="CF suppl."/>
      <sheetName val="Memo cash"/>
      <sheetName val="Memo AR"/>
      <sheetName val="E 1"/>
      <sheetName val="E 2"/>
      <sheetName val="Memo F"/>
      <sheetName val="Memo G"/>
      <sheetName val="G 1"/>
      <sheetName val="G 2"/>
      <sheetName val="Memo H"/>
      <sheetName val="Memo I"/>
      <sheetName val="I 1"/>
      <sheetName val="I 2"/>
      <sheetName val="I 3"/>
      <sheetName val="I 4"/>
      <sheetName val="Memo J"/>
      <sheetName val="J 1"/>
      <sheetName val="Memo K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 2"/>
      <sheetName val="P Memo"/>
      <sheetName val="P 1"/>
      <sheetName val="P 2"/>
      <sheetName val="P 2.1"/>
      <sheetName val="P 3"/>
      <sheetName val="P 3.1"/>
      <sheetName val="Q Lead"/>
      <sheetName val="T lead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printCDV"/>
      <sheetName val="K 2.4"/>
      <sheetName val="DES 02"/>
      <sheetName val="AGT"/>
      <sheetName val="PP-05"/>
      <sheetName val="aktiva lain"/>
      <sheetName val="Pa(r)je"/>
      <sheetName val="SAD"/>
      <sheetName val="A.4.1"/>
      <sheetName val="E.1"/>
      <sheetName val="E.2"/>
      <sheetName val="G.1"/>
      <sheetName val="G.2"/>
      <sheetName val="I.1"/>
      <sheetName val="A.4.2"/>
      <sheetName val="N.1"/>
      <sheetName val="N.2"/>
      <sheetName val="M.2"/>
      <sheetName val="I.2"/>
      <sheetName val="A.4.3"/>
      <sheetName val="U.2"/>
      <sheetName val="U.4"/>
      <sheetName val="U.6"/>
      <sheetName val="U.7"/>
      <sheetName val="Exch sheet"/>
      <sheetName val="BS Ayu 2005"/>
      <sheetName val="Assets Ayu 2005"/>
      <sheetName val="Liabilities+SHE Ayu 2005"/>
      <sheetName val="Profit Loss Ayu 2005"/>
      <sheetName val="RentalIncome&amp;TaxPayable-2005"/>
      <sheetName val="Road"/>
      <sheetName val="Housing"/>
      <sheetName val="Power Supply"/>
      <sheetName val="Vehicle"/>
      <sheetName val="G. Lead"/>
      <sheetName val="G.1.1"/>
      <sheetName val="G.2.1"/>
      <sheetName val="G.3"/>
      <sheetName val="G.4"/>
      <sheetName val="G.4.1"/>
      <sheetName val="G.5"/>
      <sheetName val="G.5.1"/>
      <sheetName val="G.6"/>
      <sheetName val="G.6.1"/>
      <sheetName val="G.7.1"/>
      <sheetName val="G.7.2"/>
      <sheetName val="G.8"/>
      <sheetName val="G.8.1"/>
      <sheetName val="G.9"/>
      <sheetName val="G.10 "/>
      <sheetName val="G.FISCAL"/>
      <sheetName val="G.Fiscal.1"/>
      <sheetName val="SAMPAH (Unused)"/>
      <sheetName val="N.3"/>
      <sheetName val="N.4"/>
      <sheetName val="N.5.1"/>
      <sheetName val="N.6.1"/>
      <sheetName val="N.6.3"/>
      <sheetName val="O4"/>
      <sheetName val="O4(2)"/>
      <sheetName val="O.5"/>
      <sheetName val="P2 (2)"/>
      <sheetName val="P.3"/>
      <sheetName val="P.4"/>
      <sheetName val="P5"/>
      <sheetName val="U1"/>
      <sheetName val="U2"/>
      <sheetName val="U3"/>
      <sheetName val="Summary FA"/>
      <sheetName val="G.7"/>
      <sheetName val="LANDBEK"/>
      <sheetName val="LANDBKS2"/>
      <sheetName val="gdgbks"/>
      <sheetName val="LSIBEK"/>
      <sheetName val="ISTBKS"/>
      <sheetName val="ISTVIT"/>
      <sheetName val="ISTIKO"/>
      <sheetName val="MIBPC"/>
      <sheetName val="MC"/>
      <sheetName val="PMBKS2"/>
      <sheetName val="PMBEK86"/>
      <sheetName val="PMB2"/>
      <sheetName val="PMEXBCL"/>
      <sheetName val="PMB1"/>
      <sheetName val="TDMBEK96"/>
      <sheetName val="TDMVIT"/>
      <sheetName val="TDMIKO"/>
      <sheetName val="TDMBEKAS"/>
      <sheetName val="TDMBEK"/>
      <sheetName val="MVKPS"/>
      <sheetName val="MVDTSBK"/>
      <sheetName val="MVCNG2"/>
      <sheetName val="MVBKS"/>
      <sheetName val="MVBEK"/>
      <sheetName val="MVPLSSD"/>
      <sheetName val="MVPLS"/>
      <sheetName val="FFAMJKT"/>
      <sheetName val="FFBKS"/>
      <sheetName val="FFATT"/>
      <sheetName val="FFDM"/>
      <sheetName val="FFBEKAS"/>
      <sheetName val="FFBKSGA"/>
      <sheetName val="FFBKS3"/>
      <sheetName val="FFBKS2"/>
      <sheetName val="FIKO"/>
      <sheetName val="FFEXBCL"/>
      <sheetName val="FFEDPGA"/>
      <sheetName val="FFT2ND"/>
      <sheetName val="FFT2FL"/>
      <sheetName val="FFSD"/>
      <sheetName val="FFPURCH"/>
      <sheetName val="FFLABBCR"/>
      <sheetName val="FFLAB"/>
      <sheetName val="FFT3FL"/>
      <sheetName val="FFWHBKS"/>
      <sheetName val="FFVIT"/>
      <sheetName val="FFTJLT"/>
      <sheetName val="FVITA"/>
      <sheetName val="FFTBANG"/>
      <sheetName val="ppbks"/>
      <sheetName val="PMBEK"/>
      <sheetName val="ppbks2"/>
      <sheetName val="EDPACCBK ok"/>
      <sheetName val="edpbks2 ok"/>
      <sheetName val="EDPPURC"/>
      <sheetName val="EDPLT3"/>
      <sheetName val="EDPGA"/>
      <sheetName val="EDPBKSWH"/>
      <sheetName val="edp2001"/>
      <sheetName val="4000"/>
      <sheetName val="total moh "/>
      <sheetName val="TB asli"/>
      <sheetName val="TB-2 JAN"/>
      <sheetName val="TB-2"/>
      <sheetName val="Purchases"/>
      <sheetName val="Interest"/>
      <sheetName val="Forex"/>
      <sheetName val="aging AR"/>
      <sheetName val="Intagible Asset"/>
      <sheetName val="PBC WBS1"/>
      <sheetName val="PBC WBS2"/>
      <sheetName val="PBC wpl"/>
      <sheetName val="CAJE-CRJE"/>
      <sheetName val="PAJE-PRJE"/>
      <sheetName val="Restated-ga update"/>
      <sheetName val="E-2 Lead"/>
      <sheetName val="N-2 Lead"/>
      <sheetName val="N-1 Lead"/>
      <sheetName val="P Lead"/>
      <sheetName val="O.1.1"/>
      <sheetName val="O.1.2"/>
      <sheetName val="O.1 BKS"/>
      <sheetName val="O.1 SLTN"/>
      <sheetName val="O.1 BGR"/>
      <sheetName val="O.1 CKMPK"/>
      <sheetName val="O.1 SRG"/>
      <sheetName val="O-1.1"/>
      <sheetName val="O-1.1 (2)"/>
      <sheetName val="O.2.2"/>
      <sheetName val="O.2.1 (2)"/>
      <sheetName val="K.1.1"/>
      <sheetName val="K.1.2"/>
      <sheetName val="K.1.4"/>
      <sheetName val="K.2.1"/>
      <sheetName val="K.2.2"/>
      <sheetName val="K.3"/>
      <sheetName val="K.4"/>
      <sheetName val="K.5"/>
      <sheetName val="PAJE 06"/>
      <sheetName val="PARE (06)"/>
      <sheetName val="PAJE (05)"/>
      <sheetName val="Corporate Income Tax 2006"/>
      <sheetName val="PAJE-PARE-CAJE 2009"/>
      <sheetName val="PAJE-PARE-CAJE 2008"/>
      <sheetName val="PAJE-PARE-CAJE 2007"/>
      <sheetName val="WPL (2)"/>
      <sheetName val="Yield"/>
      <sheetName val="FFBSum"/>
      <sheetName val="MillCap"/>
      <sheetName val="FFBChart"/>
      <sheetName val="AgeProfile"/>
      <sheetName val="Replant"/>
      <sheetName val="FFBCalc"/>
      <sheetName val="AgeCalc"/>
      <sheetName val="C.1"/>
      <sheetName val="C.1.1"/>
      <sheetName val="C.1.2"/>
      <sheetName val="C.1.3"/>
      <sheetName val="C.1.4"/>
      <sheetName val="C.1.5"/>
      <sheetName val="C.2"/>
      <sheetName val="C.3"/>
      <sheetName val="C.4"/>
      <sheetName val="CRAM C"/>
      <sheetName val="C Cash and Bank "/>
      <sheetName val="Cash and Bank Register"/>
      <sheetName val="Pakanbaru"/>
      <sheetName val="N3"/>
      <sheetName val="VD"/>
      <sheetName val="VD1"/>
      <sheetName val="VD2"/>
      <sheetName val="VD3"/>
      <sheetName val="UB"/>
      <sheetName val="judul"/>
      <sheetName val="Incst"/>
      <sheetName val="BS (2)"/>
      <sheetName val="Ind"/>
      <sheetName val="eng"/>
      <sheetName val="Dtlbs"/>
      <sheetName val="share"/>
      <sheetName val="fxrlzd"/>
      <sheetName val="Kassetara"/>
      <sheetName val="sales affiliasi"/>
      <sheetName val="sumfxass"/>
      <sheetName val="fxasuicv"/>
      <sheetName val="fxass"/>
      <sheetName val="inf.segmen"/>
      <sheetName val="Perubahan"/>
      <sheetName val="kwjbn moneter"/>
      <sheetName val="Jamsostek"/>
      <sheetName val="ANALISA_AR_SALES"/>
      <sheetName val="COMM_CV"/>
      <sheetName val="TEST TRANSAKSI BEBAN"/>
      <sheetName val="Psl 4(2)"/>
      <sheetName val="PPN'05"/>
      <sheetName val="Sbr"/>
      <sheetName val="TRANSAKSI"/>
      <sheetName val="LEDGER"/>
      <sheetName val="BebanUsaha"/>
      <sheetName val="Data Sales tahunan"/>
      <sheetName val="Kalkulasi Loan"/>
      <sheetName val="W B S"/>
      <sheetName val="W P L"/>
      <sheetName val="Komersial VS Fiskal"/>
      <sheetName val="Common Size"/>
      <sheetName val="Financial Analysis"/>
      <sheetName val="Certification.Ltr"/>
      <sheetName val="0120A"/>
      <sheetName val="0610A"/>
      <sheetName val="0800A"/>
      <sheetName val="0805A"/>
      <sheetName val="0860A"/>
      <sheetName val="0940A"/>
      <sheetName val="0960A"/>
      <sheetName val="0960Instruct"/>
      <sheetName val="1260A"/>
      <sheetName val="1320A"/>
      <sheetName val="1370A"/>
      <sheetName val="1600A"/>
      <sheetName val="1620A"/>
      <sheetName val="1730A"/>
      <sheetName val="1750D"/>
      <sheetName val="1900D.1"/>
      <sheetName val="1900D.2"/>
      <sheetName val="1900D.3"/>
      <sheetName val="1910D"/>
      <sheetName val="1920D"/>
      <sheetName val="1925D"/>
      <sheetName val="1930D.1 "/>
      <sheetName val="1930D.2"/>
      <sheetName val="1940D.1"/>
      <sheetName val="1940D.2"/>
      <sheetName val="1950D"/>
      <sheetName val="Scheds01SCHFILEExternalFDC"/>
      <sheetName val="PBC-WBS1"/>
      <sheetName val="PBC-WBS2"/>
      <sheetName val="PBC-wpl"/>
      <sheetName val="Cashflow Direct"/>
      <sheetName val="Ori Cry"/>
      <sheetName val="IK - Query Voucher Rows - GL 05"/>
      <sheetName val="IK - Query Voucher Rows - G (2)"/>
      <sheetName val="IK - Query Voucher Rows - G (6)"/>
      <sheetName val="Tendering Cost"/>
      <sheetName val="General Expense"/>
      <sheetName val="IK - Query Voucher Rows - G (4)"/>
      <sheetName val="IK - Query Voucher Rows - G (5)"/>
      <sheetName val="9U1.3"/>
      <sheetName val="Content"/>
      <sheetName val="PI"/>
      <sheetName val="PM-TE"/>
      <sheetName val="PTD 06"/>
      <sheetName val="A1"/>
      <sheetName val="C1.1"/>
      <sheetName val="C1.2 Cash Opname"/>
      <sheetName val="C1.2.1- Voucher"/>
      <sheetName val="C1.2.2-Bon Sementara"/>
      <sheetName val="E1.1"/>
      <sheetName val="E2.1"/>
      <sheetName val="EE2"/>
      <sheetName val="E3"/>
      <sheetName val="E3.1"/>
      <sheetName val="EE3"/>
      <sheetName val="EE4"/>
      <sheetName val="E4"/>
      <sheetName val="E4.1a"/>
      <sheetName val="E4.1b"/>
      <sheetName val="E4.1c"/>
      <sheetName val="E4.1d"/>
      <sheetName val="PM_SM"/>
      <sheetName val="RM_SM"/>
      <sheetName val="RM Move"/>
      <sheetName val="PM Move "/>
      <sheetName val="Calculation FG"/>
      <sheetName val="RoFo"/>
      <sheetName val="G3"/>
      <sheetName val="G3.1"/>
      <sheetName val="G4"/>
      <sheetName val="G5"/>
      <sheetName val="K - Lead"/>
      <sheetName val="K1.1"/>
      <sheetName val="List SGU, Predictive test"/>
      <sheetName val="K3.1"/>
      <sheetName val="FS _ US_"/>
      <sheetName val="Control Risk Apects"/>
      <sheetName val="Advance Payment"/>
      <sheetName val="F.1.1 UM-import"/>
      <sheetName val="F.1.2 UM-importvalas"/>
      <sheetName val="Prepaid Expenses &amp; Taxes"/>
      <sheetName val="F.2.1 - PPh 22"/>
      <sheetName val="F.2.1.1 - VAT IN PPh 22"/>
      <sheetName val="F.2.2 - PPh 25"/>
      <sheetName val="G.1.4"/>
      <sheetName val="F.1"/>
      <sheetName val="F.2"/>
      <sheetName val="O.1"/>
      <sheetName val="O.2"/>
      <sheetName val="O.3"/>
      <sheetName val="P.1"/>
      <sheetName val="P.1.1"/>
      <sheetName val="U1.1"/>
      <sheetName val="U1.2"/>
      <sheetName val="U2.1"/>
      <sheetName val="U2.2"/>
      <sheetName val="U4.1"/>
      <sheetName val="U5"/>
      <sheetName val="U6"/>
      <sheetName val="U7"/>
      <sheetName val="PAYROLL-PBC"/>
      <sheetName val="FOREX-PBC"/>
      <sheetName val="INTEREST-PBC"/>
      <sheetName val="Purchases-PBC"/>
      <sheetName val="SALES-PBC"/>
      <sheetName val="wpl-PBC"/>
      <sheetName val="WBS1-PBC"/>
      <sheetName val="WBS2-PBC"/>
      <sheetName val="cashflow-PBC"/>
      <sheetName val="Liabilities"/>
      <sheetName val="Fiskal 2008"/>
      <sheetName val="FA-Fiskal 2007"/>
      <sheetName val="BS SRM"/>
      <sheetName val="PNL SRM"/>
      <sheetName val="Perhitungan Timing Depre"/>
      <sheetName val="PK02 add"/>
      <sheetName val="PK02 (2)"/>
      <sheetName val="LIST-ASET"/>
      <sheetName val="TB1206"/>
      <sheetName val="TB-asli"/>
      <sheetName val="TB -2"/>
      <sheetName val="MOH 2006"/>
      <sheetName val="GL0107"/>
      <sheetName val="Pembantu"/>
      <sheetName val="PLR"/>
      <sheetName val="PLC"/>
      <sheetName val="PLSE"/>
      <sheetName val="PLGA"/>
      <sheetName val="PLOEI"/>
      <sheetName val="D Lead"/>
      <sheetName val="D.1"/>
      <sheetName val="D.2"/>
      <sheetName val="D.3"/>
      <sheetName val="D.4"/>
      <sheetName val="D Adjustment"/>
      <sheetName val="UNIT"/>
      <sheetName val="RINCI-WPL"/>
      <sheetName val="D.5"/>
      <sheetName val="D.5.1"/>
      <sheetName val="D.5.2"/>
      <sheetName val="D.5.3"/>
      <sheetName val="D.6"/>
      <sheetName val="D.6.1"/>
      <sheetName val="D.6.2"/>
      <sheetName val="D.6.3"/>
      <sheetName val="D.6.4"/>
      <sheetName val="D.6.5"/>
      <sheetName val="NOV_DEC98"/>
      <sheetName val="9NOP98"/>
      <sheetName val="NDS96_2000"/>
      <sheetName val="kom&amp;Fis2003 "/>
      <sheetName val="Journal Fiskal"/>
      <sheetName val="KK IDR"/>
      <sheetName val="KB IDR"/>
      <sheetName val="KB USD"/>
      <sheetName val="B IDR"/>
      <sheetName val="B USD"/>
      <sheetName val="JPb"/>
      <sheetName val="JPn"/>
      <sheetName val="JM"/>
      <sheetName val="NL"/>
      <sheetName val="alk-ovh est"/>
      <sheetName val="alk-tbm"/>
      <sheetName val="Master Data-In"/>
      <sheetName val="Master Data-Out"/>
      <sheetName val="CF GAWI"/>
      <sheetName val="Uang Muka"/>
      <sheetName val="Alamat 21"/>
      <sheetName val="Alamat 23"/>
      <sheetName val="LAP PJK 21"/>
      <sheetName val="lap spm 23"/>
      <sheetName val="LAP PJK 23"/>
      <sheetName val="LAM SPM 21"/>
      <sheetName val="23f"/>
      <sheetName val="Undian"/>
      <sheetName val="bd_pph21"/>
      <sheetName val="HONDA"/>
      <sheetName val="BKL &amp; SR"/>
      <sheetName val="PSD"/>
      <sheetName val="TAP"/>
      <sheetName val="API"/>
      <sheetName val="CABANG"/>
      <sheetName val="G- Lead"/>
      <sheetName val="G.1.2"/>
      <sheetName val="L(R)"/>
      <sheetName val="Catum"/>
      <sheetName val="Penj NRC &amp; L(R)"/>
      <sheetName val="AJE AUDIT"/>
      <sheetName val="CFA06"/>
      <sheetName val="AA21"/>
      <sheetName val="AA2"/>
      <sheetName val="AA2 (2)"/>
      <sheetName val="CFA17"/>
      <sheetName val="CFA25"/>
      <sheetName val="CFA28"/>
      <sheetName val="FA Jun"/>
      <sheetName val="CFA24"/>
      <sheetName val="AA21a"/>
      <sheetName val="AA21b"/>
      <sheetName val="A09"/>
      <sheetName val="WBS PARENTS"/>
      <sheetName val="WPL PARENTS"/>
      <sheetName val="Rekon Fiskal MBTO"/>
      <sheetName val="Dtax"/>
      <sheetName val="Jv"/>
      <sheetName val=" CF attachment"/>
      <sheetName val="Fluc"/>
      <sheetName val="T.B"/>
      <sheetName val="T_B"/>
      <sheetName val="TB Dec'10"/>
      <sheetName val="WBS A"/>
      <sheetName val="WBS B "/>
      <sheetName val="TAX`10"/>
      <sheetName val="Exp Operating"/>
      <sheetName val="Exp COGS"/>
      <sheetName val="Rincian BYMHD"/>
      <sheetName val="Aset-Penambahan"/>
      <sheetName val="Permint-Data"/>
      <sheetName val="Daft-Konfirmasi"/>
      <sheetName val="Work sheet audit"/>
      <sheetName val="Laporan-Juni"/>
      <sheetName val="Laporan-Des"/>
      <sheetName val="daf. isi"/>
      <sheetName val="Work sheet"/>
      <sheetName val="work sheet 1"/>
      <sheetName val="Lampiran 1"/>
      <sheetName val="E.3"/>
      <sheetName val="E.4"/>
      <sheetName val="E.5"/>
      <sheetName val="E.6"/>
      <sheetName val="E.7"/>
      <sheetName val="E.8"/>
      <sheetName val="E.9"/>
      <sheetName val="E.10"/>
      <sheetName val="List FA 2008"/>
      <sheetName val="GL 2008"/>
      <sheetName val="General Ledger Tahun APRIL 2008"/>
      <sheetName val="Inventori Gudang Jan"/>
      <sheetName val="Lap Kas Tunai - 1"/>
      <sheetName val="Bank - 1"/>
      <sheetName val="KasBon - 1"/>
      <sheetName val="Lap Kas Tunai-2"/>
      <sheetName val="LKM Mggu 2 Jan 2009-2"/>
      <sheetName val="Bank-2"/>
      <sheetName val="KasBon-2"/>
      <sheetName val="Lap Kas Tunai-3"/>
      <sheetName val="LKM Mggu 2 Jan 2009-3"/>
      <sheetName val="Bank-3"/>
      <sheetName val="KasBon-3"/>
      <sheetName val="Lap Kas Tunai-4"/>
      <sheetName val="LKM Mggu 4 Jan 2009-4"/>
      <sheetName val="Bank-4"/>
      <sheetName val="KasBon-4"/>
      <sheetName val="DAT-NTN"/>
      <sheetName val="HGU"/>
      <sheetName val="BEBAN TANGGUHKAN"/>
      <sheetName val="Hutang pihak ke-3"/>
      <sheetName val="Hut Pemb Akt"/>
      <sheetName val="Hut Pemb. Akt."/>
      <sheetName val="Hutang Supplier"/>
      <sheetName val="Kebijakan Operasional FINAL"/>
      <sheetName val="REVISI Kebijakan Opr 090307"/>
      <sheetName val="Kebijakan Operasional (1)"/>
      <sheetName val="Rencana&amp;Tinjauan Kinerja HRM"/>
      <sheetName val="Rencana&amp;Tinjauan Kinerja HRD"/>
      <sheetName val="Rencana&amp;Tinjauan Kinerja HRDRev"/>
      <sheetName val="RenKer HRD-1"/>
      <sheetName val="RenKer HRD-2"/>
      <sheetName val="RenKer HRD-3"/>
      <sheetName val="HONDA_DIV"/>
      <sheetName val="SR_AA"/>
      <sheetName val="SR_CBR"/>
      <sheetName val="BEKASI"/>
      <sheetName val="TAMBUN"/>
      <sheetName val="CISALAK"/>
      <sheetName val="DEPOK"/>
      <sheetName val="API-BDG"/>
      <sheetName val="API-BKS"/>
      <sheetName val="Cms"/>
      <sheetName val="Skbmi"/>
      <sheetName val="Subang"/>
      <sheetName val="Mjlk"/>
      <sheetName val="Tasik"/>
      <sheetName val="Cjr"/>
      <sheetName val="Kun"/>
      <sheetName val="Pwt"/>
      <sheetName val="Grt"/>
      <sheetName val="Smd"/>
      <sheetName val="CF FLT"/>
      <sheetName val="CVR"/>
      <sheetName val="BS-Combined-01"/>
      <sheetName val="Notes Inc"/>
      <sheetName val="PDE summary"/>
      <sheetName val="03 NP"/>
      <sheetName val="04 NP"/>
      <sheetName val="05 NP"/>
      <sheetName val="06 NP"/>
      <sheetName val="06 NP (1)"/>
      <sheetName val="06 NP (2)"/>
      <sheetName val="06 NP (3)"/>
      <sheetName val="07 NP"/>
      <sheetName val="07 NP (1)"/>
      <sheetName val="07 NP (2)"/>
      <sheetName val="07 NP (3)"/>
      <sheetName val="2007 NP"/>
      <sheetName val="BS-Combined"/>
      <sheetName val="Q. Lead Schedule"/>
      <sheetName val="Q.1_Detail Sales"/>
      <sheetName val="Q.1.1_Toll Manufacturing"/>
      <sheetName val="Q.1_Cut Off-1"/>
      <sheetName val="Q.2_Cut Off-2"/>
      <sheetName val="Report Purposes_1"/>
      <sheetName val="Report Purposes_2"/>
      <sheetName val="Income - Combined"/>
      <sheetName val="Combined Note 1 to 6"/>
      <sheetName val="Combined Note 8 to 13"/>
      <sheetName val="TB-Cons"/>
      <sheetName val="Bal Sheet"/>
      <sheetName val="BS note 1-6"/>
      <sheetName val="BS Note 7"/>
      <sheetName val="BS Note 7b"/>
      <sheetName val="BS note 8-13"/>
      <sheetName val="Profit"/>
      <sheetName val="Profit Notes 1"/>
      <sheetName val="Profit Notes 2"/>
      <sheetName val="Detail OH (1)"/>
      <sheetName val="Detail OH (2)"/>
      <sheetName val="Detail OH (3)"/>
      <sheetName val="TB-Reg"/>
      <sheetName val="Bal Sheet (reg)"/>
      <sheetName val="BS note 1-6 (reg)"/>
      <sheetName val="BS Note 7 (reg)"/>
      <sheetName val="BS Note 7b (reg)"/>
      <sheetName val="BS note 8-13 (reg)"/>
      <sheetName val="Alo-GC (reg)"/>
      <sheetName val="TB-Est-1"/>
      <sheetName val="Profit (reg)"/>
      <sheetName val="Profit Notes (reg)"/>
      <sheetName val="Bal Sheet (1)"/>
      <sheetName val="BS note 1-6 (1)"/>
      <sheetName val="BS Note 7 (1)"/>
      <sheetName val="BS Note 7b (1)"/>
      <sheetName val="BS note 8-13 (1)"/>
      <sheetName val="TB-Est-2"/>
      <sheetName val="Profit (1)"/>
      <sheetName val="Profit Notes (1)"/>
      <sheetName val="PDE summary (1)"/>
      <sheetName val="Bal Sheet (2)"/>
      <sheetName val="BS note 1-6 (2)"/>
      <sheetName val="BS Note 7 (2)"/>
      <sheetName val="BS Note 7b (2)"/>
      <sheetName val="BS note 8-13 (2)"/>
      <sheetName val="TB-Est-3"/>
      <sheetName val="Profit (2)"/>
      <sheetName val="Profit Notes (2)"/>
      <sheetName val="PDE summary (2)"/>
      <sheetName val="Bal Sheet (3)"/>
      <sheetName val="BS note 1-6 (3)"/>
      <sheetName val="BS Note 7 (3)"/>
      <sheetName val="BS Note 7b (3)"/>
      <sheetName val="BS note 8-13 (3)"/>
      <sheetName val="Profit (3)"/>
      <sheetName val="Profit Notes (3)"/>
      <sheetName val="PDE summary (3)"/>
      <sheetName val="gltran"/>
      <sheetName val="revisi-gltran"/>
      <sheetName val="workNR"/>
      <sheetName val="workRL"/>
      <sheetName val="rlak"/>
      <sheetName val="posner"/>
      <sheetName val="posrula"/>
      <sheetName val="1-persd"/>
      <sheetName val="2-akt"/>
      <sheetName val="2-akt (bulanan)"/>
      <sheetName val="2-aktcadangan"/>
      <sheetName val="3-penjek"/>
      <sheetName val="4-bpp"/>
      <sheetName val="5-pembl"/>
      <sheetName val="6-oprs"/>
      <sheetName val="7-wesel"/>
      <sheetName val="8-bunga"/>
      <sheetName val="9-tax"/>
      <sheetName val="O.2.2.1"/>
      <sheetName val="O.2.2.2"/>
      <sheetName val="O.2.2.3"/>
      <sheetName val="PM, TE , SAD"/>
      <sheetName val="K-Combined"/>
      <sheetName val="PAJE-PRJE-CAJE-CRJE"/>
      <sheetName val="T Acc"/>
      <sheetName val="Elimination"/>
      <sheetName val="BS &amp; PL Analytical SRM"/>
      <sheetName val="Statements of SHE"/>
      <sheetName val="Segment Information"/>
      <sheetName val="BS &amp; PL Analytical"/>
      <sheetName val="Summary of Insurance.1"/>
      <sheetName val="K-Combined-1"/>
      <sheetName val="Segment Information with JO"/>
      <sheetName val="Summary of Insurance"/>
      <sheetName val="K-Combined-final"/>
      <sheetName val="1997"/>
      <sheetName val="9899"/>
      <sheetName val="konsultan"/>
      <sheetName val="proyek"/>
      <sheetName val="Predictive test -HPJ "/>
      <sheetName val="2003"/>
      <sheetName val="2007"/>
      <sheetName val="Car list "/>
      <sheetName val="suivi cash flow par affaire"/>
      <sheetName val="Biaya Departemen"/>
      <sheetName val="KP23"/>
      <sheetName val="12. ANALISA PL"/>
      <sheetName val="11. ANALISA PL"/>
      <sheetName val="ANALISA BS 11"/>
      <sheetName val="10. ANALISA PL"/>
      <sheetName val="TB 12"/>
      <sheetName val="TB 11"/>
      <sheetName val="Gen_Inputs"/>
      <sheetName val="HEMA RUTIN"/>
      <sheetName val="HEMA LENGKAP"/>
      <sheetName val="HEMA LENGKAP PLUS"/>
      <sheetName val="MIKROHEMATOKRIT"/>
      <sheetName val="MCV"/>
      <sheetName val="RETIKULOSIT"/>
      <sheetName val="LED"/>
      <sheetName val="LIMFOSIT PLASMA BIRU"/>
      <sheetName val="MORFOLOGI DARAH TEPI"/>
      <sheetName val="MORFOLOGI SUMSUM TULANG+"/>
      <sheetName val="RATIO IT"/>
      <sheetName val="GOL DARAH"/>
      <sheetName val="MALARIA"/>
      <sheetName val="HEMOTASIS RUTIN"/>
      <sheetName val="MASA PERDARAHAN (BT)"/>
      <sheetName val="MASA PEMBEKUAN (CT)"/>
      <sheetName val="MASA PROTOMBIN (PT)"/>
      <sheetName val="MASA TROMBOPLASTIN (APTT)"/>
      <sheetName val="MASA TROMBIN (TT)+"/>
      <sheetName val="FIBRINOGEN"/>
      <sheetName val="INR"/>
      <sheetName val="TROMBOTEST OWREN +"/>
      <sheetName val="AGREGASI TROMBOSIT"/>
      <sheetName val="VISKOSITAS DARAH +"/>
      <sheetName val="ACT"/>
      <sheetName val="D-DIMER"/>
      <sheetName val="FAKTOR VIII +"/>
      <sheetName val="FAKTOR IX +"/>
      <sheetName val="PROTEIN C +"/>
      <sheetName val="PROTEIN S +"/>
      <sheetName val="ANTI TROMBIN III +"/>
      <sheetName val="ACA IGM +"/>
      <sheetName val="ACA IGG +"/>
      <sheetName val="ANTI B2 GP +"/>
      <sheetName val="ANTIKOAGULASI LUPUS +"/>
      <sheetName val="G6PD +"/>
      <sheetName val="RESISTENSI OSMOTIK +"/>
      <sheetName val="UJI COOMBS +"/>
      <sheetName val="ELEKTRO HB +"/>
      <sheetName val="Hb F +"/>
      <sheetName val="BESI (IRON) +"/>
      <sheetName val="TIBC +"/>
      <sheetName val="FERRITIN +"/>
      <sheetName val="TRANSFERIN +"/>
      <sheetName val="VIT B12 +"/>
      <sheetName val="ASAM FOLAT +"/>
      <sheetName val="SEL LE +"/>
      <sheetName val="LE REAKSI +"/>
      <sheetName val="PROTEIN TOTAL"/>
      <sheetName val="ALBUMIN"/>
      <sheetName val="ELEKTROFORESIS PROTEIN +"/>
      <sheetName val="SERUM PROTEIN IMMUN +"/>
      <sheetName val="CHE +"/>
      <sheetName val="BILIRUBIN"/>
      <sheetName val="BILIRUBIN NEO"/>
      <sheetName val="SGOT &amp; SGPT"/>
      <sheetName val="SGOT"/>
      <sheetName val="SGPT"/>
      <sheetName val="GAMMA GT"/>
      <sheetName val="FOSFATASE ALKALI"/>
      <sheetName val="GLDH +"/>
      <sheetName val="ASAM EMPEDU +"/>
      <sheetName val="AMONIAK +"/>
      <sheetName val="PIVKA +"/>
      <sheetName val="Hs TROPONIN"/>
      <sheetName val="CK-MB"/>
      <sheetName val="CK TOTAL"/>
      <sheetName val="MIOGLOBIN +"/>
      <sheetName val="NT PRO BNP"/>
      <sheetName val="LDH +"/>
      <sheetName val="TROPONIN T +"/>
      <sheetName val="TROPONIN I"/>
      <sheetName val="UREUM"/>
      <sheetName val="KREATININ"/>
      <sheetName val="CYSTATIN C +"/>
      <sheetName val="ASAM URAT"/>
      <sheetName val="UJI BERSIHAN UREUM"/>
      <sheetName val="UJI BERSIHAN KREATININ"/>
      <sheetName val="B2-MIKRO +"/>
      <sheetName val="NGAL +"/>
      <sheetName val="ELCTROLYTE SERUM"/>
      <sheetName val="KALSIUM TOTAL"/>
      <sheetName val="KALSIUM ION"/>
      <sheetName val="FOSFAT ANORGANIK"/>
      <sheetName val="MAGNESIUM"/>
      <sheetName val="BIKARBONAT"/>
      <sheetName val="ANION GAP"/>
      <sheetName val="ANALISA GAS DARAH"/>
      <sheetName val="ASAM LAKTAT"/>
      <sheetName val="AGD PLUS"/>
      <sheetName val="GDS"/>
      <sheetName val="GDP"/>
      <sheetName val="GD2PP"/>
      <sheetName val="UJI TOLERANSI"/>
      <sheetName val="KURVA HARIAN"/>
      <sheetName val="HBA1C"/>
      <sheetName val="INSULIN PUASA +"/>
      <sheetName val="INSULIN 2PP +"/>
      <sheetName val="C-PEPTIDE PUASA +"/>
      <sheetName val="C-PEPTIDE 2PP +"/>
      <sheetName val="BENDA KETON"/>
      <sheetName val="KETON DARAH +"/>
      <sheetName val="FRUKTOSAMINE +"/>
      <sheetName val="AMILASE TOTAL +"/>
      <sheetName val="AMILASE PANKREAS +"/>
      <sheetName val="LIPASE +"/>
      <sheetName val="KOLESTEROL TOTAL"/>
      <sheetName val="LDL"/>
      <sheetName val="HDL"/>
      <sheetName val="TRIGLISERIDA"/>
      <sheetName val="DENSE LDL KUALITATIF +"/>
      <sheetName val="DENSE LDL KUANTITATIF +"/>
      <sheetName val="APO B +"/>
      <sheetName val="APO A1 +"/>
      <sheetName val="LIPOPROTEIN A +"/>
      <sheetName val="ADIPONEKTIN +"/>
      <sheetName val="LDL DIREK"/>
      <sheetName val="RATIO KOL-HDL"/>
      <sheetName val="HSCRP"/>
      <sheetName val="HOMOSISTEIN +"/>
      <sheetName val="TAS +"/>
      <sheetName val="GLUTATHOIN +"/>
      <sheetName val="CROSS LAP +"/>
      <sheetName val="N-MID OSYEOCALCIN +"/>
      <sheetName val="ANTI HAV TOTAL +"/>
      <sheetName val="ANTI HAV IGM +"/>
      <sheetName val="HBSAG ELISA"/>
      <sheetName val="HBSAG RAPID"/>
      <sheetName val="HBSAG KONFIRMASI +"/>
      <sheetName val="ANTI HBS"/>
      <sheetName val="ANTI HBC TOTAL +"/>
      <sheetName val="ANTI HBC IGM +"/>
      <sheetName val="HBEAG +"/>
      <sheetName val="ANTI HBE +"/>
      <sheetName val="ANTI HCV RAPID"/>
      <sheetName val="ANTI HCV"/>
      <sheetName val="ANTI HCV IGM +"/>
      <sheetName val="ANTI HEV IGG +"/>
      <sheetName val="ANTI HEV IGM +"/>
      <sheetName val="VDRL"/>
      <sheetName val="TPHA"/>
      <sheetName val="ANTI HIV RAPID"/>
      <sheetName val="ANTI HIV KUALITATIF"/>
      <sheetName val="HIV DUO TEST"/>
      <sheetName val="HIV RNA VIRAL LOAD +"/>
      <sheetName val="ANTI CHLAMYDA IGG +"/>
      <sheetName val="ANTI CHLAMYDA IGM +"/>
      <sheetName val="AFP"/>
      <sheetName val="CEA"/>
      <sheetName val="CA 125 +"/>
      <sheetName val="PAP PROSTAT +"/>
      <sheetName val="PSA TOTAL"/>
      <sheetName val="PSA BEBAS +"/>
      <sheetName val="CA 15-3 +"/>
      <sheetName val="HE 4 +"/>
      <sheetName val="CA 72-4 +"/>
      <sheetName val="CA 19-9 +"/>
      <sheetName val="SCC SERVIKS +"/>
      <sheetName val="NSE +"/>
      <sheetName val="CYFRA 21-1 +"/>
      <sheetName val="B-HCG +"/>
      <sheetName val="ANTI EBV VCA-AGA +"/>
      <sheetName val="ANTI EBV EA-IGA +"/>
      <sheetName val="ANTI ABV VCA-IGG +"/>
      <sheetName val="ANTI ABV EA-AGG +"/>
      <sheetName val="ANTI EBV VCA-AGM +"/>
      <sheetName val="ANTI EBV EA-AGM +"/>
      <sheetName val="IGE TOTAL +"/>
      <sheetName val="PANEL ALERGI ATOPI +"/>
      <sheetName val="PANEL ALERGI MAKANAN ASIA +"/>
      <sheetName val="RAST DEBU RUMAH +"/>
      <sheetName val="RAST TUNGAU DEBU RUMAH +"/>
      <sheetName val="RAST ASPERGILUS +"/>
      <sheetName val="RAST PENICILIN +"/>
      <sheetName val="RAST PENICILIN N +"/>
      <sheetName val="RAST KUNING TELUR +"/>
      <sheetName val="RAST SUSU +"/>
      <sheetName val="RAST UDANG +"/>
      <sheetName val="RAST SUSU KEDELAI +"/>
      <sheetName val="ASTO SEMIKUANTITATIF"/>
      <sheetName val="CRP KUANTITATIF"/>
      <sheetName val="PROCALTONIN +"/>
      <sheetName val="RA FACTOR KUALITATIF"/>
      <sheetName val="ANTI CCP +"/>
      <sheetName val="HLA B-27 +"/>
      <sheetName val="ANA ELISA +"/>
      <sheetName val="ANA IMMUNO +"/>
      <sheetName val="ANA PROFIL +"/>
      <sheetName val="ANTI DS DNA +"/>
      <sheetName val="ANCA +"/>
      <sheetName val="AMA +"/>
      <sheetName val="ANT. STRIATED MS +"/>
      <sheetName val="C3 +"/>
      <sheetName val="C4 +"/>
      <sheetName val="IGG KUANTITATIF +"/>
      <sheetName val="IGA KUANTITATIF +"/>
      <sheetName val="IGM KUANTITATIF +"/>
      <sheetName val="ELEKTRO IMMUNO +"/>
      <sheetName val="CD4 +"/>
      <sheetName val="CD8 +"/>
      <sheetName val="CD34 +"/>
      <sheetName val="TEOFILIN +"/>
      <sheetName val="DIGOXIN +"/>
      <sheetName val="FENOBARBITAL +"/>
      <sheetName val="KARBAMAZEPIN +"/>
      <sheetName val="ASAM VALPROAT +"/>
      <sheetName val="TRACROLIMUS +"/>
      <sheetName val="SIKLOSPORIN +"/>
      <sheetName val="GENTAMISIN +"/>
      <sheetName val="PHENYTOIN +"/>
      <sheetName val="WIDAL UJI SLIDE"/>
      <sheetName val="ANTI SALMONELA TUBEX"/>
      <sheetName val="ANTI SALMONELA RAPID"/>
      <sheetName val="SALMONELA IGG +"/>
      <sheetName val="DENGUE NS1 AG"/>
      <sheetName val="ANTI DENGUE IGG &amp; IGM"/>
      <sheetName val="MALARIA ANTIGEN"/>
      <sheetName val="H. PYLORI IGG +"/>
      <sheetName val="H. PYLORI IGM +"/>
      <sheetName val="LEPTOSPIRA IGM ELISA +"/>
      <sheetName val="ANTI LEPTOSPIRA IGM"/>
      <sheetName val="MEASLES IGG +"/>
      <sheetName val="MEASLES IGM +"/>
      <sheetName val="ANTI AMUBA +"/>
      <sheetName val="MONOTEST RAPID +"/>
      <sheetName val="ANTI CHIKUNGUNYA IGM"/>
      <sheetName val="ANTI MICOPLASMA IGG &amp; IGM +"/>
      <sheetName val="ANTI MICOPLASMA IGG +"/>
      <sheetName val="ANTI MICOPLASMA IGM +"/>
      <sheetName val="SEROLOGI JAMUR (ASPEERGILLUS) +"/>
      <sheetName val="TOXOPLASMA IGG +"/>
      <sheetName val="TOXOPLASMA IGM +"/>
      <sheetName val="ANTI RUBELLA IGG +"/>
      <sheetName val="ANTI RUBELLA IGM +"/>
      <sheetName val="CMV IGM +"/>
      <sheetName val="CMV IGG +"/>
      <sheetName val="ANTI HSV 1 IGG +"/>
      <sheetName val="ANTI HSV 1 IGM +"/>
      <sheetName val="ANTI HSV 2 IGG +"/>
      <sheetName val="ANTI HSV 2 IGM +"/>
      <sheetName val="AVIDITAS ANTI TOXO IGG +"/>
      <sheetName val="ANTI CMV IGG +"/>
      <sheetName val="GROWTH HORMON +"/>
      <sheetName val="SOMATOMEDIN +"/>
      <sheetName val="PROLACTIN +"/>
      <sheetName val="LH +"/>
      <sheetName val="FSH +"/>
      <sheetName val="PTH +"/>
      <sheetName val="25 OH VIT D +"/>
      <sheetName val="CORTISOL (DARAH-URIN) +"/>
      <sheetName val="CORTISOL +"/>
      <sheetName val="AKTIVASI RENIN +"/>
      <sheetName val="ALDOSTERON +"/>
      <sheetName val="DHEA S +"/>
      <sheetName val="T3 TOTAL +"/>
      <sheetName val="FT3 +"/>
      <sheetName val="T4 TOTAL +"/>
      <sheetName val="FT4 +"/>
      <sheetName val="FT1 +"/>
      <sheetName val="TSH S"/>
      <sheetName val="TSH NEONATUS +"/>
      <sheetName val="T3 UPTAKE +"/>
      <sheetName val="THYROGLOBULIN +"/>
      <sheetName val="ANTI THYROGLOBULIN +"/>
      <sheetName val="ANTI THYROGLOBULIN AG +"/>
      <sheetName val="ANTI TPO +"/>
      <sheetName val="TSH RECEPTOR AB +"/>
      <sheetName val="CALCITONIN +"/>
      <sheetName val="TESTOSTERON TOTAL +"/>
      <sheetName val="TESTOSTERON BEBAS +"/>
      <sheetName val="DHT +"/>
      <sheetName val="TESTOS. BIO +"/>
      <sheetName val="ESTRADIOL +"/>
      <sheetName val="ESTRADIOL BIO +"/>
      <sheetName val="PROGESTERON +"/>
      <sheetName val="PROGES. BIO +"/>
      <sheetName val="HORMON AMH +"/>
      <sheetName val="ESTRIOL +"/>
      <sheetName val="PCR SALMONELA +"/>
      <sheetName val="PCR MYCO TB +"/>
      <sheetName val="HBV-DNA KUANTITATIF +"/>
      <sheetName val="HCV RNA KUANTITATIF +"/>
      <sheetName val="HCV GENOTIP +"/>
      <sheetName val="PCR CMV +"/>
      <sheetName val="PCR HSV 1&amp;2 +"/>
      <sheetName val="ADENIN D-AMINASE +"/>
      <sheetName val="HPV DNA HIGH RISK +"/>
      <sheetName val="PCR HIV (VIRAL LOAD) +"/>
      <sheetName val="PCR CHLAMYDIA TRACH. +"/>
      <sheetName val="URINE LENGKAP"/>
      <sheetName val="PROTEIN ESBACH +"/>
      <sheetName val="MIKROALBUMIN (URIN 24 JAM) +"/>
      <sheetName val="ASAM URAT (URIN 24 JAM)"/>
      <sheetName val="UJI KEHAMILAN"/>
      <sheetName val="UREUM URIN"/>
      <sheetName val="CREATININ URINE"/>
      <sheetName val="ASAM URAT URINE"/>
      <sheetName val="ELEKTROLIT URINE"/>
      <sheetName val="FOSFOR ANORG"/>
      <sheetName val="VMA +"/>
      <sheetName val="ALDOSTERON URIN +"/>
      <sheetName val="17 KETOSTEROID +"/>
      <sheetName val="CALCIUM URIN"/>
      <sheetName val="MAGNESIUM URIN"/>
      <sheetName val="5-HIAA +"/>
      <sheetName val="ELECTROLITE URINE"/>
      <sheetName val="AMFETAMIN"/>
      <sheetName val="METAMFETAMIN"/>
      <sheetName val="BARBITAL-BARBITURAT +"/>
      <sheetName val="BENZODIAZEPIN"/>
      <sheetName val="CANNABIS"/>
      <sheetName val="COCCAINE"/>
      <sheetName val="MORFIN"/>
      <sheetName val="PHENCYCLIDIN +"/>
      <sheetName val="OPIATE URIN"/>
      <sheetName val="ALKOHOL +"/>
      <sheetName val="ANTI TROMBOSIT +"/>
      <sheetName val="ANALISIS SPERMA"/>
      <sheetName val="ANALISA SPERMA (ANDROLOG)"/>
      <sheetName val="ANTIBODI THD SPERMA +"/>
      <sheetName val="ANALISA BATU GINJAL +"/>
      <sheetName val="ANALISA BATU EMPEDU +"/>
      <sheetName val="PEWARNAAN &amp; HITUNG NAP +"/>
      <sheetName val="A-1 ANTITRYPSIN +"/>
      <sheetName val="UREA BREATH TEST +"/>
      <sheetName val="PB (PLUMBUN-TIMBAL) +"/>
      <sheetName val="CROSSMATCHING"/>
      <sheetName val="ALBUMIN GLIKAT +"/>
      <sheetName val="AVP +"/>
      <sheetName val="LITHIUM +"/>
      <sheetName val="IGRA TEST +"/>
      <sheetName val="ANALISA BATU URETER +"/>
      <sheetName val="TINJA RUTIN"/>
      <sheetName val="TINJA LENGKAP"/>
      <sheetName val="DARAH SAMAR FAECES"/>
      <sheetName val="ROTAVIRUS AG RAPID +"/>
      <sheetName val="ANALISIS CAIRAN PLEURA +"/>
      <sheetName val="ANALISIS CAIRAN SENDI +"/>
      <sheetName val="ANALISIS CAIRAN OTAK +"/>
      <sheetName val="PA SMALL +"/>
      <sheetName val="PA MEDIUM +"/>
      <sheetName val="PA LARGE +"/>
      <sheetName val="KONSUL SLIDE (1-2) +"/>
      <sheetName val="KONSUL BLOK (1-2) +"/>
      <sheetName val="FROZEN SECTION +"/>
      <sheetName val="FROZEN SECT + BATAS SAYATAN +"/>
      <sheetName val="BIAYA PERSIAPAN VC +"/>
      <sheetName val="BIOPSI +"/>
      <sheetName val="BIOPSI (1-2) +"/>
      <sheetName val="BIOPSI (3-4) +"/>
      <sheetName val="PAPSMEAR KONVENSIONAL +"/>
      <sheetName val="PAPSMEAR DGN TINDAKAN +"/>
      <sheetName val="THIN PREP +"/>
      <sheetName val="CELL PREP +"/>
      <sheetName val="PAPSMEAR HORMONAL +"/>
      <sheetName val="SITOPATOLOGI SPUTUM 1X +"/>
      <sheetName val="SITOPATOLOGI SPUTUM 3X +"/>
      <sheetName val="SITO CAIRAN URIN 1X +"/>
      <sheetName val="SITO CAIRAN BILASAN +"/>
      <sheetName val="FNAB TANPA TINDAKAN +"/>
      <sheetName val="FNAB DGN TINDAKAN +"/>
      <sheetName val="KONSUL SLIDE SITO +"/>
      <sheetName val="GOMORI - HISTOKIMIA +"/>
      <sheetName val="PAS - HISTOKIMIA +"/>
      <sheetName val="PAS DIASTASE-HISTOKIMIA +"/>
      <sheetName val="ALCIAN BLUE-HISTOKIMIA +"/>
      <sheetName val="TRICHROM - HISTOKIMIA +"/>
      <sheetName val="MUCICARMIN - HISTOKIMIA +"/>
      <sheetName val="RETIKULIN - HISTOKIMIA +"/>
      <sheetName val="BTA - HISTOKIMIA +"/>
      <sheetName val="FITE FARACO - HISTOKIMIA +"/>
      <sheetName val="IMMUNOHISTOKIMIA 2 ALFA +"/>
      <sheetName val="IMMUNOHISTOKIMIA 1 ANTIBODY +"/>
      <sheetName val="IMUNOHISTOKIMIA SUKAR +"/>
      <sheetName val="IMUNO PAKET GIST +"/>
      <sheetName val="IMUNO PAKET FISH +"/>
      <sheetName val="IMUNO ISH PER PROBE +"/>
      <sheetName val="IMUNO K-RAS +"/>
      <sheetName val="IMUNO N-RAS +"/>
      <sheetName val="IMUNO K-RAS &amp; N-RAS +"/>
      <sheetName val="IMUNO CISH +"/>
      <sheetName val="MUTASI EGFR +"/>
      <sheetName val="PAKET IMUNO +"/>
      <sheetName val="IMUNO BRAF +"/>
      <sheetName val="PACKED RED CELL +"/>
      <sheetName val="WHOLE BLOOD +"/>
      <sheetName val="FRESH FROZEN +"/>
      <sheetName val="CYRO PRESPITATE +"/>
      <sheetName val="ANTI HAEMOPHILIC +"/>
      <sheetName val="LEKODEPLATATE +"/>
      <sheetName val="WASHED ERITROSIT +"/>
      <sheetName val="PLATELET CONCENTRATE +"/>
      <sheetName val="LIQUID PLASMA +"/>
      <sheetName val="THROMBOPHERESIS +"/>
      <sheetName val="PACKED RED CELL NAT +"/>
      <sheetName val="WHOLE BLOOD NAT +"/>
      <sheetName val="FRESH FROZEN NAT +"/>
      <sheetName val="CYROPREPITATE NAT +"/>
      <sheetName val="ANTI HAEMO NAT +"/>
      <sheetName val="LEKODEPLATATE NAT +"/>
      <sheetName val="WASHED ERITROSIT NAT +"/>
      <sheetName val="PLATELET CONCENTRATE NAT +"/>
      <sheetName val="LIQUID PLASMA NAT +"/>
      <sheetName val="SUGAR TEST +"/>
      <sheetName val="UJI HAM TEST +"/>
      <sheetName val="BCR ABL KUALITATIF +"/>
      <sheetName val="BCR ABL KUANTITATIF +"/>
      <sheetName val="SCREENING RECTAL SWAB +"/>
      <sheetName val="KERTAS KERJA"/>
      <sheetName val="RUJUKAN"/>
      <sheetName val="OBAT 30215"/>
      <sheetName val="BIAKAN KUMAN"/>
      <sheetName val="SCREENING DARAH"/>
      <sheetName val="RADIOLOGY"/>
      <sheetName val="IP ORDER LAB &amp; RAD"/>
      <sheetName val="assump INC% sensus"/>
      <sheetName val="GROUP COA"/>
      <sheetName val="REQUIREMENT"/>
      <sheetName val="FAI4"/>
      <sheetName val="déf04"/>
      <sheetName val="Curves"/>
      <sheetName val="Resume MPPVSAktual"/>
      <sheetName val="Asumsi Rata2 LC per HC SWG"/>
      <sheetName val="Summ Rata2 LC"/>
      <sheetName val="RWP 0"/>
      <sheetName val="RWP 1"/>
      <sheetName val="RWP2-1"/>
      <sheetName val="RWP3"/>
      <sheetName val="RWP 20"/>
      <sheetName val="RWP 22"/>
      <sheetName val="RWP 33"/>
      <sheetName val="42CAF"/>
      <sheetName val="42CAI"/>
      <sheetName val="RWP43"/>
      <sheetName val="RWP55"/>
      <sheetName val="RWP75"/>
      <sheetName val="ALK-12"/>
      <sheetName val="FS-13"/>
      <sheetName val="BB-JAN 1999"/>
      <sheetName val="Proforma"/>
      <sheetName val="Based Data_wacc"/>
      <sheetName val="H1b Accounts Payable"/>
      <sheetName val="P1 Equity"/>
      <sheetName val="OLDMAP"/>
      <sheetName val="Menu_Data"/>
      <sheetName val="AVG2_JULI2003"/>
      <sheetName val="Input assumptions"/>
      <sheetName val="Incremental Field Inputs"/>
      <sheetName val="_Results Summary"/>
      <sheetName val="Primary Field Inputs"/>
      <sheetName val="CAST DAYLY"/>
      <sheetName val="Input Plan"/>
      <sheetName val="DAF.INVEN U.O"/>
      <sheetName val="P10"/>
      <sheetName val="EKT"/>
      <sheetName val="ENGIN"/>
      <sheetName val="EAT"/>
      <sheetName val="TRAINING FEE"/>
      <sheetName val="ＭＰ印刷２"/>
      <sheetName val="EX RATE"/>
      <sheetName val="Revaluation"/>
      <sheetName val="Terms"/>
      <sheetName val="OU"/>
      <sheetName val="ACC_NUM"/>
      <sheetName val="DIS Jan&quot;09"/>
      <sheetName val="ACM0131(GT)"/>
      <sheetName val="计划"/>
      <sheetName val="Interim --&gt; Top"/>
      <sheetName val="Permanent info"/>
      <sheetName val="P&amp;L_Highlights 2008"/>
      <sheetName val="Word"/>
      <sheetName val="Df~Isi"/>
      <sheetName val="Resume-1"/>
      <sheetName val="Invest-2"/>
      <sheetName val="JTPC-3"/>
      <sheetName val="MK-2"/>
      <sheetName val="RSDT"/>
      <sheetName val="Basic Assumption(2)"/>
      <sheetName val="RSDT input"/>
      <sheetName val="Asumsi-4"/>
      <sheetName val="Sales-5"/>
      <sheetName val="Purch"/>
      <sheetName val="COGS-5"/>
      <sheetName val="TKerja"/>
      <sheetName val="GA-6"/>
      <sheetName val="FA-7"/>
      <sheetName val="Bank-8"/>
      <sheetName val="IS-10"/>
      <sheetName val="BS-11"/>
      <sheetName val="CF-9"/>
      <sheetName val="AS-14"/>
      <sheetName val="ebitda (simulasi AR)"/>
      <sheetName val="MESIN TAGGING"/>
      <sheetName val="2013"/>
      <sheetName val="2014"/>
      <sheetName val="2015"/>
      <sheetName val="2016"/>
      <sheetName val="2017"/>
      <sheetName val="2018"/>
      <sheetName val="BS-RTI"/>
      <sheetName val="Detail Piutang"/>
      <sheetName val="Tdk Bermasalah"/>
      <sheetName val="Yang Bermasalah"/>
      <sheetName val="Report3"/>
      <sheetName val="seluruh"/>
      <sheetName val="CER Collector"/>
      <sheetName val="Rank Per Location"/>
      <sheetName val="BBM PER JAM"/>
      <sheetName val="ROUTE"/>
      <sheetName val="ROUTE NEW"/>
      <sheetName val="Pengiriman 1 Bulan"/>
      <sheetName val="SO"/>
      <sheetName val="Coa LD Per Month"/>
      <sheetName val="NERACA SALDO"/>
      <sheetName val="REKAP OMZET KAPAL"/>
      <sheetName val="OMZET HARIAN"/>
      <sheetName val="HPP-perkapal"/>
      <sheetName val="HPP PER BULAN"/>
      <sheetName val="Rekap simulasi"/>
      <sheetName val="Revisi BBM"/>
      <sheetName val="Cash Flow (2)"/>
      <sheetName val="CASH FLOW (3)"/>
      <sheetName val="KKL"/>
      <sheetName val="Rincian Capex"/>
      <sheetName val="HPP HARI 09"/>
      <sheetName val="Simulasi"/>
      <sheetName val="kLP BIAYA"/>
      <sheetName val="Agent"/>
      <sheetName val="OMZET"/>
      <sheetName val="HPP-Bulan (2)"/>
      <sheetName val="HPP HARI 09 (2)"/>
      <sheetName val="HPP-Bulan Lama"/>
      <sheetName val="bandarlampung"/>
      <sheetName val="Masa Kerja"/>
      <sheetName val="TM3"/>
      <sheetName val="RMS - STR (2)"/>
      <sheetName val="TK- FUNG"/>
      <sheetName val="SEN_FUNG"/>
      <sheetName val="TK1"/>
      <sheetName val="rekstru"/>
      <sheetName val="rekfung"/>
      <sheetName val="fungsional "/>
      <sheetName val="Ros"/>
      <sheetName val="struktur (2)"/>
      <sheetName val="Atur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Kas"/>
      <sheetName val="Laba Ditahan"/>
      <sheetName val="Arus Kas-1"/>
      <sheetName val="Arus Kas-2"/>
      <sheetName val="Rekonsi"/>
      <sheetName val="CRD"/>
      <sheetName val="DOZER"/>
      <sheetName val="solar"/>
      <sheetName val="SERVICE"/>
      <sheetName val="CHIPPING"/>
      <sheetName val="TRASS&amp;CHIP"/>
      <sheetName val="BLANGKO"/>
      <sheetName val="LAP-PROD"/>
      <sheetName val="TRASS '09"/>
      <sheetName val="trass'10"/>
      <sheetName val="REC'10"/>
      <sheetName val="form trass"/>
      <sheetName val="Rekap-User"/>
      <sheetName val="Dokter-User"/>
      <sheetName val="Kwitansi"/>
      <sheetName val="Lelang"/>
      <sheetName val="Rekap-Mngmt"/>
      <sheetName val="Manajemen Fee"/>
      <sheetName val="local"/>
      <sheetName val="sales_07 (3)"/>
      <sheetName val="eksport"/>
      <sheetName val="sales_07 (2)"/>
      <sheetName val="sales_07"/>
      <sheetName val="Etalase-Bsl"/>
      <sheetName val="Lab-RO"/>
      <sheetName val="Stok+Lab+RO+Gigi"/>
      <sheetName val="Dr.Ahli"/>
      <sheetName val="Hpp."/>
      <sheetName val="SAA"/>
      <sheetName val="JU"/>
      <sheetName val="NR"/>
      <sheetName val="pembelian sparepart &amp; bag 12.20"/>
      <sheetName val="pembelian MATERIAL 122007"/>
      <sheetName val="penjualan material (2)"/>
      <sheetName val="Tagihan BTI des"/>
      <sheetName val="Rhia"/>
      <sheetName val="tari"/>
      <sheetName val="mutasi hutang des07"/>
      <sheetName val="jurnal umum(HO)"/>
      <sheetName val="kartu hutang"/>
      <sheetName val="Piutang Kary Okt 07 (3)"/>
      <sheetName val="master COA"/>
      <sheetName val="uang muka penjualan"/>
      <sheetName val="NS_Oktober"/>
      <sheetName val="master VENDOR CUSTOMER"/>
      <sheetName val=" Cost Center"/>
      <sheetName val="Opinion Director"/>
      <sheetName val="skat kons."/>
      <sheetName val="Isi kons"/>
      <sheetName val="disclose"/>
      <sheetName val="w.s konsol 2007"/>
      <sheetName val="hub. istimewa"/>
      <sheetName val="AJE ELIMINASI"/>
      <sheetName val="selisih nilai buku"/>
      <sheetName val="aruskas- konsol"/>
      <sheetName val="piutang pihak ketiga"/>
      <sheetName val="aset tetap 06"/>
      <sheetName val="aset tetap 07"/>
      <sheetName val="pajak-tangguhan"/>
      <sheetName val="lampiran 2"/>
      <sheetName val="lampiran 3"/>
      <sheetName val="rincian beban langsung"/>
      <sheetName val="beban lansung"/>
      <sheetName val="rincian pendapatan usaha"/>
      <sheetName val="aset lain-lain"/>
      <sheetName val="kas&amp; setara kas"/>
      <sheetName val="laba ditahan final05-06"/>
      <sheetName val="transaksi valuta thn 06"/>
      <sheetName val="prpajakan"/>
      <sheetName val="opini PTPN I_2008"/>
      <sheetName val="Lead - LK PTPN PRINT"/>
      <sheetName val="CLK"/>
      <sheetName val="Lead - LK PTPN"/>
      <sheetName val="PSAK 46"/>
      <sheetName val="Jurnal koreksi &amp; reklas print"/>
      <sheetName val="penjelasan aje &amp; reklas_2008"/>
      <sheetName val="Taksiran PPh Badan"/>
      <sheetName val="WS NET OFF"/>
      <sheetName val="JURNAL NET OFF"/>
      <sheetName val="Z Score PTPN I"/>
      <sheetName val="Aje Eks KSO Karet"/>
      <sheetName val="Jurnal koreksi &amp; reklas"/>
      <sheetName val="PRICE PACKING (2)"/>
      <sheetName val=" Cash Flow"/>
      <sheetName val="PRICE PACKING"/>
      <sheetName val="PRICE SALES JASA"/>
      <sheetName val=" TARIF FLAT STORAGE"/>
      <sheetName val="Rekap Per Cab"/>
      <sheetName val="Rekap Perbulan"/>
      <sheetName val="Rekap Budget"/>
      <sheetName val=" Rekap"/>
      <sheetName val="Ho"/>
      <sheetName val="Shipp"/>
      <sheetName val="TO SMD"/>
      <sheetName val="TO Cwd"/>
      <sheetName val="TO Bwi"/>
      <sheetName val="Rekap HO"/>
      <sheetName val="Cash Flow HO"/>
      <sheetName val="Cash Flow Samarinda"/>
      <sheetName val="Resume SMD"/>
      <sheetName val="Smd1"/>
      <sheetName val="Smd2"/>
      <sheetName val="Rekap  SMD"/>
      <sheetName val="Cash Flow Banyuwangi"/>
      <sheetName val="Rekap BWI"/>
      <sheetName val="Resume Banyuwangi"/>
      <sheetName val="Bwi1"/>
      <sheetName val="Bwi2"/>
      <sheetName val="Produksi Smd "/>
      <sheetName val="Produksi Bwi"/>
      <sheetName val="Produksi Cwd Baru"/>
      <sheetName val="Cwd1"/>
      <sheetName val="Cwd2"/>
      <sheetName val="Cash Flow Ciwandan"/>
      <sheetName val="Resume Ciwandan"/>
      <sheetName val="Rekap Cwd Baru"/>
      <sheetName val="Rekap Cwd lama"/>
      <sheetName val="Cwd2 lama"/>
      <sheetName val="Produksi Cwd Lama"/>
      <sheetName val="Bengkel"/>
      <sheetName val="Kendaraan Operasional"/>
      <sheetName val="Kendaraan Dinas"/>
      <sheetName val="DeptKeu"/>
      <sheetName val="Dept HRD"/>
      <sheetName val="Keu (Pajak)"/>
      <sheetName val="Keu(Purch)"/>
      <sheetName val="Dept Logstk"/>
      <sheetName val="DeptKeu (Acc)"/>
      <sheetName val="DeptKeu (WH)"/>
      <sheetName val="Sales&amp;DIST"/>
      <sheetName val="Dept SD"/>
      <sheetName val="Cwd2 Baru"/>
      <sheetName val="worksheet (2)"/>
      <sheetName val="New Notes"/>
      <sheetName val="rekap bahas"/>
      <sheetName val="report1"/>
      <sheetName val="report1 (2)"/>
      <sheetName val="reg"/>
      <sheetName val="lunas"/>
      <sheetName val="report2"/>
      <sheetName val="Sampul 08"/>
      <sheetName val="Sampul 1"/>
      <sheetName val="Sampul 2"/>
      <sheetName val="Pengesahan"/>
      <sheetName val="Rencana transfer OKT 05"/>
      <sheetName val="CASH IN OKT"/>
      <sheetName val="PRESENTASE TRANSFER 10 2005"/>
      <sheetName val="MUTASI KAS 2005"/>
      <sheetName val="PIUTANG FIKRI"/>
      <sheetName val="MUTASI PIUTANG 2005"/>
      <sheetName val="SEWA DIBYR DIMUKA"/>
      <sheetName val="RINCI. DEP.2005"/>
      <sheetName val="data base"/>
      <sheetName val="COSTUMER CODE"/>
      <sheetName val="CONTROL PENJUALAN TUNAI"/>
      <sheetName val="BAG"/>
      <sheetName val="CRH"/>
      <sheetName val="REKP PENJUALAN BULANAN"/>
      <sheetName val="fill SAP BUKOPIN"/>
      <sheetName val="fill SAP BNI"/>
      <sheetName val="fill SAP MANDIRI"/>
      <sheetName val="fill SAP KAS"/>
      <sheetName val="BUKOPIN"/>
      <sheetName val="BNI"/>
      <sheetName val="MANDIRI"/>
      <sheetName val="MASTER1"/>
      <sheetName val="PEMAKAIAN BY PRODUKSI"/>
      <sheetName val="HUTANG TITIPAN"/>
      <sheetName val="PERSEDIAAN SPAREPART"/>
      <sheetName val="STOCK AWAL"/>
      <sheetName val="PEMAKAIAN WAREHOUSE"/>
      <sheetName val="MASTER CODE"/>
      <sheetName val="PEMBELIAN TONY 09"/>
      <sheetName val="HUTANG PER PO 09"/>
      <sheetName val="HUTANG PER VENDOR 09"/>
      <sheetName val="VENDORE CODE"/>
      <sheetName val="INFORMASI UMUM"/>
      <sheetName val="Mutasi"/>
      <sheetName val="IMPUT PENERIMAAN BULK WB"/>
      <sheetName val="IMPUT PENERIMAAN BAG PRODUKSI"/>
      <sheetName val="LAP. HARIAN"/>
      <sheetName val="RAW MATREIAL FLAT STORAGE"/>
      <sheetName val="Lap. Laba Rugi September"/>
      <sheetName val="Lap. Laba Rugi 2005"/>
      <sheetName val="MARGIN ANALISIS"/>
      <sheetName val="Cash Flow 2005"/>
      <sheetName val="PEMAKAIAN BY PRODUKSI 2005"/>
      <sheetName val="Chart Account"/>
      <sheetName val="GL_Account"/>
      <sheetName val="JK"/>
      <sheetName val="JB"/>
      <sheetName val="Notes BS"/>
      <sheetName val="slip (2)"/>
      <sheetName val="rapel"/>
      <sheetName val="bruto"/>
      <sheetName val="TANDA TERIMA"/>
      <sheetName val="absen"/>
      <sheetName val="lembur"/>
      <sheetName val="potongan"/>
      <sheetName val="pot. absen"/>
      <sheetName val="lembutr (2)"/>
      <sheetName val="REKAP LEMBUR"/>
      <sheetName val="pajak "/>
      <sheetName val="rep letter"/>
      <sheetName val="pph 29"/>
      <sheetName val="PA"/>
      <sheetName val="panding matter"/>
      <sheetName val="BS RIG+KATERING"/>
      <sheetName val="IS per biaya RIG+KATERING"/>
      <sheetName val="WS RIG+KATERING"/>
      <sheetName val="IS per RIG+KATERING"/>
      <sheetName val="saldo akhir"/>
      <sheetName val="note05-06"/>
      <sheetName val="penyertaan 07"/>
      <sheetName val="minta bukti"/>
      <sheetName val="SAP vs C&amp;R"/>
      <sheetName val="BSW"/>
      <sheetName val="Takeover"/>
      <sheetName val="Rekap (L)"/>
      <sheetName val="M-GOWA"/>
      <sheetName val="TKO"/>
      <sheetName val="BPP"/>
      <sheetName val="BWI"/>
      <sheetName val="BON"/>
      <sheetName val="CWD"/>
      <sheetName val="GOW"/>
      <sheetName val="JKT"/>
      <sheetName val="JNP"/>
      <sheetName val="KDI"/>
      <sheetName val="KLK"/>
      <sheetName val="KPG"/>
      <sheetName val="MKS"/>
      <sheetName val="MMJ"/>
      <sheetName val="MDO"/>
      <sheetName val="MSB"/>
      <sheetName val="PLP"/>
      <sheetName val="PLU"/>
      <sheetName val="PKP"/>
      <sheetName val="PRE"/>
      <sheetName val="PNR"/>
      <sheetName val="POL"/>
      <sheetName val="WJO"/>
      <sheetName val="SDP"/>
      <sheetName val="SJI"/>
      <sheetName val="SOP"/>
      <sheetName val="SBY"/>
      <sheetName val="TTR"/>
      <sheetName val="XNS"/>
      <sheetName val="XRKP"/>
      <sheetName val="ABMetal"/>
      <sheetName val="Asaba"/>
      <sheetName val="AlkaJaya"/>
      <sheetName val="Adhireksa"/>
      <sheetName val="Belibis"/>
      <sheetName val="Chuson"/>
      <sheetName val="DayaPrima"/>
      <sheetName val="DieselJY"/>
      <sheetName val="Genta"/>
      <sheetName val="GdGajah"/>
      <sheetName val="Hamasa"/>
      <sheetName val="IndoPorlen"/>
      <sheetName val="InterCasting"/>
      <sheetName val="Interworld"/>
      <sheetName val="Indowan"/>
      <sheetName val="KPMB"/>
      <sheetName val="Karunia"/>
      <sheetName val="KryTeguh"/>
      <sheetName val="KryOlindo"/>
      <sheetName val="Leman's"/>
      <sheetName val="LancarS"/>
      <sheetName val="MakmurMG"/>
      <sheetName val="MitraCh"/>
      <sheetName val="Octo"/>
      <sheetName val="Praxair"/>
      <sheetName val="Persada"/>
      <sheetName val="PLN"/>
      <sheetName val="Rancang"/>
      <sheetName val="SaranaCntrl"/>
      <sheetName val="Samator"/>
      <sheetName val="SariMas"/>
      <sheetName val="Sucofindo"/>
      <sheetName val="Silica"/>
      <sheetName val="SuryaTM"/>
      <sheetName val="Siswandi"/>
      <sheetName val="TDS"/>
      <sheetName val="Tepak"/>
      <sheetName val="fiscal CSA 04"/>
      <sheetName val="fiscal WITM 04 "/>
      <sheetName val="NDE Deposito"/>
      <sheetName val="Ellim&amp;Deff.tax unaudited"/>
      <sheetName val="PER SHM WITM  (3)"/>
      <sheetName val="fiscal WITM"/>
      <sheetName val="fiscal WICM 04"/>
      <sheetName val="fiscal WICM"/>
      <sheetName val="fiscal CSA"/>
      <sheetName val="by sewa summ"/>
      <sheetName val="WITM def tax"/>
      <sheetName val="WICM DEFTAX"/>
      <sheetName val="CSA DEFTAX"/>
      <sheetName val="tax csa"/>
      <sheetName val="anlyt konsol"/>
      <sheetName val="REkon IMSI-WITM (2)"/>
      <sheetName val="REkon IMSI-WITM"/>
      <sheetName val="claim for tax"/>
      <sheetName val="anlyt witm"/>
      <sheetName val="anlyt wicm"/>
      <sheetName val="anlyt csa"/>
      <sheetName val="F.1 FG CKP"/>
      <sheetName val="F.1.1 CKP"/>
      <sheetName val="F.2 WIP CKP"/>
      <sheetName val="F.2.1 CKP"/>
      <sheetName val="F.3 RM CKP"/>
      <sheetName val="F.3.1 CKP"/>
      <sheetName val="F.1 FG BIC"/>
      <sheetName val="F.1.1 BIC "/>
      <sheetName val="F.2 WIP BIC"/>
      <sheetName val="F.2.1 BIC"/>
      <sheetName val="F.3 RM BIC"/>
      <sheetName val="F.3.1 BIC"/>
      <sheetName val="Tran0104 (2)"/>
      <sheetName val="Tran0104"/>
      <sheetName val="9O 1.2 Tran0104 (2)"/>
      <sheetName val="9O 1.1"/>
      <sheetName val="Sheet Q Pro"/>
      <sheetName val="Qpro"/>
      <sheetName val="NotesBS"/>
      <sheetName val="NotesPL"/>
      <sheetName val="PL_div"/>
      <sheetName val="adj smart"/>
      <sheetName val="MCU"/>
      <sheetName val="MCU (2)"/>
      <sheetName val="Budget 2008"/>
      <sheetName val="asumsi1"/>
      <sheetName val="asumsi2"/>
      <sheetName val="analysis (2)"/>
      <sheetName val="skenario"/>
      <sheetName val="jangmed"/>
      <sheetName val="Kend Leasing"/>
      <sheetName val="Pdpt dtrm dmk"/>
      <sheetName val="B Dby Dmk"/>
      <sheetName val="bank_loan"/>
      <sheetName val="Depr Kend"/>
      <sheetName val="Cover WS"/>
      <sheetName val="Isi WS"/>
      <sheetName val="Skat"/>
      <sheetName val="Ekuit"/>
      <sheetName val="Catatan WS"/>
      <sheetName val="Lampiran Khusus WS"/>
      <sheetName val="NRC Potret"/>
      <sheetName val="AJE-2007"/>
      <sheetName val="WS 2K3"/>
      <sheetName val="AJE 2"/>
      <sheetName val="P_Tannguh"/>
      <sheetName val="Catatan (2)"/>
      <sheetName val="4 ROA"/>
      <sheetName val="6 BOPO"/>
      <sheetName val="3CAR"/>
      <sheetName val="T.O.C."/>
      <sheetName val="Cover AJE"/>
      <sheetName val="Cover Utama"/>
      <sheetName val="Compatibility Report"/>
      <sheetName val="DISCUS"/>
      <sheetName val="MTS AR"/>
      <sheetName val="MTS PIUT KARYW"/>
      <sheetName val="MTS ANGS. KEND"/>
      <sheetName val="MTS HUT AFLS"/>
      <sheetName val="MTS DP"/>
      <sheetName val="MTS AUC"/>
      <sheetName val="MTS PIU AFLS"/>
      <sheetName val="MTS HUTANG"/>
      <sheetName val="MTS 2006"/>
      <sheetName val="TOTAL STOCK"/>
      <sheetName val="AT DES"/>
      <sheetName val="Jur_Kor"/>
      <sheetName val="NS"/>
      <sheetName val="G.HPP"/>
      <sheetName val="HPP1"/>
      <sheetName val="H.USAHA"/>
      <sheetName val="H.Angs Kend"/>
      <sheetName val="AR AFLS"/>
      <sheetName val="SINDIKASI"/>
      <sheetName val="Bilateral"/>
      <sheetName val="PKS add2"/>
      <sheetName val="BY 1"/>
      <sheetName val="BY 2"/>
      <sheetName val="Rkap Hut&amp;INT"/>
      <sheetName val="SCED LC"/>
      <sheetName val="ANG INT 03"/>
      <sheetName val="INT 03"/>
      <sheetName val="INT DEFF SINDK"/>
      <sheetName val="MINING EQUIP"/>
      <sheetName val="DES 2001"/>
      <sheetName val="MARET2001"/>
      <sheetName val="PEG &amp; ABB &amp; MINING"/>
      <sheetName val="PERSON SINDIKASI"/>
      <sheetName val="CONTOH (1)"/>
      <sheetName val="CONTOH"/>
      <sheetName val="SCHEDULE KKSK"/>
      <sheetName val="AGENCY FEE"/>
      <sheetName val="SPD"/>
      <sheetName val="Opini'08"/>
      <sheetName val="Daft. Proyek"/>
      <sheetName val="PL (2)"/>
      <sheetName val="Notes (2)"/>
      <sheetName val="LL"/>
      <sheetName val="10-1"/>
      <sheetName val="Kurs"/>
      <sheetName val="20-1"/>
      <sheetName val="50"/>
      <sheetName val="60"/>
      <sheetName val="Project_P"/>
      <sheetName val="Merak Export"/>
      <sheetName val="Merak Import"/>
      <sheetName val="VBA Code"/>
      <sheetName val="Overall"/>
      <sheetName val="TOTAL OF LIEN ACCOUNTS"/>
      <sheetName val="6-19 PAY CALCULATION "/>
      <sheetName val="ARUN III"/>
      <sheetName val="BES MCGC"/>
      <sheetName val="BONTANG V"/>
      <sheetName val="BONTANG VI"/>
      <sheetName val="BONTANG II"/>
      <sheetName val="WEST NATUNA"/>
      <sheetName val="ARUN II"/>
      <sheetName val="BES-AQP"/>
      <sheetName val="BLPGV"/>
      <sheetName val="BLPGVII"/>
      <sheetName val="CORRIDOR"/>
      <sheetName val="BES KOREA II"/>
      <sheetName val="BES KCO"/>
      <sheetName val="BONT III"/>
      <sheetName val="BONT IV"/>
      <sheetName val="ONWJ"/>
      <sheetName val="KANGEAN"/>
      <sheetName val="KMI"/>
      <sheetName val="CILACAP"/>
      <sheetName val="Interest Calc."/>
      <sheetName val="Int. Calculation - after 6-18"/>
      <sheetName val="2004.VS.2003"/>
      <sheetName val="JUST.F7"/>
      <sheetName val="CTT.RPT"/>
      <sheetName val="KODE BAG"/>
      <sheetName val="PVT.TOTAL"/>
      <sheetName val="SKOP"/>
      <sheetName val="NonDept"/>
      <sheetName val="PVT-FUNGSI"/>
      <sheetName val="REKAP-F7.0"/>
      <sheetName val="F7.1"/>
      <sheetName val="F7-OPS"/>
      <sheetName val="PIVOT 3 DGT"/>
      <sheetName val="F-7.2.3 DGT "/>
      <sheetName val="F7.3th"/>
      <sheetName val="PIVOTF8.0"/>
      <sheetName val="F8.0"/>
      <sheetName val="PIVOT-F.7.4.DGT"/>
      <sheetName val="F-7.2.4DGT"/>
      <sheetName val="2004R.VS.2003"/>
      <sheetName val="KEL.9"/>
      <sheetName val="EXECUTIVE SUMMARY"/>
      <sheetName val="HARGA MINYAK &amp; KURS"/>
      <sheetName val="LAPORAN MINYAK"/>
      <sheetName val="LAPORAN GAS"/>
      <sheetName val="EBITDA"/>
      <sheetName val="C5 GABUNG"/>
      <sheetName val="FINDING COST"/>
      <sheetName val="ABI"/>
      <sheetName val="ABO"/>
      <sheetName val="KONS"/>
      <sheetName val=" KONS BID PKP"/>
      <sheetName val="LAHENDONG"/>
      <sheetName val="KP.PENGOLAHAN"/>
      <sheetName val="UPMS I MEDAN"/>
      <sheetName val="UPMS II PALEMBANG"/>
      <sheetName val="UPMS III JAKARTA"/>
      <sheetName val="UPMS IV SEMARANG"/>
      <sheetName val="UPMS V SBY"/>
      <sheetName val="UPMS VI B.PAPAN"/>
      <sheetName val="UPMS 7 MAKASAR"/>
      <sheetName val="UPMS 8 JAYAPURA"/>
      <sheetName val="KP P&amp;N"/>
      <sheetName val="DOK SORONG"/>
      <sheetName val="DOK SUSU"/>
      <sheetName val="KP PERKAPALAN"/>
      <sheetName val="DIT. MPS"/>
      <sheetName val="AMERIKA"/>
      <sheetName val="TOKYO"/>
      <sheetName val="ANAK PERUSAHAAN"/>
      <sheetName val="PT. PAS"/>
      <sheetName val="ELNUSA HRP"/>
      <sheetName val="ELNUSA TBK"/>
      <sheetName val="PATRA JASA"/>
      <sheetName val="TONGKANG"/>
      <sheetName val="DOK DUMAI"/>
      <sheetName val="RSPP"/>
      <sheetName val="PERTA OIL"/>
      <sheetName val="LNG"/>
      <sheetName val="sort by vessel &amp; port"/>
      <sheetName val="bunker"/>
      <sheetName val="perhitungan charter rate"/>
      <sheetName val="daftar kapal"/>
      <sheetName val="januari"/>
      <sheetName val="februari"/>
      <sheetName val="maret"/>
      <sheetName val="juli"/>
      <sheetName val="agust"/>
      <sheetName val="september"/>
      <sheetName val="oktober"/>
      <sheetName val="november"/>
      <sheetName val="desember"/>
      <sheetName val="Compressed"/>
      <sheetName val="Depre"/>
      <sheetName val="Alocation"/>
      <sheetName val="CC BAM"/>
      <sheetName val="GL Account"/>
      <sheetName val="USER MANUAL"/>
      <sheetName val="smk_rspj"/>
      <sheetName val="smk_rspb"/>
      <sheetName val="smk_rspc"/>
      <sheetName val="smk_AKPER"/>
      <sheetName val="SMK_RSPbm"/>
      <sheetName val="Journal Set - AJE"/>
      <sheetName val="Table1"/>
      <sheetName val="LR Satelit"/>
      <sheetName val="PAU Korporat"/>
      <sheetName val="PAU Dropping-Sweeping"/>
      <sheetName val="Sumber Pendanaan"/>
      <sheetName val="Investasi 2008-2013"/>
      <sheetName val="Penyusutan 2009-2013"/>
      <sheetName val="Investasi 2009-2013 (Update)"/>
      <sheetName val="Rinci Pendapatan 2009-2013"/>
      <sheetName val="Ikhtisar LR 2009-2013"/>
      <sheetName val="Neraca 2009-2013"/>
      <sheetName val="Arus Kas 2009-2013"/>
      <sheetName val="Biaya April 05"/>
      <sheetName val="Rinci Pend (01 A)"/>
      <sheetName val="Rinci Pendapatan 2007 PT (01 C)"/>
      <sheetName val="KPI 05-07"/>
      <sheetName val="master-R L Des 09"/>
      <sheetName val="master-R L Peb 2010"/>
      <sheetName val="RINCIAN RL-2 (Master)"/>
      <sheetName val="master-R L RKAP 10 oke"/>
      <sheetName val="Rinci Pendapatan"/>
      <sheetName val="Labarugi Jenis Biaya"/>
      <sheetName val="master-gaji 2010 Oke"/>
      <sheetName val="Analisa Own Use"/>
      <sheetName val="Analisa Pend. Obat &amp; Alkes"/>
      <sheetName val="Neraca 2010"/>
      <sheetName val="Arus Kas (03 A)"/>
      <sheetName val="Target Laba"/>
      <sheetName val="Grafik Trend Laba"/>
      <sheetName val="Trend Laba Rugi"/>
      <sheetName val="Labarugi Pertamina Oke (01 B)"/>
      <sheetName val="L-R Pertamedika (01 B - 1)"/>
      <sheetName val="Kontrak (01 C - 1)"/>
      <sheetName val="Material (01 C - 2)"/>
      <sheetName val="Sundries (01 C - 3)"/>
      <sheetName val="Lainnya (01 C - 4)"/>
      <sheetName val="PAU RSPP Th 2008"/>
      <sheetName val="Investasi 09 "/>
      <sheetName val="Form Investasi 09 (Komisaris)"/>
      <sheetName val="Penilaian KPI Operasional"/>
      <sheetName val="KPI (Rumus)"/>
      <sheetName val="KPI (08)"/>
      <sheetName val="KPI Th 2009"/>
      <sheetName val="KPI 08 (Nop)"/>
      <sheetName val="KPI 2010"/>
      <sheetName val="KPI 10 (Jan)"/>
      <sheetName val="KPI 10 (Peb)"/>
      <sheetName val="KPI RSPC Peb 2010"/>
      <sheetName val="Breakdown KPI RSPC Th 2010"/>
      <sheetName val="KPI RSPC"/>
      <sheetName val="KPI RSPC Th 2010 (2)"/>
      <sheetName val="Grafik BOR Total"/>
      <sheetName val="Grafik BOR Total 1"/>
      <sheetName val="Grafik BOR Super VIP1"/>
      <sheetName val="Grafik BOR VIP"/>
      <sheetName val="Grafik BOR Kelas 1"/>
      <sheetName val="Grafik BOR Kelas 2"/>
      <sheetName val="Grafik BOR Kelas 3"/>
      <sheetName val="Grafik BOR Kamar Bayi"/>
      <sheetName val="Grafik BOR ICU"/>
      <sheetName val="Grafik Kunj HD"/>
      <sheetName val="Grafik HD Eselon Kunj Th 2007"/>
      <sheetName val="Grafik HD Eselon Kunj Th 2008"/>
      <sheetName val="Grafik HD Eselon Kunj Th 2009"/>
      <sheetName val="Grafik HD Eselon Kunj Rata2"/>
      <sheetName val="Grafik HD Eselon Pop Th 2007"/>
      <sheetName val="Grafik HD Eselon Pop Th 2008"/>
      <sheetName val="Grafik HD Eselon Pop Th 2009"/>
      <sheetName val="Grafik HD Eselon Pop Rata2"/>
      <sheetName val="Grafik AvLOS"/>
      <sheetName val="Grafik BTO"/>
      <sheetName val="Grafik TOI"/>
      <sheetName val="Grafik Jml TT 05-07"/>
      <sheetName val="Grafik Komposisi TT 05-07"/>
      <sheetName val="Grafik BOR 05-07"/>
      <sheetName val="Grafik AvLOS 05-07"/>
      <sheetName val="Grafik BTO 05-07"/>
      <sheetName val="Grafik TOI 05-07"/>
      <sheetName val="Grafik Kunj. HD 05-07"/>
      <sheetName val="Grafik Kunj. RJ P3 05-07"/>
      <sheetName val="Grafik Kunj. RI P3 05-07"/>
      <sheetName val="Grafik Komposisi Laba Rugi"/>
      <sheetName val="BOR 2007"/>
      <sheetName val="BOR 07"/>
      <sheetName val="BOR 2008"/>
      <sheetName val="BOR 2009"/>
      <sheetName val="Master Kunj &amp; Biaya"/>
      <sheetName val="Master HD"/>
      <sheetName val="PETUNJUK PENGISIAN"/>
      <sheetName val="lr_KAP"/>
      <sheetName val="Catatan umum"/>
      <sheetName val="WS Konsol"/>
      <sheetName val="BS_KORP"/>
      <sheetName val="lap keu ratio sistematis"/>
      <sheetName val="Cj"/>
      <sheetName val="Piutang Hutang Istimewa"/>
      <sheetName val="Hutang Usaha Detail"/>
      <sheetName val="Kapitasi"/>
      <sheetName val="TOP_SALES"/>
      <sheetName val="Ratio Ringkas"/>
      <sheetName val="KPI BTP"/>
      <sheetName val="BExRepositorySheet"/>
      <sheetName val="BS - Monetary"/>
      <sheetName val="BS - Non Monetary - LC"/>
      <sheetName val="BS - Equity - TC"/>
      <sheetName val="BS - Non Monetary - TC"/>
      <sheetName val="P&amp;L - TC"/>
      <sheetName val="P&amp;L - lc"/>
      <sheetName val="Bank Liability"/>
      <sheetName val="Cash in Bank"/>
      <sheetName val="Deposit on Call"/>
      <sheetName val="Interest Expense"/>
      <sheetName val="AR_Billed - 3rd Party"/>
      <sheetName val="Billed - Related Party"/>
      <sheetName val="UnBilled - 3rd Party"/>
      <sheetName val="Unbilled - Related Party"/>
      <sheetName val="AP_Billed - 3rd Party "/>
      <sheetName val="AR_Other - 3rd Party"/>
      <sheetName val="3rd Party - Other"/>
      <sheetName val="Piutang Usaha Pihak III"/>
      <sheetName val="Unbilled"/>
      <sheetName val="Sheet Korporat"/>
      <sheetName val="P.L"/>
      <sheetName val="AJE RJE"/>
      <sheetName val="How to Guide"/>
      <sheetName val="Summary (3)"/>
      <sheetName val="BS "/>
      <sheetName val="BS  (2)"/>
      <sheetName val="BS Equity Item"/>
      <sheetName val="P&amp;L (2)"/>
      <sheetName val="PL-Original"/>
      <sheetName val="BS-Original"/>
      <sheetName val="PEND RSPC"/>
      <sheetName val="WSPIUTANG"/>
      <sheetName val="WSHUTANG"/>
      <sheetName val="Periode Laporan"/>
      <sheetName val="MASTER ARUSKAS"/>
      <sheetName val="ARUSKASS"/>
      <sheetName val="3al-Balance"/>
      <sheetName val="master-gaji"/>
      <sheetName val="master-neraca"/>
      <sheetName val="master-R L   2"/>
      <sheetName val="master-R L'09"/>
      <sheetName val="BOD"/>
      <sheetName val="EMPLOYEE"/>
      <sheetName val="KPI-RSPC"/>
      <sheetName val="penjelasan _old new"/>
      <sheetName val="SO-PIUTANG'09"/>
      <sheetName val="GAJI'09"/>
      <sheetName val="Labarugi 2010"/>
      <sheetName val="Neraca TH2009"/>
      <sheetName val="Labarugi TH2009"/>
      <sheetName val="AutoOpen Stub Data"/>
      <sheetName val="KEY IN"/>
      <sheetName val="Lamp 5 (1of3)"/>
      <sheetName val="Lamp-3"/>
      <sheetName val="LAMP 8"/>
      <sheetName val="FAI1"/>
      <sheetName val="FAI2"/>
      <sheetName val="FAI2L"/>
      <sheetName val="FAI5"/>
      <sheetName val="Sensiv"/>
      <sheetName val="Risk"/>
      <sheetName val="TemplateInformation"/>
      <sheetName val="arun"/>
      <sheetName val="dis_opexp_detail"/>
      <sheetName val="F.01"/>
      <sheetName val="PL MKT"/>
      <sheetName val="PL OPR"/>
      <sheetName val=" PL TOTAL"/>
      <sheetName val="MainMenu"/>
      <sheetName val="Calculation"/>
      <sheetName val="CompData"/>
      <sheetName val="EmpData"/>
      <sheetName val="SalJanJun"/>
      <sheetName val="SalJul"/>
      <sheetName val="SalAug"/>
      <sheetName val="SalSep"/>
      <sheetName val="SalOct"/>
      <sheetName val="SalNov"/>
      <sheetName val="SalDec"/>
      <sheetName val="Buy"/>
      <sheetName val="BUT-1"/>
      <sheetName val="HEX-A"/>
      <sheetName val="HEX-E"/>
      <sheetName val="I-BUT"/>
      <sheetName val="RD I-BUT"/>
      <sheetName val="Tobacco"/>
      <sheetName val="DATA DARI SAP 4.6"/>
      <sheetName val="pivot all"/>
      <sheetName val="KOREKSI JURNAL BEGINING BALANCE"/>
      <sheetName val="pivot up 5"/>
      <sheetName val="A2100005"/>
      <sheetName val="BA DES 08"/>
      <sheetName val="HR Desember 2009"/>
      <sheetName val="DLL"/>
      <sheetName val="REPORT 2"/>
      <sheetName val="REPORT 3"/>
      <sheetName val="OFF"/>
      <sheetName val="2009 Allocation"/>
      <sheetName val="Commitment"/>
      <sheetName val="1973"/>
      <sheetName val="1981"/>
      <sheetName val="Badak IV"/>
      <sheetName val="MCGC"/>
      <sheetName val="Badak III"/>
      <sheetName val="Badak VI"/>
      <sheetName val="Badak V"/>
      <sheetName val="Korea II"/>
      <sheetName val="Vessel Utilization"/>
      <sheetName val="balance 2011"/>
      <sheetName val="Production"/>
      <sheetName val="73 CCF"/>
      <sheetName val="73 DQT-MG-EQ"/>
      <sheetName val="81 CCF"/>
      <sheetName val="B IV"/>
      <sheetName val="B IV CCF"/>
      <sheetName val="MCGC CCF"/>
      <sheetName val="B VI"/>
      <sheetName val="B VI CCF"/>
      <sheetName val="B V"/>
      <sheetName val="B V CCF"/>
      <sheetName val="K II"/>
      <sheetName val="K II CCF"/>
      <sheetName val="CCF EP DP"/>
      <sheetName val="AAAAA"/>
      <sheetName val="EXIST"/>
      <sheetName val="REP"/>
      <sheetName val="REOP"/>
      <sheetName val="STIM"/>
      <sheetName val="KUPL"/>
      <sheetName val="BOR"/>
      <sheetName val="AOB"/>
      <sheetName val="AOT"/>
      <sheetName val="Chart-1"/>
      <sheetName val="Chart-2"/>
      <sheetName val="eakTG"/>
      <sheetName val="EFFI"/>
      <sheetName val="Well Plan 1"/>
      <sheetName val="actual"/>
      <sheetName val="diagram"/>
      <sheetName val="36&quot;"/>
      <sheetName val="26&quot;"/>
      <sheetName val="17 12&quot;"/>
      <sheetName val="12 14&quot;"/>
      <sheetName val="8 12&quot;"/>
      <sheetName val="compl"/>
      <sheetName val="59"/>
      <sheetName val="58"/>
      <sheetName val="57"/>
      <sheetName val="56"/>
      <sheetName val="55"/>
      <sheetName val="53"/>
      <sheetName val="48"/>
      <sheetName val="47"/>
      <sheetName val="39"/>
      <sheetName val="37 rev"/>
      <sheetName val="36"/>
      <sheetName val="24 rev"/>
      <sheetName val="23 rev (2)"/>
      <sheetName val="23 rev"/>
      <sheetName val="Contents (full)"/>
      <sheetName val="Contents (model only)"/>
      <sheetName val="Sensitivities"/>
      <sheetName val="Market"/>
      <sheetName val="Postpaid"/>
      <sheetName val="Other revenues"/>
      <sheetName val="FinStats"/>
      <sheetName val="FinStats (Quarterly)"/>
      <sheetName val="FinStats (Semiannual)"/>
      <sheetName val="Mkt Comps"/>
      <sheetName val="Trans Comps"/>
      <sheetName val="WACC"/>
      <sheetName val="Val"/>
      <sheetName val="rekap rkap R2 (Rev-14Des05)"/>
      <sheetName val="rekap rkap R2 (Rev-14Des05) (2)"/>
      <sheetName val="REKAP_ABO_F7(14Des2005)"/>
      <sheetName val="REKAP_ABI_TOTAL(Revisi-14Des05)"/>
      <sheetName val="REKAP_ABI_ASET(Rev-14Des05)"/>
      <sheetName val="ABI_KMJ_NR(14Des2005)"/>
      <sheetName val="ABI_LHD_NR(14Des2005)"/>
      <sheetName val="ABI_PST(Revisi-14Des05)"/>
      <sheetName val="rekapABI2006(ktr pusat)"/>
      <sheetName val="ABI-asset2006 (ktr pst)"/>
      <sheetName val="ABI2006(LHD)"/>
      <sheetName val="ABI-JB-2006 (LHD)"/>
      <sheetName val="PROD-LHD"/>
      <sheetName val="ABI_KMJ(Revisi-14Des2005)"/>
      <sheetName val="ABI-JB-2006 (kmj)"/>
      <sheetName val="PROD-KMJ"/>
      <sheetName val="ABI_SBY(Revisi-14Des2005)"/>
      <sheetName val="ABI-JB-2006 (SBY)"/>
      <sheetName val="PROD-SBY"/>
      <sheetName val="well std 06cw lokasi ubl"/>
      <sheetName val="well std 06cw lokasi lmb"/>
      <sheetName val="well std 06"/>
      <sheetName val="ANGG &gt; 25 M"/>
      <sheetName val="lhd-nr-batal"/>
      <sheetName val="lhd r-batal"/>
      <sheetName val="ubl-lmb(pst r)-batal"/>
      <sheetName val="geoth R-batal"/>
      <sheetName val="ABI-Aset (2)-batal"/>
      <sheetName val="ABI-Aset-batal"/>
      <sheetName val="XXXXXXXXXXXXXXX"/>
      <sheetName val="SURIV_PJD_APKIR"/>
      <sheetName val="Profit Center"/>
      <sheetName val="LAP"/>
      <sheetName val="ABI.2004.SAP-bener"/>
      <sheetName val="MA.PER.CC"/>
      <sheetName val="Satuan"/>
      <sheetName val="AUC Class"/>
      <sheetName val="Service Master"/>
      <sheetName val="Primary CE"/>
      <sheetName val="COST CENTER SBS"/>
      <sheetName val="ABI2004"/>
      <sheetName val="level2"/>
      <sheetName val="Form ABI.SAP "/>
      <sheetName val="BTG"/>
      <sheetName val="BTN"/>
      <sheetName val="GNK"/>
      <sheetName val="TLJ"/>
      <sheetName val="SPA"/>
      <sheetName val="EPT"/>
      <sheetName val="Pengembangan"/>
      <sheetName val="PMU"/>
      <sheetName val="TG"/>
      <sheetName val="Jasran"/>
      <sheetName val="Rekap (proyek)"/>
      <sheetName val="Rekap(Usul)"/>
      <sheetName val="Rekap(Real)"/>
      <sheetName val="03 VS 04"/>
      <sheetName val="Banding"/>
      <sheetName val="R-On Going"/>
      <sheetName val="On Going"/>
      <sheetName val="Migas"/>
      <sheetName val="RKAP-5"/>
      <sheetName val="RKAP-7"/>
      <sheetName val="RKAP-8"/>
      <sheetName val="RKAP-9"/>
      <sheetName val="RKAP-10"/>
      <sheetName val="Lifting"/>
      <sheetName val="STRK"/>
      <sheetName val="BAR-BOR"/>
      <sheetName val="BAR-ABO"/>
      <sheetName val="DATA INDUK"/>
      <sheetName val="KURVA"/>
      <sheetName val="FEB06"/>
      <sheetName val="TABULASI - 31.01.2006"/>
      <sheetName val="JANUARI06"/>
      <sheetName val="DESEMBER05"/>
      <sheetName val="JANUARI05"/>
      <sheetName val="GI JANUARI 05"/>
      <sheetName val="CAP"/>
      <sheetName val="Summ"/>
      <sheetName val="Rev"/>
      <sheetName val="Costs"/>
      <sheetName val="Vol P1"/>
      <sheetName val="Vol P1+2"/>
      <sheetName val="MatBal(Ph2)"/>
      <sheetName val="DS"/>
      <sheetName val="WorkCap"/>
      <sheetName val="DCF"/>
      <sheetName val="Feedstock"/>
      <sheetName val="Capex&amp;Financing"/>
      <sheetName val="Dep"/>
      <sheetName val="Base Vol"/>
      <sheetName val="INT"/>
      <sheetName val="Audited'99"/>
      <sheetName val="REKAPITULASI REGION SUMATERA"/>
      <sheetName val="PROYEKSI"/>
      <sheetName val="tanpa PHK"/>
      <sheetName val="ALL TANPA PHK"/>
      <sheetName val="cost center (per area)"/>
      <sheetName val="TABULASI all - 31.03.2006"/>
      <sheetName val="SUMATERA"/>
      <sheetName val="proyeksi mppk"/>
      <sheetName val="GAPOK"/>
      <sheetName val="TUNDA"/>
      <sheetName val="BANK TANSFER"/>
      <sheetName val="EXT.BANK TRANSFER"/>
      <sheetName val="Sheet1 (3)"/>
      <sheetName val="INSENTIF"/>
      <sheetName val="usia"/>
      <sheetName val="Panel"/>
      <sheetName val="BasePrice"/>
      <sheetName val="MB"/>
      <sheetName val="Price&amp;Vol"/>
      <sheetName val="Sensitivity"/>
      <sheetName val="Eco-BC"/>
      <sheetName val="Eco-SA"/>
      <sheetName val="Sim"/>
      <sheetName val="Economic-Balikpapan6"/>
      <sheetName val="CO22"/>
      <sheetName val="CO23"/>
      <sheetName val="CO24"/>
      <sheetName val="CO25"/>
      <sheetName val="QTY_2005-10"/>
      <sheetName val="QTY"/>
      <sheetName val="2010"/>
      <sheetName val="2008"/>
      <sheetName val="Premises(Original)"/>
      <sheetName val="Premises"/>
      <sheetName val="Material Balance"/>
      <sheetName val="P&amp;L(ROI)"/>
      <sheetName val="P&amp;L(ROE)"/>
      <sheetName val="Fund Flow(ROI)"/>
      <sheetName val="Fund Flow(ROE)"/>
      <sheetName val="Cash Flow(ROI)"/>
      <sheetName val="Cash Flow(ROE)"/>
      <sheetName val="Balance Sheet(ROI)"/>
      <sheetName val="Balance Sheet(ROE)"/>
      <sheetName val="Capex Breakdown"/>
      <sheetName val="Loading Rate"/>
      <sheetName val=" Capex&amp;Opex Inputs"/>
      <sheetName val="Detailed OPEX by Devon"/>
      <sheetName val="TABULASI"/>
      <sheetName val="FO4-DTL "/>
      <sheetName val="PVT.FO8.DTL"/>
      <sheetName val="FO.8-DTL "/>
      <sheetName val="PVT.FO.11.DTL"/>
      <sheetName val="FO.11-DTL  "/>
      <sheetName val="PVFO4"/>
      <sheetName val="pvfo8cc"/>
      <sheetName val="pvfo8l"/>
      <sheetName val="PVFO11"/>
      <sheetName val="PVFO11CC"/>
      <sheetName val="PVFO8"/>
      <sheetName val="PV LINE FO- 11"/>
      <sheetName val="PV CC FO-11"/>
      <sheetName val="Minyak-mitra"/>
      <sheetName val="1.85 fuel gas"/>
      <sheetName val="3.00 fuel gas"/>
      <sheetName val="FPU with 3.00 fuel"/>
      <sheetName val="1771PL"/>
      <sheetName val="Indexing"/>
      <sheetName val="Kurs BI"/>
      <sheetName val="WBSA (R)"/>
      <sheetName val="WBS-L (R) "/>
      <sheetName val="WPL (R)"/>
      <sheetName val="D (2)"/>
      <sheetName val="T2"/>
      <sheetName val="T3"/>
      <sheetName val="F.1.1"/>
      <sheetName val="D.1.1"/>
      <sheetName val="D.1.1.1"/>
      <sheetName val="D.1.2"/>
      <sheetName val="D.1.2.1"/>
      <sheetName val="Advance"/>
      <sheetName val="Add &amp; disp FA"/>
      <sheetName val="FA Jakarta Fiscal"/>
      <sheetName val="FA Medan Fiscal"/>
      <sheetName val="E5"/>
      <sheetName val="Prepayment"/>
      <sheetName val="Deposit frm Cust"/>
      <sheetName val="L.3"/>
      <sheetName val="Provision"/>
      <sheetName val="List 23"/>
      <sheetName val="PSL 21 sept 08"/>
      <sheetName val="PSL 23"/>
      <sheetName val="Sales-purchase Test"/>
      <sheetName val="Spareparts"/>
      <sheetName val="Master Item"/>
      <sheetName val=" Work Program"/>
      <sheetName val="A6100 View"/>
      <sheetName val="FAS 60 Assumptions SM"/>
      <sheetName val="FAS 60 Assumptions TM"/>
      <sheetName val="Lapse LR GOE"/>
      <sheetName val="Lapse LR GOE new"/>
      <sheetName val="Lapse TM"/>
      <sheetName val="Lapse SM"/>
      <sheetName val="MRC1"/>
      <sheetName val="MRC2"/>
      <sheetName val="MRC3"/>
      <sheetName val="MRC4"/>
      <sheetName val="RMRC"/>
      <sheetName val="MSTR"/>
      <sheetName val="1000000"/>
      <sheetName val="2000000"/>
      <sheetName val="3000000"/>
      <sheetName val="4000000"/>
      <sheetName val="PENJ "/>
      <sheetName val="Capitalize"/>
      <sheetName val="Overhaul"/>
      <sheetName val="Expense"/>
      <sheetName val="Trf-SAP-GL"/>
      <sheetName val="Trf-SAP-PCA"/>
      <sheetName val="By Month"/>
      <sheetName val="List-Mei"/>
      <sheetName val="List-Juni"/>
      <sheetName val="115100100-SBI Juni"/>
      <sheetName val="trend"/>
      <sheetName val="J-Blk"/>
      <sheetName val="Loan movement"/>
      <sheetName val="LEASE &amp; LOAN"/>
      <sheetName val="FA BREAKDOWN"/>
      <sheetName val="FA  (2)"/>
      <sheetName val="HEADCOUNT "/>
      <sheetName val="PL(2)"/>
      <sheetName val="hisb-rubber"/>
      <sheetName val="HISB"/>
      <sheetName val="Calendar (2)"/>
      <sheetName val="calendar"/>
      <sheetName val="Actual vs perf"/>
      <sheetName val="RESERVES"/>
      <sheetName val=" LEASE &amp; LOAN"/>
      <sheetName val="INTERCO INV"/>
      <sheetName val="CAPITAL CHARGE"/>
      <sheetName val="OPLEASE"/>
      <sheetName val="EXPOSURE"/>
      <sheetName val="HEADCOUNT"/>
      <sheetName val="OPS ODJ"/>
      <sheetName val="STOCKS"/>
      <sheetName val="Calendar _2_"/>
      <sheetName val="detail FS"/>
      <sheetName val="bal FC"/>
      <sheetName val="list no"/>
      <sheetName val="K&amp;B"/>
      <sheetName val="Cad BD"/>
      <sheetName val="PHI"/>
      <sheetName val="AP-trade"/>
      <sheetName val="Accrual"/>
      <sheetName val="DIA"/>
      <sheetName val="PST"/>
      <sheetName val="SBG"/>
      <sheetName val="PDG"/>
      <sheetName val="PKU"/>
      <sheetName val="LPG"/>
      <sheetName val="ACL"/>
      <sheetName val="BTR"/>
      <sheetName val="BGR"/>
      <sheetName val="BKS"/>
      <sheetName val="PTK"/>
      <sheetName val="Var-Des'04"/>
      <sheetName val="Audit Adj'04"/>
      <sheetName val="K.1 "/>
      <sheetName val="K-1.2 - FA Disposal"/>
      <sheetName val="K.1.3 addition"/>
      <sheetName val="K.1.4Disposal"/>
      <sheetName val="Offset Afiliasi &amp; Write-Off"/>
      <sheetName val="Affiliation Reconcile"/>
      <sheetName val="TYT"/>
      <sheetName val="BSU"/>
      <sheetName val="Limpra"/>
      <sheetName val="Ures"/>
      <sheetName val="Muruf"/>
      <sheetName val="HTI Murni"/>
      <sheetName val="Unit IV"/>
      <sheetName val="reklas(offset)for reporting"/>
      <sheetName val="PSAK 24 TYSP"/>
      <sheetName val="Segmen"/>
      <sheetName val="Sales Geografis"/>
      <sheetName val="Anal Review"/>
      <sheetName val="List of PAJE (to client)"/>
      <sheetName val="mutasi investasi"/>
      <sheetName val="Fin-highlights"/>
      <sheetName val="Macro5"/>
      <sheetName val="M T S"/>
      <sheetName val="FP-FIKTIF"/>
      <sheetName val="KOREKSI-PM"/>
      <sheetName val="CONF-EKST"/>
      <sheetName val="CONF-INT"/>
      <sheetName val="JASA-LN"/>
      <sheetName val="Macro2"/>
      <sheetName val="Macro1"/>
      <sheetName val="Macro3"/>
      <sheetName val="Macro4"/>
      <sheetName val="CENTRAL"/>
      <sheetName val="CENTRAL-1"/>
      <sheetName val="NOT-HIT"/>
      <sheetName val="PHP"/>
      <sheetName val="SP-PET"/>
      <sheetName val="induk (2)"/>
      <sheetName val="Induk+Nothit"/>
      <sheetName val=" Penjualan "/>
      <sheetName val="Rekap Ekspor"/>
      <sheetName val="Pelunasan Piutang"/>
      <sheetName val="Bahan Baku Lokal"/>
      <sheetName val="Bahan Baku Impor "/>
      <sheetName val="PPB"/>
      <sheetName val="Laba (Rugi) Kurs"/>
      <sheetName val="Hasil Lain"/>
      <sheetName val="Kredit Pajak"/>
      <sheetName val="----00000----"/>
      <sheetName val="KKP SUSUT "/>
      <sheetName val="Pendapatan Lain"/>
      <sheetName val="LHP"/>
      <sheetName val="PHP-1"/>
      <sheetName val="PHP-2"/>
      <sheetName val="PPh Ps. 22"/>
      <sheetName val="Alket"/>
      <sheetName val=" Sales "/>
      <sheetName val="Rekap Ekspor (KMK)"/>
      <sheetName val="EKSPOR (BI)"/>
      <sheetName val="Bahan Baku Impor (BI)"/>
      <sheetName val="Bahan Baku Impor (KMK) "/>
      <sheetName val="Bhn Baku-Lokal.1"/>
      <sheetName val="Bhn Baku-Lokal.2"/>
      <sheetName val="KKP SUSUT -AKHIR"/>
      <sheetName val="DETAIL"/>
      <sheetName val="MTD-REPORT"/>
      <sheetName val="F.1_Cash"/>
      <sheetName val="D.1_Trade Receivables"/>
      <sheetName val="D.2_Other Rec"/>
      <sheetName val="C.1_Inventories"/>
      <sheetName val="Advance &amp; Prepaid Exp"/>
      <sheetName val="Prepaid Taxes"/>
      <sheetName val="A2.1.a_PropertyAndEquipment"/>
      <sheetName val="A2.1.b_Mutation"/>
      <sheetName val="Def Tax Asset"/>
      <sheetName val="G.1_Trade Payables"/>
      <sheetName val="K.1_Taxes Payable"/>
      <sheetName val="H.1_Accrued Expenses"/>
      <sheetName val="J.1_Advance From Customers"/>
      <sheetName val="M.1_Employee Benefits"/>
      <sheetName val="P.1.a_Share Capital"/>
      <sheetName val="P.1.b_Tambahan Mo. Disetor"/>
      <sheetName val="Q.1_Sales"/>
      <sheetName val="R.1_COS"/>
      <sheetName val="S.1_Selling Exp"/>
      <sheetName val="T.1_G&amp;A Exp"/>
      <sheetName val="T2.1_Other Income (Charges)"/>
      <sheetName val="T3.1_Income Tax"/>
      <sheetName val="KK CF"/>
      <sheetName val="FAS 60 Assumptions NON TM"/>
      <sheetName val="Lapse Non TM"/>
      <sheetName val="General Info"/>
      <sheetName val="Control Test Documentation"/>
      <sheetName val="Detailed Control Testing (1)"/>
      <sheetName val="Drop down"/>
      <sheetName val="Detailed Control Testing (2)"/>
      <sheetName val="Extra"/>
      <sheetName val="Work"/>
      <sheetName val="fohdepr"/>
      <sheetName val="ShareGaji"/>
      <sheetName val="Extra (2)"/>
      <sheetName val="Tanker"/>
      <sheetName val="Tanker (2)"/>
      <sheetName val="dafknas"/>
      <sheetName val="dafknas-2001"/>
      <sheetName val="dafknas-2002"/>
      <sheetName val="dafknas-2002-OKE"/>
      <sheetName val="dafknas-2002-OKE-CETAK"/>
      <sheetName val="dafkasm"/>
      <sheetName val="dafkTING (2)"/>
      <sheetName val="Sew-Tahan"/>
      <sheetName val="REFFERENCE BPS"/>
      <sheetName val="List Cost center"/>
      <sheetName val="Wil2"/>
      <sheetName val="PGK"/>
      <sheetName val="MATERIAL MM 2006"/>
      <sheetName val="Sheet3 (2)"/>
      <sheetName val="DAFTARCOSTCENTER (2)"/>
      <sheetName val="DAFTARCOSTCENTER"/>
      <sheetName val="Rekapl"/>
      <sheetName val="Laporan C-8"/>
      <sheetName val="Jenis Cargo"/>
      <sheetName val="Port"/>
      <sheetName val="PL NBBM APRIL 2006"/>
      <sheetName val="000000000000000"/>
      <sheetName val="ABK2004.AWAL.26.08.03"/>
      <sheetName val="ABK04.AWALR + CO.13.01.04"/>
      <sheetName val="SGT"/>
      <sheetName val="BNY"/>
      <sheetName val="ABK.OIL"/>
      <sheetName val="ABK.GAS"/>
      <sheetName val="OIL.BPP"/>
      <sheetName val="OIL.SGT"/>
      <sheetName val="OIL.BNY"/>
      <sheetName val="OIL.TM"/>
      <sheetName val="GAS.BNY"/>
      <sheetName val="CO"/>
      <sheetName val="EPO"/>
      <sheetName val="GT"/>
      <sheetName val="ONGOING"/>
      <sheetName val="REKAP.ONGO"/>
      <sheetName val="RKPL21.1"/>
      <sheetName val="COP"/>
      <sheetName val="Exum"/>
      <sheetName val="RK"/>
      <sheetName val="BARCHT2002"/>
      <sheetName val="Prod."/>
      <sheetName val="GRP"/>
      <sheetName val="Gas"/>
      <sheetName val="Just.Prod"/>
      <sheetName val="REAL.PROY01"/>
      <sheetName val="Chart1"/>
      <sheetName val="ABO.F7&amp;F8"/>
      <sheetName val="Usul 2003"/>
      <sheetName val="BATAS"/>
      <sheetName val="Just.ABI"/>
      <sheetName val="Rev.ABI201"/>
      <sheetName val="Kendala"/>
      <sheetName val="Kur.Dana"/>
      <sheetName val="V"/>
      <sheetName val="Kin.Oil"/>
      <sheetName val="Kin.Gas"/>
      <sheetName val="Kin.Migas"/>
      <sheetName val="Comdev"/>
      <sheetName val="Fee"/>
      <sheetName val="ikh-1 (2)"/>
      <sheetName val="ikh-2 (2)"/>
      <sheetName val="ikh-3 (2)"/>
      <sheetName val="ikh-4 (2)"/>
      <sheetName val="2006 (01 Apr)"/>
      <sheetName val="Minyak"/>
      <sheetName val="Minyak (3th)"/>
      <sheetName val="Real Myk"/>
      <sheetName val="GRF-Oil"/>
      <sheetName val="Struktur Gas"/>
      <sheetName val="Gas (3th)"/>
      <sheetName val="ABI 06"/>
      <sheetName val="ABI 06 (1)"/>
      <sheetName val="Abi (3th)"/>
      <sheetName val="Singkat ABI"/>
      <sheetName val="Jus ABI"/>
      <sheetName val="Exsum"/>
      <sheetName val="F7-area"/>
      <sheetName val="F7 (3th)"/>
      <sheetName val="Just Abo"/>
      <sheetName val="F8.5-OWN"/>
      <sheetName val="Rugila"/>
      <sheetName val="ikh-1"/>
      <sheetName val="ikh-2"/>
      <sheetName val="ikh-3"/>
      <sheetName val="ikh-4"/>
      <sheetName val="BANG"/>
      <sheetName val="Jas"/>
      <sheetName val="ABI-06"/>
      <sheetName val="REKAP(A)"/>
      <sheetName val="REKAP(A) (2)"/>
      <sheetName val="Rekap (B)"/>
      <sheetName val="Rekap(G)"/>
      <sheetName val="Rekap (F)"/>
      <sheetName val="Rekap(H)"/>
      <sheetName val="Rekap(H) (2)"/>
      <sheetName val="RK SMR"/>
      <sheetName val="REKAP ABO"/>
      <sheetName val="DETAIL ABO "/>
      <sheetName val="REKAP ABI"/>
      <sheetName val="LAP.ABI PEB.07"/>
      <sheetName val="OPT-LIFT"/>
      <sheetName val="Chart5"/>
      <sheetName val="GAOT"/>
      <sheetName val="GAOB"/>
      <sheetName val="GDOH"/>
      <sheetName val="Graf DOH"/>
      <sheetName val="Feecalc"/>
      <sheetName val="Tax&amp;Dep"/>
      <sheetName val="WTI v LPG Price"/>
      <sheetName val="Pricing"/>
      <sheetName val="Eco-Conso"/>
      <sheetName val="GLAC"/>
      <sheetName val="JGPC"/>
      <sheetName val="JMGPC"/>
      <sheetName val="JamGPC"/>
      <sheetName val="YGPC"/>
      <sheetName val="EconomicsVer2.1"/>
      <sheetName val="OWN PTM"/>
      <sheetName val="MITRA"/>
      <sheetName val="DOH"/>
      <sheetName val="DOH+MITRA"/>
      <sheetName val="DOH+MOTRA+JUAL"/>
      <sheetName val="Chart4"/>
      <sheetName val="Chart4 (2)"/>
      <sheetName val="30A"/>
      <sheetName val="27A"/>
      <sheetName val="28A"/>
      <sheetName val="29A"/>
      <sheetName val="BLANK"/>
      <sheetName val="BLANK2"/>
      <sheetName val="BLANK3"/>
      <sheetName val="BLANK4"/>
      <sheetName val="IKHTISAR"/>
      <sheetName val="ABO(03-03-2004)"/>
      <sheetName val="FORM_02"/>
      <sheetName val="FORM_04"/>
      <sheetName val="LAMP_FORM_04"/>
      <sheetName val="FORM 6"/>
      <sheetName val="FORM_08"/>
      <sheetName val="GRAF_PEK (2)"/>
      <sheetName val="GRAF_PEK"/>
      <sheetName val="GRAF_A2B"/>
      <sheetName val="GRAF_ANGG SISA"/>
      <sheetName val="GRAF_ANG"/>
      <sheetName val="GRAF_AFKIR"/>
      <sheetName val="ABI_ABO-rev"/>
      <sheetName val="sas-tar 4-8"/>
      <sheetName val="seismik NV-DOH"/>
      <sheetName val="bor eks-upside"/>
      <sheetName val="cad"/>
      <sheetName val="bor DOH"/>
      <sheetName val="minyak hulu"/>
      <sheetName val="gas hulu"/>
      <sheetName val="prog bang us"/>
      <sheetName val="7D395J"/>
      <sheetName val="BARCHAT"/>
      <sheetName val="R-1.1"/>
      <sheetName val="R-1.2"/>
      <sheetName val="R-1 Own"/>
      <sheetName val="R-1.1 Own"/>
      <sheetName val="R-1.2 Own"/>
      <sheetName val="R-1 Mitra"/>
      <sheetName val="R-1.1 Mitra"/>
      <sheetName val="R-1.2 Mitra"/>
      <sheetName val="R-2"/>
      <sheetName val="R-2A"/>
      <sheetName val="EXECUTIVE SMRY"/>
      <sheetName val="R-3"/>
      <sheetName val="R-3 OWN"/>
      <sheetName val="R-3 MITRA"/>
      <sheetName val="R-4"/>
      <sheetName val="R-4.1"/>
      <sheetName val="R-4.2"/>
      <sheetName val="R-4ATT"/>
      <sheetName val="PvtFR4811"/>
      <sheetName val="R-8"/>
      <sheetName val="R-8ATT"/>
      <sheetName val="R-11"/>
      <sheetName val="R-11ATT"/>
      <sheetName val="R-14.0"/>
      <sheetName val="HRM 3"/>
      <sheetName val="R-14.0 OWN"/>
      <sheetName val="R-14.0 MITRA"/>
      <sheetName val="R-14.1"/>
      <sheetName val="R-14.2"/>
      <sheetName val="R-15"/>
      <sheetName val="R-16.1"/>
      <sheetName val="R-16.2"/>
      <sheetName val="R-16.1 Own"/>
      <sheetName val="R-16.1 Mitra"/>
      <sheetName val="R-16.2 Own"/>
      <sheetName val="R-16.2 Mitra"/>
      <sheetName val="R-16.1ATT-1"/>
      <sheetName val="R-16.1ATT-2"/>
      <sheetName val="R-16.1ATT-3"/>
      <sheetName val="R-16.2ATT-1"/>
      <sheetName val="R-17"/>
      <sheetName val="Check List OPEX"/>
      <sheetName val="MAPP CCDA"/>
      <sheetName val="MAP GL"/>
      <sheetName val="MAPCCALL"/>
      <sheetName val="QUERY FQR"/>
      <sheetName val="NON CAPITAL"/>
      <sheetName val="MAP LOK INTANG"/>
      <sheetName val="SMR BOR"/>
      <sheetName val="DIRECT AREA"/>
      <sheetName val="REGKP8COMMARPR"/>
      <sheetName val="SUKOWATI"/>
      <sheetName val="MITRA TACJOB"/>
      <sheetName val="KPEP11"/>
      <sheetName val="MAPP ABI"/>
      <sheetName val="REVENUE "/>
      <sheetName val="KK AREA"/>
      <sheetName val="LIFITNG"/>
      <sheetName val="EKSPOR"/>
      <sheetName val="SOLVENT"/>
      <sheetName val="GAS KONSUMEN"/>
      <sheetName val="GAS KILANG"/>
      <sheetName val="LKS VS FQR"/>
      <sheetName val="COST STRCTR"/>
      <sheetName val="Cargo"/>
      <sheetName val="Expenses"/>
      <sheetName val="Own-Ships"/>
      <sheetName val="Depreciation"/>
      <sheetName val="WSC8SAP"/>
      <sheetName val="CC List"/>
      <sheetName val="Cost Element"/>
      <sheetName val="Ref-Fuel"/>
      <sheetName val="Peg"/>
      <sheetName val="PL 2003"/>
      <sheetName val="MM "/>
      <sheetName val="MatBal"/>
      <sheetName val="dt-pdn"/>
      <sheetName val="dt-pkk"/>
      <sheetName val="dt-kp"/>
      <sheetName val="RKPL"/>
      <sheetName val="PL-Kons"/>
      <sheetName val="Pd1"/>
      <sheetName val="BBM-dn"/>
      <sheetName val="Jual-NBBM"/>
      <sheetName val="F8-Pkp"/>
      <sheetName val="Biaya-P"/>
      <sheetName val="Biaya-PN"/>
      <sheetName val="Biaya-Pkp"/>
      <sheetName val="Susut"/>
      <sheetName val="Hapus"/>
      <sheetName val="P-Minyak"/>
      <sheetName val="Beli"/>
      <sheetName val="am43"/>
      <sheetName val="Imporcrude"/>
      <sheetName val="ImportProd"/>
      <sheetName val="lm-gas1"/>
      <sheetName val="bk1-p7"/>
      <sheetName val="Gas1"/>
      <sheetName val="lm-18.3"/>
      <sheetName val="Ex1"/>
      <sheetName val="Inv-38"/>
      <sheetName val="Inv-39"/>
      <sheetName val="Inv-40"/>
      <sheetName val="Inv-41"/>
      <sheetName val="am42"/>
      <sheetName val="am44"/>
      <sheetName val="am45"/>
      <sheetName val="am46"/>
      <sheetName val="am47"/>
      <sheetName val="am48"/>
      <sheetName val="bk3-6"/>
      <sheetName val="bk3-7"/>
      <sheetName val="bk3-8"/>
      <sheetName val="bk3-9"/>
      <sheetName val="Distribusi1"/>
      <sheetName val="Ang-laut1"/>
      <sheetName val="PL1"/>
      <sheetName val="alt-2"/>
      <sheetName val="alt-3"/>
      <sheetName val="kode cargo"/>
      <sheetName val="STD_LT"/>
      <sheetName val="data1"/>
      <sheetName val="process"/>
      <sheetName val="PRESENTASI"/>
      <sheetName val="CHART"/>
      <sheetName val="LOSSES"/>
      <sheetName val="trend_chart"/>
      <sheetName val="FORMB2"/>
      <sheetName val="OnshoreFab(B3)"/>
      <sheetName val="Fabr det"/>
      <sheetName val="post-mod(B4)(1)"/>
      <sheetName val="Post mdl"/>
      <sheetName val="post-mod(2)"/>
      <sheetName val="Mod inst(B5)"/>
      <sheetName val="ModInst.det"/>
      <sheetName val="Insur. det"/>
      <sheetName val="Proc-det"/>
      <sheetName val="PMT"/>
      <sheetName val="Pl&amp;Eqp"/>
      <sheetName val="Qualif."/>
      <sheetName val="ER-Batam20N0v~1Dec"/>
      <sheetName val="ER-Batam4Dec~15Dec"/>
      <sheetName val="ER-Batam17Jan~26Jan"/>
      <sheetName val="ER-Batam31Jan~9Feb"/>
      <sheetName val="ER-Batam19Feb~23Feb"/>
      <sheetName val="Revenue Testing"/>
      <sheetName val="Menu Master"/>
      <sheetName val="Targeted Testing Master"/>
      <sheetName val="Targeted Testing-Trade"/>
      <sheetName val="Non-Statistical Sampling Master"/>
      <sheetName val="Non-Statistical Sampling-Trade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Targeted Testing-Servis"/>
      <sheetName val="Non-Statistical Sampling-Servis"/>
      <sheetName val="Testing Detail"/>
      <sheetName val="Sales Listing"/>
      <sheetName val="Cities Area and Population"/>
      <sheetName val="Link Budget"/>
      <sheetName val="Java Roads"/>
      <sheetName val="3G Jakarta"/>
      <sheetName val="InBuilding List"/>
      <sheetName val="TP_DATABASE"/>
      <sheetName val="ML_PRICELIST 2004"/>
      <sheetName val="MISSING"/>
      <sheetName val="COMPLETE (2)"/>
      <sheetName val="Type of deal --&gt;"/>
      <sheetName val="1.1 Deal characteristics"/>
      <sheetName val="High level costing --&gt;"/>
      <sheetName val="2.1 Day 1 top down"/>
      <sheetName val="2.2 Staff scen &amp; central costs"/>
      <sheetName val="2.3 To Be 2 top down"/>
      <sheetName val="Scenarios and cost ratios --&gt;"/>
      <sheetName val="3.1 Costs and key ratios"/>
      <sheetName val="3.2 Contr, lic and assets scen"/>
      <sheetName val="Bottom-up calculations --&gt;"/>
      <sheetName val="4.1 Applications"/>
      <sheetName val="4.2 MSDP"/>
      <sheetName val="4.3 Workplace and infra"/>
      <sheetName val="4.4 WAN"/>
      <sheetName val="4.5 Voice"/>
      <sheetName val="4.6 Cost summary"/>
      <sheetName val="Status"/>
      <sheetName val="Support sheet"/>
      <sheetName val="Calculations 1"/>
      <sheetName val="Term"/>
      <sheetName val="TPR-Management Summary"/>
      <sheetName val="TPR-Consolidated"/>
      <sheetName val="Contractual Terms"/>
      <sheetName val="TOTAL SUMMARY"/>
      <sheetName val="Ref. Mail"/>
      <sheetName val="SumRAN"/>
      <sheetName val="VerdiRAN"/>
      <sheetName val="Sum Minilink"/>
      <sheetName val="SoW Core"/>
      <sheetName val="Summary RNC-RXI-OSS"/>
      <sheetName val="Node B-RAN"/>
      <sheetName val="RXI"/>
      <sheetName val="LCM RAN"/>
      <sheetName val="TRANSMISSIONS"/>
      <sheetName val="LCM TRM"/>
      <sheetName val="CORE (2)"/>
      <sheetName val="DCN"/>
      <sheetName val="RNC"/>
      <sheetName val="Project Management"/>
      <sheetName val="Delivery &amp; WH RAN"/>
      <sheetName val="Input Data RAN"/>
      <sheetName val="Total Cost TRM"/>
      <sheetName val="Input Data TRM"/>
      <sheetName val="Total Cost Core"/>
      <sheetName val="Input Data Core"/>
      <sheetName val="Summary RAN &amp;TC"/>
      <sheetName val="Scope_"/>
      <sheetName val="3G Expansion 2007"/>
      <sheetName val="NPI_Improve"/>
      <sheetName val=" NPO_CNPO_TNPO MO 2007"/>
      <sheetName val="Summary TND"/>
      <sheetName val="Cost+Price ATND&amp;TND RO 2007"/>
      <sheetName val="Summary CND"/>
      <sheetName val="CND Exp2007"/>
      <sheetName val="CNPI Exp2007"/>
      <sheetName val="Summary SITAC &amp; CME rev.D 18s"/>
      <sheetName val="Manhour SITAC &amp; CME"/>
      <sheetName val="Summary SS &amp; SPMS"/>
      <sheetName val="3GSystem support"/>
      <sheetName val="SPMS"/>
      <sheetName val="Emer-site"/>
      <sheetName val="MSC"/>
      <sheetName val="MgW"/>
      <sheetName val="RNC (2)"/>
      <sheetName val="RXI (2)"/>
      <sheetName val="Node-B"/>
      <sheetName val="Trans"/>
      <sheetName val="ML-Mgr"/>
      <sheetName val="SGSNGGSN"/>
      <sheetName val="DCN (2)"/>
      <sheetName val="OSS"/>
      <sheetName val="Summary Training"/>
      <sheetName val="RAN"/>
      <sheetName val="Minilink Training"/>
      <sheetName val="CORE"/>
      <sheetName val="Summary1"/>
      <sheetName val="Scope_1"/>
      <sheetName val="3G Expansion 20071"/>
      <sheetName val="NPI_Improve1"/>
      <sheetName val=" NPO_CNPO_TNPO MO 20071"/>
      <sheetName val="Assumptions"/>
      <sheetName val="I_Gen&amp;Fin"/>
      <sheetName val="Assumptions List"/>
      <sheetName val="Base"/>
      <sheetName val="Outsource_Costs"/>
      <sheetName val="Remaining_org"/>
      <sheetName val="T&amp;T"/>
      <sheetName val="I_RC_Capex"/>
      <sheetName val="I_RC_Rev"/>
      <sheetName val="I_OC_FTE"/>
      <sheetName val="I_OC_OpexSummary"/>
      <sheetName val="I_OC_remaining_FTEs"/>
      <sheetName val="I_OC_Ericsson_FTEs"/>
      <sheetName val="I_OC_Ericsson_FLPC"/>
      <sheetName val="Operator_Business_Case"/>
      <sheetName val="I_OC_Capex"/>
      <sheetName val="I_OC_Rev"/>
      <sheetName val="I_OC_transition_costs"/>
      <sheetName val="I_Price_Drivers"/>
      <sheetName val="I_Pricing"/>
      <sheetName val="I&amp;O_Profitability_&amp;_Cashflow"/>
      <sheetName val="Price_simulation"/>
      <sheetName val="C_Sales_Prices"/>
      <sheetName val="O_Opex_RC_vs_OC"/>
      <sheetName val="O_RC_Financial_Statements"/>
      <sheetName val="O_OC_Financial_Statements"/>
      <sheetName val="I&amp;O_Valuation"/>
      <sheetName val="C_RC_Financials"/>
      <sheetName val="C_OC_Financials"/>
      <sheetName val="C_Valuation"/>
      <sheetName val="Input"/>
      <sheetName val="Area and population data"/>
      <sheetName val="Phases"/>
      <sheetName val="HSDPA"/>
      <sheetName val="Traffic"/>
      <sheetName val="DLCodes"/>
      <sheetName val="CE"/>
      <sheetName val="Coverage"/>
      <sheetName val="Propagation"/>
      <sheetName val="M Tool"/>
      <sheetName val="Mpole"/>
      <sheetName val="RN Globals"/>
      <sheetName val="CommonDataTemplate"/>
      <sheetName val="Advanced"/>
      <sheetName val="Link Budgets"/>
      <sheetName val="Tables"/>
      <sheetName val="MonteCarlo"/>
      <sheetName val="Balance"/>
      <sheetName val="RN Results"/>
      <sheetName val="Results"/>
      <sheetName val="Warnings"/>
      <sheetName val="Balancing Analysis"/>
      <sheetName val="Phase Template"/>
      <sheetName val="Defaults"/>
      <sheetName val="DL Noise Integral"/>
      <sheetName val="LNF"/>
      <sheetName val="LNF_DL"/>
      <sheetName val="LNF_DL_HHO"/>
      <sheetName val="Tools"/>
      <sheetName val="CE Tool"/>
      <sheetName val="DL CCH Power Tool"/>
      <sheetName val="Customize"/>
      <sheetName val="Rev. History"/>
      <sheetName val="Cost Contribution"/>
      <sheetName val="Celcom AS IS Capex"/>
      <sheetName val="Celcom AS IS OPEX"/>
      <sheetName val="Celcom TO BE OPEX"/>
      <sheetName val="HR OPEX Malaysia"/>
      <sheetName val="Off-Shoring OPEX India"/>
      <sheetName val="Sub-contracting"/>
      <sheetName val="MSDP Capex"/>
      <sheetName val="MSDP Opex"/>
      <sheetName val="Drive testing"/>
      <sheetName val="MO Growth 100"/>
      <sheetName val="NRO growth 100"/>
      <sheetName val="NOC India Offshoring"/>
      <sheetName val="Transition Cost Estimation "/>
      <sheetName val="Transformation Cost "/>
      <sheetName val="ISIT  Cost summary"/>
      <sheetName val="Site Maintenance"/>
      <sheetName val="Annual Business Case"/>
      <sheetName val="Advance "/>
      <sheetName val="UMS LT-1"/>
      <sheetName val="UMS LT-2"/>
      <sheetName val="UMS LT-3"/>
      <sheetName val="2701 Lead "/>
      <sheetName val="2701.1 Lead"/>
      <sheetName val="2701.2 Lead"/>
      <sheetName val="2701.3 Lead"/>
      <sheetName val="2701.4 Lead"/>
      <sheetName val="2701.5 Lead"/>
      <sheetName val="2701.6 Lead"/>
      <sheetName val="2701.7 Lead"/>
      <sheetName val="2701.8 Lead"/>
      <sheetName val="Work Step 2700 "/>
      <sheetName val="2701-Lead "/>
      <sheetName val="Summary Asuransi (Index)"/>
      <sheetName val="2701.1 Bintaro"/>
      <sheetName val="2701.1.1 PBC"/>
      <sheetName val="2701.1.2"/>
      <sheetName val="2701.2 Graha Raya"/>
      <sheetName val="2701.3 BTC"/>
      <sheetName val="2701.3.1 PBC"/>
      <sheetName val="2701.3.2"/>
      <sheetName val="2701.3.3"/>
      <sheetName val="2701.4 Pasar Senen V"/>
      <sheetName val="2701.4.1 PBC"/>
      <sheetName val="2701.4.2 PBC"/>
      <sheetName val="2701.4.3"/>
      <sheetName val="2701.4.4"/>
      <sheetName val="2701.5 Pasar Senen Jaya"/>
      <sheetName val="2700.5.1 PBC"/>
      <sheetName val="2701.5.2 "/>
      <sheetName val="2701.5.3"/>
      <sheetName val="2701.6 Slipi Jaya"/>
      <sheetName val="2701.6.1 PBC"/>
      <sheetName val="2701.6.2 PBC"/>
      <sheetName val="2701.6.3 "/>
      <sheetName val="2701.1.6.4"/>
      <sheetName val="2701.7 PBJ"/>
      <sheetName val="2701.7.1 PBC"/>
      <sheetName val="2701.7.2 "/>
      <sheetName val="2702.7.3 TOD "/>
      <sheetName val="2701.8 PKB"/>
      <sheetName val="2701.8.1"/>
      <sheetName val="Input Jurnal"/>
      <sheetName val="Voucher - ISO"/>
      <sheetName val="Input Jurnal (2)"/>
      <sheetName val="C.NO.1"/>
      <sheetName val="C.NO.2"/>
      <sheetName val="C.NO.8"/>
      <sheetName val="00-PHU"/>
      <sheetName val="LPKB"/>
      <sheetName val="00-DSAK"/>
      <sheetName val="DN1"/>
      <sheetName val="CN1"/>
      <sheetName val="Standart"/>
      <sheetName val="Oktober2000"/>
      <sheetName val="Table Standart Broiler"/>
      <sheetName val="StandartBroiler"/>
      <sheetName val="Desember 2000"/>
      <sheetName val="November2000"/>
      <sheetName val="Total Compensate"/>
      <sheetName val="KopontrenJenesSept2001"/>
      <sheetName val="KopontrenJenesOct2001"/>
      <sheetName val="KopontrenJenesNov2001"/>
      <sheetName val="KopontrenJenesDes2001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DEPK2003"/>
      <sheetName val="REKONSILIASI"/>
      <sheetName val="Sale FA"/>
      <sheetName val="Depr 2003 (rev)"/>
      <sheetName val="1151000088"/>
      <sheetName val="1151000089"/>
      <sheetName val="1152000088"/>
      <sheetName val="1152000089"/>
      <sheetName val="LTLGroup"/>
      <sheetName val="ANLKL"/>
      <sheetName val="If Loss cancelled"/>
      <sheetName val="1771-Y"/>
      <sheetName val="1771-Y-$ (E)"/>
      <sheetName val="Temp-Attachment"/>
      <sheetName val="Lampiran-Sementara"/>
      <sheetName val="Special Attach-Depr (Eng)"/>
      <sheetName val="Special Attach-Depr (Ind)"/>
      <sheetName val="Summary of Tax Calculation"/>
      <sheetName val="PPh29(Eng)"/>
      <sheetName val="PPh29"/>
      <sheetName val="Art.25 Inst"/>
      <sheetName val="Int Inc"/>
      <sheetName val="Exit Fiscal"/>
      <sheetName val="GeneralInfo"/>
      <sheetName val="Marshall"/>
      <sheetName val="data wp"/>
      <sheetName val="1771-$"/>
      <sheetName val="1771.2-$"/>
      <sheetName val="1771-I$"/>
      <sheetName val="1771-II$"/>
      <sheetName val="1771-III$"/>
      <sheetName val="1771-IV$"/>
      <sheetName val="1771-V$"/>
      <sheetName val="1771-VI$"/>
      <sheetName val="1771-VI$ (2)"/>
      <sheetName val="1771-$(E)"/>
      <sheetName val="1771.2-$(E)"/>
      <sheetName val="1771-I$(E)"/>
      <sheetName val="1771-II$(E)"/>
      <sheetName val="1771-III$(E)"/>
      <sheetName val="1771-IV$(E)"/>
      <sheetName val="1771-V$(E)"/>
      <sheetName val="1771-VI$(E)"/>
      <sheetName val="fasilitas"/>
      <sheetName val="kompensasi"/>
      <sheetName val="compensation"/>
      <sheetName val="transaction"/>
      <sheetName val="facility"/>
      <sheetName val="branch"/>
      <sheetName val="Lampiran Penyusutan (2)"/>
      <sheetName val="Depreciation attachment"/>
      <sheetName val="PPh25"/>
      <sheetName val="Art. 22&amp;23"/>
      <sheetName val="Renc_x0016__x0000__x0014__x0000__x000e__x0000__x0008__x0000__x0015__x0000__x0014__x0000__x0008__x0000_"/>
      <sheetName val="_x0000__x001d__x0000__x000f__x0000__x0015__x0000__x0017__x0000__x000f__x0000__x0016__x0000__x0016__x0000__x0010__x0000__x0015__x0000__x000f__x0000__x0014__x0000__x0015__x0000__x001a__x0000_"/>
      <sheetName val="؀܀؀ऀऀ਀਀ᤀࠀ᠀ࠀࠀЀԀԀԀԀԀԀЀ܀ऀऀԀࠀ਀᐀"/>
      <sheetName val="R-L Modifkasi"/>
      <sheetName val="RL007"/>
      <sheetName val="Rekap_AT"/>
      <sheetName val="Lamsus"/>
      <sheetName val="Aktiva_tetap"/>
      <sheetName val="pph21"/>
      <sheetName val="Saldo Laba"/>
      <sheetName val="KKP Pendapatan Audit"/>
      <sheetName val="Lap-Indonesia Audit"/>
      <sheetName val="Ak Tetap &amp; Amor 98-00 Final"/>
      <sheetName val=" Aktiva Tetap 00 (2)"/>
      <sheetName val=" Aktiva Tetap 00"/>
      <sheetName val="Rincian A.T 98 &amp; 99"/>
      <sheetName val="Trial Balance Audit"/>
      <sheetName val="Opinion"/>
      <sheetName val="Index KKP"/>
      <sheetName val="Saldo Awal Intern &amp; Audit"/>
      <sheetName val="Daftar Isi KKP"/>
      <sheetName val="mpensiun"/>
      <sheetName val="Jurnal Koreksi"/>
      <sheetName val="Data Realisasi ABI BD 2012"/>
      <sheetName val="Data Realisasi ABI BD 2012 (2)"/>
      <sheetName val="workdone plus"/>
      <sheetName val="Alokasi Biaya Bunga"/>
      <sheetName val="Draft Jurnal Juni 2012"/>
      <sheetName val="Draft Jurnal Maret"/>
      <sheetName val="Draft Jurnal Maret 2012"/>
      <sheetName val="Vipot"/>
      <sheetName val="f01 Juni 2012"/>
      <sheetName val="Compile"/>
      <sheetName val="KPI_DATABANK"/>
      <sheetName val="Upstream"/>
      <sheetName val="M&amp;T"/>
      <sheetName val="Refining"/>
      <sheetName val="Finance"/>
      <sheetName val="ISC"/>
      <sheetName val="IPRM"/>
      <sheetName val="GA"/>
      <sheetName val="Legal"/>
      <sheetName val="Audit"/>
      <sheetName val="CS (2)"/>
      <sheetName val="Crs &amp; Confr LN Transpor"/>
      <sheetName val="Rek 2008"/>
      <sheetName val="LIST "/>
      <sheetName val="Point to do"/>
      <sheetName val="Pending Item"/>
      <sheetName val="BSPL Komersial"/>
      <sheetName val="AR PL"/>
      <sheetName val="Analytical Expl"/>
      <sheetName val="Fixed Assets Fiscal 2004"/>
      <sheetName val="PAJE-04"/>
      <sheetName val="PRJE-04"/>
      <sheetName val="CAJE(CRJE)-04"/>
      <sheetName val="E-3.Aging"/>
      <sheetName val="E-4.Analisa Aging"/>
      <sheetName val="E-5.Aging Afiliasi"/>
      <sheetName val="E-6.AR TO"/>
      <sheetName val="E-7"/>
      <sheetName val="Pallet dll"/>
      <sheetName val="Asuransi G-2.1.1"/>
      <sheetName val="G-2.1.2"/>
      <sheetName val="G-2.2"/>
      <sheetName val="K-1.FA Movement"/>
      <sheetName val="K-2.FA Addition"/>
      <sheetName val="K-3.Predict.Test"/>
      <sheetName val="K-4.FA Register"/>
      <sheetName val="N-Subs Paym"/>
      <sheetName val="O-1"/>
      <sheetName val="O-2"/>
      <sheetName val="O-3"/>
      <sheetName val="Q-1.Loan Mov."/>
      <sheetName val="Q-2.Loan Schedule"/>
      <sheetName val="U-1a"/>
      <sheetName val="U-1.2.Margin Analysis"/>
      <sheetName val="U-2.1"/>
      <sheetName val="Vouching Biaya"/>
      <sheetName val="U-4.2"/>
      <sheetName val="U-4.3"/>
      <sheetName val="U-4.4"/>
      <sheetName val="PL-fis"/>
      <sheetName val="BS-fis"/>
      <sheetName val="PM and TE"/>
      <sheetName val="I.S. Fiscal"/>
      <sheetName val="CRJE"/>
      <sheetName val="Rest. 02"/>
      <sheetName val="PAJE(PRJE)03"/>
      <sheetName val="Cash Flow 2004"/>
      <sheetName val="E-1.2"/>
      <sheetName val="E-2.1"/>
      <sheetName val="G-1.3"/>
      <sheetName val="G-1.4"/>
      <sheetName val="G-1.5"/>
      <sheetName val="G-1.6"/>
      <sheetName val="G-2.1"/>
      <sheetName val="FA Register (K.1)"/>
      <sheetName val="Vouch Phase II (K.2)"/>
      <sheetName val="FA Fiscal (K.3)"/>
      <sheetName val="Ageing AP(N-1.1)"/>
      <sheetName val="Subs Payment AP(N-1.2)"/>
      <sheetName val="Att. O-2"/>
      <sheetName val="O-4"/>
      <sheetName val="O-5"/>
      <sheetName val="P-1.2"/>
      <sheetName val="Q-1.1"/>
      <sheetName val="Q-1.2"/>
      <sheetName val="Q-1.3"/>
      <sheetName val="(Bank Loan Mutation)Q-1.4"/>
      <sheetName val="Q-2"/>
      <sheetName val="JAMSOSTEK(R-2b)"/>
      <sheetName val="Pensiun fund(R-2c)"/>
      <sheetName val="U-1.1"/>
      <sheetName val="U-1.2"/>
      <sheetName val="U-1.3"/>
      <sheetName val="U-2.1(payroll)"/>
      <sheetName val="U-3.1"/>
      <sheetName val="U-4a"/>
      <sheetName val="CAJE Fathun"/>
      <sheetName val="CAJEAR-Deny"/>
      <sheetName val="PPN OUT"/>
      <sheetName val="PPN OUT1"/>
      <sheetName val="PPN OUT2"/>
      <sheetName val="CN2"/>
      <sheetName val="DN"/>
      <sheetName val="NO FAKTUR"/>
      <sheetName val="Product"/>
      <sheetName val="SRYDNCN"/>
      <sheetName val="List Inv"/>
      <sheetName val="1.Ageing AR"/>
      <sheetName val="2.1410"/>
      <sheetName val="3.1490"/>
      <sheetName val="4.1550-WIP"/>
      <sheetName val="5.(Art-23)"/>
      <sheetName val="6.(VAT-in)"/>
      <sheetName val="7.1.1830"/>
      <sheetName val="7.2.1831"/>
      <sheetName val="7.3.1832"/>
      <sheetName val="7.4.1860"/>
      <sheetName val="7.5.1861"/>
      <sheetName val="7.6.1870"/>
      <sheetName val="7.7.1880"/>
      <sheetName val="7.8.1881"/>
      <sheetName val="8.1420"/>
      <sheetName val="9.AP-ageing"/>
      <sheetName val="10.Loan GAC"/>
      <sheetName val="11a.2369"/>
      <sheetName val="11b.2302"/>
      <sheetName val="12.Revenue"/>
      <sheetName val="13.JobCost"/>
      <sheetName val="Ageing AR"/>
      <sheetName val="J (1420-Deposit)"/>
      <sheetName val="J (1490-Other AR)"/>
      <sheetName val="1881"/>
      <sheetName val="G-1.1(Art-23)"/>
      <sheetName val="G-1.2(VAT-in)"/>
      <sheetName val="1550-WIP"/>
      <sheetName val="2302.Accrued Tax"/>
      <sheetName val="2369.Accrued exp"/>
      <sheetName val="TICK MARK"/>
      <sheetName val="WB1"/>
      <sheetName val="Fixed Assets"/>
      <sheetName val="Prep exp. 2003"/>
      <sheetName val="NN1"/>
      <sheetName val="AP Cut off"/>
      <sheetName val="O 1 "/>
      <sheetName val="O3"/>
      <sheetName val="R Lead"/>
      <sheetName val="R2"/>
      <sheetName val="T 1"/>
      <sheetName val="T 2"/>
      <sheetName val="Pensiun fund"/>
      <sheetName val="Interest Income details"/>
      <sheetName val="Associates"/>
      <sheetName val="BOM"/>
      <sheetName val="BOM USD"/>
      <sheetName val="Assc bu"/>
      <sheetName val="C. Lead"/>
      <sheetName val="C.1 Cash &amp; Bank"/>
      <sheetName val="C.2 Cash Clearing"/>
      <sheetName val="CC.Confirmation Control"/>
      <sheetName val="Doc"/>
      <sheetName val="Address"/>
      <sheetName val="PPh23"/>
      <sheetName val="BP 04"/>
      <sheetName val="23 Summary"/>
      <sheetName val="PPh26"/>
      <sheetName val="26 Summary"/>
      <sheetName val="SEWA TB"/>
      <sheetName val="Pvt"/>
      <sheetName val="Vat GL"/>
      <sheetName val="Prepaid GL"/>
      <sheetName val="Sales GL"/>
      <sheetName val="Pvt Rev"/>
      <sheetName val="GL Rev Nov"/>
      <sheetName val="Credit"/>
      <sheetName val="Subsequent 2005"/>
      <sheetName val="SAP Running Repair - Swakelola"/>
      <sheetName val="Anggaran 2006"/>
      <sheetName val="Movement 2006"/>
      <sheetName val="Rekap Running 2006"/>
      <sheetName val="Kartu Anggaran 2005"/>
      <sheetName val="Rekap Budget 2006 to be vouched"/>
      <sheetName val="data request SAP Running 2006"/>
      <sheetName val="SAP Running Repair"/>
      <sheetName val="COST N SUM"/>
      <sheetName val="Hasil Vouching"/>
      <sheetName val="inven"/>
      <sheetName val="Neraca 1"/>
      <sheetName val="Neraca 2"/>
      <sheetName val="Neraca per book"/>
      <sheetName val="P&amp;L per book"/>
      <sheetName val="P&amp;L detail per book"/>
      <sheetName val="Neraca detail per book"/>
      <sheetName val="Lain-lain detail per book"/>
      <sheetName val="XXXXXXXXXXX"/>
      <sheetName val="IS-USD"/>
      <sheetName val="IS-RP"/>
      <sheetName val="IS-USD Budget"/>
      <sheetName val="IS-USD Budget (Chart)"/>
      <sheetName val="IS-USD Budget (Chart) (2)"/>
      <sheetName val="IS-RP Budget"/>
      <sheetName val="IS-RP Budget (Chart)"/>
      <sheetName val="IS-RP Budget (Chart) (2)"/>
      <sheetName val="0702 - Backup IS Rp"/>
      <sheetName val="BS-USD"/>
      <sheetName val="BS-RP"/>
      <sheetName val="CadUU13"/>
      <sheetName val="Distribusi"/>
      <sheetName val="PPIP"/>
      <sheetName val="Fak UU13"/>
      <sheetName val="Tabel Rek Ind"/>
      <sheetName val="Tabel Rek Ing"/>
      <sheetName val="Mort"/>
      <sheetName val="Dapes"/>
      <sheetName val="Rkn Bdn GSL 08"/>
      <sheetName val="Detail WBS - WPL"/>
      <sheetName val="C Cash in Bank"/>
      <sheetName val="C.6 Cut Off Cash"/>
      <sheetName val="Cut Off Cash"/>
      <sheetName val="Rekap FA kom (K-1)"/>
      <sheetName val="Tnh Bgn (K-1.1)"/>
      <sheetName val="Kend (K-1.2)"/>
      <sheetName val="Inv (K-1.3)"/>
      <sheetName val="ABJ (K-1.4)"/>
      <sheetName val="Penjualan (K-1.5)"/>
      <sheetName val="Rekap FA fis (K-2)"/>
      <sheetName val="Bgn (K-2.5)"/>
      <sheetName val="Kend (K-2.1)"/>
      <sheetName val="89-94 (K-2.1.1)"/>
      <sheetName val="95-00 (K-2.1.2)"/>
      <sheetName val="01-03 (K-2.1.3)"/>
      <sheetName val="BOKDR-04 (K-2.1.4)"/>
      <sheetName val="Inv (K-2.2)"/>
      <sheetName val="Inv HO (K-2.2.1)"/>
      <sheetName val="Inv BO (K-2.2.2)"/>
      <sheetName val="Inv 89-94 (K-2.2.3)"/>
      <sheetName val="ABJ fis (K-2.3)"/>
      <sheetName val="Penjualan (K-2.4)"/>
      <sheetName val="K-2.1.5"/>
      <sheetName val="GL Ytd 05"/>
      <sheetName val="ADMIN"/>
      <sheetName val="2h"/>
      <sheetName val="USD"/>
      <sheetName val="Top10-USD"/>
      <sheetName val="Top10-LC"/>
      <sheetName val="P-L Qtr"/>
      <sheetName val="KEY"/>
      <sheetName val="BSH (2)"/>
      <sheetName val="BSH"/>
      <sheetName val="HIT"/>
      <sheetName val="BS final"/>
      <sheetName val="fiscal pl"/>
      <sheetName val="WPComSummary"/>
      <sheetName val="RecPAybreport"/>
      <sheetName val="op.exp"/>
      <sheetName val="Selling"/>
      <sheetName val="Rec&amp;Payb-net"/>
      <sheetName val="Accruals"/>
      <sheetName val="SPT Masa_4(2) "/>
      <sheetName val="DBP_4(2)T&amp;B"/>
      <sheetName val="BP_4(2)T&amp;B "/>
      <sheetName val="SPT Masa"/>
      <sheetName val="DBP1"/>
      <sheetName val="DBP2"/>
      <sheetName val="DBP3"/>
      <sheetName val="DBP4"/>
      <sheetName val="DBP5"/>
      <sheetName val="DBP6"/>
      <sheetName val="DBP7"/>
      <sheetName val="DBP8"/>
      <sheetName val="DBP9"/>
      <sheetName val="Bukti Potong"/>
      <sheetName val="DPP"/>
      <sheetName val="GL 05"/>
      <sheetName val="BP 05"/>
      <sheetName val="Worksheet_03"/>
      <sheetName val="WP-SP-04"/>
      <sheetName val="CRJE-04"/>
      <sheetName val="G-3.1"/>
      <sheetName val="FA Reg"/>
      <sheetName val="Att N-1"/>
      <sheetName val="N-3"/>
      <sheetName val="Revenue cut-off"/>
      <sheetName val="EE "/>
      <sheetName val="XX"/>
      <sheetName val="Perhitungan def. tax"/>
      <sheetName val="WP_SP_04"/>
      <sheetName val="Memo BS Sby&amp; G&amp;U"/>
      <sheetName val="Memo Uang Muka"/>
      <sheetName val="REKAP Ptgngjwbn BS"/>
      <sheetName val="Vouch BS"/>
      <sheetName val="25 ND aja"/>
      <sheetName val="Memo Affiliasi"/>
      <sheetName val="ia"/>
      <sheetName val="I "/>
      <sheetName val="memo Jaminan UM"/>
      <sheetName val="memo gENERAL&amp; Poijt TO dO"/>
      <sheetName val="100000000"/>
      <sheetName val="Predictive Depreciation Expense"/>
      <sheetName val="K-Mutation"/>
      <sheetName val="Fixed Assets Fiscal FY 2003"/>
      <sheetName val="Fixed Assets Fiscal-master"/>
      <sheetName val="Predict.Insurance Exp &amp; Assets"/>
      <sheetName val="Predict.Rental Exp &amp; Assets"/>
      <sheetName val="Predict.Office Exp &amp; Assets"/>
      <sheetName val="Handling"/>
      <sheetName val="List AP"/>
      <sheetName val="Pre. exp_TO G 1-3"/>
      <sheetName val="I baru"/>
      <sheetName val="fa_fiskal"/>
      <sheetName val="PAJE-PRJE-CAJE"/>
      <sheetName val="P&amp;LFromSUN"/>
      <sheetName val="P&amp;LCalculation"/>
      <sheetName val="J001"/>
      <sheetName val="EXPLJ102"/>
      <sheetName val="CSDTYTD"/>
      <sheetName val="Ls_AgXLB_WorkbookFile"/>
      <sheetName val="TB98_oct99_sap99_WPL"/>
      <sheetName val="TB98,oct99&amp;sap99-WPL"/>
      <sheetName val="PL98"/>
      <sheetName val="RecoveredExternalLink1"/>
      <sheetName val="ssdh NI"/>
      <sheetName val="sblm NI"/>
      <sheetName val="3. Neraca dan RL"/>
      <sheetName val="Mei 2007"/>
      <sheetName val="N-1.1"/>
      <sheetName val="N-1.2"/>
      <sheetName val="UA"/>
      <sheetName val="UA-1"/>
      <sheetName val="VA"/>
      <sheetName val="Revmari"/>
      <sheetName val="Commsize"/>
      <sheetName val="Fixset"/>
      <sheetName val="Amort"/>
      <sheetName val="Financing"/>
      <sheetName val="Timedepo"/>
      <sheetName val="Valuation"/>
      <sheetName val="Penambahan - Gedung"/>
      <sheetName val="Penambahan - Komputer"/>
      <sheetName val="Penambahan - Office Equipment"/>
      <sheetName val="Penjualan - Computer"/>
      <sheetName val="Penjualan - Office Equipment"/>
      <sheetName val="NR'07"/>
      <sheetName val="RL'07"/>
      <sheetName val="POMALAA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GL to Audited"/>
      <sheetName val="Other corrections"/>
      <sheetName val=" art.21 recons"/>
      <sheetName val="Withholdings Recons"/>
      <sheetName val="Tax Credits"/>
      <sheetName val="Depr(E)"/>
      <sheetName val="Add FA"/>
      <sheetName val="Add(E)"/>
      <sheetName val="disposal"/>
      <sheetName val="Provisi -tax"/>
      <sheetName val="Prov(E)"/>
      <sheetName val="Write-off"/>
      <sheetName val="WO(E)"/>
      <sheetName val="List of NPL"/>
      <sheetName val="NPL(E)"/>
      <sheetName val="Grey"/>
      <sheetName val="BSPL,etc"/>
      <sheetName val="bspl(E)"/>
      <sheetName val="Fiscal Adjustments"/>
      <sheetName val="Daftar lampiran"/>
      <sheetName val="List Att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E-1771-VI"/>
      <sheetName val="FI-1771-VI"/>
      <sheetName val="Rules"/>
      <sheetName val="F1771"/>
      <sheetName val="F1771-I"/>
      <sheetName val="F1771-II"/>
      <sheetName val="F1771-III"/>
      <sheetName val="Komisaris"/>
      <sheetName val="FB"/>
      <sheetName val="Reconciliation"/>
      <sheetName val="shareholders"/>
      <sheetName val="disp calc"/>
      <sheetName val="FA List"/>
      <sheetName val="Depreciation RBW"/>
      <sheetName val="F1771-6"/>
      <sheetName val="Attachement"/>
      <sheetName val="other adj"/>
      <sheetName val="COGS adjustment"/>
      <sheetName val="penyusutan (E)"/>
      <sheetName val="Summary fiscal depr(E)"/>
      <sheetName val="Summary fiscal depr(I)"/>
      <sheetName val="ANTA"/>
      <sheetName val="BMRI"/>
      <sheetName val="BBCA"/>
      <sheetName val="DVLAN"/>
      <sheetName val="DYNA-N"/>
      <sheetName val="KAEF"/>
      <sheetName val="LPBNN"/>
      <sheetName val="LPBN"/>
      <sheetName val="KOMIN"/>
      <sheetName val="LAPD"/>
      <sheetName val="MPPAN"/>
      <sheetName val="MTDL"/>
      <sheetName val="BBRI-N"/>
      <sheetName val="PGASN"/>
      <sheetName val="DNKS-N"/>
      <sheetName val="PGAS"/>
      <sheetName val="BNII"/>
      <sheetName val="BBRI-J"/>
      <sheetName val="ANTMN"/>
      <sheetName val="PORTO 19 JUL"/>
      <sheetName val="N-ISAT"/>
      <sheetName val="ISAT"/>
      <sheetName val="ASGR-N"/>
      <sheetName val="uraian teknis"/>
      <sheetName val="Met-Tek"/>
      <sheetName val="Sc Bahan"/>
      <sheetName val="Man Power"/>
      <sheetName val="O&amp;O-Alat"/>
      <sheetName val="Sc Alat"/>
      <sheetName val="RENC MUTU"/>
      <sheetName val="TS (2)"/>
      <sheetName val="Jadwal (2)"/>
      <sheetName val="Sch Person"/>
      <sheetName val="Daftar Alat"/>
      <sheetName val="Konf"/>
      <sheetName val="Anal Mob"/>
      <sheetName val="lalu lintas"/>
      <sheetName val="Pemel Rutin"/>
      <sheetName val="girder 1"/>
      <sheetName val="girder 2"/>
      <sheetName val="BGS"/>
      <sheetName val="Met-Tek (2)"/>
      <sheetName val="Cover-depan"/>
      <sheetName val="H.Satuan"/>
      <sheetName val="SAP"/>
      <sheetName val="Eva Spek"/>
      <sheetName val="LP-CRT"/>
      <sheetName val="daf-3(OK)"/>
      <sheetName val="daf-7(OK)"/>
      <sheetName val="SITE-E"/>
      <sheetName val="lamp-d"/>
      <sheetName val="Foundation"/>
      <sheetName val="CONSUMABLE"/>
      <sheetName val="Steel-Twr"/>
      <sheetName val="BAG-III"/>
      <sheetName val="Eva_Spek"/>
      <sheetName val="Harga_Satuan"/>
      <sheetName val="BQ ARS"/>
      <sheetName val="ESCON"/>
      <sheetName val="daf_3_OK_"/>
      <sheetName val="daf_7_OK_"/>
      <sheetName val="DAF_2"/>
      <sheetName val="Daf 1"/>
      <sheetName val="DATA KRY"/>
      <sheetName val="PORMAT"/>
      <sheetName val="G A J I"/>
      <sheetName val="PK.KERJA"/>
      <sheetName val="THR"/>
      <sheetName val="PENSIUN"/>
      <sheetName val="T. KONSUMSI"/>
      <sheetName val="ASTEK"/>
      <sheetName val="PENGOBATAN"/>
      <sheetName val="REKREASI"/>
      <sheetName val="PENDIDIKAN"/>
      <sheetName val="PERJ. DNS"/>
      <sheetName val="ADM KTR"/>
      <sheetName val="EKS.UMUM"/>
      <sheetName val="TRANSPORT"/>
      <sheetName val="SEWA KTR-RMH"/>
      <sheetName val="AS. AKTIVA"/>
      <sheetName val="KONS-RISET"/>
      <sheetName val="RAPAT"/>
      <sheetName val="PEM.KTR"/>
      <sheetName val="PEM. KEND"/>
      <sheetName val="PEM.INVENT"/>
      <sheetName val="PEM. RM.DNS"/>
      <sheetName val="IZIN-PBB"/>
      <sheetName val="ENTERTAINT"/>
      <sheetName val="SUMBANGAN"/>
      <sheetName val="IKLAN"/>
      <sheetName val="PROMOSI"/>
      <sheetName val="PROSPEK"/>
      <sheetName val="FEE PENJ."/>
      <sheetName val="PENAGIHAN"/>
      <sheetName val="BY.USED CAR"/>
      <sheetName val="PENY.BGN"/>
      <sheetName val="PENY.RM DNS"/>
      <sheetName val="PENY. KEND"/>
      <sheetName val="PENY.BENGKEL-GDG"/>
      <sheetName val="PENY. INV"/>
      <sheetName val="BEBAN BUNGA"/>
      <sheetName val="ADM.BANK"/>
      <sheetName val="ZAKAT"/>
      <sheetName val="ONH"/>
      <sheetName val="PD.ADM JUAL"/>
      <sheetName val="PD.BABIT"/>
      <sheetName val="PD. BUNGA"/>
      <sheetName val="PD.DPST"/>
      <sheetName val="PD. PNJ SMT"/>
      <sheetName val="PD.JASA GIRO"/>
      <sheetName val="PD.CL AS"/>
      <sheetName val="PD. CAB"/>
      <sheetName val="PD.SEWA"/>
      <sheetName val="PD.HD FEE"/>
      <sheetName val="PD. PRV.FID"/>
      <sheetName val="FD. DEPOSIT"/>
      <sheetName val="PD. INSENTIF"/>
      <sheetName val="Daf_Isi"/>
      <sheetName val="Jrnl_Umum"/>
      <sheetName val="Nerc_Perc"/>
      <sheetName val="Sum_CoA"/>
      <sheetName val="Buku Besar "/>
      <sheetName val="Laba_Rugi"/>
      <sheetName val="Budget_Real"/>
      <sheetName val="Voucer"/>
      <sheetName val="Buku_Besar"/>
      <sheetName val="Penj_Nerc"/>
      <sheetName val="Sts_Sales"/>
      <sheetName val="EXP"/>
      <sheetName val="SDM (2)"/>
      <sheetName val="LAP-BLN DES2003"/>
      <sheetName val="REKAP APBD"/>
      <sheetName val="REKAP KOTOR"/>
      <sheetName val="arab"/>
      <sheetName val="ORG-CHART"/>
      <sheetName val="Ana-prel"/>
      <sheetName val="326BQSMB"/>
      <sheetName val="326BQSCC"/>
      <sheetName val="326BQSCF"/>
      <sheetName val="Hargamat"/>
      <sheetName val="APPENDIX-G"/>
      <sheetName val="APPENDIX-G table 2"/>
      <sheetName val="ARAP"/>
      <sheetName val="DAF.ALAT"/>
      <sheetName val="MPU-2"/>
      <sheetName val="Pealatan"/>
      <sheetName val="CV TAWAR (3)"/>
      <sheetName val="penawaran 11 jan 05"/>
      <sheetName val="jadwal (3)"/>
      <sheetName val="RAB (3)"/>
      <sheetName val="ARAB (3)"/>
      <sheetName val="BAHAN (3)"/>
      <sheetName val="DAF.ALAT (3)"/>
      <sheetName val="SRT"/>
      <sheetName val="CV TAWAR (2)"/>
      <sheetName val="METODHE"/>
      <sheetName val="ARAB (2)"/>
      <sheetName val="BAHAN (2)"/>
      <sheetName val="har-sat"/>
      <sheetName val="Anl-Teknik"/>
      <sheetName val="staf"/>
      <sheetName val="komponen"/>
      <sheetName val="Rekap-RAP"/>
      <sheetName val="bq-rap"/>
      <sheetName val="anl-rap"/>
      <sheetName val="MarcUp"/>
      <sheetName val="hotmix"/>
      <sheetName val="CV-TAWAR"/>
      <sheetName val="RAB STR REV LANDSCAPE"/>
      <sheetName val="Jml-Tot"/>
      <sheetName val="STR-TP"/>
      <sheetName val="Pondasi-TP"/>
      <sheetName val="REKAP REV"/>
      <sheetName val="RAB ME REV"/>
      <sheetName val="RAB STR REV "/>
      <sheetName val="NWP"/>
      <sheetName val="RAB STR"/>
      <sheetName val="RAB ME"/>
      <sheetName val="vol pek"/>
      <sheetName val="PILE CAP"/>
      <sheetName val="KLM BASEMENT"/>
      <sheetName val="KOLOM LT. DASAR"/>
      <sheetName val="KLM LT. SATU"/>
      <sheetName val="KLM LT. DUA"/>
      <sheetName val="KLM LT. ATAP"/>
      <sheetName val="KLM LT. PENUTUP ATAP"/>
      <sheetName val="Metode NK (2)"/>
      <sheetName val="upah_rap"/>
      <sheetName val="SCHEDULE PERSONIL"/>
      <sheetName val="SCHEDULE BAHAN"/>
      <sheetName val="vol pek (2)"/>
      <sheetName val="daftar hsp"/>
      <sheetName val="iktisar kusus"/>
      <sheetName val="H Satuan Dasar"/>
      <sheetName val="Analisa Teknik"/>
      <sheetName val="Analisa RAB"/>
      <sheetName val="R.A.B."/>
      <sheetName val="SCEDULE"/>
      <sheetName val="Rangking"/>
      <sheetName val="BAGAN"/>
      <sheetName val="LAMP PENWR"/>
      <sheetName val="SP ASTEK"/>
      <sheetName val="SubKon "/>
      <sheetName val="HASAT PEK"/>
      <sheetName val="RAB-Add"/>
      <sheetName val="HASAT DASAR"/>
      <sheetName val="Tawar"/>
      <sheetName val="REF.ONLY"/>
      <sheetName val="****00"/>
      <sheetName val="LCATAL"/>
      <sheetName val="B1"/>
      <sheetName val="B2"/>
      <sheetName val="D2"/>
      <sheetName val="FG"/>
      <sheetName val="D4"/>
      <sheetName val="SPH-AMANDIT"/>
      <sheetName val="SPH-SAPON"/>
      <sheetName val="APPENDIX"/>
      <sheetName val="SAPON"/>
      <sheetName val="AMANDIT"/>
      <sheetName val="SURAT-KUASA"/>
      <sheetName val="MINAT-AMANDIT"/>
      <sheetName val="MINAT-SAPON"/>
      <sheetName val="TOT-General"/>
      <sheetName val="TOT-Elk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An. Pek Persiapan"/>
      <sheetName val="An. Pek Tanah"/>
      <sheetName val="An. Pek Pondasi"/>
      <sheetName val="An. Pek Beton"/>
      <sheetName val="An. Pek Baja"/>
      <sheetName val="An. Pek Pasangan"/>
      <sheetName val="An. Pek Penutup Lt &amp; Dinding"/>
      <sheetName val="An. Pek Sanitair"/>
      <sheetName val="An. Pek Mekanikal"/>
      <sheetName val="an.bhn"/>
      <sheetName val="upahbahan"/>
      <sheetName val="fin-kab"/>
      <sheetName val="DAFTAR BESI"/>
      <sheetName val="REKAP TOTAL"/>
      <sheetName val="REK RAB SGN"/>
      <sheetName val="RAB SGN"/>
      <sheetName val="RAB.ME"/>
      <sheetName val="rab-int"/>
      <sheetName val=" REK RAB PUST"/>
      <sheetName val="RAB PUST"/>
      <sheetName val="RAB ME PUST"/>
      <sheetName val="INT.PUST"/>
      <sheetName val="REK MNR"/>
      <sheetName val="RAB MNR"/>
      <sheetName val="RAB ME MNR"/>
      <sheetName val="Shorts"/>
      <sheetName val="NYATDOK"/>
      <sheetName val="DATAADM"/>
      <sheetName val="IJINUSAHA"/>
      <sheetName val="SBU"/>
      <sheetName val="AKTE"/>
      <sheetName val="PENGURUS"/>
      <sheetName val="PLMJBT"/>
      <sheetName val="Analisa HS"/>
      <sheetName val="BQFA"/>
      <sheetName val="FACP"/>
      <sheetName val="CostFA"/>
      <sheetName val="instalFA"/>
      <sheetName val="Ind-Cost"/>
      <sheetName val="I-Cost"/>
      <sheetName val="Kalah"/>
      <sheetName val="SRT PNWR (2)"/>
      <sheetName val="SRT PNWR"/>
      <sheetName val="PROG MUTU"/>
      <sheetName val="HsatBahan"/>
      <sheetName val="AnBayarUtama"/>
      <sheetName val="AnMobilisasi"/>
      <sheetName val="Alat Berat"/>
      <sheetName val="ANAL TEK"/>
      <sheetName val="IKTISAR"/>
      <sheetName val="STRUK ORG"/>
      <sheetName val="Penawaran Grawan"/>
      <sheetName val="Dafbayarutama"/>
      <sheetName val="HSATPek"/>
      <sheetName val="HRG ALAT"/>
      <sheetName val="ANL LS"/>
      <sheetName val="REKAP RAB BARU 11 Jan 05 "/>
      <sheetName val="RAB BARU 11 Jan 05"/>
      <sheetName val="REKAP STR"/>
      <sheetName val="BQ-Struktur MB"/>
      <sheetName val="REKAP ARS"/>
      <sheetName val="Rekap A. Emergency"/>
      <sheetName val="A. Emergency"/>
      <sheetName val="Rekap B. Laboratory"/>
      <sheetName val="B. Laboratory"/>
      <sheetName val="Rekap C. Radiology"/>
      <sheetName val="C. Radiology"/>
      <sheetName val="Rekap D. Main Entrance"/>
      <sheetName val="D. Main Entrance"/>
      <sheetName val="Rekap E. Fisiotherapy"/>
      <sheetName val="E. Fisiotherapy"/>
      <sheetName val="Rekap F. Polyclinic"/>
      <sheetName val="F. Polyclinic"/>
      <sheetName val="Rekap G. Operating Room &amp; ICU"/>
      <sheetName val="G. Operating Room &amp; ICU"/>
      <sheetName val="Rekap H. Hemodialisa"/>
      <sheetName val="H. Hemodialisa"/>
      <sheetName val="Rekap I. Medical Record"/>
      <sheetName val="I. Medical Record"/>
      <sheetName val="Rekap J. Obgyn"/>
      <sheetName val="J. Obgyn"/>
      <sheetName val="Rekap K. Commercial Area"/>
      <sheetName val="K. Commercial Area"/>
      <sheetName val="Rekap L. Gen  Administration"/>
      <sheetName val="L. General Administration"/>
      <sheetName val="Rekap M. Auditorium"/>
      <sheetName val="M. Auditorium"/>
      <sheetName val="Rekap N. Pekerjaan Lain2"/>
      <sheetName val="N. Pekerjaan Lain2"/>
      <sheetName val="Str SUP"/>
      <sheetName val="rekap ME"/>
      <sheetName val="RAB MK all MB rofiq"/>
      <sheetName val="RAB ELEKTRIKAL rofiq"/>
      <sheetName val="ELECTRIC-MB"/>
      <sheetName val="Alat-P"/>
      <sheetName val="RAB Arsitektural"/>
      <sheetName val="C5.2"/>
      <sheetName val="C6.1"/>
      <sheetName val="C6.2"/>
      <sheetName val="TOC Retro Jiwa"/>
      <sheetName val="TOC Retro Fac"/>
      <sheetName val="TOC Retro XOL"/>
      <sheetName val="J - Pajak Dibayar Dimuka"/>
      <sheetName val="Symbol"/>
      <sheetName val="RL-3"/>
      <sheetName val="PENJ NERACA"/>
      <sheetName val="TM &amp; TBM"/>
      <sheetName val="HTG ESTATE"/>
      <sheetName val="HTG PKS"/>
      <sheetName val="RINC-RL,18,19"/>
      <sheetName val="PENJUALAN 2006"/>
      <sheetName val="RINC-HPP21,22,23"/>
      <sheetName val="HPPENJ-24"/>
      <sheetName val="HITUNG-HPP,25"/>
      <sheetName val="produksi"/>
      <sheetName val="CRJ-01"/>
      <sheetName val="Awalna"/>
      <sheetName val="Format Ngitung  "/>
      <sheetName val="Rul,m"/>
      <sheetName val="Rul,s"/>
      <sheetName val="NOTA"/>
      <sheetName val="INPUT "/>
      <sheetName val="ANAK HAYAM"/>
      <sheetName val="Parab Hayam 2003"/>
      <sheetName val="H.KONTRAK"/>
      <sheetName val="FARM "/>
      <sheetName val="SUPPLIER"/>
      <sheetName val="OM"/>
      <sheetName val="T5"/>
      <sheetName val="T4"/>
      <sheetName val="VROON"/>
      <sheetName val="L107"/>
      <sheetName val="ISMY"/>
      <sheetName val="TO"/>
      <sheetName val="OD"/>
      <sheetName val="Combined Report_EUR"/>
      <sheetName val="Report ID523 ADA_EUR"/>
      <sheetName val="Report ID524 C Ost_EUR"/>
      <sheetName val="Report ID525 C Deu_EUR"/>
      <sheetName val="Data ID523 ADA"/>
      <sheetName val="Data ID524 C OSt"/>
      <sheetName val="Data ID525 C Deu"/>
      <sheetName val="Cash Transfer"/>
      <sheetName val="Combined Report_USD"/>
      <sheetName val="Report ID523 ADA_USD"/>
      <sheetName val="Report ID524 C Ost_USD"/>
      <sheetName val="Report ID525 C Deu_USD"/>
      <sheetName val="EAR"/>
      <sheetName val="Adj In ID523"/>
      <sheetName val="Adj Out ID523"/>
      <sheetName val="Adj In ID524"/>
      <sheetName val="Adj Out ID524"/>
      <sheetName val="Adj Out ID525"/>
      <sheetName val="Adj In ID525"/>
      <sheetName val="Ford Options"/>
      <sheetName val="HPP audit"/>
      <sheetName val="EK"/>
      <sheetName val="Kas dan Bank"/>
      <sheetName val="Investasi Saham"/>
      <sheetName val="Tanaman Perkebunan "/>
      <sheetName val="Tanaman Perkebunan 2"/>
      <sheetName val="List Inventory"/>
      <sheetName val="HU"/>
      <sheetName val="Hutang Lain2 HI"/>
      <sheetName val="Hutang Jangka Pjg"/>
      <sheetName val="Biaya yg msh hrs dibayar"/>
      <sheetName val="PEB"/>
      <sheetName val="OLT"/>
      <sheetName val="PEB &amp; OLT"/>
      <sheetName val="LAP-PENJ"/>
      <sheetName val="Beban Pokok Pend."/>
      <sheetName val="Penghasilan B.Lain-lain"/>
      <sheetName val="Tran. Hub. Istimewa"/>
      <sheetName val="Analytical Review Okt 31, 2008"/>
      <sheetName val="8600.05"/>
      <sheetName val="8600.10"/>
      <sheetName val="8600.10-1 "/>
      <sheetName val="8600.10-1.1"/>
      <sheetName val="8600.10-2"/>
      <sheetName val="8600.10-3"/>
      <sheetName val="8600.10-4"/>
      <sheetName val="8600.10-5"/>
      <sheetName val="8600.10-6"/>
      <sheetName val="8600.10-7"/>
      <sheetName val="TOT Admin Expense"/>
      <sheetName val="Vouching Opex"/>
      <sheetName val="mazda"/>
      <sheetName val="chery"/>
      <sheetName val="hino gubeng"/>
      <sheetName val="hino kletek"/>
      <sheetName val="HINO MALANG"/>
      <sheetName val="HINO GRESIK"/>
      <sheetName val="PRT_MLG"/>
      <sheetName val="prt"/>
      <sheetName val="GRESIK Mar_08"/>
      <sheetName val="GRESIK Mar_08 _2_"/>
      <sheetName val="GRESIK Apr_08 _2_"/>
      <sheetName val="GRESIK Mei_08 _3_"/>
      <sheetName val="GRESIK Juni_08 _4_"/>
      <sheetName val="akumulasi mar_jun_08"/>
      <sheetName val="GRESIK Juli_08 "/>
      <sheetName val="GRESIK Agusts_08 "/>
      <sheetName val="GRESIK September_08 _"/>
      <sheetName val="GRESIK Oktober_08 "/>
      <sheetName val="GRESIK AK JanOktober_08 "/>
      <sheetName val="GRESIK November_08  "/>
      <sheetName val="GRESIK Desember_08  "/>
      <sheetName val="GRESIK AK Jan-Des_08 "/>
      <sheetName val="rekonsel per bln"/>
      <sheetName val="rekonsel akumulasi"/>
      <sheetName val="10 Memo"/>
      <sheetName val="10 Lead"/>
      <sheetName val="10.1 Sales per customer"/>
      <sheetName val="Local per product"/>
      <sheetName val="10.2 Sales per product "/>
      <sheetName val="10.3 Cut-off test"/>
      <sheetName val="10.4 Sales Reasonable Test"/>
      <sheetName val="export per product"/>
      <sheetName val="export original"/>
      <sheetName val="local original"/>
      <sheetName val="10.5 Sales with Daily Kurs"/>
      <sheetName val="10.6 Sales Local"/>
      <sheetName val="10.7 Sales Export"/>
      <sheetName val="Kurs $ 2005"/>
      <sheetName val="8500.05"/>
      <sheetName val="8510.05"/>
      <sheetName val="AP Aging"/>
      <sheetName val="Trade creditors"/>
      <sheetName val="Details third party"/>
      <sheetName val="Details Related Party"/>
      <sheetName val="GRIR inventory"/>
      <sheetName val="GRIR non inventory"/>
      <sheetName val="NN Confirmation"/>
      <sheetName val="BS_IDR"/>
      <sheetName val="BS_USD"/>
      <sheetName val="PLBLN_IDR"/>
      <sheetName val="PLBLN_USD"/>
      <sheetName val="DETAIL EXP"/>
      <sheetName val="Def.Tax"/>
      <sheetName val="DIFF IN CONV"/>
      <sheetName val="DEF.CHARGES"/>
      <sheetName val="Detail CIP"/>
      <sheetName val="INTERCO"/>
      <sheetName val="Ex_Rate"/>
      <sheetName val="HOSept"/>
      <sheetName val="YTDS&amp;D"/>
      <sheetName val="Sept02"/>
      <sheetName val="1505-99"/>
      <sheetName val="1505-02"/>
      <sheetName val="CIP-Capco-1505-03"/>
      <sheetName val="1505-03 "/>
      <sheetName val="PL-Equator"/>
      <sheetName val="BS-Equator (2)"/>
      <sheetName val="AJE "/>
      <sheetName val="Past LK"/>
      <sheetName val="InvRp&amp;$"/>
      <sheetName val="InvRp-$"/>
      <sheetName val="JSiar"/>
      <sheetName val="Jangkauan"/>
      <sheetName val="Kennz"/>
      <sheetName val="Inhalt"/>
      <sheetName val="Allgem. Angaben"/>
      <sheetName val="Auftrag"/>
      <sheetName val="Sp-Erg"/>
      <sheetName val="PersStat"/>
      <sheetName val="Verm-lage"/>
      <sheetName val="Ertr-lage"/>
      <sheetName val="Umsatz HB II"/>
      <sheetName val="Umsatz regional"/>
      <sheetName val="Best.-veränd."/>
      <sheetName val="akt. Eigenleist."/>
      <sheetName val="SoErtr (1)"/>
      <sheetName val="SoErtr (2)"/>
      <sheetName val="MatAufw"/>
      <sheetName val="PersAufw"/>
      <sheetName val="Abschr. imm. WG +SA"/>
      <sheetName val="SoAufw (1)"/>
      <sheetName val="SoAufw (2)"/>
      <sheetName val="SoAufw (3)"/>
      <sheetName val="QualKost"/>
      <sheetName val="Beteil.-ertr."/>
      <sheetName val="Ertr. and. WP + Ausl."/>
      <sheetName val="Zinserträge"/>
      <sheetName val="Abschr. Fin.-anl."/>
      <sheetName val="Zinsaufw."/>
      <sheetName val="a.o. Ergebn."/>
      <sheetName val="Steuern"/>
      <sheetName val="Immater"/>
      <sheetName val="Sachanl"/>
      <sheetName val="FinAnl"/>
      <sheetName val="Vorraete"/>
      <sheetName val="FordLief"/>
      <sheetName val="FordVerb"/>
      <sheetName val="FordBet"/>
      <sheetName val="SonstFor"/>
      <sheetName val="Wertpap"/>
      <sheetName val="LiquMitt"/>
      <sheetName val="RAP aktiv"/>
      <sheetName val="Kap-Div (HB I)"/>
      <sheetName val="Kap-Div (HB II)"/>
      <sheetName val="SoPoRück"/>
      <sheetName val="Pens.-rückst."/>
      <sheetName val="Steuerrückst."/>
      <sheetName val="sonst. Rückst "/>
      <sheetName val="VerbKI(1)"/>
      <sheetName val="VerbKI(2)"/>
      <sheetName val="erhAnz"/>
      <sheetName val="VerbLief"/>
      <sheetName val="VerbWech"/>
      <sheetName val="VerbVerb"/>
      <sheetName val="VerbBet"/>
      <sheetName val="SonstVer"/>
      <sheetName val="RAP passiv"/>
      <sheetName val="Haft.-verh.+sofinVerpfl."/>
      <sheetName val="BILKURZ"/>
      <sheetName val="GUVKURZ"/>
      <sheetName val="AV Brutto"/>
      <sheetName val="AV Abschr."/>
      <sheetName val="Rücklagen"/>
      <sheetName val="Passiva"/>
      <sheetName val="GuV"/>
      <sheetName val="HB I ---&gt; HB II"/>
      <sheetName val="PAJE-2008"/>
      <sheetName val="PAJE-2009"/>
      <sheetName val="Fiscal"/>
      <sheetName val="BS-CF"/>
      <sheetName val="PinjPolis (3)"/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VAT 1-98 to 12-98"/>
      <sheetName val="IN RETURN NOT BOOKED"/>
      <sheetName val="Customize Your Invoice"/>
      <sheetName val="Macros"/>
      <sheetName val="ATW"/>
      <sheetName val="Lock"/>
      <sheetName val="Intl Data Table"/>
      <sheetName val="OPEX REPORT"/>
      <sheetName val="DOWNLOAD"/>
      <sheetName val="Safety Incidents"/>
      <sheetName val="Operating Incidents"/>
      <sheetName val="Liquids Production"/>
      <sheetName val="Gas Sales"/>
      <sheetName val="Earnings"/>
      <sheetName val="Affiliate Earnings"/>
      <sheetName val="FACTORS"/>
      <sheetName val="CASHOPX"/>
      <sheetName val="NONCSHOPEX"/>
      <sheetName val="WARNING"/>
      <sheetName val="LRR VOLUMES PAGE"/>
      <sheetName val="UPFACT DOWNLOAD"/>
      <sheetName val="OPEXDL2"/>
      <sheetName val="Gas Realisations @ STWD FX"/>
      <sheetName val="UNIT OPEX CALCULATION"/>
      <sheetName val="Inputs"/>
      <sheetName val="Tbc Jrn"/>
      <sheetName val="Engineering"/>
      <sheetName val="Retcostboard"/>
      <sheetName val="Macro"/>
      <sheetName val="Iss Jrn"/>
      <sheetName val="pll feb 06"/>
      <sheetName val="E2.2"/>
      <sheetName val="AR (2)"/>
      <sheetName val="Claim"/>
      <sheetName val="G-1 AdvP"/>
      <sheetName val="BDM"/>
      <sheetName val="G-2.1 Prep"/>
      <sheetName val="AT-Software"/>
      <sheetName val="AT-tdk terpakai"/>
      <sheetName val="AT-tdk terpakai (2)"/>
      <sheetName val="BYMHD"/>
      <sheetName val="UMD"/>
      <sheetName val="617900000"/>
      <sheetName val="825100000"/>
      <sheetName val="Interest ok"/>
      <sheetName val="COVER SHEET"/>
      <sheetName val="CF-SUMMARY"/>
      <sheetName val="CF-CLASSIFICATION"/>
      <sheetName val="CF-DETAILS"/>
      <sheetName val="PARAMETERS"/>
      <sheetName val="FA REGISTER"/>
      <sheetName val="FA DETAILS"/>
      <sheetName val="ADD_PERIOD"/>
      <sheetName val="DISP_PERIOD"/>
      <sheetName val="DISP_YEAR"/>
      <sheetName val="Ls_XLB_WorkbookFile"/>
      <sheetName val="a-kar001"/>
      <sheetName val="WERKS"/>
      <sheetName val="ORD"/>
      <sheetName val="AFASL"/>
      <sheetName val="Converted"/>
      <sheetName val="Building"/>
      <sheetName val="Building Equipment"/>
      <sheetName val="Machineries"/>
      <sheetName val="Tabel Machineries"/>
      <sheetName val="Transportations"/>
      <sheetName val="Furniture"/>
      <sheetName val="ASSET TRANSFER OUT"/>
      <sheetName val="FA Konsol"/>
      <sheetName val="K 1 FA Mutation"/>
      <sheetName val="K 1.1"/>
      <sheetName val="K 1.2"/>
      <sheetName val="K 1.3"/>
      <sheetName val="K 1.4"/>
      <sheetName val="K 2 FA Mutation"/>
      <sheetName val="K 3 FA Mutation Denpasar"/>
      <sheetName val="K 3.1"/>
      <sheetName val="K 3.2"/>
      <sheetName val="K 3.3"/>
      <sheetName val="K 3.4"/>
      <sheetName val="bdrl-usg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VARCOST"/>
      <sheetName val="stkm"/>
      <sheetName val="contrmile"/>
      <sheetName val="def_tax cig"/>
      <sheetName val="def_tax kareb"/>
      <sheetName val="def_tax cons"/>
      <sheetName val="NEWMAP"/>
      <sheetName val="HYPERION"/>
      <sheetName val="stan"/>
      <sheetName val="rawmat"/>
      <sheetName val="sundries"/>
      <sheetName val="WASTE BY MATERIAL"/>
      <sheetName val="WASTE BY BRAND"/>
      <sheetName val="duration_LOCAL"/>
      <sheetName val="duration_IMP"/>
      <sheetName val="LOCALexcl.ADJA"/>
      <sheetName val="IMPexcl.ADJA"/>
      <sheetName val="estused"/>
      <sheetName val="stan(2)"/>
      <sheetName val="wastage(2)"/>
      <sheetName val="COSTING ----&gt;"/>
      <sheetName val="STOCK END"/>
      <sheetName val="PROPORTIONAL"/>
      <sheetName val="BENSON "/>
      <sheetName val="LUCKY"/>
      <sheetName val="LUCKY LIGHT"/>
      <sheetName val="PALL MALL KS"/>
      <sheetName val="PALL MALL LGHT"/>
      <sheetName val="PALL MALL MTHL"/>
      <sheetName val="ARDATH"/>
      <sheetName val="ARDATH LIGHT"/>
      <sheetName val="ARDATH MENTHOL"/>
      <sheetName val="COMM KS"/>
      <sheetName val="ARDATH LS"/>
      <sheetName val="COMM LS"/>
      <sheetName val="INDIGO"/>
      <sheetName val="COST AVE"/>
      <sheetName val="VARIANCE"/>
      <sheetName val="VAR_CPM"/>
      <sheetName val="overview"/>
      <sheetName val="ANALYSIS VARIANCE"/>
      <sheetName val="ALL_Excl.Dunhil"/>
      <sheetName val="AALL"/>
      <sheetName val="ALLcigr"/>
      <sheetName val="DLI"/>
      <sheetName val="DIS"/>
      <sheetName val="DIM"/>
      <sheetName val="DKS"/>
      <sheetName val="DKM"/>
      <sheetName val="KAH"/>
      <sheetName val="KAM"/>
      <sheetName val="KANLI"/>
      <sheetName val="KANLIM"/>
      <sheetName val="KAN"/>
      <sheetName val="WHHP"/>
      <sheetName val="WHSP"/>
      <sheetName val="COMFILLS"/>
      <sheetName val="COMFILKS"/>
      <sheetName val="BR"/>
      <sheetName val="MBS"/>
      <sheetName val="MBP"/>
      <sheetName val="AFNSV"/>
      <sheetName val="AFNIC"/>
      <sheetName val="AConC"/>
      <sheetName val="ENTRY"/>
      <sheetName val="Assum"/>
      <sheetName val="VarCostComfil"/>
      <sheetName val="Marshalling"/>
      <sheetName val="NDE expenses"/>
      <sheetName val="Other positive-negative adj."/>
      <sheetName val="Related party"/>
      <sheetName val="Fiscal form"/>
      <sheetName val="Additional FA (Eng)"/>
      <sheetName val="Tambahan aktiva"/>
      <sheetName val="GainLoss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Fiscal form (2)"/>
      <sheetName val="HIT 2"/>
      <sheetName val="ABSENSI "/>
      <sheetName val="ABSENSI  NS"/>
      <sheetName val="ABSENSI  NS (2)"/>
      <sheetName val="Tabel Gaji"/>
      <sheetName val="AC BCA"/>
      <sheetName val="AC BCA (compare)"/>
      <sheetName val="WBS - A"/>
      <sheetName val="A.2"/>
      <sheetName val="A.2-1"/>
      <sheetName val="A.2-1.1"/>
      <sheetName val="L.2"/>
      <sheetName val="FA FISCAL"/>
      <sheetName val="A.1"/>
      <sheetName val="A Recap"/>
      <sheetName val="L.1"/>
      <sheetName val="L.1.2"/>
      <sheetName val="CC1.1"/>
      <sheetName val="F Konf"/>
      <sheetName val="F Recap"/>
      <sheetName val="WBS - L"/>
      <sheetName val="H.2"/>
      <sheetName val="N.2 Konf"/>
      <sheetName val="L.3.1"/>
      <sheetName val="L.3.2"/>
      <sheetName val="L.3.3"/>
      <sheetName val="Q.1"/>
      <sheetName val="R.2"/>
      <sheetName val="R.3"/>
      <sheetName val="R.4"/>
      <sheetName val="R.5"/>
      <sheetName val="T.1"/>
      <sheetName val="T.2"/>
      <sheetName val="T.3"/>
      <sheetName val="T.4"/>
      <sheetName val="Tax0910"/>
      <sheetName val="DTA-0910"/>
      <sheetName val="ADJUSTMENT AKHIR TAHUN"/>
      <sheetName val="REGRISTRASI"/>
      <sheetName val="DAF - CAB 2003 (2)"/>
      <sheetName val="JUDUL OWNER"/>
      <sheetName val="DATA DARI TB DARI BRANCHCOMP"/>
      <sheetName val="YN-PPN01"/>
      <sheetName val="YN-SDB"/>
      <sheetName val="YNpdp-custodian"/>
      <sheetName val="YNpdp-custodian ADA REKSA DANA"/>
      <sheetName val="YN-PPN Keluaran"/>
      <sheetName val="YN_Psewa"/>
      <sheetName val="Pendapatan Sewa"/>
      <sheetName val="Pendapatan Sewa - PRINT"/>
      <sheetName val="Inv.BPP"/>
      <sheetName val="CJE"/>
      <sheetName val="B.13"/>
      <sheetName val="D1.1"/>
      <sheetName val="D1.2"/>
      <sheetName val="P.2"/>
      <sheetName val="P.5"/>
      <sheetName val="P.6"/>
      <sheetName val="P.7"/>
      <sheetName val="G1-1"/>
      <sheetName val="G1-2"/>
      <sheetName val="L-4"/>
      <sheetName val="L-5"/>
      <sheetName val="II.1"/>
      <sheetName val="II.2"/>
      <sheetName val="II.3"/>
      <sheetName val="II.4"/>
      <sheetName val="II.5"/>
      <sheetName val="II.6"/>
      <sheetName val="IV.1"/>
      <sheetName val="XXXXX0"/>
      <sheetName val="100000"/>
      <sheetName val="200000"/>
      <sheetName val="300000"/>
      <sheetName val="bs sep"/>
      <sheetName val="is sep"/>
      <sheetName val="p &amp; l"/>
      <sheetName val="Mgt_P&amp;L"/>
      <sheetName val="MJ"/>
      <sheetName val="MI"/>
      <sheetName val="GLJ"/>
      <sheetName val="Hyperion_486"/>
      <sheetName val="COS"/>
      <sheetName val="Prov obs"/>
      <sheetName val="Stk take"/>
      <sheetName val="chemical"/>
      <sheetName val="oal"/>
      <sheetName val="B.1"/>
      <sheetName val="B.2"/>
      <sheetName val="D2.3"/>
      <sheetName val="D3"/>
      <sheetName val="L1.1"/>
      <sheetName val="L2"/>
      <sheetName val="A2-Summary"/>
      <sheetName val="A2.1"/>
      <sheetName val="A2.1.2"/>
      <sheetName val="A2.1.1"/>
      <sheetName val="A2.2"/>
      <sheetName val="A2.3"/>
      <sheetName val="A2.4"/>
      <sheetName val="A2.5"/>
      <sheetName val="A2.6"/>
      <sheetName val="A2.7"/>
      <sheetName val="G.1.3"/>
      <sheetName val="G.2.2"/>
      <sheetName val="G.2.3"/>
      <sheetName val="G.2.4"/>
      <sheetName val="G.2.5"/>
      <sheetName val="L3"/>
      <sheetName val="L3.1"/>
      <sheetName val="L3.2"/>
      <sheetName val="L3.3"/>
      <sheetName val="CAM-A"/>
      <sheetName val="CAM-B"/>
      <sheetName val="TOC-A.1"/>
      <sheetName val="TOC-A.2"/>
      <sheetName val="TOC-A.3"/>
      <sheetName val="TOC-A.4"/>
      <sheetName val="TOC-B.1"/>
      <sheetName val="TOC-B.2"/>
      <sheetName val="TOC-B.3"/>
      <sheetName val="TB_09"/>
      <sheetName val="F.1.1.1"/>
      <sheetName val="F.2.1"/>
      <sheetName val="F.3"/>
      <sheetName val="C.2.1"/>
      <sheetName val="C.14"/>
      <sheetName val="D1.3"/>
      <sheetName val="L.1.1"/>
      <sheetName val="L.2.1"/>
      <sheetName val="L.2.1.1"/>
      <sheetName val="L.2.2"/>
      <sheetName val="L.2.2.1"/>
      <sheetName val="L.2.2.2"/>
      <sheetName val="L.2.2.3"/>
      <sheetName val="L.2.2.4"/>
      <sheetName val="L.2.2.5"/>
      <sheetName val="A.2.1.1 report"/>
      <sheetName val="A.2.1.1"/>
      <sheetName val="A.2.1.2"/>
      <sheetName val="A.2.3"/>
      <sheetName val="A.2.4"/>
      <sheetName val="A.2.5"/>
      <sheetName val="A.2.6"/>
      <sheetName val="A.2.7"/>
      <sheetName val="A.2.8"/>
      <sheetName val="A.2.9"/>
      <sheetName val="G.1.1.1"/>
      <sheetName val="L.3.1.1"/>
      <sheetName val="L.3.3.1"/>
      <sheetName val="L.3.4"/>
      <sheetName val="L.3.5"/>
      <sheetName val="Q.1.1"/>
      <sheetName val="Q.1.2"/>
      <sheetName val="Q.1.3"/>
      <sheetName val="Q.2"/>
      <sheetName val="Q.2.1"/>
      <sheetName val="Q.3"/>
      <sheetName val="R.1"/>
      <sheetName val="R.6"/>
      <sheetName val="R.7"/>
      <sheetName val="R.8"/>
      <sheetName val="MKBD"/>
      <sheetName val="Un-AJE"/>
      <sheetName val="WPL "/>
      <sheetName val="F.2.1.1"/>
      <sheetName val="F.3-1"/>
      <sheetName val="B1.2"/>
      <sheetName val="L1.2"/>
      <sheetName val="L1.2.1"/>
      <sheetName val="L1.2.2"/>
      <sheetName val="L1.3"/>
      <sheetName val="B2.1"/>
      <sheetName val="A2-1-1"/>
      <sheetName val="A2-1-2"/>
      <sheetName val="A2-1-3"/>
      <sheetName val="G2"/>
      <sheetName val="L3-1"/>
      <sheetName val="L3-2"/>
      <sheetName val="L3-3"/>
      <sheetName val="L3-3-1"/>
      <sheetName val="H2"/>
      <sheetName val="H2.1"/>
      <sheetName val="H2.2"/>
      <sheetName val="F.4"/>
      <sheetName val="B1-1"/>
      <sheetName val="B1-2"/>
      <sheetName val="B1-3"/>
      <sheetName val="G1.1"/>
      <sheetName val="G1.2"/>
      <sheetName val="Q.1-2"/>
      <sheetName val="R.1-2"/>
      <sheetName val="S.1-2"/>
      <sheetName val="T2-1"/>
      <sheetName val="Cost Summary"/>
      <sheetName val="Jobsite"/>
      <sheetName val="JKTA"/>
      <sheetName val="Mine Serve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Corporate tax"/>
      <sheetName val="Installment calculation"/>
      <sheetName val="Summary Pending"/>
      <sheetName val="Others Payable"/>
      <sheetName val="Attachment 1"/>
      <sheetName val="Attachment 2"/>
      <sheetName val="Sheet"/>
      <sheetName val="Stock 28072010"/>
      <sheetName val="Stock 24082010"/>
      <sheetName val="Stock 26082010 "/>
      <sheetName val="TB 20072010"/>
      <sheetName val="Gl P&amp;L"/>
      <sheetName val="GL Passiva"/>
      <sheetName val="GL Asset"/>
      <sheetName val="TB_PLY"/>
      <sheetName val="Pa(r)je Dec 05"/>
      <sheetName val="CAJE Dec 05"/>
      <sheetName val="KK Casfh Flow07"/>
      <sheetName val="BS JUNE 10"/>
      <sheetName val="GL Apr _ JUNE 10"/>
      <sheetName val="Bonus provision"/>
      <sheetName val="Audit fee provision"/>
      <sheetName val="GSA Com"/>
      <sheetName val="QF Mar to June 10"/>
      <sheetName val="Recon for Mar_ Mar 10"/>
      <sheetName val="Interco HTTSIN "/>
      <sheetName val="F-6"/>
      <sheetName val="D-1.1"/>
      <sheetName val="D-1.2"/>
      <sheetName val="D-1.3"/>
      <sheetName val="D-1.4"/>
      <sheetName val="L1-1"/>
      <sheetName val="E-1.2.1"/>
      <sheetName val="E-1.3"/>
      <sheetName val="E-3.1"/>
      <sheetName val="E-5"/>
      <sheetName val="E-6"/>
      <sheetName val="R5"/>
      <sheetName val="A2-1.Furniture"/>
      <sheetName val="A2-1.Furniture-Year End"/>
      <sheetName val="A2-2.Computer"/>
      <sheetName val="A2-2.Computer Year End"/>
      <sheetName val="A2-3. Office Equipt"/>
      <sheetName val="A2-3. Office Equipt Year End"/>
      <sheetName val="A2-4.LEASING VHC"/>
      <sheetName val="A2-4.LEASING VHC Year End"/>
      <sheetName val="A2-5.Renovation "/>
      <sheetName val="A2-6.Building+Land"/>
      <sheetName val="A2-7. Vehicle"/>
      <sheetName val="A2-8 LICENSE PC"/>
      <sheetName val="A2-9"/>
      <sheetName val="A2-10."/>
      <sheetName val="A2-11"/>
      <sheetName val="A2-12"/>
      <sheetName val="J-1.1"/>
      <sheetName val="J-1.2"/>
      <sheetName val="F1-1"/>
      <sheetName val="F1-2"/>
      <sheetName val="G-2.3"/>
      <sheetName val="G-2.4"/>
      <sheetName val="G-2.5"/>
      <sheetName val="G-2.6"/>
      <sheetName val="G-2.7"/>
      <sheetName val="G2-1"/>
      <sheetName val="G2-2"/>
      <sheetName val="G2-3"/>
      <sheetName val="G2-4"/>
      <sheetName val="G2-5"/>
      <sheetName val="L2-3.1"/>
      <sheetName val="L2-1"/>
      <sheetName val="L2-2"/>
      <sheetName val="L2-3"/>
      <sheetName val="L2-3.2"/>
      <sheetName val="F2-1"/>
      <sheetName val="F2-2"/>
      <sheetName val="F2-3"/>
      <sheetName val="F2-4"/>
      <sheetName val="G3-1"/>
      <sheetName val="M1-1"/>
      <sheetName val="R2-1"/>
      <sheetName val="R2-2"/>
      <sheetName val="R2-2.1"/>
      <sheetName val="R2-3"/>
      <sheetName val="R3"/>
      <sheetName val="R4"/>
      <sheetName val="R6"/>
      <sheetName val="R7"/>
      <sheetName val="R7-1"/>
      <sheetName val="PBJ TB"/>
      <sheetName val="Bio Assets"/>
      <sheetName val="Landrights"/>
      <sheetName val="Employee loans 2007"/>
      <sheetName val="Employee loans 2006"/>
      <sheetName val="BS-Rupiah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Other Forex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ownused"/>
      <sheetName val="ownused-bbm"/>
      <sheetName val="ownused-nbbm"/>
      <sheetName val="U-1-SALESBYCUST"/>
      <sheetName val="Gl prepared by coy"/>
      <sheetName val="WBS 1"/>
      <sheetName val="Data-CF2003"/>
      <sheetName val="CF-2003"/>
      <sheetName val="WBS 2"/>
      <sheetName val="DIT"/>
      <sheetName val="Detail WBS"/>
      <sheetName val="List CAJE"/>
      <sheetName val="List PAJE"/>
      <sheetName val="Taccount CAJE &amp; Paje"/>
      <sheetName val="Note analitical review"/>
      <sheetName val="Inv-Con"/>
      <sheetName val="Aff transaction"/>
      <sheetName val="T-acc Elimination"/>
      <sheetName val="Detail WBS 1 C+P"/>
      <sheetName val="Supp ICF-C"/>
      <sheetName val="Detail DCF-C"/>
      <sheetName val="DCF-C(tidak update)"/>
      <sheetName val="ICF-C(tidak update)"/>
      <sheetName val="DCF-Update"/>
      <sheetName val="Detail DCF-P"/>
      <sheetName val="DCF-P"/>
      <sheetName val="supp ICF-P"/>
      <sheetName val="Detail WBS 2 C+P"/>
      <sheetName val="DIT-HIM"/>
      <sheetName val="Detail WPL C+P"/>
      <sheetName val="DIT meimei"/>
      <sheetName val="T-ACC PAJE&amp;PRJE"/>
      <sheetName val="PAJE-P"/>
      <sheetName val="PRJE-P"/>
      <sheetName val="T-ACC CAJE&amp;CRJE"/>
      <sheetName val="CAJE-P"/>
      <sheetName val="CRJE-P"/>
      <sheetName val="T-ACC ELIMINASI"/>
      <sheetName val="Balance sheets"/>
      <sheetName val="Modal shm"/>
      <sheetName val="Detail piutang BSP"/>
      <sheetName val=" longterm loan (blm update)"/>
      <sheetName val="kurs BI selama Jan - Mar 07"/>
      <sheetName val="List of contents"/>
      <sheetName val="R-Sales "/>
      <sheetName val=" Cogs "/>
      <sheetName val="Selling &amp; GE"/>
      <sheetName val="Income Taxes"/>
      <sheetName val="Debtors-BS"/>
      <sheetName val="Creditors-BS"/>
      <sheetName val="Interco-BSP"/>
      <sheetName val="Interco-BPP"/>
      <sheetName val="Interco-HIM"/>
      <sheetName val="Interco-Nibung"/>
      <sheetName val="PT.MB"/>
      <sheetName val="CFA &amp; Depr"/>
      <sheetName val="Prod &amp; Karyawan"/>
      <sheetName val="shipping_program"/>
      <sheetName val="govt.Pinang"/>
      <sheetName val="govt.mlwn"/>
      <sheetName val="govt.mlwn (3)"/>
      <sheetName val="govt.mlwn (2)"/>
      <sheetName val="Adm Fee"/>
      <sheetName val="sales Mlw"/>
      <sheetName val="comm"/>
      <sheetName val="Mkt fee"/>
      <sheetName val="govt mlw"/>
      <sheetName val="govt mlw (2)"/>
      <sheetName val="govt prima"/>
      <sheetName val="govt pinang"/>
      <sheetName val="correc jour"/>
      <sheetName val="mkt fee mlw"/>
      <sheetName val="mktfee pri"/>
      <sheetName val="mkt fee pin"/>
      <sheetName val="comm mlw"/>
      <sheetName val="comm pri"/>
      <sheetName val="comm pin"/>
      <sheetName val="sales Pri"/>
      <sheetName val="sales Pin"/>
      <sheetName val="sortby_MO_CF"/>
      <sheetName val="T-Account Adj"/>
      <sheetName val="T-Account Elim"/>
      <sheetName val="DETAIL (EY SG - finalised)"/>
      <sheetName val="Elim (CJE - finalised by EYSG)"/>
      <sheetName val="BAVJun-Des07|June 07 update EY "/>
      <sheetName val="DETAIL (Revised - AC column)"/>
      <sheetName val="IFRS Adj"/>
      <sheetName val="T-Account IFRS"/>
      <sheetName val="Biological Asset Valuation"/>
      <sheetName val="Simulasi Elim"/>
      <sheetName val="Juli Audit 2007"/>
      <sheetName val="u-1-5-2-Sales to UPMS"/>
      <sheetName val="u-1-5-1-Sales to UP"/>
      <sheetName val="u-1-5- Sales to UPMS and UP"/>
      <sheetName val="U-1-NON BBM - export"/>
      <sheetName val="U-1-NON BBM - local"/>
      <sheetName val="U-1-BBM export"/>
      <sheetName val="U-1-5-MBAKAR"/>
      <sheetName val="U-1-4-MDIESEL"/>
      <sheetName val="U-1-3-MSOLAR "/>
      <sheetName val="U-1-2-MTANAH"/>
      <sheetName val="U-1-1-PREMIUM"/>
      <sheetName val="U-1-BBM local"/>
      <sheetName val="triwulan-4"/>
      <sheetName val="triwulan-3"/>
      <sheetName val="triwulan-2"/>
      <sheetName val="triwulan-1"/>
      <sheetName val="U-1RET002"/>
      <sheetName val="Location and Statistic Code"/>
      <sheetName val="salesprice 2005"/>
      <sheetName val="salesprice 2004"/>
      <sheetName val="FD-premium"/>
      <sheetName val="FD-solar"/>
      <sheetName val="FD-mfo"/>
      <sheetName val="FD-kero"/>
      <sheetName val="FD-diesel"/>
      <sheetName val="Outstanding PNBP Tunai"/>
      <sheetName val="Delivery"/>
      <sheetName val="Delivery -1"/>
      <sheetName val="unusual SKPP"/>
      <sheetName val="point ML"/>
      <sheetName val="u-1-5-2"/>
      <sheetName val="u-1-5-1"/>
      <sheetName val="u-1-5"/>
      <sheetName val="ARBV Consolidated"/>
      <sheetName val="ARBV IS Consolidated"/>
      <sheetName val="ARBV Cash flows"/>
      <sheetName val="AR BV"/>
      <sheetName val="GFI BVI"/>
      <sheetName val="Solegna BV"/>
      <sheetName val="IS-ARBV"/>
      <sheetName val="IS-GFI BVI"/>
      <sheetName val="IS-Solegna BV"/>
      <sheetName val="AR BV-Balance sheet"/>
      <sheetName val="Solegna-Balance sheet"/>
      <sheetName val="GFI-Balance sheet"/>
      <sheetName val="Solegna-Ytd"/>
      <sheetName val="GFI- Ytd"/>
      <sheetName val="Solegna - This Month"/>
      <sheetName val="GFI-This Month"/>
      <sheetName val="PM (Dec 31, 2005)"/>
      <sheetName val="PRJE - December 31, 2005"/>
      <sheetName val="CAJE - December 31, 2005 "/>
      <sheetName val="Lead TB"/>
      <sheetName val="Trial Balance Dec 31, 05"/>
      <sheetName val="C Memo (1)"/>
      <sheetName val="C-11"/>
      <sheetName val="C-12"/>
      <sheetName val="C-13"/>
      <sheetName val="E-2.4"/>
      <sheetName val="Aging Receivable"/>
      <sheetName val="Aging Receivable (2)"/>
      <sheetName val="F-2.1"/>
      <sheetName val="F-2.4"/>
      <sheetName val="F-2.5"/>
      <sheetName val="F-2.6"/>
      <sheetName val="F-2.7"/>
      <sheetName val="G-1.1 Memo"/>
      <sheetName val="G-1.1.1 "/>
      <sheetName val="CashFlow Combined"/>
      <sheetName val="Expense clasiffication"/>
      <sheetName val="TB-December 31, 2005"/>
      <sheetName val="T - Account"/>
      <sheetName val="Fiscal per pak agus"/>
      <sheetName val="Fiscal  per audit"/>
      <sheetName val="Tax-IDR"/>
      <sheetName val="TAX-USD"/>
      <sheetName val="Analytical WBS1"/>
      <sheetName val="Analytical WBS2"/>
      <sheetName val="Analytical WPL"/>
      <sheetName val="CASH &amp; BANK (C)"/>
      <sheetName val="Analytical Cash"/>
      <sheetName val="TRADE AR (E-1)"/>
      <sheetName val="AR-USD"/>
      <sheetName val="AR-VAT"/>
      <sheetName val="OTHER AR (E-2)"/>
      <sheetName val="Detail Miscellaneous"/>
      <sheetName val="INVENTORY (F)"/>
      <sheetName val="Production of methanol"/>
      <sheetName val="ADVANCE&amp;PREPAID EXPENSES (G-2)"/>
      <sheetName val="COP-LOAN"/>
      <sheetName val="ADV"/>
      <sheetName val="details confirmation Loan &amp; Adv"/>
      <sheetName val="Prepaid insurance (G2.1)"/>
      <sheetName val="cOVER INSURANCE (G.2.2)"/>
      <sheetName val="Plan &amp; insurance exp(U.4-9)"/>
      <sheetName val="Others asset (J)"/>
      <sheetName val="AP TRADE (N)"/>
      <sheetName val="Detail AP Supplier"/>
      <sheetName val="Detail AP Others"/>
      <sheetName val="subsequent payment"/>
      <sheetName val="ACCRUED (P)"/>
      <sheetName val="Accrued insurance(P.1)"/>
      <sheetName val="GR-IR"/>
      <sheetName val="TAXES PAYABLE (O)"/>
      <sheetName val="CAPITAL (T)"/>
      <sheetName val="REVENUE (U-1)"/>
      <sheetName val="Analytical Revenue"/>
      <sheetName val="Cut of sales"/>
      <sheetName val="COGS (U-2)"/>
      <sheetName val="Analitical COGS "/>
      <sheetName val="OPEX (U-3)"/>
      <sheetName val="analitical opex"/>
      <sheetName val="Detail COGS and OPEX USD"/>
      <sheetName val="Detail COGS and OPEX IDR"/>
      <sheetName val="OTHER INC (EXP) (U-4)"/>
      <sheetName val="Accrue interst income"/>
      <sheetName val="Gain(loss) forex"/>
      <sheetName val="PAJE "/>
      <sheetName val="CAJE "/>
      <sheetName val="Materiality IDR &amp; USD"/>
      <sheetName val="XXXXXXXX"/>
      <sheetName val="Ay080671"/>
      <sheetName val="Prl-99 (2)"/>
      <sheetName val="Note to FS"/>
      <sheetName val="Prl-99"/>
      <sheetName val="Rugi-Laba"/>
      <sheetName val="WBS-trial"/>
      <sheetName val="WPL-trial"/>
      <sheetName val="WBS-March31,2005"/>
      <sheetName val="WPL-March31,2005"/>
      <sheetName val="Depre Test"/>
      <sheetName val="Depre Test adi"/>
      <sheetName val="Machinary yg depr tdk 9 bln"/>
      <sheetName val="Machinary 2006 (2)"/>
      <sheetName val="MAchenery 2005"/>
      <sheetName val="Off &amp; Komp USD full depr"/>
      <sheetName val="2002 komp IDR full depr"/>
      <sheetName val="2002 IDR full Depr equip"/>
      <sheetName val="add machinery"/>
      <sheetName val="add vehicle"/>
      <sheetName val="add office equip"/>
      <sheetName val="add office equip IDR"/>
      <sheetName val="add leasehold"/>
      <sheetName val="vouch addition"/>
      <sheetName val="Compare Saldo"/>
      <sheetName val="PM,TE &amp; SAD"/>
      <sheetName val="Deff Tax"/>
      <sheetName val="Int Inc U.6-1"/>
      <sheetName val="vehicles"/>
      <sheetName val="LEAS"/>
      <sheetName val="AMOR"/>
      <sheetName val="Loan Covenant"/>
      <sheetName val="F.5"/>
      <sheetName val="F.6"/>
      <sheetName val="J.2"/>
      <sheetName val="Pe"/>
      <sheetName val="Pen"/>
      <sheetName val="O.4"/>
      <sheetName val="U.1.1"/>
      <sheetName val="U.1.2"/>
      <sheetName val="U.1.3"/>
      <sheetName val="U.2.1"/>
      <sheetName val="U.3.2"/>
      <sheetName val="Rekap SKP"/>
      <sheetName val="U-5.1"/>
      <sheetName val="Cross Check"/>
      <sheetName val="Cash on hand and in banks"/>
      <sheetName val="Short-term investment"/>
      <sheetName val="Accounts receivable"/>
      <sheetName val="Other receivable (payable)"/>
      <sheetName val="Prepaid exp, tax and advance"/>
      <sheetName val="Other Assets"/>
      <sheetName val="Notes Payable"/>
      <sheetName val="AP trade"/>
      <sheetName val="Taxes payable"/>
      <sheetName val="Advance from customer"/>
      <sheetName val="Pension Fund"/>
      <sheetName val="Deferred tax liabilities"/>
      <sheetName val="Unrealized Gain on MF"/>
      <sheetName val="Other charges (income)"/>
      <sheetName val="L-Otr.Ast "/>
      <sheetName val="G.2.1 (PPh Ps 22)"/>
      <sheetName val="is-sum"/>
      <sheetName val="isdetail"/>
      <sheetName val="bs-sum"/>
      <sheetName val="bsdetail"/>
      <sheetName val="WBS I"/>
      <sheetName val="WBS II"/>
      <sheetName val="I.AR"/>
      <sheetName val="I.AP"/>
      <sheetName val="Memo Journal"/>
      <sheetName val="K (Dec)"/>
      <sheetName val="Predictive depre"/>
      <sheetName val="O Prepaid"/>
      <sheetName val="O Payable"/>
      <sheetName val="Sales Cut Off"/>
      <sheetName val="Purchase Cut Off"/>
      <sheetName val="U.1 Lead"/>
      <sheetName val="U.1.1.1 Sales Cut Off AP"/>
      <sheetName val="U.1.1.2 Sales Cut Off WCP"/>
      <sheetName val="U.1.2.1 Test Recorded Sales AP"/>
      <sheetName val="U.1.2.2 Test Recorded Sales WCP"/>
      <sheetName val="U.2 Lead"/>
      <sheetName val="U.2.1 COGS Test - coba"/>
      <sheetName val="U.3 Lead"/>
      <sheetName val="U3.1 Breakdown"/>
      <sheetName val="U.4 Lead"/>
      <sheetName val="C.1 Forex Test"/>
      <sheetName val="C.2 Cut Off"/>
      <sheetName val="CC Confirmation Cash"/>
      <sheetName val="E.1 Aging AR"/>
      <sheetName val="E.2 Test Aging AR"/>
      <sheetName val="E.3 AR Turn Over"/>
      <sheetName val="E.4 Subsequent AR"/>
      <sheetName val="EE Conf. AR"/>
      <sheetName val="F.1 RM and WIP"/>
      <sheetName val="F.2 Finished Goods"/>
      <sheetName val="F.3 Material In Transit"/>
      <sheetName val="F.4 Provision Inventory"/>
      <sheetName val="F.4.1 Test Provision"/>
      <sheetName val="F.5 Inventory Turn Over"/>
      <sheetName val="F.6 Roll Forward"/>
      <sheetName val="F.7 Test Pricing Inventory"/>
      <sheetName val="F.8 Inventory Reconciliation"/>
      <sheetName val="A_4_2"/>
      <sheetName val="A_4_3"/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DEC05 (2)"/>
      <sheetName val="Items 2005"/>
      <sheetName val="Items 0606"/>
      <sheetName val="Items 0706"/>
      <sheetName val="Items 0806"/>
      <sheetName val="Items 0906"/>
      <sheetName val="Items 1006 "/>
      <sheetName val="Items 1106 "/>
      <sheetName val="Items 1206"/>
      <sheetName val="Provision-2006"/>
      <sheetName val="PR0104"/>
      <sheetName val="PR0204"/>
      <sheetName val="PR0304"/>
      <sheetName val="PR0404"/>
      <sheetName val="PR0504"/>
      <sheetName val="PR0604"/>
      <sheetName val="PR0704"/>
      <sheetName val="PR0804"/>
      <sheetName val="PR0904"/>
      <sheetName val="PR1004"/>
      <sheetName val="PR1104"/>
      <sheetName val="PR1204"/>
      <sheetName val="PR0105"/>
      <sheetName val="PR0205"/>
      <sheetName val="PR0305"/>
      <sheetName val="PR0405"/>
      <sheetName val="PR0505"/>
      <sheetName val="PR0605"/>
      <sheetName val="PR0705"/>
      <sheetName val="PR0805"/>
      <sheetName val="PR0905"/>
      <sheetName val="PR1005"/>
      <sheetName val="PR1105"/>
      <sheetName val="PR1205"/>
      <sheetName val="PR0106"/>
      <sheetName val="PR0206"/>
      <sheetName val="PR0306"/>
      <sheetName val="PR0406"/>
      <sheetName val="PR0506"/>
      <sheetName val="PR0606"/>
      <sheetName val="PR0706"/>
      <sheetName val="PR0806"/>
      <sheetName val="PR0906"/>
      <sheetName val="PR1006"/>
      <sheetName val="PR1106"/>
      <sheetName val="PR1206"/>
      <sheetName val="Audit Issues"/>
      <sheetName val="A 3-1"/>
      <sheetName val="A 3-2"/>
      <sheetName val="A 3-3"/>
      <sheetName val="M.2 Lead - Due To"/>
      <sheetName val="M.2.1 Movement Due To"/>
      <sheetName val="MM Due to Confirm."/>
      <sheetName val="M.3 Advance Payable"/>
      <sheetName val="M.3.1 Advance Pay. AP"/>
      <sheetName val="M.3.2 Advance Pay. WCP"/>
      <sheetName val="O Lead - Tax Pay."/>
      <sheetName val="O.1 PPh art 21"/>
      <sheetName val="O.2 PPh art 23"/>
      <sheetName val="O.3 PPh art 26"/>
      <sheetName val="O.4 Vat out"/>
      <sheetName val="O.4.1 Recon Sales"/>
      <sheetName val="O.4.2 VAT - Installation"/>
      <sheetName val="O.4.3 Dasa"/>
      <sheetName val="O.4.4 DP Received"/>
      <sheetName val="O.4.5 Retur"/>
      <sheetName val="P.1 Lead - Other Pay."/>
      <sheetName val="P.1.1 OUCL"/>
      <sheetName val="P.2 Lead - Accrued Exp"/>
      <sheetName val="P.3 Lead - Employees' Benefit"/>
      <sheetName val="P.3.1 Movement PSAK 24"/>
      <sheetName val="P.3.2 Recon Actuary"/>
      <sheetName val="P.3.3 Individual PVO"/>
      <sheetName val="T Lead - SHE"/>
      <sheetName val="T.1 Recon RE"/>
      <sheetName val="TT Capital Conf."/>
      <sheetName val="Predictive FA Fiscal"/>
      <sheetName val="lre"/>
      <sheetName val="bre"/>
      <sheetName val="lrf"/>
      <sheetName val="FIXED FLOAT"/>
      <sheetName val="11493-FIX"/>
      <sheetName val="11499"/>
      <sheetName val="TRAV ADV"/>
      <sheetName val="OTHER ADV"/>
      <sheetName val="PREPAID EXP"/>
      <sheetName val="INSC EXP"/>
      <sheetName val="CURRENT LIAB"/>
      <sheetName val="PPh23$22"/>
      <sheetName val="AccList"/>
      <sheetName val="PnL"/>
      <sheetName val="TB_PL_02_03"/>
      <sheetName val="P_LFiskal"/>
      <sheetName val="BLS03"/>
      <sheetName val="Tmp"/>
      <sheetName val="OHDFIN"/>
      <sheetName val="OHDMGM"/>
      <sheetName val="OHDTRN"/>
      <sheetName val="OHDHRD"/>
      <sheetName val="OHDMKT"/>
      <sheetName val="OHDPS"/>
      <sheetName val="OHDSLS"/>
      <sheetName val="FI"/>
      <sheetName val="DbCC"/>
      <sheetName val="OHD-Proj"/>
      <sheetName val="OHD-CC"/>
      <sheetName val="LLItems"/>
      <sheetName val="FleetPurch"/>
      <sheetName val="CAPEX REKAP"/>
      <sheetName val="LL Calc"/>
      <sheetName val="SAPDb"/>
      <sheetName val="EwyAdj"/>
      <sheetName val="DbProj"/>
      <sheetName val="SAPAcc"/>
      <sheetName val="NEWCOPA"/>
      <sheetName val="COPA"/>
      <sheetName val="Copa2"/>
      <sheetName val="Margin Calc"/>
      <sheetName val="NewCopa2"/>
      <sheetName val="Reconstr"/>
      <sheetName val="SM"/>
      <sheetName val="OHD"/>
      <sheetName val="SMb"/>
      <sheetName val="BSb"/>
      <sheetName val="CFb"/>
      <sheetName val="OHDb"/>
      <sheetName val="LLb"/>
      <sheetName val="CAPb"/>
      <sheetName val="SM1"/>
      <sheetName val="BS1"/>
      <sheetName val="OH1"/>
      <sheetName val="LL1"/>
      <sheetName val="CAP1"/>
      <sheetName val="PL2"/>
      <sheetName val="SM2"/>
      <sheetName val="OH2"/>
      <sheetName val="LL2"/>
      <sheetName val="CAP2"/>
      <sheetName val="TOP F-123 (2)"/>
      <sheetName val="F-123"/>
      <sheetName val="TOP F-123"/>
      <sheetName val="Contracts, Parts &amp; Tech"/>
      <sheetName val="CSARL File Location"/>
      <sheetName val="PPH21_Cal"/>
      <sheetName val="Equal"/>
      <sheetName val="Equal For Tax"/>
      <sheetName val="Rekap SPT_Per Des Ok"/>
      <sheetName val="1721 KIP"/>
      <sheetName val="1721 TED"/>
      <sheetName val="1721 BHI"/>
      <sheetName val="1721 SGT"/>
      <sheetName val="1721 SMD"/>
      <sheetName val="BenefitHouse"/>
      <sheetName val="BenefitHouse_new"/>
      <sheetName val=" K-1 PPE reporting "/>
      <sheetName val="asset dec'09 rEV2"/>
      <sheetName val="Asset Transaction09"/>
      <sheetName val="Mrt"/>
      <sheetName val="List by classs"/>
      <sheetName val="asset transaction08"/>
      <sheetName val="asset depreciation08"/>
      <sheetName val="tb08.02.02.09"/>
      <sheetName val="Asset sales"/>
      <sheetName val="Useful life"/>
      <sheetName val="111121105"/>
      <sheetName val="PMHD"/>
      <sheetName val="INTRA"/>
      <sheetName val="CAD PIUT"/>
      <sheetName val="BANK-INTRANSIT"/>
      <sheetName val="AR-INTRANSIT"/>
      <sheetName val="AUP"/>
      <sheetName val="TOP20"/>
      <sheetName val="JOURNAL-BDM"/>
      <sheetName val="Cisco"/>
      <sheetName val="Tax (2)"/>
      <sheetName val="Reklase"/>
      <sheetName val="WLS"/>
      <sheetName val="trf gl"/>
      <sheetName val="Sheet1 (4)"/>
      <sheetName val="Deposit POS"/>
      <sheetName val="212400100"/>
      <sheetName val="1105-B&amp;I-OK"/>
      <sheetName val="1106-M&amp;E"/>
      <sheetName val="1101-LR-OK"/>
      <sheetName val="1102-B&amp;I-OK"/>
      <sheetName val="1103-M&amp;E"/>
      <sheetName val="1104-M&amp;E"/>
      <sheetName val="1107-V&amp;T"/>
      <sheetName val="1108-V&amp;T"/>
      <sheetName val="1109-T&amp;O"/>
      <sheetName val=" Leasing"/>
      <sheetName val="KOMPARASI"/>
      <sheetName val="Sale-Leaseback"/>
      <sheetName val="jan04"/>
      <sheetName val="Sale-Leaseback (2)"/>
      <sheetName val="Land Not Used-print"/>
      <sheetName val="Land Not Used"/>
      <sheetName val="HQ"/>
      <sheetName val="SUM-NAT"/>
      <sheetName val="Asset disposal"/>
      <sheetName val="Detail-SAP"/>
      <sheetName val="Summary (2)"/>
      <sheetName val="PPH GB"/>
      <sheetName val="INV (2)"/>
      <sheetName val="KEND (2)"/>
      <sheetName val="jnrl reverse"/>
      <sheetName val="Depr-Inv"/>
      <sheetName val="Depr-Kend"/>
      <sheetName val="Depr-Bgn"/>
      <sheetName val="Jnrl Reklase"/>
      <sheetName val="Rev-ADP"/>
      <sheetName val="Saldo"/>
      <sheetName val="Tax Comp"/>
      <sheetName val="Detail DTA"/>
      <sheetName val="to FS"/>
      <sheetName val="PAJE-RJE"/>
      <sheetName val="CAJE-RJE"/>
      <sheetName val="CF Package Jun10"/>
      <sheetName val="CF report"/>
      <sheetName val="Tax Comp Juni 2010"/>
      <sheetName val="I-2"/>
      <sheetName val="Flow Loan"/>
      <sheetName val="VA-1(DL)"/>
      <sheetName val="VA-2(FOH)"/>
      <sheetName val="VC_Opex"/>
      <sheetName val="COGS_PBC"/>
      <sheetName val="TB as of 30.06.2010"/>
      <sheetName val="Tax payable(O)"/>
      <sheetName val="Tax21 (O-1)"/>
      <sheetName val="Tax23 (O-2)"/>
      <sheetName val="Tax25 (O-3)"/>
      <sheetName val="O-4 VAT"/>
      <sheetName val="O-4.1VAT Recon"/>
      <sheetName val="O-5 Tax 23 Prepaid"/>
      <sheetName val="BS+PL"/>
      <sheetName val="Trf-SAP"/>
      <sheetName val="PCA-SBG"/>
      <sheetName val="Reklase Intra"/>
      <sheetName val="TB Dec printed  29-02-08"/>
      <sheetName val="AssetDisp.Fiscal"/>
      <sheetName val="Sum_AssetDisp"/>
      <sheetName val="AssetDispComm"/>
      <sheetName val="Tetap&amp;Waktu"/>
      <sheetName val="TB2010"/>
      <sheetName val="Forex Leasing"/>
      <sheetName val="Leasing 2010 USD"/>
      <sheetName val="EmpHouseRent"/>
      <sheetName val="PPh25Prepaid_2010"/>
      <sheetName val="Asset Fiscal"/>
      <sheetName val="RekonPPh21"/>
      <sheetName val="Flow of COGS"/>
      <sheetName val="Detail Nov 09"/>
      <sheetName val="Asset data"/>
      <sheetName val="Dep1012"/>
      <sheetName val="Bal2010"/>
      <sheetName val="Sheet1 (5)"/>
      <sheetName val="Lease2009"/>
      <sheetName val="Dtl2009"/>
      <sheetName val="Dtl2010"/>
      <sheetName val="Dep2010"/>
      <sheetName val="Bal Dec 2010"/>
      <sheetName val="Dep10-12"/>
      <sheetName val="Sep2010"/>
      <sheetName val="Asset Acq Nov 2010"/>
      <sheetName val="asset trransfer"/>
      <sheetName val="SSP SPT 21 26"/>
      <sheetName val="SSP SPT 42"/>
      <sheetName val="SSP SPT 23 26"/>
      <sheetName val="POT 23 26"/>
      <sheetName val="DBP"/>
      <sheetName val="BP23"/>
      <sheetName val="BP23 (2)"/>
      <sheetName val="SSP SPT 22"/>
      <sheetName val="POT 42"/>
      <sheetName val="SSP SPT 25"/>
      <sheetName val="KODE"/>
      <sheetName val="DWP"/>
      <sheetName val="LOOKUP"/>
      <sheetName val="PM-PL"/>
      <sheetName val="Reports"/>
      <sheetName val="VI"/>
      <sheetName val="III.1"/>
      <sheetName val="III.2"/>
      <sheetName val="C10a"/>
      <sheetName val="C10c"/>
      <sheetName val="CGS"/>
      <sheetName val="MKT"/>
      <sheetName val="Pos"/>
      <sheetName val="SK HTM"/>
      <sheetName val="TLKM-J"/>
      <sheetName val="N-TLKM"/>
      <sheetName val="Table Array"/>
      <sheetName val="TU By Div (2)"/>
      <sheetName val="detail pph from tu"/>
      <sheetName val="INC"/>
      <sheetName val="MED"/>
      <sheetName val="ENT"/>
      <sheetName val="CUST"/>
      <sheetName val="Sum_1211120_30 &amp; 60"/>
      <sheetName val="1211120-Query"/>
      <sheetName val="1211130-Query"/>
      <sheetName val="1211160-Query"/>
      <sheetName val="Details GR_1211120,30 &amp; 60 "/>
      <sheetName val="7411230"/>
      <sheetName val="7411231"/>
      <sheetName val="7411240"/>
      <sheetName val="7411242"/>
      <sheetName val="7411242-GL"/>
      <sheetName val="7411250"/>
      <sheetName val="7411260"/>
      <sheetName val="7411260-GL"/>
      <sheetName val="7411268"/>
      <sheetName val="7411268-GL"/>
      <sheetName val="Detail Direct PO_ZSSBPOHIST (2)"/>
      <sheetName val="Sum_Direct Purchase"/>
      <sheetName val="Detail Direct PO_ZSSBPOHISTORY "/>
      <sheetName val="Tax Comp 2010"/>
      <sheetName val="TB_Periode14"/>
      <sheetName val="cashflow Package_2010"/>
      <sheetName val="Direct CF_reporting"/>
      <sheetName val="K 2_1"/>
      <sheetName val="def tax"/>
      <sheetName val="LR Fiskal"/>
      <sheetName val="Rekon Fiscal"/>
      <sheetName val="FA Fiskal"/>
      <sheetName val="List FA-Fis"/>
      <sheetName val="FA-Kom'04 (2)"/>
      <sheetName val="Addition FA"/>
      <sheetName val="FA Mutation"/>
      <sheetName val="CAJE and CRJE"/>
      <sheetName val="C "/>
      <sheetName val="I.1 AR"/>
      <sheetName val="I.2 AP"/>
      <sheetName val="K "/>
      <sheetName val="O.1 Prepaid"/>
      <sheetName val="O.2 Payable"/>
      <sheetName val="Point To Do SBY"/>
      <sheetName val="R.1 RECON FISCAL"/>
      <sheetName val="R.1 Def. Tax"/>
      <sheetName val="R.1.1 N.D.E"/>
      <sheetName val="Rental"/>
      <sheetName val="R.1.2 Interest Inc."/>
      <sheetName val="R.1.3 Vehicle depre."/>
      <sheetName val="R.1.4 Depreciation"/>
      <sheetName val="R.1.7 Leasing"/>
      <sheetName val="R.1.8 Disposal FA"/>
      <sheetName val="R.1.6 Amort."/>
      <sheetName val="R.1.5 Real Bad Stock"/>
      <sheetName val="LESIND"/>
      <sheetName val="RKIN"/>
      <sheetName val="SSM"/>
      <sheetName val="UA Jul - Oct"/>
      <sheetName val="Summary diff ARE"/>
      <sheetName val="Sum All"/>
      <sheetName val="BPW-Europe"/>
      <sheetName val="SING"/>
      <sheetName val="SRI L"/>
      <sheetName val="CBD"/>
      <sheetName val="MALE"/>
      <sheetName val="VIET"/>
      <sheetName val="Thai"/>
      <sheetName val="BPWI"/>
      <sheetName val="Main table"/>
      <sheetName val="Expats' Rental"/>
      <sheetName val="Booked Rentals"/>
      <sheetName val="Accrued Rentals"/>
      <sheetName val="E_7_1"/>
      <sheetName val="ORIGINAL"/>
      <sheetName val="Contracts_ Parts _ Tech"/>
      <sheetName val="1771_2"/>
      <sheetName val="TB per Dec 08 Final 6feb09 7"/>
      <sheetName val="CAJE Lease 08"/>
      <sheetName val="U_1_2"/>
      <sheetName val="U_1_3"/>
      <sheetName val="U_1_5"/>
      <sheetName val="G_2"/>
      <sheetName val="G_1"/>
      <sheetName val="PAJE&amp;PRJE"/>
      <sheetName val="set PM&amp;TE"/>
      <sheetName val="WBS 1 &amp; 2, WPL"/>
      <sheetName val="Cash(C)"/>
      <sheetName val="FA(K)"/>
      <sheetName val="AR(E)"/>
      <sheetName val="AR OTHERS-TRADE ART 23 (E.3)"/>
      <sheetName val="Intercompany (I)"/>
      <sheetName val="Inv. (F)"/>
      <sheetName val="prepaid exp(J)"/>
      <sheetName val="AP(N)"/>
      <sheetName val="Accrued Payable(P-1)"/>
      <sheetName val="Leasing(Q)"/>
      <sheetName val="Unearned revenue(P-2)"/>
      <sheetName val="cap.stock(T)"/>
      <sheetName val="sales(U-1)"/>
      <sheetName val="Cost of revenues(U-2)"/>
      <sheetName val="Opex(U-3)"/>
      <sheetName val="Other inc.(U-4)"/>
      <sheetName val="gross profit"/>
      <sheetName val="Assets&amp;liab in foreign curr."/>
      <sheetName val="BS 2005"/>
      <sheetName val="LIAB 2005"/>
      <sheetName val="WPL 2005"/>
      <sheetName val="BS_DTA"/>
      <sheetName val="DIT 05 AUDIT"/>
      <sheetName val="Fiscal Comp 05"/>
      <sheetName val="Restatement 2004"/>
      <sheetName val="To Report (FS)"/>
      <sheetName val="Fisc. Rec."/>
      <sheetName val="DIT BS"/>
      <sheetName val="DIT Flow"/>
      <sheetName val="Report Purposes"/>
      <sheetName val="1ST CLOSING"/>
      <sheetName val="Intercoy Reconciliation"/>
      <sheetName val="E-3-1 AFDA Analysis"/>
      <sheetName val="SOLAR ONLY"/>
      <sheetName val="sampling"/>
      <sheetName val="Leasing_"/>
      <sheetName val="M-1"/>
      <sheetName val="M-2"/>
      <sheetName val="M-3"/>
      <sheetName val="N-2-1"/>
      <sheetName val="P-1.3"/>
      <sheetName val="P-1.9"/>
      <sheetName val="P-2-1"/>
      <sheetName val="CFI Balance"/>
      <sheetName val="CSUL"/>
      <sheetName val="U-1-1"/>
      <sheetName val="U-2-1"/>
      <sheetName val="U-2-1.1"/>
      <sheetName val="U-2-2"/>
      <sheetName val="U-2-2-1"/>
      <sheetName val="U-2-3"/>
      <sheetName val="U-2-3-1"/>
      <sheetName val="U-3-1"/>
      <sheetName val="U-3-1-1"/>
      <sheetName val="U-3-2"/>
      <sheetName val="U-3-2-1"/>
      <sheetName val="U-4-1"/>
      <sheetName val="AP reval"/>
      <sheetName val="Flow of Loan"/>
      <sheetName val="List AR"/>
      <sheetName val="not up date"/>
      <sheetName val="Analytical WBSWPL (not update)"/>
      <sheetName val="Leasing (not up date)"/>
      <sheetName val="Analytical (not up date)"/>
      <sheetName val="COS REV (not up date)"/>
      <sheetName val="OPEX (not up date)"/>
      <sheetName val="Other Inc Charges (not up date)"/>
      <sheetName val="COS RATE"/>
      <sheetName val="AdjAmount_311206"/>
      <sheetName val="Quantity Base"/>
      <sheetName val="Blc_QTY_aftrQADJ"/>
      <sheetName val="Inv_311206"/>
      <sheetName val="AdjQty_311206"/>
      <sheetName val="WIP"/>
      <sheetName val="MoveCurrAll"/>
      <sheetName val="moveaftervar"/>
      <sheetName val="VARMTN"/>
      <sheetName val="VAROVH"/>
      <sheetName val="VARFUEL"/>
      <sheetName val="VAREQP"/>
      <sheetName val="VARTYRE"/>
      <sheetName val="VARSI"/>
      <sheetName val="VARMPR"/>
      <sheetName val="VARSUB"/>
      <sheetName val="VAROTH"/>
      <sheetName val="Pst_akt"/>
      <sheetName val="MP"/>
      <sheetName val="TND"/>
      <sheetName val="03-07"/>
      <sheetName val="Move"/>
      <sheetName val="Aktuaria07"/>
      <sheetName val="Not Aktif 2008 (2)"/>
      <sheetName val="Not Aktif 2008"/>
      <sheetName val="Jubilee PT CK 2008"/>
      <sheetName val="DPTU ok"/>
      <sheetName val="DPLK"/>
      <sheetName val="NON DPTU &amp; DPLK"/>
      <sheetName val="DPTU ok (2)"/>
      <sheetName val="DPLK (2)"/>
      <sheetName val="NON DPTU &amp; DPLK (2)"/>
      <sheetName val="PM &amp; TE"/>
      <sheetName val="PAJE,PRJE"/>
      <sheetName val="Passed Adj"/>
      <sheetName val="T account"/>
      <sheetName val="ML Point"/>
      <sheetName val="E-1 (Aging)"/>
      <sheetName val="Sample Selection"/>
      <sheetName val="G-5"/>
      <sheetName val="G-6"/>
      <sheetName val="G-6.1"/>
      <sheetName val="H Lead"/>
      <sheetName val="H-5.1"/>
      <sheetName val="Status Tax"/>
      <sheetName val="J Memo"/>
      <sheetName val="I-1 Lead"/>
      <sheetName val="LS-Pajak dibyr Dimuka"/>
      <sheetName val="Inv2005-01"/>
      <sheetName val="Jan05"/>
      <sheetName val="WIP Rate"/>
      <sheetName val="COS Analysis"/>
      <sheetName val="Quantity Prod"/>
      <sheetName val="Adjustment on RE Parent"/>
      <sheetName val="CONSOL '09"/>
      <sheetName val="Restatement Entries"/>
      <sheetName val="Investment KE"/>
      <sheetName val="Investment IM"/>
      <sheetName val="Elimination 09"/>
      <sheetName val="CF 2007 Before restate"/>
      <sheetName val="Detail BS_PL"/>
      <sheetName val="Fixed Assets'09"/>
      <sheetName val="InterCo AR_AP"/>
      <sheetName val="(DTA)DIT"/>
      <sheetName val="T-Account "/>
      <sheetName val="PSAK 24 to Report"/>
      <sheetName val="InterCo Revenue_COGS"/>
      <sheetName val="COGS Details"/>
      <sheetName val="July 31, 2005 - WBS1"/>
      <sheetName val="July 31, 2005 - WBS2"/>
      <sheetName val="July 31, 2005 - WPL"/>
      <sheetName val="VAT"/>
      <sheetName val="PM TE"/>
      <sheetName val="E-1.atch"/>
      <sheetName val="E-1.Subqnt"/>
      <sheetName val="Test Pricing"/>
      <sheetName val="G-atc"/>
      <sheetName val="N-atch"/>
      <sheetName val="U-3.2"/>
      <sheetName val="U-3.3"/>
      <sheetName val="U-3.4"/>
      <sheetName val="U-3.5"/>
      <sheetName val="U-3.5.1"/>
      <sheetName val="TOC Purc"/>
      <sheetName val="TOC Sales"/>
      <sheetName val="TotEx"/>
      <sheetName val="C(Cash&amp;bank)"/>
      <sheetName val="ADJ CODA TUS(S)PL"/>
      <sheetName val="ADJ CODA PTTU"/>
      <sheetName val="ADJ CODA TUS(S)PL (2)"/>
      <sheetName val="U4.2.1"/>
      <sheetName val="U4.2"/>
      <sheetName val="PPh23 th.04"/>
      <sheetName val="N  3"/>
      <sheetName val="N 4"/>
      <sheetName val="CC AP"/>
      <sheetName val="Sub Payment"/>
      <sheetName val="P-2.1 Def Income"/>
      <sheetName val="P3 LaborLaw"/>
      <sheetName val="O Taxes Payable"/>
      <sheetName val="O-1Art21"/>
      <sheetName val="O-3VATOut"/>
      <sheetName val="O-3.1 VAT Out Recon"/>
      <sheetName val="M1 ADJ KURS CB LOAN"/>
      <sheetName val="MM-Loan"/>
      <sheetName val="TT-Equity"/>
      <sheetName val="T Equity"/>
      <sheetName val="O.1 (Art 21)"/>
      <sheetName val="O.2 (Art 23)"/>
      <sheetName val="Person Incharge"/>
      <sheetName val="ELIM UCC"/>
      <sheetName val="CONSOL '08"/>
      <sheetName val="Reclass Entry07"/>
      <sheetName val="COGS (1)"/>
      <sheetName val="Reclass08"/>
      <sheetName val="Effect Tax Rate"/>
      <sheetName val="Fixed Assets'08"/>
      <sheetName val="Elimination InterCo"/>
      <sheetName val="InterCo_"/>
      <sheetName val="Movement for CF"/>
      <sheetName val="Reclassification FY07"/>
      <sheetName val="ELIM Sale of Asset"/>
      <sheetName val="RE Reconciliation"/>
      <sheetName val="Contribution Paid"/>
      <sheetName val="Natra Raya"/>
      <sheetName val="Equity Method"/>
      <sheetName val="Minority Interest"/>
      <sheetName val="Add inf CF"/>
      <sheetName val="COGS (2)"/>
      <sheetName val="Sales Parameter"/>
      <sheetName val="22 Day"/>
      <sheetName val="22 Night"/>
      <sheetName val="23 Day"/>
      <sheetName val="23 Night"/>
      <sheetName val="24 Day"/>
      <sheetName val="24 Night"/>
      <sheetName val="25 Day"/>
      <sheetName val="25 Night"/>
      <sheetName val="26 Day"/>
      <sheetName val="26 Night"/>
      <sheetName val="27 Day"/>
      <sheetName val="27 Night"/>
      <sheetName val="28 Day"/>
      <sheetName val="28 Night"/>
      <sheetName val="SMU Unit"/>
      <sheetName val="CONSOL '07 &amp; 08"/>
      <sheetName val="Elimination 07"/>
      <sheetName val="Investment 07"/>
      <sheetName val="Elimination 08"/>
      <sheetName val="Investment 08"/>
      <sheetName val="AGUSTUS"/>
      <sheetName val="Colsolidasi"/>
      <sheetName val="TMT"/>
      <sheetName val="CK"/>
      <sheetName val="TU"/>
      <sheetName val="SSB"/>
      <sheetName val="CP"/>
      <sheetName val="MST"/>
      <sheetName val="CKB"/>
      <sheetName val="CONSOL '05"/>
      <sheetName val="EJE '05"/>
      <sheetName val="AJE PSAK 4"/>
      <sheetName val="EJE to be added"/>
      <sheetName val="EJE to be deleted"/>
      <sheetName val="t acc 2005"/>
      <sheetName val="Fixed Assets'05"/>
      <sheetName val="CONSOL '06"/>
      <sheetName val="Fixed Assets'06"/>
      <sheetName val="RECON CJ SALES"/>
      <sheetName val="SALES USD (2)"/>
      <sheetName val="SALES IDR (2)"/>
      <sheetName val="WHT Jan -Des 2010"/>
      <sheetName val="SALES USD"/>
      <sheetName val="SALES IDR"/>
      <sheetName val="SALES USD_CJ"/>
      <sheetName val="SALES IDR_CJ"/>
      <sheetName val="#REF!"/>
      <sheetName val="Summary Pengiriman Dist Sept 08"/>
      <sheetName val="CREDIT LIMIT"/>
      <sheetName val="Proyeksi Cash In"/>
      <sheetName val="AR OVD"/>
      <sheetName val="AR N_ OD"/>
      <sheetName val="PIC MKT"/>
      <sheetName val="Distributor"/>
      <sheetName val="Rekonsiliasi Aug_08"/>
      <sheetName val="Rekonsiliasi Juli_08"/>
      <sheetName val="Rekonsiliasi Juni_08"/>
      <sheetName val="Rekonsiliasi April _08"/>
      <sheetName val="Rekonsiliasi May_08"/>
      <sheetName val="Pengiriman Distri_ Aug 08"/>
      <sheetName val="Molasses _Juli 08"/>
      <sheetName val="Gudang _ Gula Murah08"/>
      <sheetName val="Tab DPA"/>
      <sheetName val="Spec"/>
      <sheetName val="Calc (Awal)"/>
      <sheetName val="AFTER 55"/>
      <sheetName val="VESTED"/>
      <sheetName val="DBvsLL(V)"/>
      <sheetName val="C-trans"/>
      <sheetName val="DBvsLL(T)"/>
      <sheetName val="DCvsLL(V)"/>
      <sheetName val="DCvsLL(T)"/>
      <sheetName val="DBvsLL(T) (2)"/>
      <sheetName val="List_DPvsLL (2)"/>
      <sheetName val="T Mortalita"/>
      <sheetName val="Fyos&lt;1"/>
      <sheetName val="Recap55"/>
      <sheetName val="List_13"/>
      <sheetName val="T LL"/>
      <sheetName val="List_DPvsLL"/>
      <sheetName val="List_indDP"/>
      <sheetName val="ProjBen"/>
      <sheetName val="T1_ValPF"/>
      <sheetName val="T_Pelu"/>
      <sheetName val="Tab_k150"/>
      <sheetName val="C-vested"/>
      <sheetName val="T1_Val150"/>
      <sheetName val="T2_Val150"/>
      <sheetName val="Tab_Ann"/>
      <sheetName val="T2_ValPF"/>
      <sheetName val="SummRecX55"/>
      <sheetName val="SummRec55"/>
      <sheetName val="Tab_Iuran"/>
      <sheetName val="KONS BID P_N"/>
      <sheetName val="SANGATA_BUNYU"/>
      <sheetName val="U1 Sales"/>
      <sheetName val="Sales Cut-Off"/>
      <sheetName val="U2 COGS"/>
      <sheetName val="U-2.2"/>
      <sheetName val="U-2.3"/>
      <sheetName val="U-2.4"/>
      <sheetName val="U-2.5"/>
      <sheetName val="U-2.6"/>
      <sheetName val="U-2.7"/>
      <sheetName val="U3.1 Selling expenses"/>
      <sheetName val="U-3.1.1"/>
      <sheetName val="U3.2 G&amp;A expenses"/>
      <sheetName val="U4 Memo"/>
      <sheetName val="U-4.2 forex Pending"/>
      <sheetName val="Summary recon sd Nov 09"/>
      <sheetName val="Detail recon sd Nov 09"/>
      <sheetName val="Summary Jan-Nov 09"/>
      <sheetName val="Summary Jan-Des 09 "/>
      <sheetName val="AGS"/>
      <sheetName val="SAP USD - New"/>
      <sheetName val="WHT (PPh23) Monthly"/>
      <sheetName val="SAP IDR-New"/>
      <sheetName val="PPn Monthly"/>
      <sheetName val="whtax31des09"/>
      <sheetName val="SAP (USD)"/>
      <sheetName val="SAP (IDR)"/>
      <sheetName val="Intercoy"/>
      <sheetName val="CAJE CRJE"/>
      <sheetName val="CF 09"/>
      <sheetName val="Direct CF'09 "/>
      <sheetName val="Direct CF'08"/>
      <sheetName val="A4 Dec 2010"/>
      <sheetName val="C_1"/>
      <sheetName val="C_2"/>
      <sheetName val="C_3"/>
      <sheetName val="Corp_new"/>
      <sheetName val="DIT_FA"/>
      <sheetName val="VA_1"/>
      <sheetName val="VA_2"/>
      <sheetName val="VA_3"/>
      <sheetName val="VC_1"/>
      <sheetName val="VC_2"/>
      <sheetName val="VC_3"/>
      <sheetName val="TB201012"/>
      <sheetName val="TB201009"/>
      <sheetName val="Audited Balance 2008 - 2009"/>
      <sheetName val="TB YTD 3rd Closing"/>
      <sheetName val="TB After 2nd Draft"/>
      <sheetName val="Notes Reclassification "/>
      <sheetName val="Reclassification of Accounts"/>
      <sheetName val="For Reporting Purposes"/>
      <sheetName val="Rekonsiliasi Fiskal new TB"/>
      <sheetName val="P-1-2"/>
      <sheetName val="P-1-3"/>
      <sheetName val="P-1-4"/>
      <sheetName val="P-1.4.2"/>
      <sheetName val="P-1.4.3"/>
      <sheetName val="P-1-5"/>
      <sheetName val="P-1.5.2 Attch A."/>
      <sheetName val="P-1.5.2 Attch B"/>
      <sheetName val="P-1.5.3 &amp; 1.6.3"/>
      <sheetName val="P-1-6"/>
      <sheetName val="Diff"/>
      <sheetName val="Pred Test"/>
      <sheetName val="P-1.6.2"/>
      <sheetName val="Calc Prov"/>
      <sheetName val="P-1-7"/>
      <sheetName val="Mekanisme Jurnal Accrued"/>
      <sheetName val="movement awal"/>
      <sheetName val="P-1-8"/>
      <sheetName val="E-4 AFDA"/>
      <sheetName val="E-6 Aging"/>
      <sheetName val="E-7 Subs."/>
      <sheetName val="E-7.1"/>
      <sheetName val="E-8"/>
      <sheetName val="E (2)"/>
      <sheetName val="G-1 Lead"/>
      <sheetName val="G-Nature"/>
      <sheetName val="G-1.5.1"/>
      <sheetName val="Comparison with TMT Group"/>
      <sheetName val="CF Non Cash Activity"/>
      <sheetName val="DIT_BS"/>
      <sheetName val="DIT_PL 30_"/>
      <sheetName val="DIT_BS 30_"/>
      <sheetName val="CF 08"/>
      <sheetName val="PY PAJE PRJE"/>
      <sheetName val="J_1"/>
      <sheetName val="N_2"/>
      <sheetName val="Q_1"/>
      <sheetName val="Q_2"/>
      <sheetName val="U_2_2 "/>
      <sheetName val="S_1 CK"/>
      <sheetName val="U_1"/>
      <sheetName val="U_2_1"/>
      <sheetName val="U_2_3"/>
      <sheetName val="U_3_1"/>
      <sheetName val="U_3_2"/>
      <sheetName val="U_4"/>
      <sheetName val="Due to Tax Rate"/>
      <sheetName val="DIT-FA"/>
      <sheetName val="DTA _WP"/>
      <sheetName val="For Rep Let "/>
      <sheetName val="Due to Tax Rate (2)"/>
      <sheetName val="DIT - EY BS 25%"/>
      <sheetName val="Rekonsiliasi Fiskal old"/>
      <sheetName val="TB 2009_Old"/>
      <sheetName val="TE"/>
      <sheetName val="A4-2002"/>
      <sheetName val="CF-2002"/>
      <sheetName val="CF supp-2002"/>
      <sheetName val="CF supp"/>
      <sheetName val="T-Acc"/>
      <sheetName val="LCM "/>
      <sheetName val="Kdetail"/>
      <sheetName val="O-1-1"/>
      <sheetName val="O-1-2"/>
      <sheetName val="O-1-3"/>
      <sheetName val="O-1-4"/>
      <sheetName val="V1"/>
      <sheetName val="U-1 (2)"/>
      <sheetName val="quantity-sales"/>
      <sheetName val="GPA "/>
      <sheetName val="U-1 Analysis"/>
      <sheetName val="xport-cut"/>
      <sheetName val="local-cut (2)"/>
      <sheetName val="U-2 "/>
      <sheetName val="U2-1"/>
      <sheetName val="Costing-Test"/>
      <sheetName val="quantity-COGS"/>
      <sheetName val="purchase-cutoff"/>
      <sheetName val="U-3 (2)"/>
      <sheetName val="U-4 (2)"/>
      <sheetName val="U-5 (2)"/>
      <sheetName val="U-5-1"/>
      <sheetName val="i test"/>
      <sheetName val="Tax Rec"/>
      <sheetName val="NDE-i"/>
      <sheetName val="PPE-fis"/>
      <sheetName val="lease-forex"/>
      <sheetName val="FSC- Lease Rec"/>
      <sheetName val="monetary"/>
      <sheetName val="FPR"/>
      <sheetName val="PTTU P &amp; L 2002"/>
      <sheetName val="APX. 1 &amp; 5"/>
      <sheetName val="APX. 2 &amp; 3"/>
      <sheetName val="APX. 4"/>
      <sheetName val="APX. 6"/>
      <sheetName val="APX. 6 Addition (Audit)"/>
      <sheetName val="APX. 7"/>
      <sheetName val="APX. 8"/>
      <sheetName val="APX. 9"/>
      <sheetName val="APX.9 (Audit)"/>
      <sheetName val="APX. 10"/>
      <sheetName val="APX. 11"/>
      <sheetName val="APX. 12"/>
      <sheetName val="APX. 13"/>
      <sheetName val="APX. 14"/>
      <sheetName val="APX. 15"/>
      <sheetName val="APX. 16"/>
      <sheetName val="APX. 17"/>
      <sheetName val="Neraca 31 Des 2007"/>
      <sheetName val="K-Memo"/>
      <sheetName val="K-Flow"/>
      <sheetName val="FA Addition"/>
      <sheetName val="K-1 Land"/>
      <sheetName val="K-2 CIP"/>
      <sheetName val="K-3 140,150,151 Motor veh own"/>
      <sheetName val="K-4 160 Computer"/>
      <sheetName val="K-5 170 &amp; 180 Office &amp; Equip"/>
      <sheetName val="K-6 Plant &amp; equip"/>
      <sheetName val="K-7 vehicle leased"/>
      <sheetName val="K-8 110 Plant &amp; equip"/>
      <sheetName val=" FA Sample"/>
      <sheetName val="2004 htm"/>
      <sheetName val="Lamp tax calc"/>
      <sheetName val="Lamp tax calc 08"/>
      <sheetName val="Mata uang Asing"/>
      <sheetName val="Kas dan Setara"/>
      <sheetName val="Uang M dan Biaya Dibayar dimuka"/>
      <sheetName val="Beban Ditangguhkan"/>
      <sheetName val="Beban yg Masih H. Dibayar"/>
      <sheetName val="Pen. Ditangguhkan"/>
      <sheetName val="Uang Jaminan Penyewa"/>
      <sheetName val="Hutang kpd P. Saham"/>
      <sheetName val="Pen. Jasa Pelayanan"/>
      <sheetName val="Pen. Usaha Lain-lain"/>
      <sheetName val="Pend. Beban Lain-lain"/>
      <sheetName val="Imbal Kerja"/>
      <sheetName val="Reklasifikasi"/>
      <sheetName val="Ged"/>
      <sheetName val="Partisi"/>
      <sheetName val="Tehnik"/>
      <sheetName val="Keamanan"/>
      <sheetName val="Kantor"/>
      <sheetName val="HGB"/>
      <sheetName val="Properti Inv"/>
      <sheetName val="Per PT SD JULI "/>
      <sheetName val="PPh ps.4(2)"/>
      <sheetName val="2800.ARP"/>
      <sheetName val="2800"/>
      <sheetName val="2800.20"/>
      <sheetName val="2800.30"/>
      <sheetName val="2800.30.1"/>
      <sheetName val="2800.30.2"/>
      <sheetName val="2800.40"/>
      <sheetName val="2800.50"/>
      <sheetName val="2800.50.1"/>
      <sheetName val="NONBANGUNAN"/>
      <sheetName val="1771-II_1"/>
      <sheetName val="1771-II_2"/>
      <sheetName val="1771-II_3"/>
      <sheetName val="1771-V Bag A"/>
      <sheetName val="1771-V Bag B"/>
      <sheetName val="Daftar Kompensasi"/>
      <sheetName val="Attc 20"/>
      <sheetName val="Lap_cashflow"/>
      <sheetName val="Detial LapCashflow"/>
      <sheetName val="CF 2010"/>
      <sheetName val="PROYEKSI 2010"/>
      <sheetName val="CF 2010 Budget"/>
      <sheetName val="Detail CF 2010 Budget "/>
      <sheetName val="WIM1"/>
      <sheetName val="WIM2"/>
      <sheetName val="BIC"/>
      <sheetName val="JL INTAN"/>
      <sheetName val="KKP_II_2_2_1_2"/>
      <sheetName val="GLRCTB10"/>
      <sheetName val="ark 09"/>
      <sheetName val="ark 09New"/>
      <sheetName val="Lamp tax Calc09 280210"/>
      <sheetName val="summary DTA"/>
      <sheetName val="Prop Inv"/>
      <sheetName val="Aktiva Tetap old"/>
      <sheetName val="Pendptn Sewa + Rev Client"/>
      <sheetName val="Pdpt Sewa fr client"/>
      <sheetName val="Lamp tax calc 250209 Revs"/>
      <sheetName val="Lamp tax calc 250209"/>
      <sheetName val="lamp tax calc Old 150210"/>
      <sheetName val="COVER DRAFT "/>
      <sheetName val="BULAN PERIODE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CCRUE ONGKOS ANGKUT PKO &amp; PKE"/>
      <sheetName val="FA Mar 05"/>
      <sheetName val="DATA AP"/>
      <sheetName val="NERACA(TAHUNAN 2)"/>
      <sheetName val="RL(Tahunan 3)"/>
      <sheetName val="HPP KOMPARATIF"/>
      <sheetName val="REKON PPN KELUARAN"/>
      <sheetName val="PERTAMINA"/>
      <sheetName val="MP REV PENJ INV 069"/>
      <sheetName val="PERSEDIAAN BAHAN PENUNJANG"/>
      <sheetName val="HPP_19_"/>
      <sheetName val="AA.5-Atc"/>
      <sheetName val="AA.5.1-PBC"/>
      <sheetName val="Atch AA.4 "/>
      <sheetName val="Data Bunga BKP"/>
      <sheetName val="Atch AA.3 "/>
      <sheetName val="Atch. AA.2"/>
      <sheetName val="AA.2.1"/>
      <sheetName val="Atch. AA.1"/>
      <sheetName val="AA.1.1(2) BNI"/>
      <sheetName val="SHM-DES-2005"/>
      <sheetName val="DPS-KSEI-DES 05"/>
      <sheetName val="SHM1205"/>
      <sheetName val="Biaya PIR"/>
      <sheetName val="Hsl-Pen"/>
      <sheetName val="sat-baru"/>
      <sheetName val="infras"/>
      <sheetName val="CHEK"/>
      <sheetName val="BMP"/>
      <sheetName val="Cash-print"/>
      <sheetName val="BOT"/>
      <sheetName val="tt-biaya"/>
      <sheetName val="Data Prod_Graf"/>
      <sheetName val="GRAFTANKOS"/>
      <sheetName val="Data SRL"/>
      <sheetName val="Data Cost1"/>
      <sheetName val="Dt Breakdown"/>
      <sheetName val="PK Olah"/>
      <sheetName val="PK RM"/>
      <sheetName val="Graf SRL"/>
      <sheetName val="PCr"/>
      <sheetName val="Janload"/>
      <sheetName val="GRAF COST"/>
      <sheetName val="DATA COST"/>
      <sheetName val="LA02"/>
      <sheetName val="LA03"/>
      <sheetName val="LAJan"/>
      <sheetName val="LAFeb"/>
      <sheetName val="LAMar"/>
      <sheetName val="Slow"/>
      <sheetName val="Fast"/>
      <sheetName val="Dead"/>
      <sheetName val="Olah"/>
      <sheetName val="MONITOR"/>
      <sheetName val="BBM"/>
      <sheetName val="po-ho"/>
      <sheetName val="SPB-HO"/>
      <sheetName val="LAY"/>
      <sheetName val="per team"/>
      <sheetName val="SAROLANGUN"/>
      <sheetName val="hasil nilai"/>
      <sheetName val="BERITA ACARA"/>
      <sheetName val="AKHIR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COVERR"/>
      <sheetName val="ULAS"/>
      <sheetName val="01"/>
      <sheetName val="01a"/>
      <sheetName val="New assumption"/>
      <sheetName val="AF (1)"/>
      <sheetName val="Peralatan juli 2009"/>
      <sheetName val="Data Pembanding"/>
      <sheetName val="List Mesin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indks"/>
      <sheetName val="Data Tan"/>
      <sheetName val="Data Banding TNH"/>
      <sheetName val="D-f"/>
      <sheetName val="JANUARI 1"/>
      <sheetName val="JANUARI 2"/>
      <sheetName val="Mandays"/>
      <sheetName val="Rekap TBM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TIMBANG BRONDOLAN"/>
      <sheetName val="PANEN"/>
      <sheetName val="RAB2008 Bukit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REK KEB 3"/>
      <sheetName val="REK KEB 2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Grand_Sum"/>
      <sheetName val="Twin Flip"/>
      <sheetName val="Roller Coaster"/>
      <sheetName val="Daf. Isi "/>
      <sheetName val="An-Str "/>
      <sheetName val="An-Finsh"/>
      <sheetName val="Hrg Besi"/>
      <sheetName val="(I-2)1.2"/>
      <sheetName val="(I-4)1.4"/>
      <sheetName val="(I-2)1.2 (2)"/>
      <sheetName val="(1-1)1.1@ Pemutihan"/>
      <sheetName val="(I-4)1.4 (2)"/>
      <sheetName val="(I-3)1.3"/>
      <sheetName val="(II-2)2.2.1 (2)"/>
      <sheetName val="(II-2)2.2.1"/>
      <sheetName val="(II-6)2.2.6"/>
      <sheetName val="(II-6)2.2.7"/>
      <sheetName val="(II-1) 2.1"/>
      <sheetName val="(II-4)2.2.3"/>
      <sheetName val="(II-5)2.2.4 (2)"/>
      <sheetName val="(II-3)2.2.2"/>
      <sheetName val="(II-8)2.2.8"/>
      <sheetName val="(III-1)3.1"/>
      <sheetName val="(III-2)3.2"/>
      <sheetName val="(II-7)2.2.7"/>
      <sheetName val="(II-9)2.2.9"/>
      <sheetName val="(II-10)2.2.10"/>
      <sheetName val="(III-3)3.3"/>
      <sheetName val="(III-3)3.4"/>
      <sheetName val="(IV-1)4.1."/>
      <sheetName val="CALC_SHEET"/>
      <sheetName val="rekap versi cco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Cempaga-Finance"/>
      <sheetName val="CAJE 2005"/>
      <sheetName val="Client Adj Gress"/>
      <sheetName val="BS-DTA"/>
      <sheetName val="BS-Others"/>
      <sheetName val="BS-Royalty"/>
      <sheetName val="AY-Bank"/>
      <sheetName val="AY-Machine"/>
      <sheetName val="AY-Reclass-add"/>
      <sheetName val="AY-Others"/>
      <sheetName val="MF-Reclass"/>
      <sheetName val="MF-Reval"/>
      <sheetName val="MF-Correction"/>
      <sheetName val="Sales-Incentive"/>
      <sheetName val="Client-Adj"/>
      <sheetName val="PO-COMMITMENT"/>
      <sheetName val="Final"/>
      <sheetName val="CAJE 2005_not updat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Emma recon"/>
      <sheetName val="Disc Nov02"/>
      <sheetName val="Audit Aje#5"/>
      <sheetName val="Audit Aje"/>
      <sheetName val="Client Aje1"/>
      <sheetName val="Client Aje"/>
      <sheetName val="Royalty10"/>
      <sheetName val="JV Promo Comm10"/>
      <sheetName val="recon bca jkt"/>
      <sheetName val="By Adm BCA"/>
      <sheetName val="Temporary Receipt"/>
      <sheetName val="recl cc-FA"/>
      <sheetName val="sold rack steel"/>
      <sheetName val="settl PC-1459"/>
      <sheetName val="recl CC"/>
      <sheetName val="recl JV437"/>
      <sheetName val="SL1202"/>
      <sheetName val="PBC-Consol"/>
      <sheetName val="By currency"/>
      <sheetName val="PDN 1"/>
      <sheetName val="A4-Holding"/>
      <sheetName val="ATMR&amp;CAR"/>
      <sheetName val="Cash flow-BO"/>
      <sheetName val="Cash flow-Consol"/>
      <sheetName val="BIIF jkt"/>
      <sheetName val="BII Fin HK-BS"/>
      <sheetName val="BII Fin HK-RL"/>
      <sheetName val="CLA"/>
      <sheetName val="Gov_Bonds"/>
      <sheetName val="MODAL &amp; CF"/>
      <sheetName val="Segment"/>
      <sheetName val="SegAktiva"/>
      <sheetName val="SegPasiva"/>
      <sheetName val="SegR-L"/>
      <sheetName val="AJE (old)"/>
      <sheetName val="Jurnal AAl &gt; cost ke equity"/>
      <sheetName val="jornal"/>
      <sheetName val="RL-PRINT"/>
      <sheetName val="RL-Product"/>
      <sheetName val="Inv-PT"/>
      <sheetName val="Segmen Usaha"/>
      <sheetName val="Makro"/>
      <sheetName val="B4.1.4.3.3"/>
      <sheetName val="01-adm"/>
      <sheetName val="02"/>
      <sheetName val="03"/>
      <sheetName val="04"/>
      <sheetName val="07"/>
      <sheetName val="09"/>
      <sheetName val="K.2.2.1"/>
      <sheetName val="N.2.1"/>
      <sheetName val="U.2.1.2 - old"/>
      <sheetName val="U.2.1.2"/>
      <sheetName val="U.2.1.3"/>
      <sheetName val="U.2.2"/>
      <sheetName val="U.2.2.1"/>
      <sheetName val="U.3.1"/>
      <sheetName val="Beginning Balance"/>
      <sheetName val="TB MYOB"/>
      <sheetName val="source"/>
      <sheetName val="TB0"/>
      <sheetName val="BalanceSheet"/>
      <sheetName val="IncomeStatement"/>
      <sheetName val="Bank Rec"/>
      <sheetName val="Prepaid 25.2"/>
      <sheetName val="Due From_Int. Co.2"/>
      <sheetName val="Prepaid VAT local.2"/>
      <sheetName val="Prepaid VAT import.2"/>
      <sheetName val="Prepaid 22.2"/>
      <sheetName val="Fiscal Tax.2"/>
      <sheetName val="Prepaid Expenses.2"/>
      <sheetName val="Deposits.2"/>
      <sheetName val="Fixed Assets.,2"/>
      <sheetName val="Inventory Dec"/>
      <sheetName val="AP.2"/>
      <sheetName val="OP-interco.1"/>
      <sheetName val="Accruals.2"/>
      <sheetName val="WHT PPh23.2"/>
      <sheetName val="Tax-others.2"/>
      <sheetName val="Accr-Tax 26"/>
      <sheetName val="VAT Payable.2"/>
      <sheetName val="Sales.2"/>
      <sheetName val="AR Dec.2"/>
      <sheetName val="Shareholder's Equity"/>
      <sheetName val="cadillac"/>
      <sheetName val="avanza"/>
      <sheetName val="Salary Allocation"/>
      <sheetName val="Piutang Sewa '05"/>
      <sheetName val="PDMK"/>
      <sheetName val="Rollfwd"/>
      <sheetName val="RPO"/>
      <sheetName val="opname sample"/>
      <sheetName val="Additions"/>
      <sheetName val="TOD"/>
      <sheetName val="CONTENTS"/>
      <sheetName val="C.1 Bank Guarantee"/>
      <sheetName val="C.2 Revaluate test"/>
      <sheetName val="C.3 Cut Off Cash"/>
      <sheetName val="Ref"/>
      <sheetName val="Pos326"/>
      <sheetName val="C RF - 1"/>
      <sheetName val="C RF - 2"/>
      <sheetName val="C Lead "/>
      <sheetName val="C.4.1"/>
      <sheetName val="C4.2"/>
      <sheetName val="C.5"/>
      <sheetName val="C.6"/>
      <sheetName val="Countries FIs"/>
      <sheetName val="By CFA Region"/>
      <sheetName val="4_1 Placement w_o_b"/>
      <sheetName val="ShareCapital "/>
      <sheetName val="Fiscal Computation"/>
      <sheetName val="FA_Dep"/>
      <sheetName val="FA SOLD"/>
      <sheetName val="FA_Buy(Sell)'06"/>
      <sheetName val="Software"/>
      <sheetName val="HHFN1030-300906"/>
      <sheetName val="CRI1"/>
      <sheetName val="BSHJE"/>
      <sheetName val="SCORE"/>
      <sheetName val="ICBS"/>
      <sheetName val="CONSOL"/>
      <sheetName val="WC_Boxes"/>
      <sheetName val="Working Capital P&amp;L"/>
      <sheetName val="Forecast"/>
      <sheetName val="WC Indirects"/>
      <sheetName val="WoCa Output"/>
      <sheetName val="BLO Working Capital"/>
      <sheetName val="WC_KPIa"/>
      <sheetName val="WoCa KPI sheet"/>
      <sheetName val="Indirect Adj."/>
      <sheetName val="Essbase Retrieve"/>
      <sheetName val="Cust Ops Retrieve"/>
      <sheetName val="GMW Retrieve"/>
      <sheetName val="WoCa Forecast"/>
      <sheetName val="Interbank detail"/>
      <sheetName val="APP_2_3"/>
      <sheetName val="__TEU"/>
      <sheetName val="CF-C"/>
      <sheetName val="CF-P"/>
      <sheetName val="Restructuring"/>
      <sheetName val="CAJE-CRJE BLOK I"/>
      <sheetName val="FA-C (2)"/>
      <sheetName val="Freeze Account"/>
      <sheetName val="GT_Custom"/>
      <sheetName val="Middle, retail,Mikro&amp;credt card"/>
      <sheetName val="Middle"/>
      <sheetName val="Micro"/>
      <sheetName val="ChartData"/>
      <sheetName val="Major assumption"/>
      <sheetName val="fin-proj (KRW)_combined"/>
      <sheetName val="fin-proj (KRW)_HPH_Total"/>
      <sheetName val="fin-proj (KRW)_HJS_Total"/>
      <sheetName val="fin-proj (US$)_combined"/>
      <sheetName val="IRR calc_combined"/>
      <sheetName val="Equipment Loan_combined"/>
      <sheetName val="loan schedule_combined"/>
      <sheetName val="SF Return"/>
      <sheetName val="SF Project cost"/>
      <sheetName val="SF CF"/>
      <sheetName val="SF P&amp;L"/>
      <sheetName val="Sen table"/>
      <sheetName val="PIP"/>
      <sheetName val="Revenue_HJS_Gamman"/>
      <sheetName val="Costs HJS_Gamman"/>
      <sheetName val="capex &amp; asset_HJS_Gamman"/>
      <sheetName val="fin-proj (KRW)_HJS_Gamman"/>
      <sheetName val="Revenue_Gamcheon"/>
      <sheetName val="Costs_Gamcheon"/>
      <sheetName val="capex &amp; asset_Gamcheon"/>
      <sheetName val="fin-proj (KRW)_Gamcheon"/>
      <sheetName val="Revenue_HJS_KY"/>
      <sheetName val="Costs HJS_KY"/>
      <sheetName val="capex &amp; asset_HJS_KY"/>
      <sheetName val="fin-proj (US$)_HJS_Total"/>
      <sheetName val="IRR calc_HJS"/>
      <sheetName val="fin-proj (KRW)_HJS_KY"/>
      <sheetName val="Revenue_HPH_Gamman"/>
      <sheetName val="Costs HPH_Gamman"/>
      <sheetName val="capex &amp; asset_HPH_Gamman"/>
      <sheetName val="fin-proj (KRW)_HPH_Gamman"/>
      <sheetName val="Revenue_HBCT"/>
      <sheetName val="Costs HBCT"/>
      <sheetName val="capex &amp; asset_HBCT"/>
      <sheetName val="fin-proj (KRW)_HBCT"/>
      <sheetName val="Major assumption HPH"/>
      <sheetName val="Revenue_HPH_KY"/>
      <sheetName val="Costs HPH_KY"/>
      <sheetName val="capex &amp; asset_HPH_KY"/>
      <sheetName val="fin-proj (KRW)_HPH_KY"/>
      <sheetName val="fin-proj (US$)_HPH_Total"/>
      <sheetName val="IRR calc_HPH"/>
      <sheetName val="Equipment Loan HPH"/>
      <sheetName val="loan schedule_HPH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Hit_Usia"/>
      <sheetName val="salary_factor"/>
      <sheetName val="Benefit_Tab_LSA_payment"/>
      <sheetName val="Benefit_Tab_LSA"/>
      <sheetName val="Parameter_text"/>
      <sheetName val="Data_kary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Bank Conf"/>
      <sheetName val="Detail AR"/>
      <sheetName val="Confir"/>
      <sheetName val="PSL 21 sept 2009"/>
      <sheetName val="PPh 25"/>
      <sheetName val="pasal 4 ayat (2)"/>
      <sheetName val="Data_lippo"/>
      <sheetName val="Lead-BS"/>
      <sheetName val="Bank Recon"/>
      <sheetName val="Search for Unrecorded Liabilty"/>
      <sheetName val="FA Movement"/>
      <sheetName val="Asset Verification"/>
      <sheetName val="Acct"/>
      <sheetName val="Activity"/>
      <sheetName val="Batam1apr00"/>
      <sheetName val="Batam"/>
      <sheetName val="AcrApr"/>
      <sheetName val="0001"/>
      <sheetName val="9912"/>
      <sheetName val="9911"/>
      <sheetName val="9910"/>
      <sheetName val="9909"/>
      <sheetName val="9908"/>
      <sheetName val="BatamFcst"/>
      <sheetName val="AcrMay"/>
      <sheetName val="Aje&amp;Rje"/>
      <sheetName val="H1-A"/>
      <sheetName val="H1-B"/>
      <sheetName val="H1-C"/>
      <sheetName val="I1-A"/>
      <sheetName val="I1-B"/>
      <sheetName val="L1-A1"/>
      <sheetName val="L1-A2"/>
      <sheetName val="L1-B"/>
      <sheetName val="L1-C"/>
      <sheetName val="COGS Segment"/>
      <sheetName val="TBDEC03"/>
      <sheetName val="TBOCT03"/>
      <sheetName val="TBDEC02"/>
      <sheetName val="AP-PLANNING"/>
      <sheetName val="Related Party Transaction"/>
      <sheetName val="Penj ~ bpp "/>
      <sheetName val="TB SAMP"/>
      <sheetName val="TB Consol"/>
      <sheetName val="Lap Keu"/>
      <sheetName val="Details per area"/>
      <sheetName val="Saldo Persd "/>
      <sheetName val="Detail tambahan"/>
      <sheetName val="Transaksi Hubungan Istimewa"/>
      <sheetName val="rokok promosi"/>
      <sheetName val="rokok rusak"/>
      <sheetName val="coa(input saldo awal)"/>
      <sheetName val="cek akun"/>
      <sheetName val="Rekonsel"/>
      <sheetName val="TB SPRP"/>
      <sheetName val="C - Cash on hand and in banks"/>
      <sheetName val="C.1 - CIB"/>
      <sheetName val="C.2 - Unusual Bank"/>
      <sheetName val="D - Short-term investment"/>
      <sheetName val="D.1 - STI"/>
      <sheetName val="E.1 - Trade receivable"/>
      <sheetName val="E.1.1 - Accounts receivable"/>
      <sheetName val="E.2 -Other receivable (payable)"/>
      <sheetName val="E.2.2 - Rekap NR"/>
      <sheetName val="E.2.2.1 - NR-ISM"/>
      <sheetName val="E.2.1 - Recap SKP Objection"/>
      <sheetName val="F - Inventories"/>
      <sheetName val="F.3 - Deadstock"/>
      <sheetName val="F.4 - GLVsMaster"/>
      <sheetName val="F6.2PKS Prod"/>
      <sheetName val="F.8.1 - Inventory"/>
      <sheetName val="F.8.2. - COMWIL"/>
      <sheetName val="G -Prepaid exp, tax and advance"/>
      <sheetName val="G.1-Prepai PPh23"/>
      <sheetName val="K - Fixed Assets"/>
      <sheetName val="K.1.2 - Costha"/>
      <sheetName val="K.1.2.1 - Cost pemutihan"/>
      <sheetName val="K.1.2.2 - Accum Pemutihan"/>
      <sheetName val="K.1.2.3 - Ha Putih"/>
      <sheetName val="K.1.2.4 - Rekap SPK LC"/>
      <sheetName val="J - Other Assets"/>
      <sheetName val="J.2 - Def Landright"/>
      <sheetName val="J.1 - Nusrsery"/>
      <sheetName val="J.5.1 - Pension"/>
      <sheetName val="M - Notes Payable"/>
      <sheetName val="M.1 - Rekap NP&amp;bunga"/>
      <sheetName val="M1.2 - NP SP"/>
      <sheetName val="M.1.1 - NP ISM"/>
      <sheetName val="M.1 3 - NP IP"/>
      <sheetName val="N - AP trade"/>
      <sheetName val="O - Taxes payable"/>
      <sheetName val="O.1 - Vat"/>
      <sheetName val="P.1 - Accrued expense"/>
      <sheetName val="P.2 - Advance from customer"/>
      <sheetName val="Q - Pension Fund"/>
      <sheetName val="R - Deferred tax liabilities"/>
      <sheetName val="T.1 - Unrealized Gain on MF"/>
      <sheetName val="U.1 - Sales"/>
      <sheetName val="U.1.3 - Sales Analytical"/>
      <sheetName val="FFB-PKE Prod"/>
      <sheetName val="FFB Production"/>
      <sheetName val="U.2.1 - cogs"/>
      <sheetName val="U.2.1.1.1 - DC-Analytical"/>
      <sheetName val="U.2.1.1.1.1 - Harvesting"/>
      <sheetName val="U.2.1.1.1.2 - Upkeeping"/>
      <sheetName val="SPK"/>
      <sheetName val="U.2.1.1.1.3 - Manuring"/>
      <sheetName val="Fert Price"/>
      <sheetName val="Alokasi FOH"/>
      <sheetName val="Source MJ"/>
      <sheetName val="U.2.2.4 - Pre-Selling"/>
      <sheetName val="U.2.3.2 - Rent&amp;Elect"/>
      <sheetName val="U.2.4 - Other charges (income)"/>
      <sheetName val="U.2.5 - Dividen"/>
      <sheetName val="CAPEXV"/>
      <sheetName val="SUMMARY-VREVIEW"/>
      <sheetName val="SUMMARY-CAT B2"/>
      <sheetName val="CAPEX IT 2002 - 2006"/>
      <sheetName val="CAPEX BOGOR FACTORY"/>
      <sheetName val="W-RATE"/>
      <sheetName val="Other Receivable non related"/>
      <sheetName val="Inventories1"/>
      <sheetName val="Interest yg akan dikoreksi"/>
      <sheetName val="loan wilmar 3"/>
      <sheetName val="loan sap 3"/>
      <sheetName val="loan sap 4"/>
      <sheetName val="loan BPK"/>
      <sheetName val="loan JJP"/>
      <sheetName val="loan PMJ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ANALYZE"/>
      <sheetName val="GL 01 report 00"/>
      <sheetName val="2001 per GL (2)"/>
      <sheetName val="2001 per month (2)"/>
      <sheetName val="2001 per GL (1)"/>
      <sheetName val=" 2001 per month (1)"/>
      <sheetName val="N o v"/>
      <sheetName val="Income Statm"/>
      <sheetName val="Rek Fiskal"/>
      <sheetName val="Fiscal Rec"/>
      <sheetName val="Rek Fiskal-detail"/>
      <sheetName val="Art.25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Entertainment"/>
      <sheetName val="2001 per month (1)"/>
      <sheetName val="J a n"/>
      <sheetName val="D e c"/>
      <sheetName val="Txp"/>
      <sheetName val="biaya lain"/>
      <sheetName val="Congress"/>
      <sheetName val="Rent&amp;Taxes"/>
      <sheetName val="assets disposal"/>
      <sheetName val="BIKs"/>
      <sheetName val="Template"/>
      <sheetName val="Calcs"/>
      <sheetName val="SummWk"/>
      <sheetName val="SummMo"/>
      <sheetName val="Newmont #4"/>
      <sheetName val="Freeport McMoran"/>
      <sheetName val="Depreciation  schedule"/>
      <sheetName val="gol1"/>
      <sheetName val="gol2"/>
      <sheetName val="SSP (5)"/>
      <sheetName val="SPM (1195.2)"/>
      <sheetName val="SPM (1195.1)"/>
      <sheetName val="INDUK (BELI)"/>
      <sheetName val="INDUK"/>
      <sheetName val="BIODATA"/>
      <sheetName val="DEPAN"/>
      <sheetName val="LAMP. A3"/>
      <sheetName val="REKAP B2, B4"/>
      <sheetName val="Depreciation &amp; Peny."/>
      <sheetName val="Art. 23 reconciliation"/>
      <sheetName val="BSPL"/>
      <sheetName val="3100"/>
      <sheetName val="3500"/>
      <sheetName val="3550"/>
      <sheetName val="3800"/>
      <sheetName val="4700"/>
      <sheetName val="4800"/>
      <sheetName val="5000"/>
      <sheetName val="6000"/>
      <sheetName val="6100"/>
      <sheetName val="6200"/>
      <sheetName val="6300"/>
      <sheetName val="2nd of 2000"/>
      <sheetName val="Attach-2"/>
      <sheetName val="Attch-3"/>
      <sheetName val="1999-FA"/>
      <sheetName val="@GeneralInfo"/>
      <sheetName val="@Marshal"/>
      <sheetName val="Fiscal Adj"/>
      <sheetName val="@biaya lain-lain"/>
      <sheetName val="@profit - loss"/>
      <sheetName val="@profit - loss (2)"/>
      <sheetName val="@neraca"/>
      <sheetName val="@REC-FISCAL"/>
      <sheetName val="@depr-fisc(1)"/>
      <sheetName val="FA-DEPR"/>
      <sheetName val="VAT-RECON"/>
      <sheetName val="@PPh ps 22"/>
      <sheetName val="@Exit fiscal"/>
      <sheetName val="@PPh 25"/>
      <sheetName val="@Art 23(prepaid)"/>
      <sheetName val="@Pengurus"/>
      <sheetName val="@dftlamp"/>
      <sheetName val="Art21-recon"/>
      <sheetName val="Honorer"/>
      <sheetName val="@final,23,26recon"/>
      <sheetName val="@Art25 calc"/>
      <sheetName val="A-English"/>
      <sheetName val="B-English"/>
      <sheetName val="IDENTITAS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Iktisar koreksi"/>
      <sheetName val="Iktisar koreksi -E"/>
      <sheetName val="DEPRECIATION (E)"/>
      <sheetName val="EXPENSELIST"/>
      <sheetName val="Art.25 Inst."/>
      <sheetName val="Art.25 Inst. (E)"/>
      <sheetName val="Reconcile23"/>
      <sheetName val="Balancesheets-I"/>
      <sheetName val="Balancesheet-E"/>
      <sheetName val="TB1197"/>
      <sheetName val="penyusutan(I)"/>
      <sheetName val="FI-1771-P1"/>
      <sheetName val="FI-1771-P2"/>
      <sheetName val="NOPEMBER"/>
      <sheetName val="REKAP BULANAN"/>
      <sheetName val="21-A"/>
      <sheetName val="data-21-A"/>
      <sheetName val="21-A12"/>
      <sheetName val="Depr 2001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Interface"/>
      <sheetName val="s_annual_fsjun03"/>
      <sheetName val="s_annual_1"/>
      <sheetName val="s_annual_2"/>
      <sheetName val="s_annual_3"/>
      <sheetName val="commissioners"/>
      <sheetName val="d_com"/>
      <sheetName val="expo"/>
      <sheetName val="Avg spread"/>
      <sheetName val="NII"/>
      <sheetName val="exp_deducted"/>
      <sheetName val="roe"/>
      <sheetName val="pfm"/>
      <sheetName val="App 2"/>
      <sheetName val="SUD"/>
      <sheetName val="STB"/>
      <sheetName val="JKK"/>
      <sheetName val="AKTIVA1TB"/>
      <sheetName val="AKTIVA2TB"/>
      <sheetName val="AKTIVAMDN"/>
      <sheetName val="OoR-AKTIVA1TB"/>
      <sheetName val="OoR-AKTIVA3TB"/>
      <sheetName val="OoR-AKTIVA4TB"/>
      <sheetName val="F-05"/>
      <sheetName val="F-07 "/>
      <sheetName val="F-07 A"/>
      <sheetName val="F-07.01"/>
      <sheetName val="F-07.02"/>
      <sheetName val="F-07.03"/>
      <sheetName val="F-07.04"/>
      <sheetName val="F-07.06"/>
      <sheetName val="F-07.06 A"/>
      <sheetName val="F-07.07"/>
      <sheetName val="F-07.07 A"/>
      <sheetName val="LMA 7 Peb"/>
      <sheetName val=" LMA 14 Peb"/>
      <sheetName val="LMA 21 Peb"/>
      <sheetName val="LMA 28 Peb"/>
      <sheetName val="Marshall-JSS"/>
      <sheetName val="Marshall-CMA"/>
      <sheetName val="F1771-VI"/>
      <sheetName val="Peny-JSS"/>
      <sheetName val="Peny-CMA"/>
      <sheetName val="TaxCMA"/>
      <sheetName val="TaxJSS"/>
      <sheetName val="PLconsold"/>
      <sheetName val="pph-25"/>
      <sheetName val="25installment"/>
      <sheetName val="Reasonableness test"/>
      <sheetName val="JE"/>
      <sheetName val="TB YTD"/>
      <sheetName val="TB Current"/>
      <sheetName val="VATO"/>
      <sheetName val="BSD"/>
      <sheetName val="COA Definition"/>
      <sheetName val="To Do"/>
      <sheetName val="Calender"/>
      <sheetName val="Knowledge Index"/>
      <sheetName val="3800 mapping"/>
      <sheetName val="TB 31.12.02"/>
      <sheetName val="3800 2001"/>
      <sheetName val="TNG-GDG1"/>
      <sheetName val="MESIN1"/>
      <sheetName val="PABRIK1"/>
      <sheetName val="TNG-GDG1 disp Nov"/>
      <sheetName val="MESIN1 disp Nov"/>
      <sheetName val="PABRIK1 disp Nov"/>
      <sheetName val="IS disp Nov"/>
      <sheetName val="TNG-GDG1 disp Mei"/>
      <sheetName val="MESIN1 disp Mei"/>
      <sheetName val="WORKSHOP disp Mei"/>
      <sheetName val="PABRIK1 disp Mei"/>
      <sheetName val="LAB disp Mei"/>
      <sheetName val="I-KANTOR disp Mei"/>
      <sheetName val="instalasi disp Mei"/>
      <sheetName val="Inventory Lead "/>
      <sheetName val="COGS Lead"/>
      <sheetName val="Detail COGS"/>
      <sheetName val="Gross Margin"/>
      <sheetName val="Unearned premiums"/>
      <sheetName val="Cadangan premi"/>
      <sheetName val="List of Doc Received"/>
      <sheetName val="FisLoss95"/>
      <sheetName val="IntrVSLoan"/>
      <sheetName val="OperLease95"/>
      <sheetName val="SP-Semarang"/>
      <sheetName val="Reklas"/>
      <sheetName val="akumulasi kerugian"/>
      <sheetName val="Marshal 2nd draft"/>
      <sheetName val="Marshal 1st draft"/>
      <sheetName val="Art. 23"/>
      <sheetName val="PUBLISINDO"/>
      <sheetName val="Art. 25 calc"/>
      <sheetName val="Angsuran PPh 25"/>
      <sheetName val="Marshal-KSO"/>
      <sheetName val="Marshal-MGTI"/>
      <sheetName val="Penyusutan5.1"/>
      <sheetName val="Penyusutan5.2"/>
      <sheetName val="Depr Schedule"/>
      <sheetName val="CIP2000"/>
      <sheetName val="Pemegang saham"/>
      <sheetName val="shareholder"/>
      <sheetName val="Op HU"/>
      <sheetName val="1001 Op"/>
      <sheetName val="1002 Cap"/>
      <sheetName val="BNI HU"/>
      <sheetName val="1003 BNI"/>
      <sheetName val="1005 Amro"/>
      <sheetName val="1007 Kas"/>
      <sheetName val="1009 VICO"/>
      <sheetName val="1102 PU"/>
      <sheetName val="IC"/>
      <sheetName val="IC kurs"/>
      <sheetName val="Depr Eng"/>
      <sheetName val="Depr Ind"/>
      <sheetName val="Fa disposal-fiscal"/>
      <sheetName val="Fa disposal-fiscal Ind"/>
      <sheetName val="Fa disposal-commerce"/>
      <sheetName val="Exit Tax"/>
      <sheetName val="Entertainment Eng"/>
      <sheetName val="Installments"/>
      <sheetName val="Installments (2)"/>
      <sheetName val="Attachments"/>
      <sheetName val="Depresiasi total"/>
      <sheetName val="Daftar depresiasi"/>
      <sheetName val="Rekonsiliasi aktiva tetap"/>
      <sheetName val="Attachment-Version 2"/>
      <sheetName val="Marshal (2)"/>
      <sheetName val="Marshal (1)"/>
      <sheetName val="List of attachments"/>
      <sheetName val="Attachment-Version 1 "/>
      <sheetName val="FA Addition (Revised)"/>
      <sheetName val="FA Addition (1)"/>
      <sheetName val="Fiscal Exit Tax"/>
      <sheetName val="Taxcomput"/>
      <sheetName val="Biaya lain2"/>
      <sheetName val="taxcorrection"/>
      <sheetName val="Art 25 Paid"/>
      <sheetName val="Art 21 recon"/>
      <sheetName val="penyusutan-eng"/>
      <sheetName val="Penyusutan (2)"/>
      <sheetName val="1771-Y I"/>
      <sheetName val="1771-Y E"/>
      <sheetName val="Lampiran (E)"/>
      <sheetName val="Depresiasi (E)"/>
      <sheetName val="B8"/>
      <sheetName val="H1.A"/>
      <sheetName val="H1.B"/>
      <sheetName val="H1.C"/>
      <sheetName val="I1.A"/>
      <sheetName val="I1.B"/>
      <sheetName val="L1.A"/>
      <sheetName val="L1.B"/>
      <sheetName val="L1.C"/>
      <sheetName val="R1.B"/>
      <sheetName val="R1.A"/>
      <sheetName val="ARPPL"/>
      <sheetName val="ARPBS"/>
      <sheetName val="DT2005"/>
      <sheetName val="W-CF"/>
      <sheetName val="ARP"/>
      <sheetName val="C10"/>
      <sheetName val="T3.1"/>
      <sheetName val="WBS (T3)"/>
      <sheetName val="Ratio(Int)"/>
      <sheetName val="Ratio(YE)"/>
      <sheetName val="Inc. Stat"/>
      <sheetName val="BS 2006"/>
      <sheetName val="AJE-2006-interim (2)"/>
      <sheetName val="List of Pending"/>
      <sheetName val="ratio analysis"/>
      <sheetName val="tb (excell) dec 2005"/>
      <sheetName val="tb 2004 (2)"/>
      <sheetName val="Ratio analysis SA"/>
      <sheetName val="BS&amp;IS"/>
      <sheetName val="SAD-Dec"/>
      <sheetName val="SUAD"/>
      <sheetName val="SAD-SEpt(2)"/>
      <sheetName val="SAD-June "/>
      <sheetName val="Omission and error"/>
      <sheetName val="Cash Flows Workpapers Indirect"/>
      <sheetName val="AI-1"/>
      <sheetName val="AI-2"/>
      <sheetName val="AII-1"/>
      <sheetName val="AII-2"/>
      <sheetName val="AII-3"/>
      <sheetName val="AII-4"/>
      <sheetName val="AII-5"/>
      <sheetName val="AII-6"/>
      <sheetName val="AII-7"/>
      <sheetName val="AIV-1"/>
      <sheetName val="S-A"/>
      <sheetName val="SA-1"/>
      <sheetName val="S-B"/>
      <sheetName val="S-B2"/>
      <sheetName val="S-C"/>
      <sheetName val="S-C1"/>
      <sheetName val="S-F"/>
      <sheetName val="S-E"/>
      <sheetName val="S-F1"/>
      <sheetName val="S-G"/>
      <sheetName val="S-H"/>
      <sheetName val="S-I"/>
      <sheetName val="S-I1"/>
      <sheetName val="S-I2"/>
      <sheetName val="S-I3"/>
      <sheetName val="S-J"/>
      <sheetName val="S-K"/>
      <sheetName val="S-P"/>
      <sheetName val="S-P1"/>
      <sheetName val="S-P2"/>
      <sheetName val="S-P3"/>
      <sheetName val="S-P4"/>
      <sheetName val="M-2a Local"/>
      <sheetName val="M-2a Export"/>
      <sheetName val="M-3a"/>
      <sheetName val="M-3b"/>
      <sheetName val="M-5 (Type)"/>
      <sheetName val="M-5 (Brand)"/>
      <sheetName val="M-5a"/>
      <sheetName val="M-5b"/>
      <sheetName val="M-6"/>
      <sheetName val="M-7"/>
      <sheetName val="M-8"/>
      <sheetName val="M-9"/>
      <sheetName val="M-10"/>
      <sheetName val="M-10a"/>
      <sheetName val="M-10b"/>
      <sheetName val="M-11"/>
      <sheetName val="M-12"/>
      <sheetName val="M-13"/>
      <sheetName val="M-14"/>
      <sheetName val="M-15"/>
      <sheetName val="Marshal (3)"/>
      <sheetName val="Marshal (4)"/>
      <sheetName val="4th of 2001"/>
      <sheetName val="director"/>
      <sheetName val="FA-gainloss"/>
      <sheetName val="Laba-rugi aktiva"/>
      <sheetName val="peny-2001"/>
      <sheetName val="Depr-2001"/>
      <sheetName val="1770-Y"/>
      <sheetName val="4300"/>
      <sheetName val="6700"/>
      <sheetName val="6400"/>
      <sheetName val="6120"/>
      <sheetName val="6110"/>
      <sheetName val="Depr fiskal2006"/>
      <sheetName val="CIT 2006"/>
      <sheetName val="CIT 2005"/>
      <sheetName val="FA Fiscal 2005"/>
      <sheetName val="Tax BTJ 2006"/>
      <sheetName val="CITR Cal"/>
      <sheetName val="ERWIN"/>
      <sheetName val="Depreciation "/>
      <sheetName val="Dep-detailed"/>
      <sheetName val="Gain "/>
      <sheetName val="Att. 9"/>
      <sheetName val="F1771-1"/>
      <sheetName val="F1771-2"/>
      <sheetName val="F1771-3"/>
      <sheetName val="F1771-4"/>
      <sheetName val="F1771-5"/>
      <sheetName val="Attachment (2)"/>
      <sheetName val="Life- QBR"/>
      <sheetName val="Life-data"/>
      <sheetName val="Life - Guidelines"/>
      <sheetName val="P&amp;C- QBR"/>
      <sheetName val="P&amp;C -data"/>
      <sheetName val="P&amp;C - Guidelines"/>
      <sheetName val="Reinsurance - QBR"/>
      <sheetName val="Reinsurance - data"/>
      <sheetName val="Reinsurance -Guidelines"/>
      <sheetName val="Asset management -QBR"/>
      <sheetName val="asset management -data"/>
      <sheetName val="Asset managment - Guidelines"/>
      <sheetName val="Bank - QBR"/>
      <sheetName val="Bank - data"/>
      <sheetName val="Bank - Guidelines"/>
      <sheetName val="Global risks - QBR"/>
      <sheetName val="Global risks- data"/>
      <sheetName val="Lifedata"/>
      <sheetName val="Health-QBR"/>
      <sheetName val="HEALTH DATA"/>
      <sheetName val="Q-PC1"/>
      <sheetName val="Q-PC2"/>
      <sheetName val="NCQ-EXP"/>
      <sheetName val="QBR - P&amp;C"/>
      <sheetName val="P&amp;C data"/>
      <sheetName val="P&amp;C guidelines"/>
      <sheetName val="UPR"/>
      <sheetName val="IBNR"/>
      <sheetName val="List att."/>
      <sheetName val="Depreciation - Mulyo"/>
      <sheetName val="Neraca - Auidt"/>
      <sheetName val="Perhitungan PPh 25"/>
      <sheetName val="Fiscal Corr."/>
      <sheetName val="Corporate Reporter"/>
      <sheetName val="FX Exposure"/>
      <sheetName val="Trial Bal"/>
      <sheetName val="Aug 02"/>
      <sheetName val="June 02"/>
      <sheetName val="May 02"/>
      <sheetName val="April 02"/>
      <sheetName val="Mar 02"/>
      <sheetName val="Feb02"/>
      <sheetName val="Jan02"/>
      <sheetName val="Dec01"/>
      <sheetName val="1771-1"/>
      <sheetName val="1771-2"/>
      <sheetName val="Cad_Tbs Mob"/>
      <sheetName val="Cad_HPP"/>
      <sheetName val="P&amp;B_Selain_Bunga_2005 (2)"/>
      <sheetName val="Skema jual"/>
      <sheetName val="JUAL_UNIT"/>
      <sheetName val="Angs. Jual_05"/>
      <sheetName val="Plan Piutg 2005"/>
      <sheetName val="Pendap&amp;Beban Lain"/>
      <sheetName val="Rkp Anggaran"/>
      <sheetName val="Penebusan"/>
      <sheetName val="P&amp;B_Selain_Bunga_2005"/>
      <sheetName val="P&amp;B_Selain_Bunga_2004"/>
      <sheetName val="Omzet_Spareparts_2005"/>
      <sheetName val="Omzet_Spareparts_2004"/>
      <sheetName val="Omzet Service"/>
      <sheetName val="Biaya Umum &amp; Adm"/>
      <sheetName val="Biaya Umum &amp; Adm (2)"/>
      <sheetName val="Angs.Bank"/>
      <sheetName val="Hutang Lainnya"/>
      <sheetName val="Bayar Tebus"/>
      <sheetName val="Angs.B.Group"/>
      <sheetName val="Slide by month"/>
      <sheetName val="Breakdown-KPI"/>
      <sheetName val="fin bud OPU Transport"/>
      <sheetName val="KPI Difinisi"/>
      <sheetName val="KPI PER BULAN"/>
      <sheetName val="Financialhighlight"/>
      <sheetName val="Unit Opr"/>
      <sheetName val="Komp. Budget"/>
      <sheetName val="Rev.COGS.OPEX Bizplan 09"/>
      <sheetName val="CM-COST"/>
      <sheetName val="Analisa Revenue"/>
      <sheetName val="Review Tgl 15"/>
      <sheetName val="MPP Bizplan 09"/>
      <sheetName val="Sumber Data"/>
      <sheetName val="MARKETING"/>
      <sheetName val="HR 09"/>
      <sheetName val="HR 08"/>
      <sheetName val="CAPEX KENDRAAN"/>
      <sheetName val="CAPEX NON KENDARAAN"/>
      <sheetName val="NEWDEBT"/>
      <sheetName val="PENJUALAN ASSET"/>
      <sheetName val="TLP"/>
      <sheetName val="TRAINING"/>
      <sheetName val="CUSTUME"/>
      <sheetName val="USI3"/>
      <sheetName val="LIST dn (4)"/>
      <sheetName val="LIST dn (3)"/>
      <sheetName val="LIST dn (2)"/>
      <sheetName val="dwim3 (2)"/>
      <sheetName val="dwim3"/>
      <sheetName val="dwim2"/>
      <sheetName val="DWIM"/>
      <sheetName val="MIRA"/>
      <sheetName val="MITSU (2)"/>
      <sheetName val="MITSU"/>
      <sheetName val="NUSA"/>
      <sheetName val="CABDI"/>
      <sheetName val="SSL"/>
      <sheetName val="SNP (3)"/>
      <sheetName val="SNP (2)"/>
      <sheetName val="SNP"/>
      <sheetName val="CHYSLO (5)"/>
      <sheetName val="CHYSLO (6)"/>
      <sheetName val="CHYSLO (7)"/>
      <sheetName val="CHYSLO (3)"/>
      <sheetName val="CHYSLO (4)"/>
      <sheetName val="CHYSLO (2)"/>
      <sheetName val="CHYSLO"/>
      <sheetName val="BALINDO"/>
      <sheetName val="Lima Saudara (2)"/>
      <sheetName val="Lima Saudara"/>
      <sheetName val="ABP REv"/>
      <sheetName val="dmp"/>
      <sheetName val="CBSP"/>
      <sheetName val="USI"/>
      <sheetName val="DGI"/>
      <sheetName val="MELATY"/>
      <sheetName val="kbm"/>
      <sheetName val="ABP"/>
      <sheetName val="MIGS"/>
      <sheetName val="LIST dn"/>
      <sheetName val="MASTER (2)"/>
      <sheetName val="MINGGUAN"/>
      <sheetName val="Bulan"/>
      <sheetName val="Bulldozer"/>
      <sheetName val="Drill"/>
      <sheetName val="Shovel"/>
      <sheetName val="Excavator"/>
      <sheetName val="Tronton"/>
      <sheetName val="Crusher"/>
      <sheetName val="Handak"/>
      <sheetName val="OLI"/>
      <sheetName val="rata-rata"/>
      <sheetName val="Rencana"/>
      <sheetName val="MARMER"/>
      <sheetName val="TRASS"/>
      <sheetName val="OLI PAKAI"/>
      <sheetName val="SPARE PART"/>
      <sheetName val="OLI HEQ"/>
      <sheetName val="DOR"/>
      <sheetName val="Ref- Curr. code"/>
      <sheetName val="worksheet DBP updated march16"/>
      <sheetName val="CODE,NAME"/>
      <sheetName val="description"/>
      <sheetName val="Marshal -1"/>
      <sheetName val="ING Basis"/>
      <sheetName val="TB 2006"/>
      <sheetName val="Shunde"/>
      <sheetName val="KNIT"/>
      <sheetName val="SCORE_RC_Code"/>
      <sheetName val="K.3.3"/>
      <sheetName val="OFFICE"/>
      <sheetName val="Exc. Rate"/>
      <sheetName val="Order_Nov_w45"/>
      <sheetName val="bantu"/>
      <sheetName val="TAX LIST"/>
      <sheetName val="Journal Template"/>
      <sheetName val="A.4. Trial Balance"/>
      <sheetName val="A.4.1 AKTIVA"/>
      <sheetName val="A.4.2 PASIVA"/>
      <sheetName val="A.4.3 P&amp;L"/>
      <sheetName val=" CAJE"/>
      <sheetName val="C.1 - C-4 Bank Recons"/>
      <sheetName val="C.5 Deposit on call"/>
      <sheetName val="C.6 Bank CO"/>
      <sheetName val="CC. BAnk Confirmation Control"/>
      <sheetName val="E. Lead"/>
      <sheetName val="E-1. Reval Forex"/>
      <sheetName val="E.1.1 SUMMARY  Aging AR"/>
      <sheetName val="E-1.1.1 AGING AR"/>
      <sheetName val="E-2 Mutation Of AR_2"/>
      <sheetName val="E-3 subsequent"/>
      <sheetName val="E-4.SUMARY ROLL FRWRD AR"/>
      <sheetName val="E4.1.PERTAMINA"/>
      <sheetName val="E- 4.2 SCU"/>
      <sheetName val="E-4.3ELMIK"/>
      <sheetName val="E-4.4 EWS"/>
      <sheetName val="E-4.5MDM"/>
      <sheetName val="E-4.6ANADARCO"/>
      <sheetName val="EE. Confirmation control"/>
      <sheetName val="G-1.1 Adv Project - Intrcm"/>
      <sheetName val=" G-1.2 Detail Adv Employee"/>
      <sheetName val="G-1.3AGING ADVANCE"/>
      <sheetName val="G-1.4 Subsequent ADV_EMPY"/>
      <sheetName val=" G-1.5Subsequent ADV_INTCM"/>
      <sheetName val="G-2.1Art 22"/>
      <sheetName val="G2.2Prepaid 23"/>
      <sheetName val="G-2.3Prepaid 25"/>
      <sheetName val="G-2.4PPN"/>
      <sheetName val="K-Lead"/>
      <sheetName val="K-1 Mutasi "/>
      <sheetName val="K-1.1 Detail Acquisition"/>
      <sheetName val="K-1.1.1 detail FA"/>
      <sheetName val="L. Deferred Tax"/>
      <sheetName val="L.1 PPH_BADAN"/>
      <sheetName val="L-1.1 Rincian_Koreksi_Fiscal"/>
      <sheetName val="N. Lead"/>
      <sheetName val="N.1PRHTNGAN AP-KURS DEC 29,2006"/>
      <sheetName val="N.1.1 SUMMARY Aging AP "/>
      <sheetName val="N.1.1.1Aging AP"/>
      <sheetName val="N.2 MUTATION OF AP"/>
      <sheetName val="N.3 Subsequent AP"/>
      <sheetName val="NN. Confr Control AP"/>
      <sheetName val="N-4 SUMMARY ROLL FRWRD AP"/>
      <sheetName val="N-4.1 PATRA LOGISTIK"/>
      <sheetName val="N-4.2 SCU"/>
      <sheetName val="N-4.3 GEOSAINS"/>
      <sheetName val="N-4.4ELNUSA -HOLDING"/>
      <sheetName val="N-4.5 TRIAS"/>
      <sheetName val="N-4.6 KOP Expro"/>
      <sheetName val="N-4.7 Allen"/>
      <sheetName val="O. Tax Payable"/>
      <sheetName val="O-1 PPh4(3)"/>
      <sheetName val="O-1,1"/>
      <sheetName val="O-2 pph pasal 23"/>
      <sheetName val="O-2.1."/>
      <sheetName val="O-3 PPh21 (2)"/>
      <sheetName val="P-1. CUSTOMER DEPOSIT"/>
      <sheetName val="P-1.1 KURS - DEC 29, 2006"/>
      <sheetName val="P-1.2 DETAIL CUST DEPOSIT"/>
      <sheetName val="P-2. Accrued Expense"/>
      <sheetName val="p2.1DETAIL_Acc Aff"/>
      <sheetName val="P2.2DETAIL ACCR INTRCMP"/>
      <sheetName val="P2.3DETAIL ACCR TP"/>
      <sheetName val="P2.4 Subsequent Accrued"/>
      <sheetName val="P-3. GR_IR ACCOUNT"/>
      <sheetName val="P-3.1 detail GR_IR"/>
      <sheetName val="Q. Lead"/>
      <sheetName val="Q.1 Aging Long Term Payable"/>
      <sheetName val="R. Other liabilities"/>
      <sheetName val="T. equity"/>
      <sheetName val="TT Confirmation Control"/>
      <sheetName val="U-1. Revenue"/>
      <sheetName val="U-1.1  DETAIL AFFILIATED"/>
      <sheetName val="U-1.2 DETAIL INTERCOMPANY"/>
      <sheetName val="U-1.3 DETAIL THIRD PARTY"/>
      <sheetName val="U-1.4 Cut Off Revenue"/>
      <sheetName val="U-2. Cost of sales"/>
      <sheetName val="U-2.1detail cost of sales"/>
      <sheetName val="U-3. Operating Exp"/>
      <sheetName val="U-3.1detail operating exp"/>
      <sheetName val="U-4. Other Incm (Exp)"/>
      <sheetName val="COGS STD"/>
      <sheetName val="COGS cek"/>
      <sheetName val="COGS upload"/>
      <sheetName val="ALL ok"/>
      <sheetName val="COGS utk di upload"/>
      <sheetName val="ReportSales"/>
      <sheetName val="COGS Utk Upload"/>
      <sheetName val="TOP Report"/>
      <sheetName val="F1-09"/>
      <sheetName val="F2-09"/>
      <sheetName val="F3-09"/>
      <sheetName val="Jurnal Dividen-Kalbe"/>
      <sheetName val="Elim Summary"/>
      <sheetName val="Consolidation (MI)"/>
      <sheetName val="KAgeo"/>
      <sheetName val="Adj consol"/>
      <sheetName val="TBMAP-HO"/>
      <sheetName val="TB-HO"/>
      <sheetName val="Adjusting Entries"/>
      <sheetName val="TB-HO-07-&amp; 06"/>
      <sheetName val="Ratios"/>
      <sheetName val="Internal AJE"/>
      <sheetName val="NewTB"/>
      <sheetName val="Investment SAAC"/>
      <sheetName val="GLInvestment"/>
      <sheetName val="TB_CW"/>
      <sheetName val="TB_CW (2)"/>
      <sheetName val="TBMAP-HO (2)"/>
      <sheetName val="BUKTI JURNAL"/>
      <sheetName val="KERTAS KERJA TB"/>
      <sheetName val="F3 NRV test"/>
      <sheetName val="Rollforward"/>
      <sheetName val="Q1 Lead WB"/>
      <sheetName val="Q1.1"/>
      <sheetName val="Q1.2 Agreement"/>
      <sheetName val="Q1.2.1 Covenant"/>
      <sheetName val="QQ1"/>
      <sheetName val="Q1 Lead SJ"/>
      <sheetName val="Q2.1 Agreement"/>
      <sheetName val="Q2.1.1 Covenant"/>
      <sheetName val="Q2.2 Summary Interest"/>
      <sheetName val="QQ2"/>
      <sheetName val="E Lead - WB"/>
      <sheetName val="E-1.3 Cut off Sales"/>
      <sheetName val="E Lead - SH"/>
      <sheetName val="E Lead - KB"/>
      <sheetName val="E-3.2"/>
      <sheetName val="E-3.3 Cut off Sales "/>
      <sheetName val="E Lead - U2"/>
      <sheetName val="E-4.2"/>
      <sheetName val="E-4.3 Cut off Sales  "/>
      <sheetName val="Montlhy Analysis"/>
      <sheetName val="Net"/>
      <sheetName val="Debit"/>
      <sheetName val="TB-LPG"/>
      <sheetName val="C Significant Issue"/>
      <sheetName val="FormGL"/>
      <sheetName val="VA lead"/>
      <sheetName val="VA1 "/>
      <sheetName val="VA2"/>
      <sheetName val="Profitaly"/>
      <sheetName val="Sales-03 Revisi"/>
      <sheetName val="BS 09"/>
      <sheetName val="Lanjutan Jurnal"/>
      <sheetName val="kk-HPP"/>
      <sheetName val="kk-Sales Ytd 2007"/>
      <sheetName val="BS.2007"/>
      <sheetName val="IS (2)"/>
      <sheetName val="Jurnal cc"/>
      <sheetName val="Per 29 D"/>
      <sheetName val="RptTaxInvRekap.rpt"/>
      <sheetName val="AR Detail SPM bdg+mdn"/>
      <sheetName val="AR SPM RPTbdg+mdn"/>
      <sheetName val="Pocari"/>
      <sheetName val="AR Detail SPM"/>
      <sheetName val="AR SPM RPT"/>
      <sheetName val="TREND HO"/>
      <sheetName val="TREND AR SPM Gabungan"/>
      <sheetName val="BDG"/>
      <sheetName val="SUMMARY AR"/>
      <sheetName val="AR Detail DIST"/>
      <sheetName val="AR DIST RPT"/>
      <sheetName val="Bank Guarantee"/>
      <sheetName val="BG Triwulan"/>
      <sheetName val="List RK Dist"/>
      <sheetName val="Journal Memorial"/>
      <sheetName val="PL Summary"/>
      <sheetName val="PL Detail"/>
      <sheetName val="Ref 1"/>
      <sheetName val="Ref 1.2"/>
      <sheetName val="Ref 2"/>
      <sheetName val="Ref 3"/>
      <sheetName val="Ref 4"/>
      <sheetName val="Ref 5"/>
      <sheetName val="Ref 6"/>
      <sheetName val="Ref 7"/>
      <sheetName val="ID"/>
      <sheetName val="B3"/>
      <sheetName val="B32"/>
      <sheetName val="B4"/>
      <sheetName val="DA1"/>
      <sheetName val="DA2"/>
      <sheetName val="DA3"/>
      <sheetName val="DB1"/>
      <sheetName val="DB2"/>
      <sheetName val="DB3"/>
      <sheetName val="DB4"/>
      <sheetName val="KUM"/>
      <sheetName val="Sederhana"/>
      <sheetName val="Counts"/>
      <sheetName val="Manual"/>
      <sheetName val="Sales-1"/>
      <sheetName val="Sales-2"/>
      <sheetName val="Sales-3"/>
      <sheetName val="COGS "/>
      <sheetName val="Prod Cost (M)"/>
      <sheetName val="Prod Cost (Y)"/>
      <sheetName val="Other Inc-Exp"/>
      <sheetName val="Nop'07"/>
      <sheetName val="Dec'07"/>
      <sheetName val="Nov (koreksi)"/>
      <sheetName val="Dec'08"/>
      <sheetName val="BS 09 May"/>
      <sheetName val="Denominated in Forex"/>
      <sheetName val="Analytical BS"/>
      <sheetName val="Analytical PL"/>
      <sheetName val="PM, TE &amp; SAD"/>
      <sheetName val="By Notes Layout"/>
      <sheetName val="Revised 7 Jan 2011"/>
      <sheetName val="MapData"/>
      <sheetName val="By Group Map"/>
      <sheetName val="LS AY and PY"/>
      <sheetName val="Con"/>
      <sheetName val="Uncon"/>
      <sheetName val="By.fkl"/>
      <sheetName val="Pyst.fkl"/>
      <sheetName val="Int.fkl"/>
      <sheetName val="Nrc.fkl"/>
      <sheetName val="nrc&amp;rl"/>
      <sheetName val="1771.I"/>
      <sheetName val="1771.I1c"/>
      <sheetName val="1771.I1e"/>
      <sheetName val="1771.I3"/>
      <sheetName val="1771.I4"/>
      <sheetName val="Aging Pulp"/>
      <sheetName val="BS.2010"/>
      <sheetName val="BS.01"/>
      <sheetName val="BS.02"/>
      <sheetName val="BS.03"/>
      <sheetName val="BS.04"/>
      <sheetName val="BS05"/>
      <sheetName val="BS.06"/>
      <sheetName val="BS.06 (2)"/>
      <sheetName val="BS.07"/>
      <sheetName val="BS.08"/>
      <sheetName val="BS 09A"/>
      <sheetName val="BS.8A"/>
      <sheetName val="TB 1010"/>
      <sheetName val="TB1209"/>
      <sheetName val="TB 1210"/>
      <sheetName val="TB Syteline"/>
      <sheetName val="BS.09A"/>
      <sheetName val="BS.10"/>
      <sheetName val="BS.11"/>
      <sheetName val="BS.12"/>
      <sheetName val="BS.12 (2)"/>
      <sheetName val="BS.13"/>
      <sheetName val="BS.14"/>
      <sheetName val="PPH 25Babp"/>
      <sheetName val="DivTax (2)"/>
      <sheetName val="Perhit.ERB"/>
      <sheetName val="DivTax"/>
      <sheetName val="Fiskal_09"/>
      <sheetName val="Draft CF"/>
      <sheetName val="TB Dec 10"/>
      <sheetName val="Ledger Dec 10"/>
      <sheetName val="CF - NEW"/>
      <sheetName val="by notes"/>
      <sheetName val="LS AY and PY(1)"/>
      <sheetName val="PL-lamp1771"/>
      <sheetName val="Notes_TA"/>
      <sheetName val="Notes-provision"/>
      <sheetName val="Notes-salary"/>
      <sheetName val="nde-jkt"/>
      <sheetName val="nde-bdg"/>
      <sheetName val="nde-sby"/>
      <sheetName val="Kom awal Depr'09"/>
      <sheetName val="Kom_09"/>
      <sheetName val="Capex'09"/>
      <sheetName val="Kom_2009"/>
      <sheetName val="POS DIPERIKSA"/>
      <sheetName val="B.3"/>
      <sheetName val="B.4"/>
      <sheetName val="PPN1"/>
      <sheetName val="PPN2"/>
      <sheetName val="PR"/>
      <sheetName val="Pos Koreksi"/>
      <sheetName val="B.3.1Penyusutan "/>
      <sheetName val="B.3.2"/>
      <sheetName val="DataWP"/>
      <sheetName val="Abstraksi "/>
      <sheetName val="PosDiperiksa"/>
      <sheetName val="B.2.1"/>
      <sheetName val="B.2.2"/>
      <sheetName val="B.2.3"/>
      <sheetName val="B.2.3.1"/>
      <sheetName val="B.3.1."/>
      <sheetName val="B.3.3"/>
      <sheetName val="B.3.4 "/>
      <sheetName val="E.7 hit PPN"/>
      <sheetName val="E.7.1 Rekap SPM"/>
      <sheetName val="E.7.2"/>
      <sheetName val="Nothit25"/>
      <sheetName val="Nothit21"/>
      <sheetName val="Nothit23"/>
      <sheetName val="NothitFinal "/>
      <sheetName val="NothitPPN"/>
      <sheetName val="Konpm"/>
      <sheetName val="Rekpk"/>
      <sheetName val="Rekpk2"/>
      <sheetName val="Rekpenj."/>
      <sheetName val="Stock Euy (3)"/>
      <sheetName val="DAFTAR PPh 23"/>
      <sheetName val="tELITI FK"/>
      <sheetName val="tELITI FK (2)"/>
      <sheetName val="Neraca WP"/>
      <sheetName val="Neraca FISKUS"/>
      <sheetName val="LR (2)"/>
      <sheetName val="LR (3)"/>
      <sheetName val="HPP SPAREPART"/>
      <sheetName val="BankBCA"/>
      <sheetName val="Analisa Penerimaan"/>
      <sheetName val="Analisa Pengeluaran"/>
      <sheetName val="Analisa Pengeluaran1"/>
      <sheetName val="Stock Euy"/>
      <sheetName val="Stock Euy (2)"/>
      <sheetName val="pENJ. NISSAN"/>
      <sheetName val="kkp21"/>
      <sheetName val="PPNKeluar "/>
      <sheetName val="PPNMasukan"/>
      <sheetName val="Lamp.LPP "/>
      <sheetName val="dataKPP"/>
      <sheetName val="Bypassindo 01"/>
      <sheetName val="Klarifikasi PM"/>
      <sheetName val="Klarifikasi PPN"/>
      <sheetName val="Lamp."/>
      <sheetName val="Neraca FISKUS (2)"/>
      <sheetName val="Arus Kas (2)"/>
      <sheetName val="Stock (2)"/>
      <sheetName val="Stock (3)"/>
      <sheetName val="StockSuzuki"/>
      <sheetName val="StockNissan"/>
      <sheetName val="StockHino"/>
      <sheetName val="Stock Mazda"/>
      <sheetName val="TOT PENJ"/>
      <sheetName val="Suzuki"/>
      <sheetName val=" Nissan"/>
      <sheetName val="Hino"/>
      <sheetName val="SUJA-SALES"/>
      <sheetName val="LOAN-CJI"/>
      <sheetName val="SUMMARY-SUJA"/>
      <sheetName val="SUMMARY ALL REL PARTIES"/>
      <sheetName val="REL PARTY FOR CONSOLIDATION"/>
      <sheetName val="REMAINDER AP-USD"/>
      <sheetName val="REM AP 31122005"/>
      <sheetName val="INVENTORY REL PART"/>
      <sheetName val="pend"/>
      <sheetName val="PPN masa"/>
      <sheetName val="hit ulang99"/>
      <sheetName val="INDUK 99"/>
      <sheetName val="INDUK II 99"/>
      <sheetName val="INDUK III 99 "/>
      <sheetName val="TOTAL TAX 99"/>
      <sheetName val="BREDOWN 1999 "/>
      <sheetName val="RENT AND TAX 99"/>
      <sheetName val="Psl 21 99"/>
      <sheetName val="1996"/>
      <sheetName val="INDUK 96"/>
      <sheetName val="INDUK II 96"/>
      <sheetName val="INDUK III 96"/>
      <sheetName val="TOTAL TAX 96"/>
      <sheetName val="BREDOWN 1996 "/>
      <sheetName val="RENT AND TAX 96"/>
      <sheetName val="RENT AND TAX 96 (2)"/>
      <sheetName val="23masa"/>
      <sheetName val="Psl 21 96"/>
      <sheetName val="1995"/>
      <sheetName val="objek 2326 95"/>
      <sheetName val="kredit pph"/>
      <sheetName val="INDUK 95"/>
      <sheetName val="INDUK II 95"/>
      <sheetName val="INDUK III 95 "/>
      <sheetName val="TOTAL TAX 95"/>
      <sheetName val="BREDOWN CP 1995 "/>
      <sheetName val="DEPRESS 9596"/>
      <sheetName val="RENT AND TAX 95"/>
      <sheetName val="Psl 21 95"/>
      <sheetName val="TOTAL TAX 99 96 95"/>
      <sheetName val="INDUK min 99"/>
      <sheetName val="TOTAL TAX min 99 96 95 "/>
      <sheetName val="INDUK min 99 (2)"/>
      <sheetName val="interest 99"/>
      <sheetName val="PH LUAR"/>
      <sheetName val="Worksheet Jan-Jun 2004"/>
      <sheetName val="Worksheet Jul-Dec 2004"/>
      <sheetName val="opinides"/>
      <sheetName val="BSvsNOTES"/>
      <sheetName val="rekaplapkeu"/>
      <sheetName val="AJE_JUL-DES"/>
      <sheetName val="TAXreconc"/>
      <sheetName val="Txrec_indo"/>
      <sheetName val="ACc dep FA"/>
      <sheetName val="C_E"/>
      <sheetName val="cttan&amp;DAFT.PRTNYAAN(PNDINGWORK)"/>
      <sheetName val="EE Sales"/>
      <sheetName val="NN Purchase"/>
      <sheetName val="TT equity"/>
      <sheetName val="QQ Loan"/>
      <sheetName val="NN AP"/>
      <sheetName val="EE AR"/>
      <sheetName val="CC Banks"/>
      <sheetName val="CF supp-2002 (2)"/>
      <sheetName val="Mflow (2)"/>
      <sheetName val="Reval"/>
      <sheetName val="summarry"/>
      <sheetName val="EE Lead"/>
      <sheetName val="E1.9"/>
      <sheetName val="CAT"/>
      <sheetName val="KKN"/>
      <sheetName val="rek.pem"/>
      <sheetName val="sel-penj"/>
      <sheetName val="AJE01"/>
      <sheetName val="M Lead"/>
      <sheetName val="M1.1"/>
      <sheetName val="M1.2"/>
      <sheetName val="M1.3"/>
      <sheetName val="M1.4"/>
      <sheetName val="M1.4.1"/>
      <sheetName val="M1.5"/>
      <sheetName val="GL interest expense"/>
      <sheetName val="M2.1"/>
      <sheetName val="MM Lead"/>
      <sheetName val="opini_07"/>
      <sheetName val="Client RE"/>
      <sheetName val="Cover_07"/>
      <sheetName val="isi_07"/>
      <sheetName val="skat_07"/>
      <sheetName val="BS-09"/>
      <sheetName val="PL-09"/>
      <sheetName val="EQ-09"/>
      <sheetName val="CF-09"/>
      <sheetName val="CLK-09"/>
      <sheetName val="ws_new"/>
      <sheetName val="WS-2009"/>
      <sheetName val="bs_07"/>
      <sheetName val="pl_07"/>
      <sheetName val="cf_07"/>
      <sheetName val="ws_07"/>
      <sheetName val="ws_06"/>
      <sheetName val="fa_audited_06_07"/>
      <sheetName val="ws_07 (2)"/>
      <sheetName val="aje_07"/>
      <sheetName val="aje_cleint"/>
      <sheetName val="clk_06"/>
      <sheetName val="aje_06"/>
      <sheetName val="Lampiran piutang 2007"/>
      <sheetName val="Lampiran Utang 2007"/>
      <sheetName val="aje_2007"/>
      <sheetName val="Cover_06"/>
      <sheetName val="isi_06"/>
      <sheetName val="skat_06"/>
      <sheetName val="opini_06"/>
      <sheetName val="bs_06"/>
      <sheetName val="pl_06"/>
      <sheetName val="eq_06"/>
      <sheetName val="cf_06"/>
      <sheetName val="Lamp 1 Piutang"/>
      <sheetName val="rincian_PPN"/>
      <sheetName val="ARUS KAS TIDAK LANGSUNG"/>
      <sheetName val="REKAP_KAS 2006"/>
      <sheetName val="ATFISKAL06"/>
      <sheetName val="ATSGU06"/>
      <sheetName val="ATSGUFKL06"/>
      <sheetName val="Lamp 2a PiutangAfiliasi"/>
      <sheetName val="Lamp 2b PiutangLain"/>
      <sheetName val="Lamp 3a HutangBank"/>
      <sheetName val="Lamp 3b HutangUsaha"/>
      <sheetName val="Lam 3c HutangRelasi"/>
      <sheetName val="Lam 3d HutangAfiliasi"/>
      <sheetName val="Rincian Pjk21"/>
      <sheetName val="Rincian Pjk25"/>
      <sheetName val="Rincian Pjk PPN"/>
      <sheetName val="KIMA"/>
      <sheetName val="PBM"/>
      <sheetName val="TarikMundurKasPBM"/>
      <sheetName val="TarikMundurKasMKSR"/>
      <sheetName val="TarikMundurPersed"/>
      <sheetName val="PSAK46"/>
      <sheetName val="bunga KI 1001"/>
      <sheetName val="RE1001"/>
      <sheetName val="HutangBank1001"/>
      <sheetName val="OLAH22"/>
      <sheetName val="OLAH2"/>
      <sheetName val="Asuransi Kndraan"/>
      <sheetName val="Isi induk"/>
      <sheetName val="Note2009"/>
      <sheetName val="AJE.RJE"/>
      <sheetName val="AJE.RJE CLIENT"/>
      <sheetName val="Lampiran Adj 2009"/>
      <sheetName val="lampiran aset (2)"/>
      <sheetName val="lampiran aset"/>
      <sheetName val="Cover consol"/>
      <sheetName val="Isi consol"/>
      <sheetName val="opini consol"/>
      <sheetName val="Sekat consol"/>
      <sheetName val="Bs Consol"/>
      <sheetName val="pl consol"/>
      <sheetName val="eq consol"/>
      <sheetName val="CF Consol"/>
      <sheetName val="Notes consol"/>
      <sheetName val="J. ELIMINASI"/>
      <sheetName val="Rekap - Penyisihan piutang"/>
      <sheetName val="PROY Cab Real"/>
      <sheetName val="Jasa KOnstruksi"/>
      <sheetName val="Fab, Design dan Inst"/>
      <sheetName val="Industri PK"/>
      <sheetName val="Rekap - Piutang 2010"/>
      <sheetName val="saldo bank"/>
      <sheetName val="D.isi"/>
      <sheetName val="Arus Kas Langsung"/>
      <sheetName val="Aje Reclass"/>
      <sheetName val="UMBU"/>
      <sheetName val="analisisumbu"/>
      <sheetName val="Gabungan AMKA 2"/>
      <sheetName val="Gabungan AMKA 1"/>
      <sheetName val="GT_Mutasi"/>
      <sheetName val="Gabungan Pa' Yaqin"/>
      <sheetName val="DJK"/>
      <sheetName val="PLANT YK"/>
      <sheetName val="DFP BKS"/>
      <sheetName val="DFP SMG"/>
      <sheetName val="KALTIM"/>
      <sheetName val="SUMUT"/>
      <sheetName val="RIAU"/>
      <sheetName val="CABSUS"/>
      <sheetName val="UPL"/>
      <sheetName val="Alamat Piutang "/>
      <sheetName val="Final + Non Final"/>
      <sheetName val="Pajak Kini "/>
      <sheetName val="AJEKLIEN"/>
      <sheetName val="Subtotal"/>
      <sheetName val="Subtotal (2)"/>
      <sheetName val="UMBK"/>
      <sheetName val="PIUT1"/>
      <sheetName val="PIUT2"/>
      <sheetName val="PIUT3"/>
      <sheetName val="BDD"/>
      <sheetName val="Pdptn"/>
      <sheetName val="BAD"/>
      <sheetName val="Ut.UMP"/>
      <sheetName val="25-TR"/>
      <sheetName val="KODEPLAN"/>
      <sheetName val="25-SUBTOTAL"/>
      <sheetName val="neraca saldo awal"/>
      <sheetName val="25-SUBTOTAL (2)"/>
      <sheetName val="mutasi gabungan"/>
      <sheetName val="BIAYA REK AIR DAN LISTRIK"/>
      <sheetName val="25-SUBTOTAL (3)"/>
      <sheetName val="IURAN JAMSOSTEK"/>
      <sheetName val="DROPING DANA"/>
      <sheetName val="Daftar_Print"/>
      <sheetName val="inventaris kator"/>
      <sheetName val="alat angkut konstruksi"/>
      <sheetName val="inventaris pabrik "/>
      <sheetName val="inv rmh dinas"/>
      <sheetName val="kend opr"/>
      <sheetName val="peral pabrik bengkel"/>
      <sheetName val="perl proyek"/>
      <sheetName val="Koreksi Audited (2)"/>
      <sheetName val="Koreksi Audited"/>
      <sheetName val="PPH1298S"/>
      <sheetName val="sal april"/>
      <sheetName val="WS Report-Audited"/>
      <sheetName val="Cut-off"/>
      <sheetName val="segmen sales"/>
      <sheetName val="segmen piutang"/>
      <sheetName val="Pengalihan Tanah"/>
      <sheetName val="AktivaTetap"/>
      <sheetName val="Aktuaris FINAL"/>
      <sheetName val="COA (2)"/>
      <sheetName val="%Opini"/>
      <sheetName val="RE Recon"/>
      <sheetName val="Jurnal Elim"/>
      <sheetName val="Goodwill"/>
      <sheetName val="EL14-Minority"/>
      <sheetName val="Rent.Service.Royalty Income"/>
      <sheetName val="Jurnal Consol"/>
      <sheetName val="Identification"/>
      <sheetName val="Cash&amp;Equiv"/>
      <sheetName val="ShtTermInv"/>
      <sheetName val="AgingAR"/>
      <sheetName val="OR"/>
      <sheetName val="PPE"/>
      <sheetName val="Affco_transactionsNA"/>
      <sheetName val="due from-to"/>
      <sheetName val="Intangible assetsNA"/>
      <sheetName val="Deferred_tax"/>
      <sheetName val="LoansNA"/>
      <sheetName val="LOAN MUTATION"/>
      <sheetName val="Schedule-LT-LoanNA"/>
      <sheetName val="OL"/>
      <sheetName val="tax and taxes payable"/>
      <sheetName val="LONG TERM DEBTSNA"/>
      <sheetName val="Employee Benefit"/>
      <sheetName val="Foreign CurrencyNA"/>
      <sheetName val="collateralNA"/>
      <sheetName val="Sales &amp; Purchase"/>
      <sheetName val="COGS mutation"/>
      <sheetName val="Opex-Selling"/>
      <sheetName val="opex-G&amp;A"/>
      <sheetName val="Opex-R&amp;DNA"/>
      <sheetName val="Int inc (exp)"/>
      <sheetName val="Oth Inc (Charges)"/>
      <sheetName val="Segmen usaha-Kalbe"/>
      <sheetName val="segmen EPMT"/>
      <sheetName val="List of affiliates"/>
      <sheetName val="GPM"/>
      <sheetName val="ST-Invest."/>
      <sheetName val="SWAP"/>
      <sheetName val="Amt.rvd.HITACHI"/>
      <sheetName val="1214 Kartu"/>
      <sheetName val="附件21-1"/>
      <sheetName val="附件11"/>
      <sheetName val="CAJE RNI Summary"/>
      <sheetName val="CAJE RNI Detail"/>
      <sheetName val="MgmtTech fee"/>
      <sheetName val="Laverton"/>
      <sheetName val="Interest bearing receivable"/>
      <sheetName val="Other receivable "/>
      <sheetName val="Deferred tax Assets"/>
      <sheetName val="bank loan"/>
      <sheetName val="Capital stock"/>
      <sheetName val="Due to related party"/>
      <sheetName val="Penj-PSA"/>
      <sheetName val="Deferred provision for inc tax"/>
      <sheetName val="purchase cut-off"/>
      <sheetName val="payment AR 1-23Jan09"/>
      <sheetName val="11498001"/>
      <sheetName val="item schedule"/>
      <sheetName val="pekerjaan chart"/>
      <sheetName val="pekerjaan summary"/>
      <sheetName val="pekerjaan detail"/>
      <sheetName val="Rincian Investasi"/>
      <sheetName val="Proyeksi Sales"/>
      <sheetName val="Proyeksi COGS"/>
      <sheetName val="Perincian"/>
      <sheetName val="Project"/>
      <sheetName val="F1771_II"/>
      <sheetName val="F1771_III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AJP"/>
      <sheetName val="K Mutation Fiskal Konsol"/>
      <sheetName val="K 1 FA Mutation KDD"/>
      <sheetName val="K 2 FA Mutation WYG"/>
      <sheetName val="SG Rev&amp;Blog"/>
      <sheetName val="SG COS-Firium"/>
      <sheetName val="N1 Lead"/>
      <sheetName val="resume AP"/>
      <sheetName val="Details AP per "/>
      <sheetName val="Vendoras30nov2003"/>
      <sheetName val="AP intercompany"/>
      <sheetName val="GRIR"/>
      <sheetName val="SUROL"/>
      <sheetName val="advancevendoras30nov2003"/>
      <sheetName val="APNov2003"/>
      <sheetName val="Trash"/>
      <sheetName val="Trash2"/>
      <sheetName val="Trash3"/>
      <sheetName val="D#8_x0003_ª_x0000__x0000__x0000_Æ"/>
      <sheetName val="CFI"/>
      <sheetName val="BS (print)"/>
      <sheetName val="pl-"/>
      <sheetName val="pl- (2)"/>
      <sheetName val="TB (2)"/>
      <sheetName val="GJ"/>
      <sheetName val="LDG"/>
      <sheetName val="CF2.0"/>
      <sheetName val="By.Praoperasi(JULI)"/>
      <sheetName val="By Praoperasi agst"/>
      <sheetName val="By Praoperasi des"/>
      <sheetName val="B.Peny TRW II "/>
      <sheetName val="Penyst Juli"/>
      <sheetName val="Penyst Agustus"/>
      <sheetName val="Penyst Agustus (2)"/>
      <sheetName val="Penyst -2006"/>
      <sheetName val="bs-2006"/>
      <sheetName val="aktiva (2)"/>
      <sheetName val="pl agt"/>
      <sheetName val="CF1.0"/>
      <sheetName val="By.Praoperasi des"/>
      <sheetName val="B.Peny. mar"/>
      <sheetName val="B.Peny. jun"/>
      <sheetName val="B.Peny. jul"/>
      <sheetName val="B.Peny. AGT"/>
      <sheetName val="B.Peny. 2006"/>
      <sheetName val="BS-"/>
      <sheetName val="tes"/>
      <sheetName val="bs-audit"/>
      <sheetName val="p&amp;l-audit"/>
      <sheetName val="detail-bs-audit"/>
      <sheetName val="BBT-12'00"/>
      <sheetName val="BBT-01"/>
      <sheetName val="BBT-02"/>
      <sheetName val="BBT-03"/>
      <sheetName val="BBT-04"/>
      <sheetName val="BBT-05"/>
      <sheetName val="BBT-06"/>
      <sheetName val="BBT-07"/>
      <sheetName val="BBT-08"/>
      <sheetName val="BBT-09"/>
      <sheetName val="BBT-10"/>
      <sheetName val="BBT-11"/>
      <sheetName val="BBT-12"/>
      <sheetName val="PENY_tw1"/>
      <sheetName val="LIST_tw1"/>
      <sheetName val="Fin Highlights Revised $158m"/>
      <sheetName val="Working Capital - $83.6m"/>
      <sheetName val="Cost to complete - $19.808m"/>
      <sheetName val="AP Smy"/>
      <sheetName val="1.0 Oversea supplier 19-03-08"/>
      <sheetName val="Local Supplier 150608 Detail"/>
      <sheetName val="2.0 Local Supplier 15-06-08 Smy"/>
      <sheetName val="Post Dated Chequ Detail 180608"/>
      <sheetName val="3.0Post Dated Cheque smy 180608"/>
      <sheetName val="4.0 AP Overhead 15-06-08"/>
      <sheetName val="5.0 AP Contractor 160608"/>
      <sheetName val="AP CONT. PER PT"/>
      <sheetName val="Summary of Replacement Cost"/>
      <sheetName val="Acid1, Alco1 (R)"/>
      <sheetName val="DAP-CIP (DET)"/>
      <sheetName val="Alco2 (R)"/>
      <sheetName val="SMAP-CIP (DET)"/>
      <sheetName val="DAIP (R)"/>
      <sheetName val="DAIP-CIP (DET)"/>
      <sheetName val="DSIP (R)"/>
      <sheetName val="DSIP-CIP (DET)"/>
      <sheetName val="FSC (R)"/>
      <sheetName val="FSC-CIP (DET)"/>
      <sheetName val="SIP (R)"/>
      <sheetName val="Mar-02"/>
      <sheetName val="Feb-02"/>
      <sheetName val="Jan-02"/>
      <sheetName val="Dec-01"/>
      <sheetName val="Nov-01"/>
      <sheetName val="Oct-01"/>
      <sheetName val="Sep-01"/>
      <sheetName val="Aug-01"/>
      <sheetName val="Jul-01"/>
      <sheetName val="Jun-01"/>
      <sheetName val="May-01"/>
      <sheetName val="Apr-01"/>
      <sheetName val="Revenue Audit Program"/>
      <sheetName val="Cost &amp; Expenses Audit Program"/>
      <sheetName val="U1.3"/>
      <sheetName val="U1.4"/>
      <sheetName val="U1.5"/>
      <sheetName val="U1.6"/>
      <sheetName val="U1.7"/>
      <sheetName val="U2.3"/>
      <sheetName val="U3.1"/>
      <sheetName val="U3.2"/>
      <sheetName val="U3.3"/>
      <sheetName val="U3.4"/>
      <sheetName val="XXXXXXX"/>
      <sheetName val="WP "/>
      <sheetName val="Journal Unit "/>
      <sheetName val="LOAN CS &amp; MANDIRI"/>
      <sheetName val="AP-Advance sales-Due to"/>
      <sheetName val="AR-Advance-Due from"/>
      <sheetName val="SIP"/>
      <sheetName val="Inv.Equity"/>
      <sheetName val="acc_bal_mutation_consol"/>
      <sheetName val="CF-CONSO"/>
      <sheetName val="Rencana Tanam"/>
      <sheetName val="WorkSheet-produksi"/>
      <sheetName val="Rekap Produksi"/>
      <sheetName val="Standar"/>
      <sheetName val="SIMP"/>
      <sheetName val="Alokasi TBS"/>
      <sheetName val="CTP"/>
      <sheetName val="IP"/>
      <sheetName val="SP"/>
      <sheetName val="GMR"/>
      <sheetName val="SRE1"/>
      <sheetName val="SRE2"/>
      <sheetName val="SBE1"/>
      <sheetName val="SBE2"/>
      <sheetName val="KGP - KBE"/>
      <sheetName val="KGP - THE (Plasma)"/>
      <sheetName val="CNIS - KDE"/>
      <sheetName val="CNIS - SME (Plasma)"/>
      <sheetName val="CNIS - TME (Plasma)"/>
      <sheetName val="RAP - MME (Plasma)"/>
      <sheetName val="CKS - TPE (Plasma)"/>
      <sheetName val="ASP"/>
      <sheetName val="MSA - MRE"/>
      <sheetName val="MSA - MSE"/>
      <sheetName val="SBN - PGE"/>
      <sheetName val="KMS - PNE"/>
      <sheetName val="KMS - Karet"/>
      <sheetName val="Rencana PKS"/>
      <sheetName val="RAP - NSE"/>
      <sheetName val="CKS - SPE"/>
      <sheetName val="JS"/>
      <sheetName val="RAP - NSE Ext Yield"/>
      <sheetName val="CKS - SPE Ext Yield"/>
      <sheetName val="JS Ext Yield"/>
      <sheetName val="FFB Price"/>
      <sheetName val="CKS Production"/>
      <sheetName val="Actual &amp; Valuation by PY"/>
      <sheetName val="Summary of Value per Dec 06"/>
      <sheetName val="Summary by Year of Planting"/>
      <sheetName val="Solegna"/>
      <sheetName val="MMM"/>
      <sheetName val="PBJ"/>
      <sheetName val="TSP"/>
      <sheetName val="ARBV"/>
      <sheetName val="AI FINANCE"/>
      <sheetName val="Revisi"/>
      <sheetName val="MMM (A)"/>
      <sheetName val="Leasing-JAW-IDR"/>
      <sheetName val="Leasing-Emal-IDR"/>
      <sheetName val="Leasing-MMM-Dipo Star Fin-USD"/>
      <sheetName val="Leasing-MMM-Astragrapia-IDR"/>
      <sheetName val="Leasing-PBJ Dipo Star Finan"/>
      <sheetName val="Leasing-PP-Dipo Star Fin-USD"/>
      <sheetName val="sumary leasing"/>
      <sheetName val="5610"/>
      <sheetName val="5610.1"/>
      <sheetName val="5611"/>
      <sheetName val="5611.1"/>
      <sheetName val="5612"/>
      <sheetName val="5612.1"/>
      <sheetName val="5613"/>
      <sheetName val="5613.1"/>
      <sheetName val="5614"/>
      <sheetName val="5614.1"/>
      <sheetName val="5620 add &amp; disposal ok.."/>
      <sheetName val="5625"/>
      <sheetName val="5630 CIP 2008"/>
      <sheetName val="5631"/>
      <sheetName val="5640-POLIS ASURANSI"/>
      <sheetName val="Mutation"/>
      <sheetName val="AAJE"/>
      <sheetName val="Daily"/>
      <sheetName val="Append 1"/>
      <sheetName val="A_4"/>
      <sheetName val="kki"/>
      <sheetName val="fin pro wartel"/>
      <sheetName val="fin pro warnet"/>
      <sheetName val="fin pro wartel+"/>
      <sheetName val="fin pro warnet+"/>
      <sheetName val="fin pro centers"/>
      <sheetName val="WARNET +"/>
      <sheetName val="WARNET"/>
      <sheetName val="WARTEL +"/>
      <sheetName val="WARTEL"/>
      <sheetName val="Pwr Point"/>
      <sheetName val="貸借対照表"/>
      <sheetName val="損益計算書(月次）"/>
      <sheetName val="BS (Balance Sheet) Mar'14"/>
      <sheetName val="PL (Profit &amp; Loss) Mar'14"/>
      <sheetName val="PL (Profit &amp; Loss) April-Mar'14"/>
      <sheetName val="FA(Fixed Asset)-Fabric-Mar'14"/>
      <sheetName val="FA(Fixed Asset)-Fabric-Mar' 14"/>
      <sheetName val="FA(Fixed Asset)-office-Mar'14 "/>
      <sheetName val="DOA (Detail Of Account)"/>
      <sheetName val="GL (General Ledger)"/>
      <sheetName val="GJ (General Journal)"/>
      <sheetName val="PER. Equity"/>
      <sheetName val="WBS Konsol"/>
      <sheetName val="WPL Konsolidasi"/>
      <sheetName val="Eliminasi &amp; AJE"/>
      <sheetName val="Investement "/>
      <sheetName val="Mapping FA"/>
      <sheetName val="RE Statement 09"/>
      <sheetName val="Sup2"/>
      <sheetName val="08"/>
      <sheetName val="KANAS"/>
      <sheetName val="Subsidiaries"/>
      <sheetName val="Subsidiaries-Indo"/>
      <sheetName val="Dec 2009"/>
      <sheetName val="AJE Merge Dec 2009"/>
      <sheetName val="Eliminasi Dec 2009"/>
      <sheetName val="%Related"/>
      <sheetName val="Investasi NMP"/>
      <sheetName val="OH"/>
      <sheetName val="ADJ AHM"/>
      <sheetName val="Elim Journal"/>
      <sheetName val="Elim Entry"/>
      <sheetName val="Jurnal Saham"/>
      <sheetName val="Tax AIM"/>
      <sheetName val="Tax TAR"/>
      <sheetName val="TAX HO"/>
      <sheetName val="TAX KCP"/>
      <sheetName val="TAX STG"/>
      <sheetName val="BGT"/>
      <sheetName val="Hotel &amp; Shima"/>
      <sheetName val="AIM &amp; TAR"/>
      <sheetName val="OH &amp; LEISURE"/>
      <sheetName val="WorkSheet.Consolidated"/>
      <sheetName val="EJE"/>
      <sheetName val="Consolidated"/>
      <sheetName val="Elim combine"/>
      <sheetName val="Elim konsol"/>
      <sheetName val="ARAP Elim"/>
      <sheetName val="WP"/>
      <sheetName val="elim_PKP"/>
      <sheetName val="PKP alone"/>
      <sheetName val="ADJ_PKP"/>
      <sheetName val="PKM"/>
      <sheetName val="ADJ_PKM"/>
      <sheetName val="KEP"/>
      <sheetName val="MEM"/>
      <sheetName val="BAM"/>
      <sheetName val="POM"/>
      <sheetName val="RIM"/>
      <sheetName val="SEM"/>
      <sheetName val="THM"/>
      <sheetName val="PAM"/>
      <sheetName val="CIM"/>
      <sheetName val="PEM"/>
      <sheetName val="BLM"/>
      <sheetName val="PLM"/>
      <sheetName val="PUR"/>
      <sheetName val="KEM"/>
      <sheetName val="elim_KEM"/>
      <sheetName val="KEM Alone"/>
      <sheetName val="ADJ_KEM"/>
      <sheetName val="GSM"/>
      <sheetName val="elim_GSM"/>
      <sheetName val="GSM Alone"/>
      <sheetName val="ADJ_GSM"/>
      <sheetName val="WWP"/>
      <sheetName val="elim_WWP"/>
      <sheetName val="WWP alone"/>
      <sheetName val="SAR"/>
      <sheetName val="ADJ_SAR"/>
      <sheetName val="MSG"/>
      <sheetName val="elim_MSG"/>
      <sheetName val="MSG Alone"/>
      <sheetName val="ADJ_MSG"/>
      <sheetName val="SMM"/>
      <sheetName val="elim_SMM"/>
      <sheetName val="SMM Alone"/>
      <sheetName val="ADJ_SMM"/>
      <sheetName val="AJE AS"/>
      <sheetName val="ws-mcg"/>
      <sheetName val="aje-mcg"/>
      <sheetName val="JMB"/>
      <sheetName val="ADJ_JMB"/>
      <sheetName val="CMG"/>
      <sheetName val="ADJ_CMG"/>
      <sheetName val="Wilayah Tengah"/>
      <sheetName val="Wilayah Timur"/>
      <sheetName val="Wilayah Barat"/>
      <sheetName val="Luar Negeri"/>
      <sheetName val="WP CF"/>
      <sheetName val="RJE &amp; AJE"/>
      <sheetName val="CF-PBC"/>
      <sheetName val="ARK II"/>
      <sheetName val="CF-PBC rev"/>
      <sheetName val="4.Restatement"/>
      <sheetName val="Investasi J. Pendek"/>
      <sheetName val="PiutangRetensi"/>
      <sheetName val="Piutang Lain2"/>
      <sheetName val="piutang pemegang saham"/>
      <sheetName val="Tagihan Bruto"/>
      <sheetName val="Investasi KSO"/>
      <sheetName val="Aset Lain2"/>
      <sheetName val="Hutang Bank J. Pendek"/>
      <sheetName val="HUtang Bruto"/>
      <sheetName val="Uang Muka Kontrak jk pndk"/>
      <sheetName val="Kewajiban J Pendek Lainnya"/>
      <sheetName val="Uang muka jk pnjng"/>
      <sheetName val="Hutang Obligasi"/>
      <sheetName val="Pendapatan Usaha"/>
      <sheetName val="Beban Kontrak"/>
      <sheetName val="Bag Laba KSO"/>
      <sheetName val="Biaya pinjaman"/>
      <sheetName val="Laba Per Saham"/>
      <sheetName val="aktiva segmen09"/>
      <sheetName val="aktiva segmen08"/>
      <sheetName val="Segmen-full"/>
      <sheetName val="Segm Usaha 09"/>
      <sheetName val="Foreign Exc"/>
      <sheetName val="Wilayah Kerja"/>
      <sheetName val="JO Agreement"/>
      <sheetName val="Contrac Summary"/>
      <sheetName val="Reklasifikasi akun"/>
      <sheetName val="Dec 2008"/>
      <sheetName val="AJE Merge Dec 2008"/>
      <sheetName val="Eliminasi Dec 2008"/>
      <sheetName val="eks LK"/>
      <sheetName val="FA LLD"/>
      <sheetName val="FA SHC"/>
      <sheetName val="FA Dec 08"/>
      <sheetName val="SHC"/>
      <sheetName val="AD"/>
      <sheetName val="WP detail"/>
      <sheetName val="Penggolongan biaya"/>
      <sheetName val="KSK"/>
      <sheetName val="Employee Benefits"/>
      <sheetName val="CD"/>
      <sheetName val="Beban Langsung"/>
      <sheetName val="Beban Penjualan"/>
      <sheetName val="Beban Administrasi"/>
      <sheetName val="H_KONTRAK"/>
      <sheetName val="DAT_1"/>
      <sheetName val="_43_9_1"/>
      <sheetName val="PBC - TB"/>
      <sheetName val="(P) RJE"/>
      <sheetName val="AP 10"/>
      <sheetName val="2700.05 Lead"/>
      <sheetName val="2700.05 Lead (2)"/>
      <sheetName val="2700.15 Analytical Review'10"/>
      <sheetName val="2700.15 Analytical Review"/>
      <sheetName val="2700.01 Check Translation '10"/>
      <sheetName val="2700.01 Check Translation"/>
      <sheetName val="2700.05.10 UM Pembelian Gedung"/>
      <sheetName val="2700.05.10 UM Pembelian Ged (2)"/>
      <sheetName val="2700.20 Piutang Refund"/>
      <sheetName val="2700.25 Aging Piutang Refund HO"/>
      <sheetName val="2700.25.1 Aging Refund Intl-HO"/>
      <sheetName val="2700.25.1.1 Payment HO"/>
      <sheetName val="2700.30 Piutang Lain2"/>
      <sheetName val="Aging OR-HO"/>
      <sheetName val="Aging OR HO-Jan'10"/>
      <sheetName val="Aging OR KUN-Des'09"/>
      <sheetName val="Aging OR KUN-Jan'10"/>
      <sheetName val="Aging OR PIM-Des'09"/>
      <sheetName val="Aging OR PIM-Jan'10"/>
      <sheetName val="Aging OR WDS-Des'09"/>
      <sheetName val="Aging OR WDS-Jan'10"/>
      <sheetName val="2700.35.1 Piutang Karyawan 09"/>
      <sheetName val="2700.40 Uang Muka"/>
      <sheetName val="2700.40.1.1 UM Tiket HO 09"/>
      <sheetName val="2700.40.1.2 UM Supplier 09"/>
      <sheetName val="2700.40.3.1 UM OB 09"/>
      <sheetName val="2700.40.3.3 UM OB 09"/>
      <sheetName val="2700.40.3.4 UM OB 09"/>
      <sheetName val="2700.40.3.5 UM OB 09"/>
      <sheetName val="2700.10.08UM DepositAirlines 09"/>
      <sheetName val="2700.10.03 UM PembelianGedung09"/>
      <sheetName val="2700.50 Biaya Dibayar Di Muka09"/>
      <sheetName val="2700.50 Confirmation Control 09"/>
      <sheetName val="2700.10 Prepaid"/>
      <sheetName val="2700.10.09 UM Bandung 09"/>
      <sheetName val="2700.10.10 UM Surabaya 09"/>
      <sheetName val="2700.10.11 UM Tiket 09"/>
      <sheetName val="2700.10.12 UM Balikpapan 09"/>
      <sheetName val="2700.20 List Asuransi AT"/>
      <sheetName val="2700.20.1 Property 07-08"/>
      <sheetName val="2700.20.2 Earthquake 07-08"/>
      <sheetName val="2700.20.3 Money In safe"/>
      <sheetName val="2700.20.4 Money In Transit"/>
      <sheetName val="2700.20.5 Fidelity Guarantee"/>
      <sheetName val="2700.20.6 Mobil 07-08"/>
      <sheetName val="2700.20.7 Motor 07-08"/>
      <sheetName val="2700.25 Uang Muka Gedung"/>
      <sheetName val="2700.30.1 UM Hotel-Tour Rp"/>
      <sheetName val="2700.30.2 Uang Muka OB"/>
      <sheetName val="2700.30.3 UM Rp 08"/>
      <sheetName val="2700.30.4 UM USD 08"/>
      <sheetName val="2700.30.5 Uang Muka Batavia 08"/>
      <sheetName val="2700.30.6 Uang Muka Mandala"/>
      <sheetName val="2700.30.7 Detail OR"/>
      <sheetName val="2700.30.8 Uang Muka Dokumen"/>
      <sheetName val="2700.40.1 Refund1"/>
      <sheetName val="2700.40.2 Refund2"/>
      <sheetName val="2700.40.3 Refund3"/>
      <sheetName val="2700.40.4 Refund4"/>
      <sheetName val="2700.40.5 Refund5"/>
      <sheetName val="2700.40.6 Refund6"/>
      <sheetName val="2700.45 Uang Depo Linus"/>
      <sheetName val="2700.50 Confirmation Control"/>
      <sheetName val="2700.60.1 TOD Sewa Gedung"/>
      <sheetName val="2700.60.2 ToD UM Hotel Gedung"/>
      <sheetName val="RSM Maps LRM HRM"/>
      <sheetName val="sample size"/>
      <sheetName val="PMK"/>
      <sheetName val="intern-neraca"/>
      <sheetName val="intern-RL"/>
      <sheetName val="rek-koran"/>
      <sheetName val="catat-8"/>
      <sheetName val="catat-7"/>
      <sheetName val="catat-4"/>
      <sheetName val="catat-3"/>
      <sheetName val="catat-2"/>
      <sheetName val="catat-1"/>
      <sheetName val="Pend-lain"/>
      <sheetName val="By-Usaha"/>
      <sheetName val="OHP"/>
      <sheetName val="hutang-LC"/>
      <sheetName val="hutang-usaha"/>
      <sheetName val="NERACA-2"/>
      <sheetName val="AAAA"/>
      <sheetName val="Income-tax"/>
      <sheetName val="WBS-ok "/>
      <sheetName val="Lap. keu-2 th"/>
      <sheetName val="Cs.Flow "/>
      <sheetName val="Daft-AJE"/>
      <sheetName val="opini "/>
      <sheetName val="Daft. isi"/>
      <sheetName val="Daftar Isi  (2)"/>
      <sheetName val="Question"/>
      <sheetName val="NOTA DEBET KE PKP"/>
      <sheetName val="aktiva tetap 2004"/>
      <sheetName val="D.Perusahaan"/>
      <sheetName val="A-6"/>
      <sheetName val="A-7"/>
      <sheetName val="A-8"/>
      <sheetName val="A-9 (2)"/>
      <sheetName val="A-9"/>
      <sheetName val="A-10"/>
      <sheetName val="A-11"/>
      <sheetName val="A-12"/>
      <sheetName val="B-3"/>
      <sheetName val="B-4"/>
      <sheetName val="B-5"/>
      <sheetName val="B-6"/>
      <sheetName val="B-7"/>
      <sheetName val="B-8"/>
      <sheetName val="B-9"/>
      <sheetName val="F-1 "/>
      <sheetName val="WBS&amp;WIS"/>
      <sheetName val="Notes5"/>
      <sheetName val="Lap Keuangan"/>
      <sheetName val="LapPerubEkui"/>
      <sheetName val="AKTEP Ladongi"/>
      <sheetName val="AKTEP Ladongi BARU"/>
      <sheetName val="Penjualan Lahan"/>
      <sheetName val="Opinion '05"/>
      <sheetName val="Pernyataan"/>
      <sheetName val="Daftar Isi "/>
      <sheetName val="Ruko Pluit Sakti"/>
      <sheetName val="Condominium M. Tower"/>
      <sheetName val="G. Muara Baru"/>
      <sheetName val="Lahan Muara Karang"/>
      <sheetName val="Z4 &amp; Z5"/>
      <sheetName val="T. Rcmix M. Baru Blok D 4"/>
      <sheetName val="Club House &amp; Swimming Pool"/>
      <sheetName val="dafisi"/>
      <sheetName val="Lap. Audit"/>
      <sheetName val="Lap. Keuangan Des "/>
      <sheetName val="Top schedule Des"/>
      <sheetName val="Supporting schedule Des"/>
      <sheetName val="Nrc &amp; RL Cab"/>
      <sheetName val="J. Koreksi"/>
      <sheetName val="Perhit. Aktiva Pjk Tangguhan"/>
      <sheetName val="Akt. Pajak Gabungan"/>
      <sheetName val="opini  "/>
      <sheetName val="Cover  1 maret dan desember 09"/>
      <sheetName val="ikhtisar keu2"/>
      <sheetName val="Ikhtisar keu"/>
      <sheetName val="Cover 24 dan 1 maret"/>
      <sheetName val="Lap Keu 24 maret &amp; 1 maret"/>
      <sheetName val="Lap Keu 1 maret &amp; 09"/>
      <sheetName val="Lap Keu 09&amp;08"/>
      <sheetName val="Note 24 Maret &amp; 1 Maret"/>
      <sheetName val="Note 1 Maret &amp; 09"/>
      <sheetName val="WBS-PEB'10"/>
      <sheetName val="Divaluekan (2)"/>
      <sheetName val="Note 09 &amp; 08"/>
      <sheetName val="Daf-isi 09"/>
      <sheetName val="WBS-09"/>
      <sheetName val="WBS99 (2)"/>
      <sheetName val="Reksadana starfixed income"/>
      <sheetName val="HPAM Premium-1"/>
      <sheetName val="ReksadanaStarCapital Protected"/>
      <sheetName val="Reksadana HPAM Proteksi 1"/>
      <sheetName val="Reksadana Synergi Stabil"/>
      <sheetName val="Reksa Dana SynergiFlexi"/>
      <sheetName val="ReksadanaStarBalanced"/>
      <sheetName val="Master Data Entry"/>
      <sheetName val="Summary Dashboard"/>
      <sheetName val="Cash Flow Statement"/>
      <sheetName val="Cash Flow Statement 8 Periods"/>
      <sheetName val="Balance Sheet 8 Periods"/>
      <sheetName val="BS Summary &amp; What-ifs Charts"/>
      <sheetName val="Balance Sheets Charts"/>
      <sheetName val="Balance Sheet Projections"/>
      <sheetName val="Print Projected Balance Sheet"/>
      <sheetName val="Print What-if Balance Sheet"/>
      <sheetName val="Income Statement 8 Periods"/>
      <sheetName val="Forecast Analysis 8 Years"/>
      <sheetName val="Income Summary &amp; What-if Charts"/>
      <sheetName val="Income Statement Charts"/>
      <sheetName val="Income Projections Charts"/>
      <sheetName val="Print Projected Income"/>
      <sheetName val="Print What-if Income Statement"/>
      <sheetName val="Key Financial Indicators"/>
      <sheetName val="Key Financial Ratios Indicators"/>
      <sheetName val="Optimal Performance"/>
      <sheetName val="Break-Even Analysis 4 Periods"/>
      <sheetName val="Bankrupcy Predictions"/>
      <sheetName val="Copyright"/>
      <sheetName val="rinci neraca"/>
      <sheetName val="rinci penjualan"/>
      <sheetName val="rinci by.operasional"/>
      <sheetName val="Prepaid Insurance"/>
      <sheetName val="Prepaid Rent House ( Audit )"/>
      <sheetName val="Prepaid Car Lease"/>
      <sheetName val="Prepaid Other ( Audited)"/>
      <sheetName val="Long Term Portion"/>
      <sheetName val="cvc"/>
      <sheetName val="tra-vat-lieu"/>
      <sheetName val="PTDG(gia tri cu)"/>
      <sheetName val="PTDG (phan dieu chinh)"/>
      <sheetName val="dtct_GD1 (tong hop)"/>
      <sheetName val="dtct_GD1 (phan dieu chinh tang)"/>
      <sheetName val="dtct_GD1 (phan dieu chinh giam"/>
      <sheetName val="GTXL(P dieu chinh tang)"/>
      <sheetName val="GTXL(P dieu chinh giam)"/>
      <sheetName val="THGD1(P dieu chinh)"/>
      <sheetName val="THGD1(P dieu chinh) (2)"/>
      <sheetName val="kstk"/>
      <sheetName val="dtct_GD1"/>
      <sheetName val="GTXL. "/>
      <sheetName val="THGD1"/>
      <sheetName val="Tra_bang"/>
      <sheetName val="CPkhaithacdat"/>
      <sheetName val="DGKSKTTC"/>
      <sheetName val="DgiaksatDHC4,"/>
      <sheetName val="dongia"/>
      <sheetName val="dgGPMB"/>
      <sheetName val="KSGPMB"/>
      <sheetName val="DGKSKTTC (2)"/>
      <sheetName val="kstk (2)"/>
      <sheetName val="dongia (2)"/>
      <sheetName val="giaithich"/>
      <sheetName val="XL4Poppy"/>
      <sheetName val="Sup doc for CIT"/>
      <sheetName val="1771-A"/>
      <sheetName val="1771-I (2)"/>
      <sheetName val="1771- VI"/>
      <sheetName val="A1-B"/>
      <sheetName val="A1-C"/>
      <sheetName val="A1-D"/>
      <sheetName val="E1-A"/>
      <sheetName val="E1-B"/>
      <sheetName val="J1-C"/>
      <sheetName val="R1-A"/>
      <sheetName val="RBY (3)"/>
      <sheetName val="NY"/>
      <sheetName val="LL (2)"/>
      <sheetName val="RLY"/>
      <sheetName val="RLY (2)"/>
      <sheetName val="LM"/>
      <sheetName val="RPY(2)"/>
      <sheetName val="RBY (2)"/>
      <sheetName val="Joy"/>
      <sheetName val="Crab projection"/>
      <sheetName val="TP 2.5%"/>
      <sheetName val="Sensitivity-Crab (FPP%,TP,Pac)"/>
      <sheetName val="Sensitivity - Crab (Crab Lbs.)"/>
      <sheetName val="Expenses Crab"/>
      <sheetName val="Sales Amount"/>
      <sheetName val="Productivity Crab"/>
      <sheetName val="CAPEX Crab"/>
      <sheetName val="Expenses All"/>
      <sheetName val="Packaging Cost Amount"/>
      <sheetName val="VA Projection"/>
      <sheetName val="Sensitivity RM,PS,TP"/>
      <sheetName val="Sensitivity VA &amp; Fish  Lbs."/>
      <sheetName val="VA Raw material"/>
      <sheetName val="VA Packaging"/>
      <sheetName val="VA &amp; Fish Expenses Summary"/>
      <sheetName val="Productivity VA &amp; Fish"/>
      <sheetName val="VA Sales"/>
      <sheetName val="Productivity VA &amp; Fish (2)"/>
      <sheetName val="CAPEX Fisn &amp; VA"/>
      <sheetName val="N-1.A"/>
      <sheetName val="N-4.1"/>
      <sheetName val="N-4.2"/>
      <sheetName val="N-4.3"/>
      <sheetName val="N-4.4"/>
      <sheetName val="N-4.5"/>
      <sheetName val="N-4.6"/>
      <sheetName val="N-4.7"/>
      <sheetName val="N-4.8"/>
      <sheetName val="N-4.9"/>
      <sheetName val="N-4.10"/>
      <sheetName val="N-4.11"/>
      <sheetName val="N-6"/>
      <sheetName val="Yearly comparision"/>
      <sheetName val="Projection 2007 Summary"/>
      <sheetName val="Asian 2004 - 2006"/>
      <sheetName val="PSI 2004 - 2006"/>
      <sheetName val="Projection 2007 PSVN"/>
      <sheetName val="Projection 2007 PSPC"/>
      <sheetName val="Projection 2007 PSEM"/>
      <sheetName val="Projection 2007 PSN"/>
      <sheetName val="Projection 2007 Pemalang"/>
      <sheetName val="Projection 2007 Pasuruan"/>
      <sheetName val="Projection 2007 Sulawesi"/>
      <sheetName val="Projection 2007 Medan"/>
      <sheetName val="Projection 2007 Lampung"/>
      <sheetName val="1201"/>
      <sheetName val="1202"/>
      <sheetName val="1203 "/>
      <sheetName val="1204"/>
      <sheetName val="1205"/>
      <sheetName val="1206"/>
      <sheetName val="1207"/>
      <sheetName val="1208"/>
      <sheetName val="1209"/>
      <sheetName val="1210"/>
      <sheetName val="1211"/>
      <sheetName val="comb"/>
      <sheetName val="1212"/>
      <sheetName val="1213"/>
      <sheetName val="1214"/>
      <sheetName val="1215"/>
      <sheetName val="1216"/>
      <sheetName val="1101"/>
      <sheetName val="1102"/>
      <sheetName val="1103"/>
      <sheetName val="C 10.1"/>
      <sheetName val="C 10.2"/>
      <sheetName val="Rep_BS"/>
      <sheetName val="Rep_PL"/>
      <sheetName val="C 10 (a)"/>
      <sheetName val="C 10 (b)"/>
      <sheetName val="C 10 (c)"/>
      <sheetName val="TB KLIEN"/>
      <sheetName val="FEB05"/>
      <sheetName val="MAR05"/>
      <sheetName val="APRIL2005"/>
      <sheetName val="006681"/>
      <sheetName val="IMK9812101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Rugi Fiskal"/>
      <sheetName val="Mutation CF-BE"/>
      <sheetName val="ID-CF-RTI"/>
      <sheetName val="Loans-Principal"/>
      <sheetName val="Gain on Restructuring"/>
      <sheetName val="SUMMARY RATIO"/>
      <sheetName val="BS-Lampiran 1"/>
      <sheetName val="Summary of Fiscal Depreciations"/>
      <sheetName val="Penyusutan - E"/>
      <sheetName val="MArshall-E"/>
      <sheetName val="Lampiran2000"/>
      <sheetName val="Attachment2000"/>
      <sheetName val="PPH 17"/>
      <sheetName val="R.2 Impact new law"/>
      <sheetName val="R 1"/>
      <sheetName val="R 1.1"/>
      <sheetName val="R 1.1.1"/>
      <sheetName val="Revision of 2008 Depreciation"/>
      <sheetName val="R 2"/>
      <sheetName val="R 2-copy"/>
      <sheetName val="R 2.1"/>
      <sheetName val="R 3"/>
      <sheetName val="VALIDASI"/>
      <sheetName val="O_Lead"/>
      <sheetName val="UB.1"/>
      <sheetName val="O.1a"/>
      <sheetName val="O1.1"/>
      <sheetName val="O2"/>
      <sheetName val="O2.1"/>
      <sheetName val="O.3.1"/>
      <sheetName val="O.3.2"/>
      <sheetName val="O.4.1_VAT Restitution 2008"/>
      <sheetName val="O.5.1"/>
      <sheetName val="O.7"/>
      <sheetName val="O.7.1"/>
      <sheetName val="O.7.2"/>
      <sheetName val="O.9"/>
      <sheetName val="O.9.1"/>
      <sheetName val="O.9.2"/>
      <sheetName val="O.9.3"/>
      <sheetName val="Summary AJE"/>
      <sheetName val="O.8"/>
      <sheetName val="O.c_Tax Exposure 2009"/>
      <sheetName val="O.8.1.1"/>
      <sheetName val="O.8.1.2"/>
      <sheetName val="O.8.3"/>
      <sheetName val="O.8.3.1_PPh 23 (pbc)"/>
      <sheetName val="O.8.4_CIT (PBC)"/>
      <sheetName val="P.3.9_Tax Exposure (2)"/>
      <sheetName val="O.6"/>
      <sheetName val="0.7"/>
      <sheetName val="O.8 (2)"/>
      <sheetName val="VD.7.1"/>
      <sheetName val="P.3.9_Tax Exposure"/>
      <sheetName val="O.2.1"/>
      <sheetName val="O3.1"/>
      <sheetName val="Taxation point"/>
      <sheetName val="O.8.1_Tax Exposure 2009"/>
      <sheetName val="O.8.1.1_Interest exp &amp;final inv"/>
      <sheetName val="O.8.1.2_Self assess VAT"/>
      <sheetName val="O.8.2_Summary Tax Appeal 2005"/>
      <sheetName val="O.8.2.1_PPh 23 (pbc)"/>
      <sheetName val="O.8.2.2_CIT (PBC)"/>
      <sheetName val="G.13"/>
      <sheetName val="O.8.2_Tax Appeal result 2005"/>
      <sheetName val="TNI Detail "/>
      <sheetName val="List Reconciliation TNI"/>
      <sheetName val="OS comparation"/>
      <sheetName val="E.1.1 TNI_ABRI test of Aging"/>
      <sheetName val="List Reconciliation TNI (2)"/>
      <sheetName val="Mabes TNI"/>
      <sheetName val="TNI AU"/>
      <sheetName val="TNI AU-AL 2005"/>
      <sheetName val="TNI AU-AL 2005 (2)"/>
      <sheetName val="TNI AD"/>
      <sheetName val="TNI AL"/>
      <sheetName val="Dephan"/>
      <sheetName val="DephanMabes TNI"/>
      <sheetName val="SPM-1"/>
      <sheetName val="SPM-3"/>
      <sheetName val="SPM modified"/>
      <sheetName val="P.2_other accrued"/>
      <sheetName val="13320 (2)"/>
      <sheetName val="P2.1"/>
      <sheetName val="P2.2"/>
      <sheetName val="P2.3"/>
      <sheetName val="P2.3.1"/>
      <sheetName val="P2.5"/>
      <sheetName val="P2.6"/>
      <sheetName val="P2.7"/>
      <sheetName val="P2.8"/>
      <sheetName val="P2.9"/>
      <sheetName val="P2.6_Penalty Interest MSC"/>
      <sheetName val="P2.6_Interest &amp; Penalty OCBC"/>
      <sheetName val="P2.4_KSO Recon_after nett Off"/>
      <sheetName val="P2.4.1_Summary Movement 2009"/>
      <sheetName val="P2.4.1.1_TOBAJAYA_revised"/>
      <sheetName val="P2.4.1.2_Barito_revised"/>
      <sheetName val="P.2.4.1.3_MineralInvest_revised"/>
      <sheetName val="P2.4.1.4_KARYAMANDIRI"/>
      <sheetName val="Pendingan"/>
      <sheetName val="G Memo"/>
      <sheetName val="G-Lead"/>
      <sheetName val="G.9.1"/>
      <sheetName val="G.10"/>
      <sheetName val="G.11"/>
      <sheetName val="G.12"/>
      <sheetName val="G.14"/>
      <sheetName val="G.15"/>
      <sheetName val="G.16"/>
      <sheetName val="G.16.1"/>
      <sheetName val="G.16.2"/>
      <sheetName val="Review Note.."/>
      <sheetName val="P.2_13320"/>
      <sheetName val="P.3_13330"/>
      <sheetName val="P.5_13334"/>
      <sheetName val="P.6_13336"/>
      <sheetName val="P.7_13581"/>
      <sheetName val="P.8_13321"/>
      <sheetName val="annual leave-Dec"/>
      <sheetName val="P.7.1"/>
      <sheetName val="P.11"/>
      <sheetName val="P.11.1"/>
      <sheetName val="P.11.2"/>
      <sheetName val="P.11.3"/>
      <sheetName val="P.10_13521"/>
      <sheetName val="P.10.1_13521"/>
      <sheetName val="A3-final"/>
      <sheetName val="AJE-final"/>
      <sheetName val="Gain"/>
      <sheetName val="PPh 21 Recon"/>
      <sheetName val="F1771-IA"/>
      <sheetName val="Depreciation  schedule "/>
      <sheetName val="Attach"/>
      <sheetName val="fiscal depr(E)"/>
      <sheetName val="fiscal depr. (I)"/>
      <sheetName val="supervision"/>
      <sheetName val="Rounding off"/>
      <sheetName val="disposal assets"/>
      <sheetName val="Pre-Op"/>
      <sheetName val="2%donat"/>
      <sheetName val="details fiscal adjustments"/>
      <sheetName val="rekonFA"/>
      <sheetName val="Sum empcost"/>
      <sheetName val="provision (3)"/>
      <sheetName val="Recon-Art.21"/>
      <sheetName val="Peny-2002"/>
      <sheetName val="FA-gainloss (2)"/>
      <sheetName val="fiscal corr"/>
      <sheetName val="Marshal-2"/>
      <sheetName val="Marshal-3"/>
      <sheetName val="U-3.1.1 telephone"/>
      <sheetName val="CRA_Detail"/>
      <sheetName val="08-01 CRA - M-Accounts payable"/>
      <sheetName val="Penyusutan Kendaraan"/>
      <sheetName val="Commercial"/>
      <sheetName val="O notes"/>
      <sheetName val="O.1 rekap edit"/>
      <sheetName val="O.2 PPH BADAN"/>
      <sheetName val="O.2.1 Angsur PPH badan"/>
      <sheetName val="O.2.2 Def Tax Inc Im Kerja   "/>
      <sheetName val="O.2.1 VAT"/>
      <sheetName val="KK Def Tax Inc IM Kerja  "/>
      <sheetName val="C1 NOV"/>
      <sheetName val="Trading Statement"/>
      <sheetName val="Sales Report MKTG"/>
      <sheetName val="C13"/>
      <sheetName val="CDYW"/>
      <sheetName val="Detail-PARENT"/>
      <sheetName val="K1.3 bldg"/>
      <sheetName val="K1.4 mach"/>
      <sheetName val="N.Lead"/>
      <sheetName val="N.1.2"/>
      <sheetName val="N.1.3"/>
      <sheetName val="Vouching Add FA_Mar 07"/>
      <sheetName val="Vouching addition_25 Feb 07"/>
      <sheetName val="Vouching Exp Cap_5 Mar 07"/>
      <sheetName val="Vouching List_12 Mar 07"/>
      <sheetName val="Vouching_Add_FA_Mar_07"/>
      <sheetName val="Vouching_addition_25_Feb_07"/>
      <sheetName val="Vouching_Exp_Cap_5_Mar_07"/>
      <sheetName val="Vouching_List_12_Mar_07"/>
      <sheetName val="Deferred Rev"/>
      <sheetName val="Mst_Work"/>
      <sheetName val="Other Current Asset"/>
      <sheetName val="Fiset"/>
      <sheetName val="Deferred Charges"/>
      <sheetName val="Trade Payables"/>
      <sheetName val="Other Payables"/>
      <sheetName val="Marketing and G&amp;A"/>
      <sheetName val="Intercompany"/>
      <sheetName val="Other Expense or Income"/>
      <sheetName val="Pk prod"/>
      <sheetName val="Front Sheet"/>
      <sheetName val="Data_Umum"/>
      <sheetName val="Danamon LK"/>
      <sheetName val="CIP_USD"/>
      <sheetName val="Data Ben"/>
      <sheetName val="B9A-TOTAL"/>
      <sheetName val="B9B-MC"/>
      <sheetName val="B9B-HM"/>
      <sheetName val="B9B-Sack"/>
      <sheetName val="recon-21"/>
      <sheetName val="Depr-2002"/>
      <sheetName val="Depr-Comp"/>
      <sheetName val="Depr-Comp (2)"/>
      <sheetName val="provision (2)"/>
      <sheetName val="fiscal corr (3)"/>
      <sheetName val="fiscal corr (2)"/>
      <sheetName val="PL BI FORM"/>
      <sheetName val="P&amp;L98"/>
      <sheetName val="explan"/>
      <sheetName val="MASREK"/>
      <sheetName val="t000"/>
      <sheetName val="daf lam"/>
      <sheetName val="Lam I"/>
      <sheetName val="Lam 2"/>
      <sheetName val="Lam 3"/>
      <sheetName val="Lam 4"/>
      <sheetName val="Lam 5"/>
      <sheetName val="Lam 6"/>
      <sheetName val="Lam 7"/>
      <sheetName val="Lam 8"/>
      <sheetName val="Lamp 9"/>
      <sheetName val="Lamp 10"/>
      <sheetName val="Lam 11"/>
      <sheetName val="Lam 12"/>
      <sheetName val="Lam 14"/>
      <sheetName val="Lamp 15"/>
      <sheetName val="Lamp16"/>
      <sheetName val="lamp 17"/>
      <sheetName val="Lamp18"/>
      <sheetName val="sampul (3)"/>
      <sheetName val="RULAB"/>
      <sheetName val="Evaluasi Kebun (2)"/>
      <sheetName val="Evaluasi Ktr_Jbi (2)"/>
      <sheetName val="lm601 (2)"/>
      <sheetName val="lm602 (2)"/>
      <sheetName val="tb (3)"/>
      <sheetName val="tbm_I (2)"/>
      <sheetName val="tbm_II (2)"/>
      <sheetName val="tbm_III (2)"/>
      <sheetName val="tbm_IV (2)"/>
      <sheetName val="rekap tb_tbm (2)"/>
      <sheetName val="sampul (6)"/>
      <sheetName val="lm601"/>
      <sheetName val="lm602"/>
      <sheetName val="tbm_I"/>
      <sheetName val="tbm_II"/>
      <sheetName val="tbm_III"/>
      <sheetName val="tbm_IV"/>
      <sheetName val="rekap tb_tbm"/>
      <sheetName val="Evaluasi_Kebun"/>
      <sheetName val="Evaluasi Ktr_Jbi"/>
      <sheetName val="sampul (5)"/>
      <sheetName val="sampul (7)"/>
      <sheetName val="lm50.1"/>
      <sheetName val="lm_14"/>
      <sheetName val="cover LM_Kebun"/>
      <sheetName val="U_korksi"/>
      <sheetName val="NAP"/>
      <sheetName val="FE_1770_P1"/>
      <sheetName val="ROSS LIST"/>
      <sheetName val="Orders"/>
      <sheetName val="NERKON_"/>
      <sheetName val="P-Kebun_"/>
      <sheetName val="PLL_"/>
      <sheetName val="AL-BTL_KK_(2)"/>
      <sheetName val="BTL__"/>
      <sheetName val="Ak_pro_(2)"/>
      <sheetName val="HUT_"/>
      <sheetName val="pph_"/>
      <sheetName val="HB_"/>
      <sheetName val="PJR_PENJ_"/>
      <sheetName val="COVER_"/>
      <sheetName val="ROSS_LIST"/>
      <sheetName val="VAT out"/>
      <sheetName val="pmndhbukuan"/>
      <sheetName val="SCFP"/>
      <sheetName val="CAPBUDG"/>
      <sheetName val="CAPSALE"/>
      <sheetName val="Angkutan"/>
      <sheetName val="BAL SHEET(2)"/>
      <sheetName val="FA1999"/>
      <sheetName val="Ak_pro_"/>
      <sheetName val="PJR_PENJ"/>
      <sheetName val="PG112"/>
      <sheetName val="sapactivexlhiddensheet"/>
      <sheetName val="TPPI"/>
      <sheetName val="P.4.1"/>
      <sheetName val="P.4.2"/>
      <sheetName val="P.5.1"/>
      <sheetName val="Tabel New"/>
      <sheetName val="Tabel Japa"/>
      <sheetName val="Ilus"/>
      <sheetName val="选择报表"/>
      <sheetName val="LS_Bank"/>
      <sheetName val="LS_TAR"/>
      <sheetName val="121-PBC"/>
      <sheetName val="161-PBC"/>
      <sheetName val="121"/>
      <sheetName val="161"/>
      <sheetName val="Table 5"/>
      <sheetName val="Notes to BS"/>
      <sheetName val="EXC-R"/>
      <sheetName val="DAFBK (2)"/>
      <sheetName val="K1_3 bldg"/>
      <sheetName val="K1_4 mach"/>
      <sheetName val="addition-assets"/>
      <sheetName val="rab_50"/>
      <sheetName val="RATE-NEW"/>
      <sheetName val="2010 TIN ORE PTU "/>
      <sheetName val="VA.3"/>
      <sheetName val="VA.4"/>
      <sheetName val="F.1 Stock Reconciliation  (2)"/>
      <sheetName val="2010 TIN ORE PTU  (2)"/>
      <sheetName val="VB Lead.2"/>
      <sheetName val="VB Lead.2 1 of 2"/>
      <sheetName val="G.9 Prepayment Other"/>
      <sheetName val="VB Lead.1"/>
      <sheetName val="A.2 BS"/>
      <sheetName val="A.2 PL"/>
      <sheetName val="A.4 WTB MSCI-Parent"/>
      <sheetName val="A.3 Trial Balance"/>
      <sheetName val="A5-AJE, RJE 2009"/>
      <sheetName val="A.8 PM TE SAD"/>
      <sheetName val="A.4 WTB MSCI-Consolidation "/>
      <sheetName val="A.2 BS Consolidation"/>
      <sheetName val="A.2 PL Consolidation"/>
      <sheetName val="A.2 Equity"/>
      <sheetName val="A.1 Cash Flow"/>
      <sheetName val="A.1.1 Flow for CF"/>
      <sheetName val="A.3 Trial Balance June 2011"/>
      <sheetName val="A.4 WTB 2011 MSCI-Parent "/>
      <sheetName val="A5-AJE, RJE Beg Balance"/>
      <sheetName val="Reconciliation RE Update 2011"/>
      <sheetName val="A5-AJE, RJE 2010"/>
      <sheetName val="A5-AJE, RJE 2010 CONSOL"/>
      <sheetName val="Reporting Purpose"/>
      <sheetName val="A.1.1 "/>
      <sheetName val="mars"/>
      <sheetName val="Ntpph"/>
      <sheetName val="skonf"/>
      <sheetName val="lkonf"/>
      <sheetName val="B11"/>
      <sheetName val="B12"/>
      <sheetName val="Sut1"/>
      <sheetName val="Sut2"/>
      <sheetName val="B42A"/>
      <sheetName val="sphp"/>
      <sheetName val="lphp"/>
      <sheetName val="Harta"/>
      <sheetName val="POTO MAC"/>
      <sheetName val="DATA_WP"/>
      <sheetName val="RetPlan"/>
      <sheetName val="Office_Rent"/>
      <sheetName val="Acc"/>
      <sheetName val="TEH KEMASAN"/>
      <sheetName val="RSKA"/>
      <sheetName val="Data Lajur Gabungan"/>
      <sheetName val="Data Lajur Gabungan N6"/>
      <sheetName val="Data Lajur Gabungan BK"/>
      <sheetName val="NERACA Ver BAPEPAM"/>
      <sheetName val="NERACA Kons N6"/>
      <sheetName val="NERACA Ver BAPEPAM KONS"/>
      <sheetName val="NERACA KONS"/>
      <sheetName val="LARU-KOM Ver 2"/>
      <sheetName val="LARU-KOM Ver 2 Nilai Penjualan"/>
      <sheetName val="LARU-KOM Ver 3"/>
      <sheetName val="LARU-TK"/>
      <sheetName val="LARU KONSOLIDASI"/>
      <sheetName val="LARU KOTOR-KOM"/>
      <sheetName val="LARU-BI Ver 2"/>
      <sheetName val="LARU-BI Ver 3"/>
      <sheetName val="PER-HP (2)"/>
      <sheetName val="persed (2)"/>
      <sheetName val="RKAP GABUNGAN"/>
      <sheetName val="L-R per Kom Ver 2"/>
      <sheetName val="L-R untuk Persentase"/>
      <sheetName val="L-R per Kom BI Ver 2"/>
      <sheetName val="Perhit_Pjk Tangguhan"/>
      <sheetName val="PJK_FIS (2)"/>
      <sheetName val="Perhit_Pjk Tangguhan KAP"/>
      <sheetName val="Rin1"/>
      <sheetName val="CONTRACT REC"/>
      <sheetName val="kor fiscal per audit"/>
      <sheetName val="CF Dec 2004"/>
      <sheetName val="kor fiskal 2004"/>
      <sheetName val="Deftax for Reporting"/>
      <sheetName val="taxloss"/>
      <sheetName val="Deftax-USD"/>
      <sheetName val="PMTESAD"/>
      <sheetName val="TB12"/>
      <sheetName val="Monthly Data"/>
      <sheetName val="Shipping Dbase"/>
      <sheetName val="FE-1771"/>
      <sheetName val="Oct 03"/>
      <sheetName val="Finance Report"/>
      <sheetName val="import facility limit"/>
      <sheetName val="Forex Exposure"/>
      <sheetName val="FX Forward"/>
      <sheetName val="Deposit"/>
      <sheetName val="Interco Loan"/>
      <sheetName val="Import Non LC"/>
      <sheetName val="TR - CIL"/>
      <sheetName val="DB SF ULI"/>
      <sheetName val="HSBC-Factoring"/>
      <sheetName val="HSBC-Supplier Financing"/>
      <sheetName val="OCBC-SAF"/>
      <sheetName val="HSBC-RBL"/>
      <sheetName val="Mandiri PTK"/>
      <sheetName val="HSBC-ICBC Loan"/>
      <sheetName val="FORM V"/>
      <sheetName val="Form 21 &amp; 22"/>
      <sheetName val="EVA-21A"/>
      <sheetName val="FORM 2.3"/>
      <sheetName val="Form 2.4"/>
      <sheetName val="Form 2.6"/>
      <sheetName val="Form 50"/>
      <sheetName val="Form 60"/>
      <sheetName val="EXCOM01"/>
      <sheetName val="Alokasi-01"/>
      <sheetName val="Ratio-01"/>
      <sheetName val="EXCL CN"/>
      <sheetName val="INCL CN"/>
      <sheetName val="EVA Rincian"/>
      <sheetName val="Sales &amp; Prodution"/>
      <sheetName val="Variable"/>
      <sheetName val="Budget EVA"/>
      <sheetName val="FORM 2_3"/>
      <sheetName val="KODE REK"/>
      <sheetName val="Kd rek Sales"/>
      <sheetName val="KM"/>
      <sheetName val="RMK"/>
      <sheetName val="BM"/>
      <sheetName val="BK"/>
      <sheetName val="RMB"/>
      <sheetName val="Sales AERO"/>
      <sheetName val="Sales NON AERO"/>
      <sheetName val="jurgab"/>
      <sheetName val="BS-1"/>
      <sheetName val="BS-2"/>
      <sheetName val="PL-1"/>
      <sheetName val="PL-2"/>
      <sheetName val="CF-2"/>
      <sheetName val="entry LAMP II-1"/>
      <sheetName val="LAMP II-1"/>
      <sheetName val="LAMP II-2"/>
      <sheetName val="entry aging piutang"/>
      <sheetName val="LAMP II-3"/>
      <sheetName val="LAMP III"/>
      <sheetName val="LAMP IV"/>
      <sheetName val="LAMP V"/>
      <sheetName val="LAMP VI"/>
      <sheetName val="LAMP VII"/>
      <sheetName val="LAMP VIII"/>
      <sheetName val="LAMP IX"/>
      <sheetName val="LAMP X"/>
      <sheetName val="LAMP XI"/>
      <sheetName val="LAMP XII"/>
      <sheetName val="OPEX-2005"/>
      <sheetName val="Harmoni-04"/>
      <sheetName val="SUMMARY-FI"/>
      <sheetName val="BS-01"/>
      <sheetName val="AS-01A"/>
      <sheetName val="AS-01B"/>
      <sheetName val="AS-01C"/>
      <sheetName val="AS-01D"/>
      <sheetName val="AS-01E"/>
      <sheetName val="BS-02"/>
      <sheetName val="AS-02"/>
      <sheetName val="BS-03"/>
      <sheetName val="BS-03A"/>
      <sheetName val="BS-04"/>
      <sheetName val="AS-04"/>
      <sheetName val="BS-05"/>
      <sheetName val="BS-06"/>
      <sheetName val="BS-07"/>
      <sheetName val="BS-08"/>
      <sheetName val="AS-08"/>
      <sheetName val="BS-10"/>
      <sheetName val="AS-11A"/>
      <sheetName val="AS-11B"/>
      <sheetName val="BS-12"/>
      <sheetName val="BS-13"/>
      <sheetName val="BS-14"/>
      <sheetName val="BS-15"/>
      <sheetName val="BS-16"/>
      <sheetName val="BS-17"/>
      <sheetName val="AS-17"/>
      <sheetName val="BS-18"/>
      <sheetName val="DepSch"/>
      <sheetName val="jobhist"/>
      <sheetName val="Text File"/>
      <sheetName val="CD JUAL"/>
      <sheetName val="Order taken"/>
      <sheetName val="Act Delivery"/>
      <sheetName val="Summary Segment"/>
      <sheetName val="Uli East"/>
      <sheetName val="Uli West"/>
      <sheetName val="Bango"/>
      <sheetName val="Aqua"/>
      <sheetName val="kirim maju"/>
      <sheetName val="Eva Budget China Comb"/>
      <sheetName val="Eva Budget Ina Comb"/>
      <sheetName val="Trend Eva"/>
      <sheetName val="Eva Target"/>
      <sheetName val="Ratio Budget"/>
      <sheetName val="Cons China _ Ina"/>
      <sheetName val="F 21 Target Comb Indo"/>
      <sheetName val="Comb Ina"/>
      <sheetName val="Elim PDN"/>
      <sheetName val="ElimTGR"/>
      <sheetName val="Elim CKR"/>
      <sheetName val="CKR"/>
      <sheetName val="F21 HPPP"/>
      <sheetName val="F21 SPPP"/>
      <sheetName val="Comb China"/>
      <sheetName val="Comb China _format asli_"/>
      <sheetName val="Form 50 Cons"/>
      <sheetName val="Form 50 Comb China"/>
      <sheetName val="Form 50 Comb Ina"/>
      <sheetName val="Form 50 PDN"/>
      <sheetName val="Form 50 TGR"/>
      <sheetName val="Form 50 CKR"/>
      <sheetName val="Form 50 SPPP"/>
      <sheetName val="Form 50 HPPP"/>
      <sheetName val="Kurs 07 _ 06"/>
      <sheetName val="Koreksi Cap Charge"/>
      <sheetName val="Neraca Budget Ina Comb"/>
      <sheetName val="RFP003E"/>
      <sheetName val="Pivot(Silicate)"/>
      <sheetName val="Pivot(RockWool)"/>
      <sheetName val="Pivot(Form Glass)"/>
      <sheetName val="Pivot(Urethan)"/>
      <sheetName val="Pivot(Glass Wool)"/>
      <sheetName val="ROCK WOOL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KPI Ckr"/>
      <sheetName val="KPI Tgr"/>
      <sheetName val="CHN2010"/>
      <sheetName val="LPI"/>
      <sheetName val="KPI (Q1)"/>
      <sheetName val="KPI (Q2)"/>
      <sheetName val="KPI (Q3)"/>
      <sheetName val="KPI (Q4)"/>
      <sheetName val="KPI (Q1) (2)"/>
      <sheetName val="spec handle (4)"/>
      <sheetName val="spec process &amp; packing  (2)"/>
      <sheetName val="mc-acc-util-infras (2)"/>
      <sheetName val="Box"/>
      <sheetName val="Repair  Mold"/>
      <sheetName val="Handle "/>
      <sheetName val="Tufting Triming original"/>
      <sheetName val="memo (2)"/>
      <sheetName val="Tufting Triming (2 x process)"/>
      <sheetName val="Tuft+Trim(2xproces)mc taiwan"/>
      <sheetName val="rate "/>
      <sheetName val="PreTB (2)"/>
      <sheetName val="spec process &amp; packing "/>
      <sheetName val="mc-acc-util-infras+alt taiwan"/>
      <sheetName val="P&amp;Lbook"/>
      <sheetName val="Expense Summary"/>
      <sheetName val="P&amp;L 4 tax"/>
      <sheetName val="FINDING"/>
      <sheetName val="TB USD"/>
      <sheetName val="Stock Rev"/>
      <sheetName val="deff exp"/>
      <sheetName val="FA SEPT-IDR"/>
      <sheetName val="FA SEP-USD"/>
      <sheetName val="Prepayment USD"/>
      <sheetName val="G &amp; A"/>
      <sheetName val="P&amp;L (1)"/>
      <sheetName val="OP"/>
      <sheetName val="Rub"/>
      <sheetName val="BS $"/>
      <sheetName val="P&amp;L $"/>
      <sheetName val="Sales &amp;prod USD"/>
      <sheetName val="Sales&amp;cost test "/>
      <sheetName val="Rub $"/>
      <sheetName val="POM $"/>
      <sheetName val="OP $"/>
      <sheetName val="3b"/>
      <sheetName val="3c"/>
      <sheetName val="11Rp"/>
      <sheetName val="11$"/>
      <sheetName val="13a"/>
      <sheetName val="13b"/>
      <sheetName val="13c"/>
      <sheetName val="Staff  Cost"/>
      <sheetName val="sum-JantoJun'03"/>
      <sheetName val="F301-1 FX"/>
      <sheetName val="F301-2 FX"/>
      <sheetName val="F301-3 FX"/>
      <sheetName val="F302-1 FX"/>
      <sheetName val="F302-2 FX"/>
      <sheetName val="F302-3 FX"/>
      <sheetName val="F301-1 ZF"/>
      <sheetName val="F301 - 02 ZF"/>
      <sheetName val="F301-03 ZF"/>
      <sheetName val="F302 -01 ZF"/>
      <sheetName val="F302-02 ZF"/>
      <sheetName val="F302-03 ZF"/>
      <sheetName val="F OSM"/>
      <sheetName val="F101 FC"/>
      <sheetName val="F200 FX (RM)"/>
      <sheetName val="F200 ZF (RM)"/>
      <sheetName val="F201 ZF"/>
      <sheetName val="F204 ZF"/>
      <sheetName val="F704-RM"/>
      <sheetName val="F704-RM(2)"/>
      <sheetName val="F705-RM"/>
      <sheetName val="F705-RM(2)"/>
      <sheetName val="F706-RM"/>
      <sheetName val="F706-RM(2)"/>
      <sheetName val="F606 (01)"/>
      <sheetName val="M200"/>
      <sheetName val="M201"/>
      <sheetName val="M202"/>
      <sheetName val="M203"/>
      <sheetName val="To Generate"/>
      <sheetName val="Dec 03"/>
      <sheetName val="A16C"/>
      <sheetName val="2Yr"/>
      <sheetName val="Graph"/>
      <sheetName val="A51"/>
      <sheetName val="A52"/>
      <sheetName val="A53"/>
      <sheetName val="A54"/>
      <sheetName val="B-Sales "/>
      <sheetName val="U10"/>
      <sheetName val="Recon "/>
      <sheetName val="M5 Unre liab"/>
      <sheetName val="P3Jurong"/>
      <sheetName val="I1"/>
      <sheetName val="Imemo1"/>
      <sheetName val="I memo2"/>
      <sheetName val="GP3"/>
      <sheetName val="Bedok"/>
      <sheetName val="F5-Purchase cut off"/>
      <sheetName val="&lt;T101&gt;"/>
      <sheetName val="O-3-tax com"/>
      <sheetName val="O-4-add"/>
      <sheetName val="O-5-HP"/>
      <sheetName val="O-6 CA"/>
      <sheetName val="O-7 DFA"/>
      <sheetName val="A71"/>
      <sheetName val="BPR"/>
      <sheetName val="BPR-1"/>
      <sheetName val="F-22"/>
      <sheetName val="FF-1"/>
      <sheetName val="FF-3"/>
      <sheetName val="B-10"/>
      <sheetName val="B-30"/>
      <sheetName val="U-1 "/>
      <sheetName val="U-100"/>
      <sheetName val="M&amp;MM"/>
      <sheetName val="F-11"/>
      <sheetName val="F-11a"/>
      <sheetName val="B-40"/>
      <sheetName val="B-50"/>
      <sheetName val="U "/>
      <sheetName val="U-10"/>
      <sheetName val="U-30"/>
      <sheetName val="BB-30"/>
      <sheetName val="CC-30"/>
      <sheetName val="FF-2"/>
      <sheetName val="FF-4"/>
      <sheetName val="FF-4a"/>
      <sheetName val="FF-5"/>
      <sheetName val="FF-6"/>
      <sheetName val="FF-7"/>
      <sheetName val="FF-8"/>
      <sheetName val="DD-10"/>
      <sheetName val="FSA"/>
      <sheetName val="FSA-Attached"/>
      <sheetName val="AP110"/>
      <sheetName val="F-7"/>
      <sheetName val="BPR balance sheet"/>
      <sheetName val="BPR profit &amp; loss"/>
      <sheetName val="BPR BS analysis"/>
      <sheetName val="BPR PL analysis"/>
      <sheetName val="U-RCD6"/>
      <sheetName val="CC-60"/>
      <sheetName val="CC-Recon"/>
      <sheetName val="FF-10"/>
      <sheetName val="70"/>
      <sheetName val="80"/>
      <sheetName val="90"/>
      <sheetName val="100"/>
      <sheetName val="TB-gl"/>
      <sheetName val="Hypothesis"/>
      <sheetName val="Profitability"/>
      <sheetName val="Profit anal"/>
      <sheetName val="F-1&amp;2"/>
      <sheetName val="F-9"/>
      <sheetName val="accumdeprn"/>
      <sheetName val="addl cost"/>
      <sheetName val="dev_exp (2)"/>
      <sheetName val="dev_exp"/>
      <sheetName val="Addl Dev Exp"/>
      <sheetName val="Profitability Analysis"/>
      <sheetName val="Purch cut off"/>
      <sheetName val="M&amp;MM-10"/>
      <sheetName val="pp-1"/>
      <sheetName val="40 (2)"/>
      <sheetName val="50 (2)"/>
      <sheetName val="BIF-collect"/>
      <sheetName val="BIF-OR"/>
      <sheetName val="Module3"/>
      <sheetName val="Future"/>
      <sheetName val="30 "/>
      <sheetName val="C-10"/>
      <sheetName val="NRV-1"/>
      <sheetName val="NRV-2"/>
      <sheetName val="N-10"/>
      <sheetName val="N-11"/>
      <sheetName val="N-12"/>
      <sheetName val="N-20"/>
      <sheetName val="AA-3"/>
      <sheetName val="CC-24"/>
      <sheetName val="CC-50"/>
      <sheetName val="Hypo"/>
      <sheetName val="AP110 sup"/>
      <sheetName val="AP110sup"/>
      <sheetName val="BB-10"/>
      <sheetName val="FF "/>
      <sheetName val="FF-2 (1)"/>
      <sheetName val="FF-2 (2)"/>
      <sheetName val="FF-2 (3)"/>
      <sheetName val="KK-1"/>
      <sheetName val="MM-1"/>
      <sheetName val="MM-10"/>
      <sheetName val="NN-1"/>
      <sheetName val="PA-1"/>
      <sheetName val="110"/>
      <sheetName val="110s"/>
      <sheetName val="B-20"/>
      <sheetName val="U-90"/>
      <sheetName val="XX-1"/>
      <sheetName val="FF-2.1"/>
      <sheetName val="FF-2.2"/>
      <sheetName val="XX-3"/>
      <sheetName val="KK-2"/>
      <sheetName val="KK-10"/>
      <sheetName val="FF-21(a)"/>
      <sheetName val="F7wkg"/>
      <sheetName val="A-22"/>
      <sheetName val="FF-20"/>
      <sheetName val="CA"/>
      <sheetName val="FF-22(hp)"/>
      <sheetName val="FF-23(d)"/>
      <sheetName val="FF-30"/>
      <sheetName val="FF-31"/>
      <sheetName val="FF-40"/>
      <sheetName val="PP(spare)"/>
      <sheetName val="PP-20"/>
      <sheetName val="NN-12"/>
      <sheetName val="PP-30"/>
      <sheetName val="PP-31"/>
      <sheetName val="PP-40"/>
      <sheetName val="BPR support"/>
      <sheetName val="L-12"/>
      <sheetName val="U-20"/>
      <sheetName val="AA-1"/>
      <sheetName val="AA-10"/>
      <sheetName val="BA"/>
      <sheetName val="TR"/>
      <sheetName val="BB-20"/>
      <sheetName val="NN-10"/>
      <sheetName val="NN-20"/>
      <sheetName val="FF-50"/>
      <sheetName val="ODint"/>
      <sheetName val="P&amp;L Lead"/>
      <sheetName val="AP110 "/>
      <sheetName val="C-40"/>
      <sheetName val="BBK"/>
      <sheetName val="FSL"/>
      <sheetName val="APP-6"/>
      <sheetName val="APP-6 "/>
      <sheetName val="RCD-100"/>
      <sheetName val="CONT"/>
      <sheetName val="COM"/>
      <sheetName val="S108-1"/>
      <sheetName val="s108-2"/>
      <sheetName val="EXEMPT"/>
      <sheetName val="EXEM"/>
      <sheetName val="ra"/>
      <sheetName val="BSI"/>
      <sheetName val="MFA"/>
      <sheetName val="AFA"/>
      <sheetName val="HP"/>
      <sheetName val="DFA"/>
      <sheetName val="CAA"/>
      <sheetName val="FMC"/>
      <sheetName val="OS list  "/>
      <sheetName val="BTPL"/>
      <sheetName val="BTI"/>
      <sheetName val="Taster"/>
      <sheetName val="NOTES JUN 04"/>
      <sheetName val="A2.1-SAD"/>
      <sheetName val="A.3.1 &amp; A.3.2"/>
      <sheetName val="A.3.3"/>
      <sheetName val="A.3.4"/>
      <sheetName val="A.3.5"/>
      <sheetName val="A.5"/>
      <sheetName val="cash count IDR"/>
      <sheetName val="F.1.2"/>
      <sheetName val="G "/>
      <sheetName val="premi"/>
      <sheetName val="K.1.1.1 (out)"/>
      <sheetName val="K.1.1.1"/>
      <sheetName val="K.1.1.2"/>
      <sheetName val="K.1.1.3"/>
      <sheetName val="K.2.1 (out)"/>
      <sheetName val="Vouching K"/>
      <sheetName val="N1.1"/>
      <sheetName val="O.2(VAT)"/>
      <sheetName val="O.3 (PPh23)"/>
      <sheetName val="O.4(PPh 4)"/>
      <sheetName val="P.1.2 "/>
      <sheetName val="P.1.2.1"/>
      <sheetName val="P.1.2.2"/>
      <sheetName val="P.1.2.1.1 "/>
      <sheetName val="S.2"/>
      <sheetName val="U.2.1.1.1"/>
      <sheetName val="U.2.1.1.1.1"/>
      <sheetName val="U.2.1.1.2 "/>
      <sheetName val="U.2.1.1.2.1"/>
      <sheetName val="U.2.1.1.3"/>
      <sheetName val="U.2.1.2.1"/>
      <sheetName val="U.2.1.2.2"/>
      <sheetName val="U.2.1.2.3"/>
      <sheetName val="U.2.1.2.4"/>
      <sheetName val="U.2.2.2"/>
      <sheetName val="U.2.3"/>
      <sheetName val="point2do"/>
      <sheetName val="O.0 Report format"/>
      <sheetName val="O.1 PPh 21-06"/>
      <sheetName val="O.1.1 GL Recon"/>
      <sheetName val="O.2 Pph 22"/>
      <sheetName val=" O.3 PPH Ps.23"/>
      <sheetName val="O.4 PPH Ps.26 Estate"/>
      <sheetName val="0.4.1 PPH Ps.26 POM"/>
      <sheetName val="O.5 VAT"/>
      <sheetName val="O.5.1 VAT Reconciliation"/>
      <sheetName val="O.6 Prepaid PPH 25"/>
      <sheetName val="O.7 Tax Assessment"/>
      <sheetName val="O.7.5.1 Memo"/>
      <sheetName val="Ratio calculation"/>
      <sheetName val="Q.Lead"/>
      <sheetName val="ARPs"/>
      <sheetName val="Q.1 Int Exp"/>
      <sheetName val="Q.2 KMK Mandiri"/>
      <sheetName val="Q.3 KMK DBS"/>
      <sheetName val="Q.4 KMK Bank Ekspor Ind"/>
      <sheetName val="Q.5 KMK Agro"/>
      <sheetName val="Q.6 KI Mandiri"/>
      <sheetName val="Q.7 KI BNI"/>
      <sheetName val="Q.8 KKPTR COM"/>
      <sheetName val="Q.9 KKPTR AGRO"/>
      <sheetName val="Q.3 KMK Agro"/>
      <sheetName val="Q.4 KMK DBS"/>
      <sheetName val="Q.5 KI Mandiri"/>
      <sheetName val="Q.6 KI BNI"/>
      <sheetName val="Q.7 KKPTR COM"/>
      <sheetName val="Q.8 KKPTR AGRO"/>
      <sheetName val="A.4 TB 2008"/>
      <sheetName val="A.4 TB 2007"/>
      <sheetName val="A5.1 (2007)"/>
      <sheetName val="CF  For Reporting "/>
      <sheetName val="A1-1"/>
      <sheetName val="A1-2"/>
      <sheetName val="Conf. Cont. Bank"/>
      <sheetName val="Summary results Bank"/>
      <sheetName val="fa detail"/>
      <sheetName val="sales acc (2)"/>
      <sheetName val="40-1"/>
      <sheetName val="40-2"/>
      <sheetName val="40-3"/>
      <sheetName val="40-4"/>
      <sheetName val="40-5"/>
      <sheetName val="40-6"/>
      <sheetName val="40-8"/>
      <sheetName val="40-10"/>
      <sheetName val="Cover_Confirmation"/>
      <sheetName val="Checklist_Contracts"/>
      <sheetName val="Anniversary Provision"/>
      <sheetName val="Severance Payment Provision"/>
      <sheetName val="Pension Provision"/>
      <sheetName val="Tax reconciliation"/>
      <sheetName val="Intercompany-receivables"/>
      <sheetName val="Intercompany-payables"/>
      <sheetName val="Intercompany-BS"/>
      <sheetName val="Intercompany-income"/>
      <sheetName val="Intercompany-expense-interest"/>
      <sheetName val="Provisions"/>
      <sheetName val="Split_Positions_Other"/>
      <sheetName val="Variances_HB"/>
      <sheetName val="Notes_Cover"/>
      <sheetName val="notes lease"/>
      <sheetName val="Inventories (IAS 2)"/>
      <sheetName val="Impairment (IAS 36_IFRS 3)"/>
      <sheetName val="Government Grants (IAS 20)"/>
      <sheetName val="Intang. Assets (IAS 38)"/>
      <sheetName val="Tang. Assets (IAS 16)"/>
      <sheetName val="Provisions (IAS 37)"/>
      <sheetName val="Employee Benefits (IAS 19)"/>
      <sheetName val="Related Parties"/>
      <sheetName val="IAS 39 - Notes"/>
      <sheetName val="IFRS 7"/>
      <sheetName val="BW_IFRS7"/>
      <sheetName val="FV_IFRS7"/>
      <sheetName val="Criteria_FV_Calculation"/>
      <sheetName val="Valuation allowance"/>
      <sheetName val="Sales_ABCanalysis"/>
      <sheetName val="Receivables"/>
      <sheetName val="Maturities"/>
      <sheetName val="Notes-Currency"/>
      <sheetName val="notes warranty"/>
      <sheetName val="Elim IC profit inventory"/>
      <sheetName val="Companies"/>
      <sheetName val="Amended Main"/>
      <sheetName val="Dropdown"/>
      <sheetName val="Sophos"/>
      <sheetName val="P9DeviceList"/>
      <sheetName val="P9Query"/>
      <sheetName val="P9QueryOutput"/>
      <sheetName val="P9SoftwareList"/>
      <sheetName val="Office Lookup Filter"/>
      <sheetName val="1771-3"/>
      <sheetName val="1771-4"/>
      <sheetName val="1771-5"/>
      <sheetName val="1771-6"/>
      <sheetName val="Dftlamp"/>
      <sheetName val="Depr-fiskal"/>
      <sheetName val="fiscal depr"/>
      <sheetName val="Rekon-FA"/>
      <sheetName val="Additional-FA"/>
      <sheetName val="Int-exp"/>
      <sheetName val="positivecorr"/>
      <sheetName val="korfis"/>
      <sheetName val="Breakdown Fiscal Correction"/>
      <sheetName val="Revised wht slips"/>
      <sheetName val="Attachmentx"/>
      <sheetName val="Lampiranx"/>
      <sheetName val="Entertainmentx"/>
      <sheetName val="Revised Depr"/>
      <sheetName val="Depreciationx"/>
      <sheetName val="Art25 installx"/>
      <sheetName val="ARt 2223 prepaid"/>
      <sheetName val="Journal Req'd"/>
      <sheetName val="TRanscations-Prov"/>
      <sheetName val="1. Provision m'ment"/>
      <sheetName val="2. Depr 00"/>
      <sheetName val="4. FA Addition"/>
      <sheetName val="3. Amort 00"/>
      <sheetName val="5. Expln-Dev"/>
      <sheetName val="TRans-Expln"/>
      <sheetName val="6. P&amp;L Listing ex sun"/>
      <sheetName val="7. Losses"/>
      <sheetName val="CCOA-BAl"/>
      <sheetName val="Trans 1. - 97040"/>
      <sheetName val="43060"/>
      <sheetName val="Trans 2. 97165"/>
      <sheetName val="Trans 3. 97345"/>
      <sheetName val="Trans 4.97850, 97860 "/>
      <sheetName val="Trans 5 - 97515, 97835 , 97840"/>
      <sheetName val="Trans 6 43060, 98017,11831 "/>
      <sheetName val="Trans 7 98075"/>
      <sheetName val="Schedule 4"/>
      <sheetName val="Tangerang Site"/>
      <sheetName val="I-10"/>
      <sheetName val="EBIT-97"/>
      <sheetName val="301198 Prov"/>
      <sheetName val="DIB"/>
      <sheetName val="126 &amp; 127"/>
      <sheetName val="bpcs-rep"/>
      <sheetName val="depr-1998"/>
      <sheetName val="611alloc"/>
      <sheetName val="AI-95"/>
      <sheetName val="Prov Obsolete"/>
      <sheetName val="Structuring"/>
      <sheetName val="AR-conf"/>
      <sheetName val="AP-english"/>
      <sheetName val="AP-conf "/>
      <sheetName val="125 &amp; 128"/>
      <sheetName val="Remarks B14-2 "/>
      <sheetName val="FX-96.97.1098"/>
      <sheetName val="Royalties"/>
      <sheetName val="30614"/>
      <sheetName val="30912"/>
      <sheetName val="AR &amp; Inv WOff "/>
      <sheetName val="MB Country"/>
      <sheetName val="cc-129-98"/>
      <sheetName val="UU13-06"/>
      <sheetName val="UU13-07"/>
      <sheetName val="UU13-08"/>
      <sheetName val="Dis-07"/>
      <sheetName val="Dis-08"/>
      <sheetName val="JAPA (Ina)"/>
      <sheetName val="JAPA (Ing)"/>
      <sheetName val="Rek Ind"/>
      <sheetName val="Rek Ing"/>
      <sheetName val="Mort-06"/>
      <sheetName val="Mort-07"/>
      <sheetName val="Mort-08"/>
      <sheetName val="DtPes-06"/>
      <sheetName val="DtPes-07"/>
      <sheetName val="DtPes-08"/>
      <sheetName val="Exp-07"/>
      <sheetName val="Exp-08"/>
      <sheetName val="AR Trade List 081031"/>
      <sheetName val="P.201"/>
      <sheetName val="Jan &amp; Feb"/>
      <sheetName val="August"/>
      <sheetName val="WIS (2)"/>
      <sheetName val="journal"/>
      <sheetName val="WIS"/>
      <sheetName val=" Fluct COGS"/>
      <sheetName val="Turn Over"/>
      <sheetName val="Lead Inv"/>
      <sheetName val="RM"/>
      <sheetName val="lead cogs"/>
      <sheetName val="MPP"/>
      <sheetName val="TB JUNE07"/>
      <sheetName val="RJE &amp; CAJE"/>
      <sheetName val="PRELIMINARY WBS"/>
      <sheetName val="PRELIMINARY WIS"/>
      <sheetName val="Schedule1"/>
      <sheetName val="fluc for CF"/>
      <sheetName val="WP CF1"/>
      <sheetName val="forex june"/>
      <sheetName val="Ratio -RV"/>
      <sheetName val="CF mov BS"/>
      <sheetName val="Final Fluc WSBS"/>
      <sheetName val="FInal Fluc WSIS"/>
      <sheetName val="Lead-S100"/>
      <sheetName val="lead S 100 vs dec 07"/>
      <sheetName val="Lead-S100 no hilite"/>
      <sheetName val="S-121-Director Basic Salary"/>
      <sheetName val="pending!S-122-Ind Basic Salary"/>
      <sheetName val="try out (3)"/>
      <sheetName val=" dv indonesian basic"/>
      <sheetName val="aso indonesian basic"/>
      <sheetName val="aso"/>
      <sheetName val="S-123-Indonesian Overtime"/>
      <sheetName val="S-123-Indonesian Overtime (2)"/>
      <sheetName val="S-123-Indonesian Overtime (3)"/>
      <sheetName val="s 124- Indonesian bonus (2)"/>
      <sheetName val="s 124- Indonesian bonus"/>
      <sheetName val="final bonus"/>
      <sheetName val="gl ind bonus"/>
      <sheetName val="s 124 reasonable insurance"/>
      <sheetName val="insurance-mid"/>
      <sheetName val="S-124-Housing allowance"/>
      <sheetName val="S-125-emp lunch snack &amp; drink"/>
      <sheetName val="S-126-Insite handling fee"/>
      <sheetName val="test insite handling"/>
      <sheetName val="Allocation to Direct"/>
      <sheetName val="DEC FC"/>
      <sheetName val="FC Oct"/>
      <sheetName val="reasonableness test of Transdom"/>
      <sheetName val="transport dec"/>
      <sheetName val="print domestic"/>
      <sheetName val="rt domestic (2)"/>
      <sheetName val="rt domestic"/>
      <sheetName val="RT export"/>
      <sheetName val="Transp Dom Oct 08"/>
      <sheetName val="reasonable nwrk lease"/>
      <sheetName val="reasonable nwrk lease (2)"/>
      <sheetName val="Export Transport"/>
      <sheetName val="Export Transport (2)"/>
      <sheetName val="s 132 f bus rental"/>
      <sheetName val="list bus rental"/>
      <sheetName val="print export"/>
      <sheetName val="final export transport (2)"/>
      <sheetName val="tb-0912"/>
      <sheetName val="P.100.F Lead Schedule"/>
      <sheetName val="P.120.F Prepaid 22"/>
      <sheetName val="P.130.F Prepaid 25"/>
      <sheetName val="P.200.F - VAT Recon"/>
      <sheetName val="ar-non"/>
      <sheetName val="P.200.F - VAT"/>
      <sheetName val="P.210.F Sales Recon"/>
      <sheetName val="Sum-Jan-Desember 2009 NR"/>
      <sheetName val="Jan - Desember  2009  Rev. NR"/>
      <sheetName val="P.211.F Supporting Sales Recon"/>
      <sheetName val="P.210.F - Sales Recon"/>
      <sheetName val="P.300.F - 21"/>
      <sheetName val="P.300.F - WHT 21"/>
      <sheetName val="P.301.F"/>
      <sheetName val="P.305.F Recalculate ITA 21"/>
      <sheetName val="P.306.F Deemed Salary"/>
      <sheetName val="P.307.F Expatriate Basic Salary"/>
      <sheetName val="P.310.F - 23.26"/>
      <sheetName val="P.320.F - 4(2) . 15"/>
      <sheetName val="rec-23jul-dec"/>
      <sheetName val="rec-26jul-dec"/>
      <sheetName val="Tax Based Recon 26"/>
      <sheetName val="P.330.R"/>
      <sheetName val="P.400. Tax Audit"/>
      <sheetName val="Journal Tax Audit"/>
      <sheetName val="P.202.R"/>
      <sheetName val="Jan - Jun  2009     "/>
      <sheetName val="tb 0810"/>
      <sheetName val="tb-0812"/>
      <sheetName val="tb-0909"/>
      <sheetName val="tb-0910"/>
      <sheetName val="WSBS"/>
      <sheetName val="WSIS"/>
      <sheetName val="Fluc.BS"/>
      <sheetName val="Fluc.IS"/>
      <sheetName val="Schedule 1B - Rollover"/>
      <sheetName val="Schedule 2"/>
      <sheetName val="Schedule 3"/>
      <sheetName val="Supporting CF"/>
      <sheetName val="Detail Purchasing"/>
      <sheetName val="A-Cash"/>
      <sheetName val="kontrol Konf"/>
      <sheetName val="RM Stock"/>
      <sheetName val="DeliveryOnly"/>
      <sheetName val="Finish Goods"/>
      <sheetName val="Pemakaian"/>
      <sheetName val="Pemakaian (2)"/>
      <sheetName val="Syuusei"/>
      <sheetName val="Del SD26"/>
      <sheetName val="Pre-Pre"/>
      <sheetName val="Kaitenro"/>
      <sheetName val="Graphic Kaitenro"/>
      <sheetName val="Yoto"/>
      <sheetName val="Sub Material"/>
      <sheetName val="Hansyaro"/>
      <sheetName val="Price DB"/>
      <sheetName val="IS 31.12.04"/>
      <sheetName val="FOH and Opex"/>
      <sheetName val="Sales Report"/>
      <sheetName val="Total purchase"/>
      <sheetName val="rental-Opex"/>
      <sheetName val="interest loan"/>
      <sheetName val="P-Tax 23-26"/>
      <sheetName val="Tax 23-26"/>
      <sheetName val="Tax 21-26"/>
      <sheetName val="tb-1010"/>
      <sheetName val="tb-1012"/>
      <sheetName val="Schedule 1 - Rollover"/>
      <sheetName val="I_200.F inq"/>
      <sheetName val="I_200.F"/>
      <sheetName val="I_200"/>
      <sheetName val="I_500.F inq"/>
      <sheetName val="I_500.F"/>
      <sheetName val="I_500"/>
      <sheetName val="I_800.F"/>
      <sheetName val="I_800"/>
      <sheetName val="Sample TOC Purchase"/>
      <sheetName val="Output Result"/>
      <sheetName val="Val_Result"/>
      <sheetName val="Age &amp; Service Graph"/>
      <sheetName val="Age&amp;Service Distribution"/>
      <sheetName val="For graph "/>
      <sheetName val="Val_Ind"/>
      <sheetName val="Val_Mean"/>
      <sheetName val="Para_Assumption"/>
      <sheetName val="Mult_Decrement"/>
      <sheetName val="Plan_Rules"/>
      <sheetName val="O.5 Hut PPh 23 Cbg"/>
      <sheetName val="analysis material cost (2)"/>
      <sheetName val="Temporary Diff-Movements"/>
      <sheetName val="DTA-DTL"/>
      <sheetName val="Corporate tax "/>
      <sheetName val="Fixed assets 2"/>
      <sheetName val="analysis material cost"/>
      <sheetName val="REKAP PK"/>
      <sheetName val="_x0000__x0000__x0000__x0000__x0000_"/>
      <sheetName val="SPM-21-1 (2)"/>
      <sheetName val="DBP-23"/>
      <sheetName val="BP-23 (3)"/>
      <sheetName val="BP-23 (2)"/>
      <sheetName val="BP-23"/>
      <sheetName val="DatPot Sewa"/>
      <sheetName val="FK-1 (2)"/>
      <sheetName val="FK-1"/>
      <sheetName val="Report Prez"/>
      <sheetName val="IS "/>
      <sheetName val="Attach CF"/>
      <sheetName val="MLP"/>
      <sheetName val="Unrealized forex 04"/>
      <sheetName val="Unrealized forex 03"/>
      <sheetName val="LS Consolidated"/>
      <sheetName val="WS Consolidated"/>
      <sheetName val="LS Combined"/>
      <sheetName val="WS Combined"/>
      <sheetName val="Offset"/>
      <sheetName val="Detail -AJE"/>
      <sheetName val="Detail AJE Consol"/>
      <sheetName val="Restated AJE HTM 2001"/>
      <sheetName val="Def tax FA"/>
      <sheetName val="Aktiva 0909"/>
      <sheetName val="Total Balance 2008 012"/>
      <sheetName val="Q Memo"/>
      <sheetName val="Q-1 Loan Mutation"/>
      <sheetName val="Q-2 Detail ST Loan"/>
      <sheetName val="Q-2-1 Detail Repayment ST Loan"/>
      <sheetName val="Q-2-1-1 Payment to T.Petchem"/>
      <sheetName val="Q-3 Detail Subordinated Loan"/>
      <sheetName val="Q-4 Detail Loan Interest Exp"/>
      <sheetName val="Q-4-1 Payment Loan Interest Exp"/>
      <sheetName val="Q-4-1 Loan Interest Calc"/>
      <sheetName val="Flow Int Exp CF"/>
      <sheetName val="QQ - Loan Confirmation"/>
      <sheetName val="Reclassification vehicle"/>
      <sheetName val="Machinery and equipment"/>
      <sheetName val="CIP-2008 to 2009"/>
      <sheetName val="Point discuss"/>
      <sheetName val="PM&amp;TE"/>
      <sheetName val="A-3.1"/>
      <sheetName val="detail_A-3.1"/>
      <sheetName val="A-3.2"/>
      <sheetName val="detail_A-3.2"/>
      <sheetName val="A-3.3"/>
      <sheetName val="detail_A-3.3"/>
      <sheetName val="Cf Indirect"/>
      <sheetName val="Cf06"/>
      <sheetName val="Machinery"/>
      <sheetName val="SPT 21"/>
      <sheetName val="CutOff Bank"/>
      <sheetName val="C-17 Test of Forex"/>
      <sheetName val="AR analysis"/>
      <sheetName val="I Lead"/>
      <sheetName val="K-2.1"/>
      <sheetName val="K-2.1.1"/>
      <sheetName val="K-2.1.2"/>
      <sheetName val="K-2.1.3"/>
      <sheetName val="K-2.1.4"/>
      <sheetName val="K-2.1.6"/>
      <sheetName val="Loan Analysis"/>
      <sheetName val="O.1 VAT"/>
      <sheetName val="O-2.1"/>
      <sheetName val="O-3.1 Art 4(2)"/>
      <sheetName val="U-1.1.1"/>
      <sheetName val="U-1.2.1"/>
      <sheetName val="U-1.3 Test price sales"/>
      <sheetName val="U-1.4 Predictive exp sales"/>
      <sheetName val="GP analist"/>
      <sheetName val="U-2.1.1"/>
      <sheetName val="U-3 Lead"/>
      <sheetName val="TOC Sales-Local"/>
      <sheetName val="TOC Sales- Export"/>
      <sheetName val="TOC Purchase"/>
      <sheetName val="U.1.3.1 Sales Cutoff (Ex)"/>
      <sheetName val="U.1.3.1 Sales Cutoff"/>
      <sheetName val="Inv Analysis"/>
      <sheetName val="F-4 Inv Val"/>
      <sheetName val="Pending Confirmation"/>
      <sheetName val="CC-Confirmation Bank"/>
      <sheetName val="EE_COnfirmation AR"/>
      <sheetName val="II_Confirmation Inter Co."/>
      <sheetName val="Letter to Lawyer"/>
      <sheetName val="NN_Confirmation AP"/>
      <sheetName val="QQ_Confirmation Loan"/>
      <sheetName val="TT_Confirmation SHE"/>
      <sheetName val="NETOV"/>
      <sheetName val="PacketDataModels"/>
      <sheetName val="1xEVDataModels"/>
      <sheetName val="Legend"/>
      <sheetName val="RKP KDR"/>
      <sheetName val="LAP KDR"/>
      <sheetName val="RKP MOST"/>
      <sheetName val="PNGM"/>
      <sheetName val="LAP CODE"/>
      <sheetName val="DBF"/>
      <sheetName val="TUNAI"/>
      <sheetName val="PIUT"/>
      <sheetName val="PER.LIVER"/>
      <sheetName val="PER.LIVER (2)"/>
      <sheetName val="NOTA LIVER MJK"/>
      <sheetName val="NOTA LIVER JMB"/>
      <sheetName val="DO"/>
      <sheetName val="NOTA KVS"/>
      <sheetName val="KANVAS"/>
      <sheetName val="REKAP.LIVER"/>
      <sheetName val="OMZT"/>
      <sheetName val="Sumber Sinar"/>
      <sheetName val="PER.PIUT"/>
      <sheetName val="PEMASARAN"/>
      <sheetName val="PENJ SA"/>
      <sheetName val="LABA KVS"/>
      <sheetName val="SETOR"/>
      <sheetName val="SELLING OUT"/>
      <sheetName val="MASTER SA (2)"/>
      <sheetName val="MASTER SA"/>
      <sheetName val="MASTER HARGA"/>
      <sheetName val="LAMPUNG"/>
      <sheetName val="P PINANG"/>
      <sheetName val="TJ PANDAN"/>
      <sheetName val="BENGKULU"/>
      <sheetName val="PALEMBANG"/>
      <sheetName val="REGIONAL SUMBAGSEL"/>
      <sheetName val="REGIONAL SUMBAGUT"/>
      <sheetName val="PEKANBARU"/>
      <sheetName val="SELAT PANJANG"/>
      <sheetName val="DUMAI"/>
      <sheetName val="RENGAT"/>
      <sheetName val="TEMBILAHAN"/>
      <sheetName val="TJ PINANG"/>
      <sheetName val="TJ BALAI KARIMUN"/>
      <sheetName val="TJ BATU"/>
      <sheetName val="PADANG"/>
      <sheetName val="REGIONAL SUMBAGTENG"/>
      <sheetName val="MAKASAR"/>
      <sheetName val="LUWUK"/>
      <sheetName val="PALU"/>
      <sheetName val="AMBON"/>
      <sheetName val="TOLI2"/>
      <sheetName val="JAYAPURA"/>
      <sheetName val="BIAK"/>
      <sheetName val="MERAUKE"/>
      <sheetName val="MANOKWARI"/>
      <sheetName val="SERUI"/>
      <sheetName val="NABIRE"/>
      <sheetName val="REGIONAL INDONESIA TIMUR"/>
      <sheetName val="KUPANG"/>
      <sheetName val="BANJARMASIN"/>
      <sheetName val="MATARAM"/>
      <sheetName val="ENDE"/>
      <sheetName val="BIMA"/>
      <sheetName val="WAINGAPU"/>
      <sheetName val="MAUMERE"/>
      <sheetName val="TARAKAN"/>
      <sheetName val="REGIONAL BALIKA"/>
      <sheetName val="PONTIANAK"/>
      <sheetName val="SMA"/>
      <sheetName val="LPPU Sales Senin"/>
      <sheetName val="JKT1"/>
      <sheetName val="JKT2"/>
      <sheetName val="JKT3"/>
      <sheetName val="pl-adj"/>
      <sheetName val="Rek_SPK "/>
      <sheetName val="Rin SPK Tambak R&amp;D"/>
      <sheetName val="Rin SPK Kap"/>
      <sheetName val="Rin SPK Infra 1-15"/>
      <sheetName val="Kapitalisasi Des-06"/>
      <sheetName val="TB Damco Indonesia-nov09"/>
      <sheetName val="LS R.300h"/>
      <sheetName val="2452000"/>
      <sheetName val="Koreksi "/>
      <sheetName val="WBS - WPL Parent"/>
      <sheetName val="LABA_R"/>
      <sheetName val="Konsd All"/>
      <sheetName val="CAT_NRC"/>
      <sheetName val="CAT_LBR"/>
      <sheetName val="BS-KK"/>
      <sheetName val="IS-KK"/>
      <sheetName val="Cashflow'05"/>
      <sheetName val="WBS-KONS"/>
      <sheetName val="PEMAKAIAN PAKAN &amp; OBAT"/>
      <sheetName val="HEADER"/>
      <sheetName val="IndJan-Mar"/>
      <sheetName val="IndApr-Juni (2)"/>
      <sheetName val="IndJuly-Des"/>
      <sheetName val="Pemb Induk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10 FA"/>
      <sheetName val="11 CIP"/>
      <sheetName val="12 JAPG"/>
      <sheetName val="13 BRDSTK"/>
      <sheetName val="Boxes"/>
      <sheetName val="HARVEST02_Vennamei"/>
      <sheetName val="HARVEST02"/>
      <sheetName val="H3"/>
      <sheetName val="CYCLUS"/>
      <sheetName val="P_WEEK"/>
      <sheetName val="AREA_LIST"/>
      <sheetName val="HIII"/>
      <sheetName val="H4"/>
      <sheetName val="MP01"/>
      <sheetName val="Medical Facility"/>
      <sheetName val="MPP_JAN"/>
      <sheetName val="MPP_PEB"/>
      <sheetName val="MPP_MAR"/>
      <sheetName val="MPP_APR"/>
      <sheetName val="MPP_MAY"/>
      <sheetName val="MPP_JUN"/>
      <sheetName val="MPP_JUL"/>
      <sheetName val="MPP_AGT"/>
      <sheetName val="MPP_SEP"/>
      <sheetName val="MPP_OKT"/>
      <sheetName val="MPP_NOV"/>
      <sheetName val="MPP_DES"/>
      <sheetName val="ef"/>
      <sheetName val="avp"/>
      <sheetName val="avp_actual"/>
      <sheetName val="avp_lamp"/>
      <sheetName val="trd"/>
      <sheetName val="trd_Actual"/>
      <sheetName val="trad_lamp"/>
      <sheetName val="log"/>
      <sheetName val="log_Atual"/>
      <sheetName val="log_lamp"/>
      <sheetName val="ppc"/>
      <sheetName val="ppc_actual"/>
      <sheetName val="ppc_lamp"/>
      <sheetName val="NmList"/>
      <sheetName val="budgetvs real"/>
      <sheetName val="SALES &amp; COGS"/>
      <sheetName val="DETAIL-CFLW"/>
      <sheetName val="DL-SUMMARY"/>
      <sheetName val="JURNAL (Month)"/>
      <sheetName val="RAW"/>
      <sheetName val="DM99-HE"/>
      <sheetName val="DM99-PF"/>
      <sheetName val="DM99-PLO"/>
      <sheetName val="DM99-FHF"/>
      <sheetName val="DM99-EPI"/>
      <sheetName val="TK99-HE"/>
      <sheetName val="TK99-PF"/>
      <sheetName val="TK99-RP"/>
      <sheetName val="TK99-PLO"/>
      <sheetName val="TK99-EPI"/>
      <sheetName val="MPP01 OUTPUT BEP"/>
      <sheetName val="MPP FROM AQUA MANUAL"/>
      <sheetName val="BS MLOG"/>
      <sheetName val="IS MLOG"/>
      <sheetName val="ID02"/>
      <sheetName val="Schedule 1C"/>
      <sheetName val="IS MLog Consol"/>
      <sheetName val="rbt sparepart"/>
      <sheetName val="rbt Pakan"/>
      <sheetName val="A.4"/>
      <sheetName val="F1.1"/>
      <sheetName val="F1.2"/>
      <sheetName val="F2.1"/>
      <sheetName val="F6"/>
      <sheetName val="F7"/>
      <sheetName val="G3.2"/>
      <sheetName val="K2-FA"/>
      <sheetName val="K3-CIP"/>
      <sheetName val="L1-PDE Oct.05"/>
      <sheetName val="PDE Summ-MS1"/>
      <sheetName val="PDE Summ-MS2"/>
      <sheetName val="PDE Summ-MS3"/>
      <sheetName val="L1.7"/>
      <sheetName val="L1.8"/>
      <sheetName val="P1.1"/>
      <sheetName val="Accr Int SCB"/>
      <sheetName val="Accr Int BNP"/>
      <sheetName val="R-DIT"/>
      <sheetName val="PDE-MS1"/>
      <sheetName val="PDE-MS2"/>
      <sheetName val="PDE Sum-MS3"/>
      <sheetName val="P2-BNP"/>
      <sheetName val="P2-SCB"/>
      <sheetName val="P2-TSS"/>
      <sheetName val="A1-B.C"/>
      <sheetName val="AP BS"/>
      <sheetName val="AP PL"/>
      <sheetName val="AJE-RJE"/>
      <sheetName val="tb-oct"/>
      <sheetName val="F1-A"/>
      <sheetName val="L1-A"/>
      <sheetName val="L.310"/>
      <sheetName val="L.311"/>
      <sheetName val="Penambahan"/>
      <sheetName val="Jul'09"/>
      <sheetName val="Aug'09"/>
      <sheetName val="disposal modif"/>
      <sheetName val="Recap  CIP"/>
      <sheetName val="Deatil of CIP"/>
      <sheetName val="LISTING FA"/>
      <sheetName val="FA Observe"/>
      <sheetName val="(GAIN) LOSS_FA"/>
      <sheetName val="report presentation"/>
      <sheetName val="SALE &amp; DISPOSAL"/>
      <sheetName val="TANYA BUILDING"/>
      <sheetName val="List_building"/>
      <sheetName val="oret2 building"/>
      <sheetName val="building addition"/>
      <sheetName val="rea. depr. build"/>
      <sheetName val="oretan structure"/>
      <sheetName val="oret2 structure"/>
      <sheetName val="List_structure"/>
      <sheetName val="structure addtion"/>
      <sheetName val="rea. depr. structure"/>
      <sheetName val="machinery addition_interim"/>
      <sheetName val="List_machine"/>
      <sheetName val="oret2 machine"/>
      <sheetName val="oretan machine"/>
      <sheetName val="machinery addition"/>
      <sheetName val="rea. depre. machine_DD"/>
      <sheetName val="(Gain) Loss on FA_machine"/>
      <sheetName val="(Gain) Loss on FA_machinery"/>
      <sheetName val="Tools, dies &amp; jigs"/>
      <sheetName val="oret2 TDJ"/>
      <sheetName val="(Gain) Loss on FA_TDJ"/>
      <sheetName val="TDJ Addition"/>
      <sheetName val="Rea Depre TDJ"/>
      <sheetName val="(Gain) Loss on FA"/>
      <sheetName val="List_FF"/>
      <sheetName val="oret2 FF"/>
      <sheetName val="oretan"/>
      <sheetName val="FF_SL"/>
      <sheetName val="(Gain) Loss on FA_FF"/>
      <sheetName val="FF addition"/>
      <sheetName val="Rea Depre. FF"/>
      <sheetName val="Gainloss_FF"/>
      <sheetName val="(Gain) Loss on FA_VehicLe"/>
      <sheetName val="List_Motor vehicles"/>
      <sheetName val="oret2 vehicles"/>
      <sheetName val="Vehicle_SL"/>
      <sheetName val="Rea Depre. vehicles"/>
      <sheetName val="Vehicles addition"/>
      <sheetName val="Rea Depr. Vehicle"/>
      <sheetName val="GainLoss_vehicle"/>
      <sheetName val="Gain(loss) on FA"/>
      <sheetName val="Disposal by denny"/>
      <sheetName val="Disposal Modified"/>
      <sheetName val="Disposal By Mr.Denny"/>
      <sheetName val="Addition Leasehold"/>
      <sheetName val="leasehold improvement"/>
      <sheetName val="CFS"/>
      <sheetName val="TB Dec'09"/>
      <sheetName val="TB Feb'10"/>
      <sheetName val="WS_IS"/>
      <sheetName val="WS_BS"/>
      <sheetName val="Materiality revise"/>
      <sheetName val="Materiality 10"/>
      <sheetName val="Final BS 10"/>
      <sheetName val="Final IS 10"/>
      <sheetName val="Schedule 1A - Dual 09"/>
      <sheetName val="Schedule 2 - 09"/>
      <sheetName val="CAJE 09"/>
      <sheetName val="Final Fluct BS"/>
      <sheetName val="Final Fluct PL"/>
      <sheetName val="Planning Materiality"/>
      <sheetName val="TB March'10"/>
      <sheetName val="WS_BS (2)"/>
      <sheetName val="WS_IS (2)"/>
      <sheetName val="WS_BS_F"/>
      <sheetName val="WS_IS_F"/>
      <sheetName val="DATAFEED"/>
      <sheetName val="1771(2)"/>
      <sheetName val="Kor.Fis"/>
      <sheetName val="LK1"/>
      <sheetName val="Penys."/>
      <sheetName val="BUILD."/>
      <sheetName val="GOL I"/>
      <sheetName val="GOL II"/>
      <sheetName val="LK2"/>
      <sheetName val="LK2 (2)"/>
      <sheetName val="LK4"/>
      <sheetName val="LK3"/>
      <sheetName val="LK5"/>
      <sheetName val="LK6"/>
      <sheetName val="Pebt"/>
      <sheetName val="Peb2"/>
      <sheetName val="Peb1"/>
      <sheetName val="GLS0497"/>
      <sheetName val="Tally"/>
      <sheetName val="Cheklis"/>
      <sheetName val="Vin"/>
      <sheetName val="P3S"/>
      <sheetName val="9707093"/>
      <sheetName val="KRW"/>
      <sheetName val="REGIONAL JAKARTA"/>
      <sheetName val="SKB"/>
      <sheetName val="SKB+CJR"/>
      <sheetName val="SMD+SBG"/>
      <sheetName val="TSK"/>
      <sheetName val="GRT+TSK"/>
      <sheetName val="REGIONAL JABAR"/>
      <sheetName val="TEGAL"/>
      <sheetName val="PURWOKERTO"/>
      <sheetName val="REGIONAL TEGAL"/>
      <sheetName val="YOGYA"/>
      <sheetName val="MAGELANG"/>
      <sheetName val="SURAKARTA"/>
      <sheetName val="PATI"/>
      <sheetName val="REGIONAL JATENG"/>
      <sheetName val="MJKT"/>
      <sheetName val="BJN"/>
      <sheetName val="KEDIRI"/>
      <sheetName val="MADIUN"/>
      <sheetName val="MALANG"/>
      <sheetName val="PROBOLINGGO"/>
      <sheetName val="ADC MALANG"/>
      <sheetName val="JEMBER"/>
      <sheetName val="SITUBONDO"/>
      <sheetName val="LUMAJANG"/>
      <sheetName val="ADC JEMBER"/>
      <sheetName val="REGIONAL JATIM"/>
      <sheetName val="KONSOL SM"/>
      <sheetName val=" SPR Standar"/>
      <sheetName val="Target"/>
      <sheetName val="Omset"/>
      <sheetName val="R.KIRIM"/>
      <sheetName val="R.JUAL"/>
      <sheetName val="TITIPAN"/>
      <sheetName val="STOCK AWAL -3"/>
      <sheetName val="STOCK AWAL-2"/>
      <sheetName val="STOCK AWAL FISIK"/>
      <sheetName val="Rokok rusak SPRP"/>
      <sheetName val="Contoh isi rokok rusak"/>
      <sheetName val="KOTABUMI"/>
      <sheetName val="PANGKAL_PINANG"/>
      <sheetName val="TJ_PANDAN"/>
      <sheetName val="MUARA_BUNGO"/>
      <sheetName val="SIANTAR"/>
      <sheetName val="KISARAN"/>
      <sheetName val="B_ACEH"/>
      <sheetName val="LHOKSEUMAWE"/>
      <sheetName val="SELAT_PANJANG"/>
      <sheetName val="ADC PEKANBARU"/>
      <sheetName val="TJ_PINANG"/>
      <sheetName val="TJ_BALAI_KARIMUN"/>
      <sheetName val="ADC TJ_PINANG"/>
      <sheetName val="BUKIT_TINGGI"/>
      <sheetName val="PADANG+BUKIT_TINGGI"/>
      <sheetName val="ADC MAKASAR"/>
      <sheetName val="TERNATE"/>
      <sheetName val="ADC SORONG"/>
      <sheetName val="ADC MERAUKE"/>
      <sheetName val="ADC BIAK"/>
      <sheetName val="Indikator"/>
      <sheetName val="PADANG+BUKIT_TINGGI "/>
      <sheetName val="TJ_BATU"/>
      <sheetName val="muara bungo"/>
      <sheetName val="SDS"/>
      <sheetName val="SAEC"/>
      <sheetName val="SEVAL"/>
      <sheetName val="SSTRAT"/>
      <sheetName val="16B-SBIN345"/>
      <sheetName val="STKBB"/>
      <sheetName val="SRO"/>
      <sheetName val="SSEWA"/>
      <sheetName val="16A-SBIN345"/>
      <sheetName val="SPORSI"/>
      <sheetName val="SNEW"/>
      <sheetName val="SAUDIT"/>
      <sheetName val="SKEY"/>
      <sheetName val="Sdeal"/>
      <sheetName val="14A-SOBIN"/>
      <sheetName val="14B-SOBIN"/>
      <sheetName val="SPARET"/>
      <sheetName val="14C-SOBIN"/>
      <sheetName val="SPARETSPM"/>
      <sheetName val="SOICI-IN"/>
      <sheetName val="SOICI-OUT"/>
      <sheetName val="SROSPM"/>
      <sheetName val="DA-V"/>
      <sheetName val="Grup-V"/>
      <sheetName val="StatusLoadDepo"/>
      <sheetName val="14B-SOBI_x0000_"/>
      <sheetName val="SO "/>
      <sheetName val="Nilai Rupiah"/>
      <sheetName val="SPR (GG)"/>
      <sheetName val="SPR (SS)"/>
      <sheetName val="CR"/>
      <sheetName val="BD"/>
      <sheetName val="LG"/>
      <sheetName val="SR"/>
      <sheetName val="BP"/>
      <sheetName val="TOTAL DP"/>
      <sheetName val="TOTAL LP"/>
      <sheetName val="NAS"/>
      <sheetName val="Item"/>
      <sheetName val="Hrg 28 Sept &amp; 30 Nov"/>
      <sheetName val="Harga rokok 25Jan10"/>
      <sheetName val="Harga 15Mar10 "/>
      <sheetName val="Hrg 12Apr10"/>
      <sheetName val="Hrg 10Mei10"/>
      <sheetName val="Harga 24Mei10"/>
      <sheetName val="Harga 28Jun10"/>
      <sheetName val="Harga 12Jul10"/>
      <sheetName val="Harga 6Sept10"/>
      <sheetName val="Harga 25Okt10"/>
      <sheetName val="Lead WHT tax"/>
      <sheetName val="Wht 21"/>
      <sheetName val="Wht 23"/>
      <sheetName val="Wht 4(2)"/>
      <sheetName val="Wht 26"/>
      <sheetName val="Sales Monthly"/>
      <sheetName val="Sales recon"/>
      <sheetName val="VAT recap"/>
      <sheetName val="VAT recon"/>
      <sheetName val="PBC VAT"/>
      <sheetName val="BS 311206"/>
      <sheetName val="IS 311206"/>
      <sheetName val="BS 311206 latest"/>
      <sheetName val="FLASH"/>
      <sheetName val="Sales Flash"/>
      <sheetName val="SLS&amp;GM"/>
      <sheetName val="SLS &amp; Tech"/>
      <sheetName val="HFM-BAL"/>
      <sheetName val="Sales-aloc"/>
      <sheetName val="Entry HFM"/>
      <sheetName val="MANAGER"/>
      <sheetName val="TO BEKOREKSI"/>
      <sheetName val="HFM-PNL"/>
      <sheetName val="TB-Movement"/>
      <sheetName val="Lead account receivable"/>
      <sheetName val="fluctuation analysis"/>
      <sheetName val="exchange rate revaluation test"/>
      <sheetName val="Aging trade receivables"/>
      <sheetName val="Trade receivable turn over"/>
      <sheetName val="perPartNo"/>
      <sheetName val="perpart_report"/>
      <sheetName val="sales-perpart (detail)"/>
      <sheetName val="sales+stcom+smh"/>
      <sheetName val="Inv_Report"/>
      <sheetName val="SUMMARY-editttt"/>
      <sheetName val="BIK"/>
      <sheetName val="PL komersil"/>
      <sheetName val="Inst PPh25 '06"/>
      <sheetName val="SalesRecon"/>
      <sheetName val="Recons Salary old"/>
      <sheetName val="Recons Salary 2005"/>
      <sheetName val="language"/>
      <sheetName val="Lead Sheet"/>
      <sheetName val="1&gt;P&amp;L"/>
      <sheetName val="1&gt;B&amp;S"/>
      <sheetName val="WS B&amp;S"/>
      <sheetName val="1&gt;Stat. of chan. in equ."/>
      <sheetName val="1&gt;CFS"/>
      <sheetName val="ws CFS"/>
      <sheetName val="2&gt;Expense"/>
      <sheetName val="COGS APE"/>
      <sheetName val="Propose Journal "/>
      <sheetName val="WS Expense"/>
      <sheetName val="3&gt;sales and other income"/>
      <sheetName val="WS Sales &amp; Oth Income"/>
      <sheetName val="4&gt;Director's emo. "/>
      <sheetName val="5&gt; Staff cost"/>
      <sheetName val="6&gt;tax"/>
      <sheetName val="7&gt;RPT"/>
      <sheetName val="10&gt;Invest."/>
      <sheetName val="11&gt; Inventories"/>
      <sheetName val="ws Inv"/>
      <sheetName val="12&gt;FA"/>
      <sheetName val="WS FA"/>
      <sheetName val="13&gt;LL &amp; LUR"/>
      <sheetName val="14&gt;AR"/>
      <sheetName val="14-1&gt;Other Recevable"/>
      <sheetName val="15&gt;AP"/>
      <sheetName val="ws AP"/>
      <sheetName val="15-1&gt;Other payables and accrual"/>
      <sheetName val="ws Other Payable"/>
      <sheetName val="WS Accrual"/>
      <sheetName val="16&gt;Bank loan"/>
      <sheetName val="17&gt;Cash"/>
      <sheetName val="ws Cash"/>
      <sheetName val="18&gt;IA"/>
      <sheetName val="19&gt;Charges"/>
      <sheetName val="20&gt;con lib"/>
      <sheetName val="21&gt;con ass"/>
      <sheetName val="22&gt;commit"/>
      <sheetName val="2324&gt;BF"/>
      <sheetName val="25&gt;Deposit,prepay&amp;others"/>
      <sheetName val="WS Deposit"/>
      <sheetName val="26&gt;Finance Costs"/>
      <sheetName val="27&gt;director"/>
      <sheetName val="28&gt;Shareholder"/>
      <sheetName val="29,30&gt;others"/>
      <sheetName val="DTA (2)"/>
      <sheetName val="FA  Recon"/>
      <sheetName val="FA (2)"/>
      <sheetName val="report presentation (2)"/>
      <sheetName val="daftar penyusutan"/>
      <sheetName val="CIT 09"/>
      <sheetName val="CIT 08"/>
      <sheetName val="FA commercial"/>
      <sheetName val="movement prepaid"/>
      <sheetName val="DTA Cal"/>
      <sheetName val="CIT-MS taxes"/>
      <sheetName val="fiscal correction"/>
      <sheetName val="172000"/>
      <sheetName val="OBYEK"/>
      <sheetName val="Marshal-99"/>
      <sheetName val="Prepaid tax -1998"/>
      <sheetName val="COGS-1"/>
      <sheetName val="COGS-2"/>
      <sheetName val="Topas"/>
      <sheetName val="TWB"/>
      <sheetName val="ID40 1-9"/>
      <sheetName val="ID40 3-6"/>
      <sheetName val="E7 SAP INV"/>
      <sheetName val="E7 SAP AR&amp;AP"/>
      <sheetName val="JULY"/>
      <sheetName val="List by Curr"/>
      <sheetName val="Anrev_BS"/>
      <sheetName val="Anrev_IS"/>
      <sheetName val="RRR"/>
      <sheetName val="GDG KECIL"/>
      <sheetName val="GDG KECIL (lanjutan)"/>
      <sheetName val="GDG BS"/>
      <sheetName val="GDG BS (lanjutan)"/>
      <sheetName val="GDG BESAR"/>
      <sheetName val="GDG BESAR (lanjutan)"/>
      <sheetName val="Mutasi BDP"/>
      <sheetName val="TB - 2012"/>
      <sheetName val="TB - 2011"/>
      <sheetName val="Price-Qty-EBT simulation"/>
      <sheetName val="EBT simulation"/>
      <sheetName val="IncomeS"/>
      <sheetName val="CF detail"/>
      <sheetName val="Prod Sales"/>
      <sheetName val="S.M. &amp; Labor"/>
      <sheetName val="BP_Prod"/>
      <sheetName val="BP_GA"/>
      <sheetName val="BP_WH"/>
      <sheetName val="electricity"/>
      <sheetName val="water"/>
      <sheetName val="Plan_02"/>
      <sheetName val="SVM acc"/>
      <sheetName val="SVM"/>
      <sheetName val="Prod Plan acc"/>
      <sheetName val="Prod Plan"/>
      <sheetName val="BS_Sum"/>
      <sheetName val="ISvsPlan"/>
      <sheetName val="Cover_Id"/>
      <sheetName val="Indonesiana"/>
      <sheetName val="BS-wide"/>
      <sheetName val="BS-wide-Old"/>
      <sheetName val="IS-old"/>
      <sheetName val="P&amp;L Division"/>
      <sheetName val="Ratios by aria"/>
      <sheetName val="Plan"/>
      <sheetName val="DIST-exp"/>
      <sheetName val="Fix99"/>
      <sheetName val="Fix"/>
      <sheetName val="Million"/>
      <sheetName val="New_COGS"/>
      <sheetName val="IS (3)"/>
      <sheetName val="Suspense cr card"/>
      <sheetName val="adv payment to supplier"/>
      <sheetName val="test FA depre"/>
      <sheetName val="reg new"/>
      <sheetName val="Diosposal"/>
      <sheetName val="list reclass"/>
      <sheetName val="ID20"/>
      <sheetName val="List of Disposal FA"/>
      <sheetName val="Register FA"/>
      <sheetName val="List of Additional FA"/>
      <sheetName val="Test-FA Depre"/>
      <sheetName val="register"/>
      <sheetName val="register 08"/>
      <sheetName val="lead 08"/>
      <sheetName val="registerFA"/>
      <sheetName val="ID20 (2)"/>
      <sheetName val="Test of Controls"/>
      <sheetName val="VIRUS-EDY"/>
      <sheetName val="Neraca 01"/>
      <sheetName val="Laba Rugi (2)"/>
      <sheetName val="Opex Jan~Jun"/>
      <sheetName val="Laba Rugi Jan~Dec"/>
      <sheetName val="Breakdown OPEX"/>
      <sheetName val="OPEX (Jan~Dec)"/>
      <sheetName val="Cash &amp; Bank"/>
      <sheetName val="Prepaid TAX"/>
      <sheetName val="AP Others"/>
      <sheetName val="Deposit Received"/>
      <sheetName val="Accrued Exp."/>
      <sheetName val="Bank Loan &amp; Capital"/>
      <sheetName val="TAKSIRAN PAJAK"/>
      <sheetName val="LABA RUGI FISKAL"/>
      <sheetName val="LR FISKAL 2005"/>
      <sheetName val="NDE "/>
      <sheetName val="PPh psl 29"/>
      <sheetName val="PPh psl 29 (Tahunan)"/>
      <sheetName val="9 R-1 Lead"/>
      <sheetName val="9 R-1.1"/>
      <sheetName val="9 R-2 Lead"/>
      <sheetName val="Dept. Obj"/>
      <sheetName val="Dept. Obj (2)"/>
      <sheetName val="PPV.SP"/>
      <sheetName val="SUMPPVSP"/>
      <sheetName val="tm-02"/>
      <sheetName val="jln-02"/>
      <sheetName val="tm-03"/>
      <sheetName val="jln-03"/>
      <sheetName val="tm-04"/>
      <sheetName val="jln-04"/>
      <sheetName val="tm-all"/>
      <sheetName val="tmb-05"/>
      <sheetName val="tbm-06"/>
      <sheetName val="tbm-07"/>
      <sheetName val="tbm-all"/>
      <sheetName val="vp-tmball-2007"/>
      <sheetName val="Vp-tmall-2007"/>
      <sheetName val="vp-bbt-2007"/>
      <sheetName val="vp-pn 2007"/>
      <sheetName val="Panen-all"/>
      <sheetName val="Ws_Jul-2004"/>
      <sheetName val="AJE_(2)"/>
      <sheetName val="Neraca_"/>
      <sheetName val="Neraca__(2)"/>
      <sheetName val="Laba_Rugi_"/>
      <sheetName val="CF_(2)"/>
      <sheetName val="FA_ACQUISITION_(TOTAL)"/>
      <sheetName val="Ws_Jul-20041"/>
      <sheetName val="AJE_(2)1"/>
      <sheetName val="Neraca_1"/>
      <sheetName val="Neraca__(2)1"/>
      <sheetName val="Laba_Rugi_1"/>
      <sheetName val="CF_(2)1"/>
      <sheetName val="21s"/>
      <sheetName val="24b"/>
      <sheetName val="08012_2"/>
      <sheetName val="BUM_Lap"/>
      <sheetName val="08012.3"/>
      <sheetName val="08012.0"/>
      <sheetName val="402"/>
      <sheetName val="Ketentuan"/>
      <sheetName val="Areal"/>
      <sheetName val="DaftarPeg"/>
      <sheetName val="Alokasi"/>
      <sheetName val="BUM_Pengolahan"/>
      <sheetName val="BUM_Rekap"/>
      <sheetName val="Hargabrg"/>
      <sheetName val="0222"/>
      <sheetName val="08012.1"/>
      <sheetName val="08012.2"/>
      <sheetName val="08012.4"/>
      <sheetName val="08012.5"/>
      <sheetName val="Dibebankan"/>
      <sheetName val="Pembebanan"/>
      <sheetName val="Psr_Penghub"/>
      <sheetName val="HTI"/>
      <sheetName val="BeliLokal"/>
      <sheetName val="OngkosJahit"/>
      <sheetName val="Komisi"/>
      <sheetName val="LabTest"/>
      <sheetName val="PPN97 (4)"/>
      <sheetName val="buatWP"/>
      <sheetName val="DbKtr"/>
      <sheetName val="LPIS"/>
      <sheetName val="DTPP"/>
      <sheetName val="KKP Induk"/>
      <sheetName val="Nothit PPN"/>
      <sheetName val="LPPHP"/>
      <sheetName val="STHP"/>
      <sheetName val="PPNSPM"/>
      <sheetName val="SK Lengkap"/>
      <sheetName val="A 2"/>
      <sheetName val="A 3"/>
      <sheetName val="A 4"/>
      <sheetName val="A 6"/>
      <sheetName val="A 7"/>
      <sheetName val="A 8"/>
      <sheetName val="Koreksi"/>
      <sheetName val="Koreksi (2)"/>
      <sheetName val="B 5"/>
      <sheetName val="B 6"/>
      <sheetName val="Data Export"/>
      <sheetName val="Impor WP + 16C"/>
      <sheetName val="Master Klar"/>
      <sheetName val="Master Klar Impor"/>
      <sheetName val="Master Klar Lokal"/>
      <sheetName val="Master Klar Data"/>
      <sheetName val="FP M &lt; 500"/>
      <sheetName val="FP M &gt; 500"/>
      <sheetName val="FP M &gt; 500 Data (2)"/>
      <sheetName val="FP M &gt; 500 Data"/>
      <sheetName val="Data Klar"/>
      <sheetName val="Uji Arus Form"/>
      <sheetName val="ND Klar"/>
      <sheetName val="001"/>
      <sheetName val="002"/>
      <sheetName val="017"/>
      <sheetName val="023"/>
      <sheetName val="025"/>
      <sheetName val="041"/>
      <sheetName val="051"/>
      <sheetName val="052"/>
      <sheetName val="054"/>
      <sheetName val="056"/>
      <sheetName val="KonPMS"/>
      <sheetName val="092"/>
      <sheetName val="403"/>
      <sheetName val="407"/>
      <sheetName val="408"/>
      <sheetName val="411"/>
      <sheetName val="413"/>
      <sheetName val="KonfirSSP"/>
      <sheetName val="Ka Pos"/>
      <sheetName val="Korea"/>
      <sheetName val="Penegasan"/>
      <sheetName val="Penegasan In"/>
      <sheetName val="Rekap Konfirmasi"/>
      <sheetName val="Daf Rek"/>
      <sheetName val="KKP Klar"/>
      <sheetName val="BA Uang dan Brg"/>
      <sheetName val="BAPHP"/>
      <sheetName val="Uji Arus Isi"/>
      <sheetName val="KPS6"/>
      <sheetName val="Obyek 23"/>
      <sheetName val="Obyek 1"/>
      <sheetName val="Obyek 4(2)"/>
      <sheetName val="Revenue&amp;cost-9(A)"/>
      <sheetName val="KOR"/>
      <sheetName val="Perst"/>
      <sheetName val="NH"/>
      <sheetName val="UR"/>
      <sheetName val="PPNT"/>
      <sheetName val="P-PPN"/>
      <sheetName val="REF-CRB"/>
      <sheetName val="PPH21-TGL"/>
      <sheetName val="PPH21-CRB"/>
      <sheetName val="CRB"/>
      <sheetName val="TGL"/>
      <sheetName val="CRB+"/>
      <sheetName val="TGL+"/>
      <sheetName val="REF_CRB"/>
      <sheetName val="aktdit(WP)"/>
      <sheetName val="Daftar Hutang"/>
      <sheetName val="Daftar Piutang"/>
      <sheetName val="SALES BUDGET NOV"/>
      <sheetName val="SCHEDULE NOV"/>
      <sheetName val="A.T. Bali"/>
      <sheetName val="Eksekutif"/>
      <sheetName val="Niaga"/>
      <sheetName val="BII SG"/>
      <sheetName val="BCA Giro"/>
      <sheetName val="giro kerluar"/>
      <sheetName val="j. umum"/>
      <sheetName val="April Budget"/>
      <sheetName val="Cek Diff Expense"/>
      <sheetName val="PL data"/>
      <sheetName val="PL data P10"/>
      <sheetName val="PL data P30"/>
      <sheetName val="PL data P50"/>
      <sheetName val="PL IC Data"/>
      <sheetName val="balance sheet  "/>
      <sheetName val="P30"/>
      <sheetName val="P50"/>
      <sheetName val="Cek"/>
      <sheetName val="MPPR"/>
      <sheetName val="Prod Amount"/>
      <sheetName val="Ski used trsns"/>
      <sheetName val="Out in"/>
      <sheetName val="Out Out"/>
      <sheetName val="fiscal rekon"/>
      <sheetName val="FIXED asset updated"/>
      <sheetName val="fa FEb 06"/>
      <sheetName val="REkap PAjak"/>
      <sheetName val="HEADER-NEW"/>
      <sheetName val="CONT-ALL"/>
      <sheetName val="CONT-OPR"/>
      <sheetName val="COMB. BO-NP"/>
      <sheetName val="PAR-BO"/>
      <sheetName val="COMP. PAR-BO"/>
      <sheetName val="PAR-BO in PCS"/>
      <sheetName val="PAR-NP"/>
      <sheetName val="COMP. PAR-NP"/>
      <sheetName val="COMP. NS&amp;GP"/>
      <sheetName val="DETAIL SALES FARMER - BO"/>
      <sheetName val="DETAIL SALES FARMER - NP"/>
      <sheetName val="DETAIL SALES FM-MONODON"/>
      <sheetName val="DETAIL SALES FM-VANNAMEI"/>
      <sheetName val="COM-DETAIL-COGS-MONODON"/>
      <sheetName val="RM-MNPD-MONODON"/>
      <sheetName val="RM-FPD-MONODON"/>
      <sheetName val="DETAIL-COGS-VANNAMEI"/>
      <sheetName val="RM-MNPD-VANNAMEI"/>
      <sheetName val="RM-FPD-VANNAMEI"/>
      <sheetName val="OVERHEAD-MONODON"/>
      <sheetName val="OVERHEAD-VANNAMEI"/>
      <sheetName val="SUM-SECHE-WIPNAUP-MONODON"/>
      <sheetName val="SUM-SECH-WIPFRY-MONODON"/>
      <sheetName val="SUM-SECHE-WIP-VANNAMEI"/>
      <sheetName val="EXPENDITURE-MONODON"/>
      <sheetName val="EXPENDITURE-VANNAMEI"/>
      <sheetName val="GEN. &amp; ADM. EXP."/>
      <sheetName val="PROD.NAUPLII-MONODON"/>
      <sheetName val="NAUPLII PER UNIT-MONODON"/>
      <sheetName val="NAUPLII-COST-AMOUNT-MONODON"/>
      <sheetName val="PROD.FRY-MONODON"/>
      <sheetName val="COGS PER FRY-MONODON"/>
      <sheetName val="PROD.NAUPLII-VANNAMEI"/>
      <sheetName val="NAUPLII PER UNIT-VANNAMEI"/>
      <sheetName val="NAUPLII-COST-AMOUNT-VANNAMEI"/>
      <sheetName val="PROD.FRY-VANNAMEI"/>
      <sheetName val="COGS PER FRY-VANNAMEI"/>
      <sheetName val="Flushing Jan02"/>
      <sheetName val="Flushing Feb02"/>
      <sheetName val="Flushing Mar02"/>
      <sheetName val="Boxes-Monodon"/>
      <sheetName val="Boxes-Vannamei"/>
      <sheetName val="prop_price_van (2)"/>
      <sheetName val="Locas"/>
      <sheetName val="WBS1dec 04@"/>
      <sheetName val="WBS 2dec 04@"/>
      <sheetName val="WPLdec 04@"/>
      <sheetName val="detailwpl dec 04"/>
      <sheetName val="T-ACC-04"/>
      <sheetName val="PM &amp; TE dec 04@"/>
      <sheetName val="Cashflow old"/>
      <sheetName val="cash flows- indirect"/>
      <sheetName val="detail cash flows (2)"/>
      <sheetName val="FA_FISCAL2004"/>
      <sheetName val="C-2.1"/>
      <sheetName val="FG &amp; WIP"/>
      <sheetName val="PPH22"/>
      <sheetName val="rekap PPH 25"/>
      <sheetName val="I-1.2"/>
      <sheetName val="Mutasi Fixed assets 2004"/>
      <sheetName val="RekapFA"/>
      <sheetName val="RincianFA"/>
      <sheetName val="rekap pph 21"/>
      <sheetName val="perhit PPH21"/>
      <sheetName val="PPh 23,26"/>
      <sheetName val="rekap PPN"/>
      <sheetName val="accrued UU No.13"/>
      <sheetName val="Home Statement awal"/>
      <sheetName val="Home Statement - Dec '04"/>
      <sheetName val="TB Client Dec 31 '04"/>
      <sheetName val="An. Rev WBS1"/>
      <sheetName val="AN REV WBS 2"/>
      <sheetName val="AN REV WPL"/>
      <sheetName val="Analisa GP"/>
      <sheetName val="Cost Analysis 2003"/>
      <sheetName val="SRM AUDIT 04VS 03"/>
      <sheetName val="FS per month use"/>
      <sheetName val="BI Middle Rate Translation'04"/>
      <sheetName val="Confirmation control"/>
      <sheetName val="E-1 Nov"/>
      <sheetName val="U1-2"/>
      <sheetName val="U1-2-1"/>
      <sheetName val="PA Result"/>
      <sheetName val="LIST EE"/>
      <sheetName val="Lumpsum Payment"/>
      <sheetName val="Lumpsum Payment (Rev)"/>
      <sheetName val="Lumpsum Finance"/>
      <sheetName val="Lumpsum Hatch"/>
      <sheetName val="Lumps farm"/>
      <sheetName val="Lumps Mkt"/>
      <sheetName val="Control 2"/>
      <sheetName val="HUTANG SGU"/>
      <sheetName val="Sun_Xenia_4"/>
      <sheetName val="Sun_Mits_6"/>
      <sheetName val="Sri_Mits_3"/>
      <sheetName val="Sri_Mits_4"/>
      <sheetName val="Sun_Mits_7"/>
      <sheetName val="Sun_Mits_2"/>
      <sheetName val="Sun_Mits_3"/>
      <sheetName val="Sun_Mits_4"/>
      <sheetName val="Bra_Mits_23ho"/>
      <sheetName val="Bra_Mits_23rkho"/>
      <sheetName val="Bra_Mits_23ho cls"/>
      <sheetName val="BRA_2rkho"/>
      <sheetName val="BRA_1rkho"/>
      <sheetName val="Sun_Mits_2rkcls"/>
      <sheetName val="BUANA_Carry_13"/>
      <sheetName val="Honda city_3"/>
      <sheetName val="mits FE"/>
      <sheetName val="CARRY_2U"/>
      <sheetName val="XENIA_1U"/>
      <sheetName val="B9461_Bks"/>
      <sheetName val="PE_TO"/>
      <sheetName val="Projected_P&amp;L"/>
      <sheetName val="Historical_P&amp;L"/>
      <sheetName val="Historical Opex"/>
      <sheetName val="E055"/>
      <sheetName val="PREPAID RENT"/>
      <sheetName val="MJ (2)"/>
      <sheetName val="CFLS"/>
      <sheetName val="CMLS"/>
      <sheetName val="parent farm"/>
      <sheetName val="Memo on Walkthrough"/>
      <sheetName val="Pending Document (3)"/>
      <sheetName val="Sampling Vouched FA Addition"/>
      <sheetName val="Pending Document-JKT"/>
      <sheetName val="Pending Document"/>
      <sheetName val="Pending Document (2)"/>
      <sheetName val="Summary FA Addition-2005"/>
      <sheetName val="Candra"/>
      <sheetName val="utk auditor"/>
      <sheetName val="BSFeb"/>
      <sheetName val="PLFeb"/>
      <sheetName val="BSMarch"/>
      <sheetName val="TB March 07"/>
      <sheetName val="BS for SRM"/>
      <sheetName val="PL for SRM"/>
      <sheetName val="CF Combine"/>
      <sheetName val="CF-indirect"/>
      <sheetName val="CF Direct"/>
      <sheetName val="PM_TE"/>
      <sheetName val="Test Reval Feb"/>
      <sheetName val="PAJE PRJE March"/>
      <sheetName val="PAJE PRJE Feb'07"/>
      <sheetName val="Test Reval March "/>
      <sheetName val="FiscComp"/>
      <sheetName val="O.1 "/>
      <sheetName val="U1-1"/>
      <sheetName val="U1-3"/>
      <sheetName val="U2-2"/>
      <sheetName val="Cut Off Parts"/>
      <sheetName val="Cut Off Sales"/>
      <sheetName val="Cut Off Purch"/>
      <sheetName val="Question to Ibu Mory"/>
      <sheetName val="F.Inventory"/>
      <sheetName val="F.1feb 08"/>
      <sheetName val="F5.1"/>
      <sheetName val="K.Lead.March"/>
      <sheetName val="K1.Leasehold Improvement.March"/>
      <sheetName val="K2.Furniture and Fixtures.March"/>
      <sheetName val="K3.Office Equipment.March"/>
      <sheetName val="U1.Sales"/>
      <sheetName val="U1.1.sales comm"/>
      <sheetName val="U1.2.instal comm"/>
      <sheetName val="U1.3.Feb"/>
      <sheetName val="U2.Cost of Sales"/>
      <sheetName val="U3.1.1"/>
      <sheetName val="Sheet permintaan vouching"/>
      <sheetName val="140801"/>
      <sheetName val="SAT_STAFF_ACC4_DC4"/>
      <sheetName val="E-1-1 subs AR-conf. only"/>
      <sheetName val="subs. AP"/>
      <sheetName val="vat&amp;pph21"/>
      <sheetName val=" FA Reconciliation"/>
      <sheetName val="SUMRI FA 02"/>
      <sheetName val="Modify (sort)"/>
      <sheetName val="Modify"/>
      <sheetName val="F-ASS-2002"/>
      <sheetName val="Disposal FA"/>
      <sheetName val="KU-Ajt'03"/>
      <sheetName val="KS-Ajt'03"/>
      <sheetName val="KT-Ajt'03"/>
      <sheetName val="KB-Ajt'03"/>
      <sheetName val="Mill-Ajt'03"/>
      <sheetName val="Sum KU,KS,KT,KB"/>
      <sheetName val="Garbage"/>
      <sheetName val="IDR"/>
      <sheetName val="P&amp;L short"/>
      <sheetName val="P&amp;L Sum"/>
      <sheetName val="BS short"/>
      <sheetName val="BS Sum"/>
      <sheetName val="****"/>
      <sheetName val="IECF"/>
      <sheetName val="JVShare"/>
      <sheetName val="IER"/>
      <sheetName val="PTRCI"/>
      <sheetName val="ProdRoll"/>
      <sheetName val="OpenSale"/>
      <sheetName val="OpenInvoice"/>
      <sheetName val="PTFIJE"/>
      <sheetName val="YTD Depr."/>
      <sheetName val="CIP movement"/>
      <sheetName val="allocation FA manual"/>
      <sheetName val="movement-FOREX "/>
      <sheetName val="accum vs depr 31 Dec"/>
      <sheetName val="Machine"/>
      <sheetName val="Tools "/>
      <sheetName val="Office - EQ"/>
      <sheetName val="IO 10947"/>
      <sheetName val="KPI Summary"/>
      <sheetName val="Mth KPI's"/>
      <sheetName val="Mth by Mth KPI's"/>
      <sheetName val="Mth by Mth P&amp;L"/>
      <sheetName val="LOM KPI's"/>
      <sheetName val="Qtrly KPI's"/>
      <sheetName val="Half Yrly KPI's"/>
      <sheetName val="Rev&amp;Op Costs"/>
      <sheetName val="Rev&amp;Op Cost-mth"/>
      <sheetName val="Unit Rates "/>
      <sheetName val="$t sold detail"/>
      <sheetName val="Manpower$"/>
      <sheetName val="Prod Schedule"/>
      <sheetName val="Mining Rates"/>
      <sheetName val="Amort&amp;Depn"/>
      <sheetName val="Final "/>
      <sheetName val="Analysis YTD"/>
      <sheetName val="CITR"/>
      <sheetName val="J293"/>
      <sheetName val="Analysis Mth"/>
      <sheetName val="Analysis FY"/>
      <sheetName val="Buma Rise and Fall"/>
      <sheetName val="LCI Rise &amp; Fall"/>
      <sheetName val="R&amp;F SIBOR"/>
      <sheetName val="Analysis Data"/>
      <sheetName val="CFWork"/>
      <sheetName val="GRN"/>
      <sheetName val="Local-Jur"/>
      <sheetName val="Over-Jur"/>
      <sheetName val="Name List"/>
      <sheetName val="Announcements"/>
      <sheetName val="P&amp;L 2"/>
      <sheetName val="Intangible"/>
      <sheetName val="Profit Comp"/>
      <sheetName val="Expl"/>
      <sheetName val="Pre-Dev"/>
      <sheetName val="Dev"/>
      <sheetName val="Cashflow Worksht"/>
      <sheetName val="Cash,Ratio,EPS"/>
      <sheetName val="Spec Outlays"/>
      <sheetName val="JV's"/>
      <sheetName val="Worksheet Segments"/>
      <sheetName val="Wksht Seg elimns"/>
      <sheetName val="Industry"/>
      <sheetName val="Geographical"/>
      <sheetName val="AJE &amp; SUD"/>
      <sheetName val="Deferred tax 2002"/>
      <sheetName val="Instalment"/>
      <sheetName val="FA Sum"/>
      <sheetName val="FA 2002"/>
      <sheetName val="FA 2001"/>
      <sheetName val="3300 &amp; 3500"/>
      <sheetName val="3600"/>
      <sheetName val="3800-Final"/>
      <sheetName val="3800- presentation"/>
      <sheetName val="3800-Interim"/>
      <sheetName val="LS Payroll"/>
      <sheetName val="MINE DEV"/>
      <sheetName val="nature of account"/>
      <sheetName val="PPh29 (I)"/>
      <sheetName val="client-add(I)"/>
      <sheetName val="client-add(E)"/>
      <sheetName val="Summary- Fixed Asset(I)"/>
      <sheetName val="Loss carryforw (I)"/>
      <sheetName val="PPh25 (I)"/>
      <sheetName val="PPh25 (E)"/>
      <sheetName val="Art.25 Inst. (I)"/>
      <sheetName val="Summary- Fixed Asset(E)"/>
      <sheetName val="Operation"/>
      <sheetName val="Loss carryforw"/>
      <sheetName val="Loss carryforw (2)"/>
      <sheetName val="PPh29 (2)"/>
      <sheetName val="Art.25 Inst. (2)"/>
      <sheetName val="NERACA-E"/>
      <sheetName val="LR-E"/>
      <sheetName val="Koreksi Fis"/>
      <sheetName val="Fisc correction"/>
      <sheetName val="DataKKP Surya Siam 02"/>
      <sheetName val="Intro"/>
      <sheetName val="Assump"/>
      <sheetName val="Hect."/>
      <sheetName val="FFB Prodn"/>
      <sheetName val="Mill"/>
      <sheetName val="O_H"/>
      <sheetName val="Prod costs"/>
      <sheetName val="Loans"/>
      <sheetName val="Actuals"/>
      <sheetName val="F_Assets"/>
      <sheetName val="Develop"/>
      <sheetName val="P&amp;L wkgs"/>
      <sheetName val="BS wkgs"/>
      <sheetName val="CF wkgs"/>
      <sheetName val="FS for Board"/>
      <sheetName val="Fin. Statements"/>
      <sheetName val="FA Fiscal vs Comm"/>
      <sheetName val="OS Points"/>
      <sheetName val="comments"/>
      <sheetName val="Changes post-conference"/>
      <sheetName val="Constants"/>
      <sheetName val="CF - LC"/>
      <sheetName val="BS - LC"/>
      <sheetName val="US$ Adj"/>
      <sheetName val="Crop Distn"/>
      <sheetName val="Overheads"/>
      <sheetName val="WC"/>
      <sheetName val="Capex - Rp"/>
      <sheetName val="Depn"/>
      <sheetName val="Sub Debt"/>
      <sheetName val="Board"/>
      <sheetName val="US$ - Detailed Cashflow"/>
      <sheetName val="Depreciation RBW (2)"/>
      <sheetName val="DISPOSE 01"/>
      <sheetName val="SUPPORT"/>
      <sheetName val="BS2006"/>
      <sheetName val="ICP"/>
      <sheetName val="Value"/>
      <sheetName val="Lease"/>
      <sheetName val="elecplant"/>
      <sheetName val="elecEqp"/>
      <sheetName val="fURFIX"/>
      <sheetName val="TANN"/>
      <sheetName val="DISPOS MC"/>
      <sheetName val="FORM"/>
      <sheetName val="138000"/>
      <sheetName val="139999"/>
      <sheetName val="Sheet9 (2)"/>
      <sheetName val="2008-2009SAP"/>
      <sheetName val="Fixed Asset Register"/>
      <sheetName val="157099"/>
      <sheetName val="157100"/>
      <sheetName val="157200(1)"/>
      <sheetName val="157200(2)"/>
      <sheetName val="170000"/>
      <sheetName val="174200"/>
      <sheetName val="174900"/>
      <sheetName val="177000"/>
      <sheetName val="235000"/>
      <sheetName val="250000"/>
      <sheetName val="269000"/>
      <sheetName val="274100"/>
      <sheetName val="278680"/>
      <sheetName val="293000"/>
      <sheetName val="293001"/>
      <sheetName val="297800"/>
      <sheetName val="List 293001 &amp; 297800"/>
      <sheetName val="298900"/>
      <sheetName val="296000"/>
      <sheetName val="298100"/>
      <sheetName val="298200"/>
      <sheetName val="Revision Oct 2001"/>
      <sheetName val="Revision 14 Aug 01 "/>
      <sheetName val="Revision 12 Jun 01"/>
      <sheetName val="FP_MODI"/>
      <sheetName val="FKT_PJK"/>
      <sheetName val="Lap_PPh"/>
      <sheetName val="DATA_FP"/>
      <sheetName val="KUIT"/>
      <sheetName val="KUIT Final"/>
      <sheetName val="REV 96"/>
      <sheetName val="KD PERS"/>
      <sheetName val="SSP (final)"/>
      <sheetName val="FP MODI_A"/>
      <sheetName val="KUIT MODI"/>
      <sheetName val="Kuit Pusdik"/>
      <sheetName val="lead schedule "/>
      <sheetName val="alocation FA "/>
      <sheetName val="movement"/>
      <sheetName val="Vehiclesok"/>
      <sheetName val="IO ALL"/>
      <sheetName val="IO 10948-Mazak"/>
      <sheetName val="taxcalc indo"/>
      <sheetName val="tax_recon"/>
      <sheetName val="taxcalc rupiah"/>
      <sheetName val="pe p-l"/>
      <sheetName val="jo p-l"/>
      <sheetName val="corp tax instll"/>
      <sheetName val="donation"/>
      <sheetName val="pph25 indo"/>
      <sheetName val="kpc wht"/>
      <sheetName val="imk wht"/>
      <sheetName val="pph23kpc indo"/>
      <sheetName val="pph23imk indo"/>
      <sheetName val="Deferred tax "/>
      <sheetName val="due to stockholder"/>
      <sheetName val="Capital stock "/>
      <sheetName val="MgmtTech_fee"/>
      <sheetName val="Cash_on_hand_and_in_banks"/>
      <sheetName val="Interest_bearing_receivable"/>
      <sheetName val="Accounts_receivable"/>
      <sheetName val="Other_receivable_"/>
      <sheetName val="Other_payable"/>
      <sheetName val="Prepaid_exp,_tax_and_advance"/>
      <sheetName val="Deferred_tax_"/>
      <sheetName val="Fixed_Assets"/>
      <sheetName val="Other_asset"/>
      <sheetName val="AP_trade"/>
      <sheetName val="Accrued_expense"/>
      <sheetName val="due_to_stockholder"/>
      <sheetName val="Taxes_payable"/>
      <sheetName val="Pension_Fund"/>
      <sheetName val="Due_to_related_party"/>
      <sheetName val="Capital_stock_"/>
      <sheetName val="Deferred_provision_for_inc_tax"/>
      <sheetName val="Other_charges_(income)"/>
      <sheetName val="调帐事项登记表"/>
      <sheetName val="帐套设置"/>
      <sheetName val="to be Accrued"/>
      <sheetName val="the formula"/>
      <sheetName val="Maintenance Rec"/>
      <sheetName val="Accounting Rec"/>
      <sheetName val="for Diff Rate Calc"/>
      <sheetName val="Prepaid tax -1999"/>
      <sheetName val="prepaid 23 page 2"/>
      <sheetName val="tax creditable"/>
      <sheetName val="R. VAT rev"/>
      <sheetName val="R. VAT"/>
      <sheetName val="sales &amp; VAT"/>
      <sheetName val="R. 21"/>
      <sheetName val="Salaries &amp; WHT 21"/>
      <sheetName val="R. WHT 23"/>
      <sheetName val="R. WHT 26"/>
      <sheetName val="SPM 23"/>
      <sheetName val="Penyusutan 0K"/>
      <sheetName val="Penyusutan 0"/>
      <sheetName val="Daf-Perhit-PPN"/>
      <sheetName val="Not PPN (stp)"/>
      <sheetName val="Not PPN"/>
      <sheetName val="21SSP"/>
      <sheetName val="21SPM"/>
      <sheetName val="21BP"/>
      <sheetName val="1721A1"/>
      <sheetName val="23SSP"/>
      <sheetName val="23SPM"/>
      <sheetName val="23BP"/>
      <sheetName val="FSSP"/>
      <sheetName val="FSPM"/>
      <sheetName val="FBP"/>
      <sheetName val="26SSP"/>
      <sheetName val="26SPM"/>
      <sheetName val="26BP"/>
      <sheetName val="21SSP_Lokasi"/>
      <sheetName val="21SPM_Lokasi"/>
      <sheetName val="21BP_Lokasi"/>
      <sheetName val="1721A1_Lokasi"/>
      <sheetName val="23SSP_Lokasi"/>
      <sheetName val="23SPM_Lokasi"/>
      <sheetName val="23BP_Lokasi"/>
      <sheetName val="FSSP_Lokasi"/>
      <sheetName val="FSPM_Lokasi"/>
      <sheetName val="FBP_Lokasi"/>
      <sheetName val="26SSP_Lokasi"/>
      <sheetName val="26SPM_Lokasi"/>
      <sheetName val="26BP_Lokasi"/>
      <sheetName val="1721A1 Lokasi"/>
      <sheetName val="1721A1 Edit"/>
      <sheetName val="23SSP Lok"/>
      <sheetName val="23SPM Lok"/>
      <sheetName val="23BP Lok"/>
      <sheetName val="Rekap SPT"/>
      <sheetName val="Ekualisasi WP"/>
      <sheetName val="Rekap SPT WP WH"/>
      <sheetName val="21SSP PMA"/>
      <sheetName val="21SPM PMA"/>
      <sheetName val="21BP PMA"/>
      <sheetName val="1721A1 PMA"/>
      <sheetName val="21SSP Serpg"/>
      <sheetName val="21SPM Serpg"/>
      <sheetName val="21BP Serpg"/>
      <sheetName val="1721A1 Serpg"/>
      <sheetName val="21SSP Sidoarj"/>
      <sheetName val="21SPM Sidoarj"/>
      <sheetName val="21BP Sidoarj"/>
      <sheetName val="1721A1 Sidoarj"/>
      <sheetName val="23SSP PMA"/>
      <sheetName val="23SPM PMA"/>
      <sheetName val="23BP PMA"/>
      <sheetName val="23SSP Sidoarj"/>
      <sheetName val="23SPM Sidoarj"/>
      <sheetName val="23BP Sidoarj"/>
      <sheetName val="FSSP PMA"/>
      <sheetName val="FSPM PMA"/>
      <sheetName val="FBP PMA"/>
      <sheetName val="FSSP Sidoarj"/>
      <sheetName val="FSPM Sidoarj"/>
      <sheetName val="FBP Sidoarj"/>
      <sheetName val="26SSP PMA"/>
      <sheetName val="26SPM PMA"/>
      <sheetName val="26BP PMA"/>
      <sheetName val="26SSP Sidoarj"/>
      <sheetName val="26SPM Sidoarj"/>
      <sheetName val="26BP Sidoarj"/>
      <sheetName val="23SSP Ok"/>
      <sheetName val="23SPM Ok"/>
      <sheetName val="23BP Ok"/>
      <sheetName val="23SSP CBNG Ok"/>
      <sheetName val="23SPM CBNG Ok"/>
      <sheetName val="23BP CBNG"/>
      <sheetName val="23SSP SMG"/>
      <sheetName val="23SPM SMG"/>
      <sheetName val="23BP SMG"/>
      <sheetName val="21SSP_Cibinong"/>
      <sheetName val="21SPM_Cibinong"/>
      <sheetName val="21BP_Cibinong"/>
      <sheetName val="1721A1_Cibinong"/>
      <sheetName val="21SSP_SMG"/>
      <sheetName val="21SPM_SMG"/>
      <sheetName val="21BP_SMG"/>
      <sheetName val="1721A1_SMG"/>
      <sheetName val="PPNSSP"/>
      <sheetName val="PK PM"/>
      <sheetName val="FP Masuk"/>
      <sheetName val="FP Keluar"/>
      <sheetName val="STPPPN"/>
      <sheetName val="PPNLN"/>
      <sheetName val="PPNLNSSP"/>
      <sheetName val="PPnBM"/>
      <sheetName val="PPnBMSSP"/>
      <sheetName val="PPnBMSPM"/>
      <sheetName val="014"/>
      <sheetName val="034"/>
      <sheetName val="035"/>
      <sheetName val="058"/>
      <sheetName val="059"/>
      <sheetName val="612"/>
      <sheetName val="615"/>
      <sheetName val="Uji Arus Form 05"/>
      <sheetName val="SE 14' 05"/>
      <sheetName val="Rekap Apr to Des 03"/>
      <sheetName val="Rekap Jan to Mar 03"/>
      <sheetName val="Bank PPn Impor Jan Mar 03"/>
      <sheetName val="PPN Impor Jan Des "/>
      <sheetName val="003"/>
      <sheetName val="K 002"/>
      <sheetName val="K 003 "/>
      <sheetName val="K 004"/>
      <sheetName val="K 005"/>
      <sheetName val="K 006"/>
      <sheetName val="K 010"/>
      <sheetName val="K 011"/>
      <sheetName val="K 012"/>
      <sheetName val="K 013"/>
      <sheetName val="K 014"/>
      <sheetName val="K 015"/>
      <sheetName val="K 017"/>
      <sheetName val="K 018"/>
      <sheetName val="K 022"/>
      <sheetName val="K 023"/>
      <sheetName val="K 025"/>
      <sheetName val="K 026"/>
      <sheetName val="K 027"/>
      <sheetName val="K 028"/>
      <sheetName val="K 029"/>
      <sheetName val="K 031"/>
      <sheetName val="K 032"/>
      <sheetName val="K 033"/>
      <sheetName val="K 034"/>
      <sheetName val="K 035"/>
      <sheetName val="K 036"/>
      <sheetName val="K 037"/>
      <sheetName val="K 041"/>
      <sheetName val="K 042"/>
      <sheetName val="K 043"/>
      <sheetName val="K 044"/>
      <sheetName val="K 052"/>
      <sheetName val="K 054"/>
      <sheetName val="K 055"/>
      <sheetName val="K 056"/>
      <sheetName val="K 058"/>
      <sheetName val="K 071"/>
      <sheetName val="K 092"/>
      <sheetName val="K 102"/>
      <sheetName val="K 121"/>
      <sheetName val="K 122"/>
      <sheetName val="K 211"/>
      <sheetName val="K 302"/>
      <sheetName val="K 331"/>
      <sheetName val="K 301"/>
      <sheetName val="K 401"/>
      <sheetName val="K 402"/>
      <sheetName val="K 403"/>
      <sheetName val="K 404"/>
      <sheetName val="K 407"/>
      <sheetName val="K 411"/>
      <sheetName val="K 412"/>
      <sheetName val="K 413"/>
      <sheetName val="K 421"/>
      <sheetName val="K 422"/>
      <sheetName val="K 423"/>
      <sheetName val="K 603"/>
      <sheetName val="K 606"/>
      <sheetName val="K 607"/>
      <sheetName val="K 609"/>
      <sheetName val="K 612"/>
      <sheetName val="K 615"/>
      <sheetName val="K 617"/>
      <sheetName val="K 721"/>
      <sheetName val="Rekap Apr to Des 03 Edit"/>
      <sheetName val="Rekap Jan to Mar 03 Edit"/>
      <sheetName val="403 PPN LN Ap Dec 03"/>
      <sheetName val="Uji Arus"/>
      <sheetName val="KKP Klar PSK PPN"/>
      <sheetName val="Uji Arus Form 04"/>
      <sheetName val="Eq PPN PPH"/>
      <sheetName val="FPM WP"/>
      <sheetName val="Rekap FPM WP"/>
      <sheetName val="PPN Impor"/>
      <sheetName val="PPN DN aja"/>
      <sheetName val="PPN DN &lt;500"/>
      <sheetName val="PPN DN &gt;500"/>
      <sheetName val="PPN DN &gt;500 Data"/>
      <sheetName val="PPN DN &gt;500 PK=PM"/>
      <sheetName val="Intra PM 411"/>
      <sheetName val="Intra PM"/>
      <sheetName val="Susupect List"/>
      <sheetName val="021"/>
      <sheetName val="305"/>
      <sheetName val="PPN DN &gt;500 PK#PM"/>
      <sheetName val="PPN LN"/>
      <sheetName val="Intranet PM Edit"/>
      <sheetName val="Rekap PPN Masuk"/>
      <sheetName val="PPn DN Sort"/>
      <sheetName val="PPn DN Sort &lt;500"/>
      <sheetName val="PPn DN Sort &gt;500"/>
      <sheetName val="PPn DN Sort &gt;500 PK=PM"/>
      <sheetName val="PPn DN Sort &gt;500 PK#PM"/>
      <sheetName val="PPN Retur aja"/>
      <sheetName val="FP Kel A1"/>
      <sheetName val="FP Kel A2"/>
      <sheetName val="006"/>
      <sheetName val="011"/>
      <sheetName val="012"/>
      <sheetName val="015"/>
      <sheetName val="018"/>
      <sheetName val="022"/>
      <sheetName val="027"/>
      <sheetName val="032"/>
      <sheetName val="071"/>
      <sheetName val="072"/>
      <sheetName val="428"/>
      <sheetName val="602"/>
      <sheetName val="625"/>
      <sheetName val="Intranet"/>
      <sheetName val="SIDJP PPN"/>
      <sheetName val="Susp List PMA CLG"/>
      <sheetName val="uji Arus WP"/>
      <sheetName val="FP Keluar PMA"/>
      <sheetName val="FP Masuk PMA"/>
      <sheetName val="Ek PPN Ags Des"/>
      <sheetName val="Koreksi PPn Impor"/>
      <sheetName val="PPN 16D"/>
      <sheetName val="PPN 16 D SSP"/>
      <sheetName val="FP Masuk Data"/>
      <sheetName val="045"/>
      <sheetName val="005"/>
      <sheetName val="061"/>
      <sheetName val="057"/>
      <sheetName val="044"/>
      <sheetName val="412"/>
      <sheetName val="024"/>
      <sheetName val="Arus Brg n Uang"/>
      <sheetName val="Arus Brg n Uang urut"/>
      <sheetName val="043"/>
      <sheetName val="033"/>
      <sheetName val="042"/>
      <sheetName val="036"/>
      <sheetName val="026"/>
      <sheetName val="423"/>
      <sheetName val="028"/>
      <sheetName val="055"/>
      <sheetName val="Arus Klarifikasi"/>
      <sheetName val="FP Masuk Advertising"/>
      <sheetName val="Koreksi PM"/>
      <sheetName val="dr intranet"/>
      <sheetName val="Koreksi DPP PPN"/>
      <sheetName val="Koreksi PM Sort"/>
      <sheetName val="Obyek PPNLN"/>
      <sheetName val="dr intranet &gt; 500,000"/>
      <sheetName val="FP M DN aja - retur"/>
      <sheetName val="FP M DN Net &gt; 500,000"/>
      <sheetName val="FP M DN Net &lt; 500,000"/>
      <sheetName val="PPNJLN"/>
      <sheetName val="004"/>
      <sheetName val="013"/>
      <sheetName val="016"/>
      <sheetName val="029"/>
      <sheetName val="031"/>
      <sheetName val="052 3"/>
      <sheetName val="052 2"/>
      <sheetName val="091"/>
      <sheetName val="505"/>
      <sheetName val="506"/>
      <sheetName val="508"/>
      <sheetName val="623"/>
      <sheetName val="624"/>
      <sheetName val="Master Klarifikasi"/>
      <sheetName val="Impor PMA"/>
      <sheetName val="PPN Lok"/>
      <sheetName val="PPNSPM Lok"/>
      <sheetName val="PPNSSP Lok"/>
      <sheetName val="FP Keluar CLG"/>
      <sheetName val="FP Masuk CLG"/>
      <sheetName val="KonPMS PMA"/>
      <sheetName val="Klar PMA"/>
      <sheetName val="ND Klar PMA I"/>
      <sheetName val="ND Klar PMA I (2)"/>
      <sheetName val="KonPMS CLG"/>
      <sheetName val="Klar Clg"/>
      <sheetName val="041clg"/>
      <sheetName val="052 (2)"/>
      <sheetName val="407clg"/>
      <sheetName val="Surat PMA"/>
      <sheetName val="Impor Gab"/>
      <sheetName val="Niaga PPn Im"/>
      <sheetName val="BNI  Priok PPn Im"/>
      <sheetName val="Cat Konf SSP dan FPM"/>
      <sheetName val="Rekap PM PPN DN"/>
      <sheetName val="Rekap PM All"/>
      <sheetName val="PPNDN Master"/>
      <sheetName val="PPNDN Master &lt;500"/>
      <sheetName val="PPNDN Master &gt;500"/>
      <sheetName val="PPN JLN"/>
      <sheetName val="Sidoarjo Intranet PM"/>
      <sheetName val="037"/>
      <sheetName val="073"/>
      <sheetName val="609"/>
      <sheetName val="611"/>
      <sheetName val="613"/>
      <sheetName val="614"/>
      <sheetName val="616"/>
      <sheetName val="617"/>
      <sheetName val="626"/>
      <sheetName val="PPNDN Master Konf"/>
      <sheetName val="FP Keluar Tdk dipungut"/>
      <sheetName val="Retur PK"/>
      <sheetName val="FP Masuk Tdk Dikredit"/>
      <sheetName val="FPM DN"/>
      <sheetName val="FPM DN &lt;500"/>
      <sheetName val="PM Lok"/>
      <sheetName val="FPM DN &gt;500"/>
      <sheetName val="Eq PPN PPH (2)"/>
      <sheetName val="Rekap FP Sederhana"/>
      <sheetName val="FPM Rekap Asli"/>
      <sheetName val="FPM Rekap Asli Edit"/>
      <sheetName val="FPM &lt;500"/>
      <sheetName val="FPM &gt;500"/>
      <sheetName val="FPM &gt;500 PK=PM"/>
      <sheetName val="Intra PM Lok"/>
      <sheetName val="Intra PM Ok"/>
      <sheetName val="PPNSSP 16D"/>
      <sheetName val="Obyek PPN JLN"/>
      <sheetName val="Jual Aset"/>
      <sheetName val="421"/>
      <sheetName val="Uji Arus Isian"/>
      <sheetName val="PPN 16 D KKP"/>
      <sheetName val="PPN 16 D"/>
      <sheetName val="Uji Arus Form 04 Fax"/>
      <sheetName val="Data Uji Arus"/>
      <sheetName val="PPNSPM Asli"/>
      <sheetName val="PPN SPHP"/>
      <sheetName val="9 Data Uji Arus WP"/>
      <sheetName val="Rekap Konfirmasi PPN"/>
      <sheetName val="Data Uji Arus LPP"/>
      <sheetName val="Penyerahan DN"/>
      <sheetName val="Penyerahan DN Cuma2"/>
      <sheetName val="Impor MS"/>
      <sheetName val="Impor MTS"/>
      <sheetName val="PM MS"/>
      <sheetName val="PM MTS"/>
      <sheetName val="PM ALL ASLI"/>
      <sheetName val="PM ALL ASLI SORT"/>
      <sheetName val="Retur Beli"/>
      <sheetName val="SSP PPN LN"/>
      <sheetName val="114"/>
      <sheetName val="404"/>
      <sheetName val="424"/>
      <sheetName val="425"/>
      <sheetName val="426"/>
      <sheetName val="603"/>
      <sheetName val="607"/>
      <sheetName val="PM All Klarifikasi"/>
      <sheetName val="003 (28)"/>
      <sheetName val="003 (29)"/>
      <sheetName val="003 (30)"/>
      <sheetName val="003 (22)"/>
      <sheetName val="003 (23)"/>
      <sheetName val="509"/>
      <sheetName val="504"/>
      <sheetName val="503"/>
      <sheetName val="Dasar Klarifikasi"/>
      <sheetName val="PPNSSP Ok"/>
      <sheetName val="FP Keluar Ok"/>
      <sheetName val="FP Masuk Ok"/>
      <sheetName val="074"/>
      <sheetName val="PPh 21 2011"/>
      <sheetName val="from MIS_With Holding Tax"/>
      <sheetName val="S-Konf-SSP Bank (P 3)"/>
      <sheetName val="S-Konf-SSP Bank (BTM)"/>
      <sheetName val="Bank (P 3)"/>
      <sheetName val="Bank (P 3) (2)"/>
      <sheetName val="Bank (P 3) (3)"/>
      <sheetName val="L- Konf-SSP per bank "/>
      <sheetName val="S-Konf-SSP Kantor"/>
      <sheetName val="S-Konf-SSP Kantor (Lokasi)"/>
      <sheetName val="L- Konf-SSP KTR"/>
      <sheetName val="L- Konf-SSP KTR (Lokasi)"/>
      <sheetName val="S-Konf-bukti pngt&amp;pot"/>
      <sheetName val="L- Konf-bkti pngt&amp;pot"/>
      <sheetName val="S-Konf-bukti png&amp;pot Kantor "/>
      <sheetName val="L- Konf-bkti pngt&amp;pot Kantor"/>
      <sheetName val="S-Konf PM PPN Kantor"/>
      <sheetName val="L-Konf PM PPN"/>
      <sheetName val="Perluasan"/>
      <sheetName val="Mohon Panjang"/>
      <sheetName val="Pemb panjang"/>
      <sheetName val="Peringatan "/>
      <sheetName val="DATA OBYEK "/>
      <sheetName val="KKP PPH  POT-PUT"/>
      <sheetName val="daftar21"/>
      <sheetName val="Draft KKP"/>
      <sheetName val="Daf KKP OK (2)"/>
      <sheetName val="PPN JKP LN"/>
      <sheetName val="PPN JKP LN (STP)"/>
      <sheetName val="PPN BTW LN "/>
      <sheetName val="PPN BTW LN  (STP)"/>
      <sheetName val="Not PPN 16 D"/>
      <sheetName val="not-25"/>
      <sheetName val="Not-Badan Final 4(2)"/>
      <sheetName val="Not-Badan Final 15"/>
      <sheetName val="not-21"/>
      <sheetName val="not-22"/>
      <sheetName val="Not-23"/>
      <sheetName val="Not-23 (STP)"/>
      <sheetName val="Not-26"/>
      <sheetName val="Not-26 (STP)"/>
      <sheetName val="Not-4(2)"/>
      <sheetName val="Not-4(2) (STP)"/>
      <sheetName val="Not-15"/>
      <sheetName val="Not-15 (STP)"/>
      <sheetName val="KLU"/>
      <sheetName val="L_PHP"/>
      <sheetName val="L_PHP (OK)"/>
      <sheetName val="~Mar"/>
      <sheetName val="Summary of TB"/>
      <sheetName val="TB Currency Wise (BS account) "/>
      <sheetName val="sur"/>
      <sheetName val="cpp"/>
      <sheetName val="Equity in IN"/>
      <sheetName val="jualan"/>
      <sheetName val="nbv 2002"/>
      <sheetName val="WBS-proformaOWK"/>
      <sheetName val="Profit&amp;Loss"/>
      <sheetName val="Aje-gt"/>
      <sheetName val="Caje-HO"/>
      <sheetName val="Caje-Spj"/>
      <sheetName val="Caje-Smr&amp;Dpk"/>
      <sheetName val="T-Acc-gt"/>
      <sheetName val="CF (ok)"/>
      <sheetName val="wpl-FIS"/>
      <sheetName val="wbs-FIS"/>
      <sheetName val="MutFa"/>
      <sheetName val="add fafis 04"/>
      <sheetName val="depfis"/>
      <sheetName val="fafis"/>
      <sheetName val="kep150"/>
      <sheetName val="exp-FIS"/>
      <sheetName val="RE-awal"/>
      <sheetName val="Aje1"/>
      <sheetName val="Aje2"/>
      <sheetName val="cons-1"/>
      <sheetName val="cons-2"/>
      <sheetName val="cons-pl"/>
      <sheetName val="CashFlows"/>
      <sheetName val="mut FA-cons"/>
      <sheetName val="report-FA"/>
      <sheetName val="Equity NI"/>
      <sheetName val="Unrealized"/>
      <sheetName val="Segmen-BS"/>
      <sheetName val="Segmen-WPIS"/>
      <sheetName val="Currency"/>
      <sheetName val="mutFA'97"/>
      <sheetName val="mutFA'98"/>
      <sheetName val="Elimination Journals"/>
      <sheetName val="Sales purchase eliminasi"/>
      <sheetName val="Equity in NI"/>
      <sheetName val="Cash flow (direct)"/>
      <sheetName val="Cash flow for report"/>
      <sheetName val="List of PAJEs"/>
      <sheetName val="T-Acc PAJEs"/>
      <sheetName val="K. Combine (audited)"/>
      <sheetName val="add fafis 05"/>
      <sheetName val="detail-1"/>
      <sheetName val="detail-2"/>
      <sheetName val="detail-3"/>
      <sheetName val="cf-parent"/>
      <sheetName val="cf-consol"/>
      <sheetName val="T-Acc caje"/>
      <sheetName val="T-Acc paje"/>
      <sheetName val="sales-prod"/>
      <sheetName val=" cogs"/>
      <sheetName val="cogs for report"/>
      <sheetName val="wbs-segmen- revised"/>
      <sheetName val="wpl-segmen-revised"/>
      <sheetName val="FA for report"/>
      <sheetName val="LL 13"/>
      <sheetName val="fiscal-comp"/>
      <sheetName val="FAkomersial"/>
      <sheetName val="FAdijamin"/>
      <sheetName val="FAcompletion"/>
      <sheetName val="CFkonsol"/>
      <sheetName val="CFinduk"/>
      <sheetName val="share-1"/>
      <sheetName val="share-2"/>
      <sheetName val="goodwil"/>
      <sheetName val="FISkor"/>
      <sheetName val="FC-1 Rekap Donation"/>
      <sheetName val="FC-2 Gain on sale of FA"/>
      <sheetName val="FC-3 FAfiskal"/>
      <sheetName val="P-1-3 Labor Law - UU No 13"/>
      <sheetName val="loan-konsol"/>
      <sheetName val="loan-cam"/>
      <sheetName val="insurance2002"/>
      <sheetName val="rentincome"/>
      <sheetName val="U-2-1.GManalytical"/>
      <sheetName val="AR-TurnOver"/>
      <sheetName val="Jasa Giro"/>
      <sheetName val="*******00"/>
      <sheetName val="*******01"/>
      <sheetName val="*******02"/>
      <sheetName val="*******03"/>
      <sheetName val="*******04"/>
      <sheetName val="*******05"/>
      <sheetName val="*******06"/>
      <sheetName val="*******07"/>
      <sheetName val="Hatchery"/>
      <sheetName val="site (2)"/>
      <sheetName val="Bdl (2)"/>
      <sheetName val="Summary Audit"/>
      <sheetName val="TOING12"/>
      <sheetName val="CPC"/>
      <sheetName val="cost to june"/>
      <sheetName val="Planning"/>
      <sheetName val="PAJE-Sby"/>
      <sheetName val="PM Set per branch"/>
      <sheetName val="InterBranch"/>
      <sheetName val="Pivot CAJE"/>
      <sheetName val="Pivot PAJE"/>
      <sheetName val="LIAB"/>
      <sheetName val="Leases Mutation"/>
      <sheetName val="FA Sold - fiscal"/>
      <sheetName val="AMOR RENT"/>
      <sheetName val="Def-Tax"/>
      <sheetName val="Sales-Elim"/>
      <sheetName val="Break Sales"/>
      <sheetName val="Emp. Ben"/>
      <sheetName val="Aging TR"/>
      <sheetName val="MUA"/>
      <sheetName val="Appraisal"/>
      <sheetName val="Sales related 2007"/>
      <sheetName val="sampul"/>
      <sheetName val="Daftar aff"/>
      <sheetName val="detail(2)"/>
      <sheetName val="Detail FA"/>
      <sheetName val="SUMFA"/>
      <sheetName val="AS-02-aff"/>
      <sheetName val="AS-02-unaff"/>
      <sheetName val="Sales-aff"/>
      <sheetName val="Other elim"/>
      <sheetName val="348"/>
      <sheetName val="354"/>
      <sheetName val="355"/>
      <sheetName val="363"/>
      <sheetName val="366"/>
      <sheetName val="372"/>
      <sheetName val="381"/>
      <sheetName val="388"/>
      <sheetName val="405"/>
      <sheetName val="429"/>
      <sheetName val="433"/>
      <sheetName val="444"/>
      <sheetName val="467"/>
      <sheetName val="469"/>
      <sheetName val="2008-BS-PREPAID-RENT-FISKAL"/>
      <sheetName val="2008-BS-PREPAID-RENT-FISKAL (2)"/>
      <sheetName val="2008-BS-PREPAID-RENT-KOMERSIL"/>
      <sheetName val="2008-BS-PREPAID-RENT-KOMERS (2)"/>
      <sheetName val="G.1 Prepaid Insurance"/>
      <sheetName val="G.2 Prepaid Rent detail"/>
      <sheetName val="G.2-1"/>
      <sheetName val="G.2 PREPAID RENT"/>
      <sheetName val="G.2.1 beginning and addition'08"/>
      <sheetName val="G.2.2 ADDITION 2009"/>
      <sheetName val="G.3 PPH22"/>
      <sheetName val="G.3.1 PPH 22"/>
      <sheetName val="G.4 Prepaid - Art 25"/>
      <sheetName val="G.5 Advance"/>
      <sheetName val="G.5.2"/>
      <sheetName val="G.5.3"/>
      <sheetName val="G.6 PPH23"/>
      <sheetName val="PM Set"/>
      <sheetName val="PAJE &amp; PRJE (Parent)"/>
      <sheetName val="CAJE &amp; CRJE (Parent)"/>
      <sheetName val="WBS 1 (Parent)"/>
      <sheetName val="WBS 2 (Parent)"/>
      <sheetName val="WBS 1 (Detail)"/>
      <sheetName val="WPL (Parent)"/>
      <sheetName val="WBS 2 (Detail)"/>
      <sheetName val="WPL (Detail)"/>
      <sheetName val="Rent Fiscal"/>
      <sheetName val="2007-BS-PREPAID-RENT-FISKAL"/>
      <sheetName val="WBS-1 (Consol)"/>
      <sheetName val="WBS-2 (Consol)"/>
      <sheetName val="WPL (Consol)"/>
      <sheetName val="Detail WBS-1 (Consol)"/>
      <sheetName val="Detail WBS-2 (Consol)"/>
      <sheetName val="Pivot Elim"/>
      <sheetName val="Detail WPL (Consol)"/>
      <sheetName val="T-Elim"/>
      <sheetName val="investment 2006"/>
      <sheetName val="SRM - WBS WPL"/>
      <sheetName val="ASM - WBS"/>
      <sheetName val="ASM - WPL"/>
      <sheetName val="Segmen-BS (2005)"/>
      <sheetName val="Segmen-IS (2005)"/>
      <sheetName val="Segmen-BS (2004 restated)"/>
      <sheetName val="Segmen-WPIS (2004 restated)"/>
      <sheetName val="Segmen-BS (2003 restated)"/>
      <sheetName val="Segmen-IS (2003 restated)"/>
      <sheetName val="investment 2005"/>
      <sheetName val="investment 2004 =&lt;"/>
      <sheetName val="Unrealized 2005"/>
      <sheetName val="Unrealized 2004"/>
      <sheetName val="Movement CF Direct"/>
      <sheetName val="CF-Direct"/>
      <sheetName val="AMOR RENT2008"/>
      <sheetName val="List FA Fiscal"/>
      <sheetName val="Provision2008"/>
      <sheetName val="08-TSP-YG-FA FISKAL"/>
      <sheetName val="LIAB."/>
      <sheetName val="Pemusnahan"/>
      <sheetName val="Super Deductible"/>
      <sheetName val="List Fiscal"/>
      <sheetName val="detail-cf"/>
      <sheetName val="FA FISCAL-A"/>
      <sheetName val="FA FISCAL B"/>
      <sheetName val="Provision2009"/>
      <sheetName val="DTL effect 10"/>
      <sheetName val="AMOR RENT2009"/>
      <sheetName val="JP"/>
      <sheetName val="MML"/>
      <sheetName val="Asset Transfer"/>
      <sheetName val="Existing Asset"/>
      <sheetName val="Usfl Life"/>
      <sheetName val="SEMB Capex 2004-July04"/>
      <sheetName val="SEMB Capex 2005"/>
      <sheetName val="Acq-Dep-NBV"/>
      <sheetName val="Departmental Capex"/>
      <sheetName val="Control Sub"/>
      <sheetName val="Account Sub"/>
      <sheetName val="O_R_"/>
      <sheetName val="1_2"/>
      <sheetName val="17_22"/>
      <sheetName val="45_46"/>
      <sheetName val="Kid rid"/>
      <sheetName val="Perijinan"/>
      <sheetName val="AT 10"/>
      <sheetName val="AL 10 "/>
      <sheetName val="AT 11"/>
      <sheetName val="AL 11"/>
      <sheetName val="AT 12"/>
      <sheetName val="AL 12"/>
      <sheetName val="SURPLUS"/>
      <sheetName val="Y 2006"/>
      <sheetName val="rinci2006"/>
      <sheetName val="TBL HUT_ INV"/>
      <sheetName val="RAB IO"/>
      <sheetName val="NBH"/>
      <sheetName val="SAT_STAFF_ACC1_DC2 _2_"/>
      <sheetName val="DC_FZ01_"/>
      <sheetName val="CBY_B002_"/>
      <sheetName val="AYN_B004_"/>
      <sheetName val="PMY_B043_"/>
      <sheetName val="APR_B082_"/>
      <sheetName val="KHR_F001_"/>
      <sheetName val="ERTN_F004_"/>
      <sheetName val="PGRG_F006_"/>
      <sheetName val="PBR _F010_"/>
      <sheetName val="LMA _F011_"/>
      <sheetName val="KSA_F012_"/>
      <sheetName val="KRSB_F013_"/>
      <sheetName val="MTPD_F014_"/>
      <sheetName val="AYBS_F015_"/>
      <sheetName val="KTGN_F016_"/>
      <sheetName val="BLMB_F017_"/>
      <sheetName val="CWI_F018_"/>
      <sheetName val="GBI_F019_"/>
      <sheetName val="TPV _F020_"/>
      <sheetName val="WRU _F021_"/>
      <sheetName val="CRM _F022_"/>
      <sheetName val="PLSR_F023_"/>
      <sheetName val="CLA_F024_"/>
      <sheetName val="KGRN_F025_"/>
      <sheetName val="PLMN_F026_"/>
      <sheetName val="SBR_F027_"/>
      <sheetName val="JTW_F029_"/>
      <sheetName val="_PLA _F030_"/>
      <sheetName val="KDP _F032_"/>
      <sheetName val="TJG_F033_"/>
      <sheetName val="K MLY_F034_"/>
      <sheetName val="CLM_F035_"/>
      <sheetName val="RJGH_F036_"/>
      <sheetName val="JTTH_F037_"/>
      <sheetName val="JTB _F038_"/>
      <sheetName val="JTB2_F039_"/>
      <sheetName val="JGA_F040_"/>
      <sheetName val="KRA_F041_"/>
      <sheetName val="GGSK_F042_"/>
      <sheetName val="AJW _F043_"/>
      <sheetName val="BNKR_F044_"/>
      <sheetName val="LLA_F045_"/>
      <sheetName val="PJT_F046_"/>
      <sheetName val="SAT_F047__"/>
      <sheetName val="PLR_F048_"/>
      <sheetName val="LDR_F049_"/>
      <sheetName val="BTL_F050_"/>
      <sheetName val="LSI_F052_"/>
      <sheetName val="KSDM_F053_"/>
      <sheetName val="CPJH_F054_"/>
      <sheetName val="WRKD_F055_"/>
      <sheetName val="MSTY_F056_"/>
      <sheetName val="BLMA_F057_"/>
      <sheetName val="PLRY2_F058_"/>
      <sheetName val="LSI TIMUR_F059_"/>
      <sheetName val="KLTG_F060_"/>
      <sheetName val="MSA_F062"/>
      <sheetName val="ADWN_F063_"/>
      <sheetName val="BLPL_F065_"/>
      <sheetName val="CLG_F068_"/>
      <sheetName val="SKRJ_F069_ "/>
      <sheetName val="MJSN_F070_"/>
      <sheetName val="JSN_F071_"/>
      <sheetName val="PJN_F072_ "/>
      <sheetName val="AJT_F074_ "/>
      <sheetName val="LMG_F075_"/>
      <sheetName val="BGG_F076_"/>
      <sheetName val="AAI_F078_"/>
      <sheetName val="KRA2_F079_"/>
      <sheetName val="SAT_STAFF_ACC1_DC2 _3_"/>
      <sheetName val="SAT_STAFF_ACC1_DC2 _4_"/>
      <sheetName val="RJ btj 165104"/>
      <sheetName val="TABEL_DJ"/>
      <sheetName val="DJ_TAF"/>
      <sheetName val="FA_BARU"/>
      <sheetName val="SAT_STAFF_ACC1_DC2"/>
      <sheetName val="FA_BLM_DGK"/>
      <sheetName val="TRIAL BALANCE NOV08"/>
      <sheetName val="Depresiasi 2008"/>
      <sheetName val="Building &amp; Installation 2008"/>
      <sheetName val="Office Furniture 2008"/>
      <sheetName val="Tools&amp;Spareparts  2008"/>
      <sheetName val="Benches&amp;Machineries 2008"/>
      <sheetName val=" Computer Hardware 2008"/>
      <sheetName val="Office Equipment2008"/>
      <sheetName val="Mould &amp; Dies 2008"/>
      <sheetName val="Motor Vehicle 2008"/>
      <sheetName val="Software 2008"/>
      <sheetName val="HAMIDI"/>
      <sheetName val="UTOMO"/>
      <sheetName val="YOHANES"/>
      <sheetName val="PAHYUMI"/>
      <sheetName val="DT"/>
      <sheetName val="TOP"/>
      <sheetName val="ICF"/>
      <sheetName val="Det WBS I"/>
      <sheetName val="Det WBS II"/>
      <sheetName val="Det WPL"/>
      <sheetName val="KF PBC"/>
      <sheetName val="PRJE 2008"/>
      <sheetName val="sad 1"/>
      <sheetName val="Quasi"/>
      <sheetName val="sad03"/>
      <sheetName val="caje03"/>
      <sheetName val="crje03"/>
      <sheetName val="paje03"/>
      <sheetName val="prje03"/>
      <sheetName val="Prje07"/>
      <sheetName val="dta06"/>
      <sheetName val="Det WPL 12"/>
      <sheetName val="caje9"/>
      <sheetName val="crje9"/>
      <sheetName val="paje9"/>
      <sheetName val="prje9"/>
      <sheetName val="Det WPL June"/>
      <sheetName val="WS PBC T7&amp;Subs"/>
      <sheetName val="caje '10"/>
      <sheetName val="crje '10"/>
      <sheetName val="caje '09"/>
      <sheetName val="crje '09"/>
      <sheetName val="Det WBS I - Dec 2008"/>
      <sheetName val="TB Jun 09"/>
      <sheetName val="UM Asset"/>
      <sheetName val="Biaya All 2009-Coding Desc"/>
      <sheetName val="J1-1"/>
      <sheetName val="J1-2"/>
      <sheetName val="TOP-P"/>
      <sheetName val="Detail-P"/>
      <sheetName val="Report EY HK-P"/>
      <sheetName val="VA-Lead"/>
      <sheetName val="VA-1 COPB Acquisition Asing"/>
      <sheetName val="VA-1.1 COPB Acquisition Lokal"/>
      <sheetName val="VA-2 COPB-Others"/>
      <sheetName val="jan 08"/>
      <sheetName val="feb 08"/>
      <sheetName val="mar 08"/>
      <sheetName val="Report MMR"/>
      <sheetName val="Hitung-All"/>
      <sheetName val="Rekap Beli"/>
      <sheetName val="Report BYMHD"/>
      <sheetName val="Other-Info"/>
      <sheetName val="0912"/>
      <sheetName val="CF-Des"/>
      <sheetName val="RincPersd"/>
      <sheetName val="PKK"/>
      <sheetName val="UMKary"/>
      <sheetName val="UMPL"/>
      <sheetName val="UMPA"/>
      <sheetName val="Pjk"/>
      <sheetName val="ATB"/>
      <sheetName val="ATT"/>
      <sheetName val="AP-ALL"/>
      <sheetName val="AP-Rp MK"/>
      <sheetName val="APP"/>
      <sheetName val="AP-VLS MK"/>
      <sheetName val="APV"/>
      <sheetName val="APL"/>
      <sheetName val="oprs"/>
      <sheetName val="H1-1"/>
      <sheetName val="H1-2"/>
      <sheetName val="P2-1"/>
      <sheetName val="U4 - Lead"/>
      <sheetName val="U4.1.1"/>
      <sheetName val="U4.3"/>
      <sheetName val="U4.3.1"/>
      <sheetName val="U4.3.2"/>
      <sheetName val="WPs N"/>
      <sheetName val="N1-1"/>
      <sheetName val="N1-1a"/>
      <sheetName val="N1-2"/>
      <sheetName val="N1-3"/>
      <sheetName val="N1-4"/>
      <sheetName val="NN.1"/>
      <sheetName val="N2 Lead"/>
      <sheetName val="N2-1"/>
      <sheetName val="N2-2"/>
      <sheetName val="N2-3"/>
      <sheetName val="N2-3-1"/>
      <sheetName val="N2-3-2"/>
      <sheetName val="N2-3-3"/>
      <sheetName val="NN.2"/>
      <sheetName val="N3-1"/>
      <sheetName val="PSP"/>
      <sheetName val="E1.1 Aging 2009"/>
      <sheetName val="E1.2 Allowance 2009"/>
      <sheetName val="E1.2.1"/>
      <sheetName val="E1.3 Subsequent"/>
      <sheetName val="E1.3.1 Jan"/>
      <sheetName val="E1.3.2 Feb"/>
      <sheetName val="E1.4"/>
      <sheetName val="E1.4.1"/>
      <sheetName val="E1.4.1.1"/>
      <sheetName val="E1.4.2"/>
      <sheetName val="E1.4.2.1"/>
      <sheetName val="E1.4.3"/>
      <sheetName val="E1.4.3.1"/>
      <sheetName val="E1.5"/>
      <sheetName val="EE Address"/>
      <sheetName val="PBC AFDA"/>
      <sheetName val="Sheet1 "/>
      <sheetName val="TOP-WP"/>
      <sheetName val="DETAIL WBS I"/>
      <sheetName val="DETAIL WBS II"/>
      <sheetName val="DETAIL WPL"/>
      <sheetName val="Dir CF"/>
      <sheetName val="PAJE Mar"/>
      <sheetName val="CAJE.CRJE"/>
      <sheetName val="PRJE Mar"/>
      <sheetName val="PRJE 2007"/>
      <sheetName val="prje 07"/>
      <sheetName val="VD-Lead"/>
      <sheetName val="VD-1"/>
      <sheetName val="VD-2"/>
      <sheetName val="G3.1.1"/>
      <sheetName val="G3.2.1"/>
      <sheetName val="G3.3"/>
      <sheetName val="G-1-1PPHdulu"/>
      <sheetName val="AZ01"/>
      <sheetName val="BZ01"/>
      <sheetName val="CZ01"/>
      <sheetName val="DZ01"/>
      <sheetName val="EZ01"/>
      <sheetName val="FZ01"/>
      <sheetName val="HZ01"/>
      <sheetName val="IZ01"/>
      <sheetName val="JZ01"/>
      <sheetName val="KZ01"/>
      <sheetName val="LZ01"/>
      <sheetName val="Z001"/>
      <sheetName val="C019"/>
      <sheetName val="C020"/>
      <sheetName val="C028_CKB_"/>
      <sheetName val="C030_BBB_"/>
      <sheetName val="C031_JBK_"/>
      <sheetName val="C048_TPC_"/>
      <sheetName val="C056_JDC_"/>
      <sheetName val="C072_RSK_"/>
      <sheetName val="C075"/>
      <sheetName val="C079_TRS_"/>
      <sheetName val="C081_STL_"/>
      <sheetName val="C082_RMS_"/>
      <sheetName val="C084_PLS_"/>
      <sheetName val="C086_CCP_"/>
      <sheetName val="C088_IDC_"/>
      <sheetName val="C090_RGD_"/>
      <sheetName val="C097_VBI_"/>
      <sheetName val="C098_SHD_"/>
      <sheetName val="C099_KSK_"/>
      <sheetName val="C100_AYP_"/>
      <sheetName val="C102_HAS_"/>
      <sheetName val="C107_CBC_"/>
      <sheetName val="C121_PCW_"/>
      <sheetName val="C124_BWT_"/>
      <sheetName val="C131_KBM_"/>
      <sheetName val="C134_DWC_"/>
      <sheetName val="C135_YMC_"/>
      <sheetName val="C137_PRK_"/>
      <sheetName val="C139_PRA_"/>
      <sheetName val="C144_PHJ_"/>
      <sheetName val="C146 STA"/>
      <sheetName val="C147"/>
      <sheetName val="C151_BWS2_"/>
      <sheetName val="C160_PCB_"/>
      <sheetName val="C163_GAP_"/>
      <sheetName val="C164_STS_"/>
      <sheetName val="C179_VAG_"/>
      <sheetName val="C184_BSP_"/>
      <sheetName val="C188_SKU_"/>
      <sheetName val="C218_DJP_"/>
      <sheetName val="C234_WAS2_"/>
      <sheetName val="C236_GTS_"/>
      <sheetName val="C240_VCT_"/>
      <sheetName val="C253_SPS_"/>
      <sheetName val="C254_IBC_"/>
      <sheetName val="C262_BGB_"/>
      <sheetName val="C268_SMT_"/>
      <sheetName val="C283_TMG_"/>
      <sheetName val="C284_SKI_"/>
      <sheetName val="C285_TMR2_"/>
      <sheetName val="C286_PMU_"/>
      <sheetName val="C289_MBA_"/>
      <sheetName val="C295_TWA2_"/>
      <sheetName val="C299_HRB2_"/>
      <sheetName val="C307_SNS_"/>
      <sheetName val="C309_ALK_"/>
      <sheetName val="C310_MGJ_"/>
      <sheetName val="C311_RGB_"/>
      <sheetName val="C312_BBA_"/>
      <sheetName val="C313_JTS"/>
      <sheetName val="C315_GRM_"/>
      <sheetName val="C321_PPM_"/>
      <sheetName val="C328_KGW_"/>
      <sheetName val="C329_CMA_"/>
      <sheetName val="C332_KGU_"/>
      <sheetName val="C334_PMC_"/>
      <sheetName val="C336_HOC_"/>
      <sheetName val="C337_RSI_"/>
      <sheetName val="C339_CKM_"/>
      <sheetName val="C344_MARGAHAYU_"/>
      <sheetName val="C345_WISMA JAYA_"/>
      <sheetName val="C347_TRIDAYA_"/>
      <sheetName val="C348_BSH 3_"/>
      <sheetName val="C353_VBI 2_"/>
      <sheetName val="C354_WRK 2_"/>
      <sheetName val="C357_ANGGADITA_"/>
      <sheetName val="C361_MEKARSARI_"/>
      <sheetName val="C362_TMR2_"/>
      <sheetName val="C363_TGL DANAS_"/>
      <sheetName val="C364_LOJI_"/>
      <sheetName val="C368_SMBR JY 2_"/>
      <sheetName val="C369_SMBR JY_"/>
      <sheetName val="C371_BJI_"/>
      <sheetName val="C375_PERUMNAS 1_"/>
      <sheetName val="C379_IPIK 2_"/>
      <sheetName val="C380_IPIK 3_"/>
      <sheetName val="C382_PINAYUNGAN_"/>
      <sheetName val="C383_KRG SATRIA_"/>
      <sheetName val="C389_WANAYASA_"/>
      <sheetName val="C390_FUDHOLI_"/>
      <sheetName val="C392_ALINDA_"/>
      <sheetName val="C393_SYECH QURO_"/>
      <sheetName val="C394_R_KALONG_"/>
      <sheetName val="C395_GRM_IO"/>
      <sheetName val="C396_KYR_"/>
      <sheetName val="C398_PCW2_"/>
      <sheetName val="C414_ARD BR_"/>
      <sheetName val="C432_MJA2_"/>
      <sheetName val="C433 BBL2"/>
      <sheetName val="C435 VMT2"/>
      <sheetName val="C437 KHD"/>
      <sheetName val="C439 PRK2"/>
      <sheetName val="C440 KSB2"/>
      <sheetName val="C444_DWI"/>
      <sheetName val="C445_SGB"/>
      <sheetName val="C446"/>
      <sheetName val="C447 BSI"/>
      <sheetName val="C448 TRG"/>
      <sheetName val="C449"/>
      <sheetName val="C450"/>
      <sheetName val="C453"/>
      <sheetName val="C455 KRB"/>
      <sheetName val="C459 HBU3"/>
      <sheetName val="C460 KDJ"/>
      <sheetName val="C461 JDC2"/>
      <sheetName val="C462 GYA2"/>
      <sheetName val="C466 RWL"/>
      <sheetName val="C467 GLM"/>
      <sheetName val="C468 TRA"/>
      <sheetName val="C471 BYA"/>
      <sheetName val="C473 RPJ"/>
      <sheetName val="C474 KDS"/>
      <sheetName val="C477 ABG"/>
      <sheetName val="C478 JMY2"/>
      <sheetName val="C480 MGT"/>
      <sheetName val="C481 PMD"/>
      <sheetName val="C482 ZRD"/>
      <sheetName val="C483"/>
      <sheetName val="C484 TUM"/>
      <sheetName val="C485 CLM"/>
      <sheetName val="C486"/>
      <sheetName val="C488 GKA"/>
      <sheetName val="C489 AMI"/>
      <sheetName val="C492 "/>
      <sheetName val="C493"/>
      <sheetName val="C496 TJB3"/>
      <sheetName val="C498"/>
      <sheetName val="C499 TJB2"/>
      <sheetName val="C500"/>
      <sheetName val="C501"/>
      <sheetName val="C502"/>
      <sheetName val="C503"/>
      <sheetName val="C504 VAG2"/>
      <sheetName val="C505"/>
      <sheetName val="C507"/>
      <sheetName val="C508"/>
      <sheetName val="C509"/>
      <sheetName val="C510"/>
      <sheetName val="C512"/>
      <sheetName val="C513"/>
      <sheetName val="C515"/>
      <sheetName val="C516"/>
      <sheetName val="C517"/>
      <sheetName val="C518"/>
      <sheetName val="C519"/>
      <sheetName val="C522"/>
      <sheetName val="C524"/>
      <sheetName val="C526"/>
      <sheetName val="C527"/>
      <sheetName val="C528"/>
      <sheetName val="C533"/>
      <sheetName val="C535"/>
      <sheetName val="C536"/>
      <sheetName val="C537"/>
      <sheetName val="C539"/>
      <sheetName val="C542"/>
      <sheetName val="C543"/>
      <sheetName val="C544"/>
      <sheetName val="C545"/>
      <sheetName val="C546"/>
      <sheetName val="C551"/>
      <sheetName val="C552"/>
      <sheetName val="C553"/>
      <sheetName val="C554"/>
      <sheetName val="C555"/>
      <sheetName val="C556"/>
      <sheetName val="C558"/>
      <sheetName val="C560"/>
      <sheetName val="C561"/>
      <sheetName val="C562"/>
      <sheetName val="C566"/>
      <sheetName val="C567"/>
      <sheetName val="C568"/>
      <sheetName val="C572"/>
      <sheetName val="Lap_ Kinerja Toko _2_"/>
      <sheetName val="Lap_ Kinerja Toko"/>
      <sheetName val="Bbn perlengkapan tk"/>
      <sheetName val="401100"/>
      <sheetName val="405000"/>
      <sheetName val="410030"/>
      <sheetName val="410090"/>
      <sheetName val="412040"/>
      <sheetName val="412070"/>
      <sheetName val="412080"/>
      <sheetName val="CFJun"/>
      <sheetName val="DetailPersed"/>
      <sheetName val="PersMK"/>
      <sheetName val="KasetKosong"/>
      <sheetName val="UM_Kary"/>
      <sheetName val="UM_ProgLokal"/>
      <sheetName val="UM_ProgAsing"/>
      <sheetName val="AT-Bulanan"/>
      <sheetName val="AT-Tahunan"/>
      <sheetName val="HutangAll"/>
      <sheetName val="HutProgRp_MK"/>
      <sheetName val="HutProgRp_NonMK"/>
      <sheetName val="HutProgValas_MK"/>
      <sheetName val="HutProgValas_NonMK"/>
      <sheetName val="Hut_ProgInh"/>
      <sheetName val="Hut_ProgLain"/>
      <sheetName val="Hut_Inv"/>
      <sheetName val="Hut_Oprs"/>
      <sheetName val="Rinc_Persed"/>
      <sheetName val="Kaset_Kosong"/>
      <sheetName val="Hutang_Bank"/>
      <sheetName val="Hutang_All"/>
      <sheetName val="Hutang Rp_Program"/>
      <sheetName val="Hutang Rp_NonMK"/>
      <sheetName val="Hutang Valas_Program"/>
      <sheetName val="Hutang Valas_Non MK"/>
      <sheetName val="Hutang Inhouse"/>
      <sheetName val="Hutang Lain_Program"/>
      <sheetName val="Hutang Lain_Investasi"/>
      <sheetName val="Hutang Lain_Operasional"/>
      <sheetName val="Adj Pdn"/>
      <sheetName val="Adj Jkt"/>
      <sheetName val="SPA BS"/>
      <sheetName val="SPA P&amp;L"/>
      <sheetName val="Mov. Inv."/>
      <sheetName val="Movement2"/>
      <sheetName val="Timing Diff FA"/>
      <sheetName val="Control Fiscal Comp"/>
      <sheetName val="Fiscal Journal-J04"/>
      <sheetName val="FA Mov.Com. Combine"/>
      <sheetName val="FA Mov.Com. Jkt-J04"/>
      <sheetName val="FA Mov. Com. Pdn-J04"/>
      <sheetName val="Transaction Affiliates "/>
      <sheetName val="Detail Consol"/>
      <sheetName val="TOP fiscal-update"/>
      <sheetName val="fiscal journal-update"/>
      <sheetName val="Increase-Decrease"/>
      <sheetName val="CF - Report"/>
      <sheetName val="Det WBS 1"/>
      <sheetName val="Det WBS 2"/>
      <sheetName val="FINANCIAL RATIO"/>
      <sheetName val="tb 2008 audited"/>
      <sheetName val="NBV"/>
      <sheetName val="neraca &amp; labarugi sep"/>
      <sheetName val="TB 2008"/>
      <sheetName val="TB 2009"/>
      <sheetName val="Rekap biaya gaji"/>
      <sheetName val="WBS 1 (2)"/>
      <sheetName val="WBS 2 (2)"/>
      <sheetName val="Det WPL (2)"/>
      <sheetName val="FA-EST per sept"/>
      <sheetName val="FA-POM per sept"/>
      <sheetName val="FA-EST Dec"/>
      <sheetName val="FA-POM dec"/>
      <sheetName val="CIP-addition POM"/>
      <sheetName val="General Instructions"/>
      <sheetName val="ARPS BS"/>
      <sheetName val="ARPS PL"/>
      <sheetName val="PL(Discl)"/>
      <sheetName val="BS int1"/>
      <sheetName val="BS int2"/>
      <sheetName val="BS analysis"/>
      <sheetName val="17A"/>
      <sheetName val="17B"/>
      <sheetName val="26a"/>
      <sheetName val="26b"/>
      <sheetName val="32A"/>
      <sheetName val="32B"/>
      <sheetName val="39A"/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CTVanChuyen"/>
      <sheetName val="VLC_Tramcat"/>
      <sheetName val="VLC_35KV"/>
      <sheetName val="VLC_TBA"/>
      <sheetName val="TT_10KV"/>
      <sheetName val="TT_0,4KV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  <sheetName val="封面"/>
      <sheetName val="目录"/>
      <sheetName val="快报"/>
      <sheetName val="资产负债表"/>
      <sheetName val="货币资金分类表"/>
      <sheetName val="资产减值准备明细表 "/>
      <sheetName val="固定资产增减变动及折旧计提表"/>
      <sheetName val="应交税金明细表"/>
      <sheetName val="长期股权投资增减变动明细表"/>
      <sheetName val="所有者权益增减明细表"/>
      <sheetName val="关联单位往来明细表"/>
      <sheetName val="企业存款明细表"/>
      <sheetName val="利润表"/>
      <sheetName val="利润分配表"/>
      <sheetName val="投资收益明细表"/>
      <sheetName val="营业费用明细表"/>
      <sheetName val="管理费用明细表"/>
      <sheetName val="财务费用明细表"/>
      <sheetName val="关联交易明细表"/>
      <sheetName val="主营业务利润明细表"/>
      <sheetName val="现金流量表 "/>
      <sheetName val="分部报告"/>
      <sheetName val="非经常性损益"/>
      <sheetName val="补充资料"/>
      <sheetName val="企业会计差异调节表"/>
      <sheetName val="个别会计报表表内勾稽关系一览表 "/>
      <sheetName val="表间主要勾稽关系一览表"/>
      <sheetName val="关联单位"/>
      <sheetName val="产业群一览表"/>
      <sheetName val="集团范围投资结构（1）"/>
      <sheetName val="集团单位代码名称对照表"/>
      <sheetName val="集团范围投资结构（2）"/>
      <sheetName val="Tonghop"/>
      <sheetName val="0"/>
      <sheetName val="K Fixed Assets"/>
      <sheetName val="K1.1 &amp; K1.2"/>
      <sheetName val="K1.3"/>
      <sheetName val="K1.4"/>
      <sheetName val="K1.5"/>
      <sheetName val="K1.6"/>
      <sheetName val="K1.7"/>
      <sheetName val="Vouching Add."/>
      <sheetName val="Sale &amp; Disposal of FA"/>
      <sheetName val="FA Report"/>
      <sheetName val="E (AR)"/>
      <sheetName val="E.1 (Trade)"/>
      <sheetName val="E.1 (Trade) 2"/>
      <sheetName val="E.1 (Trade) after forex"/>
      <sheetName val="E.1 (Trade) after forex 2802"/>
      <sheetName val="Test Forex'042802"/>
      <sheetName val="Test Forex'04"/>
      <sheetName val="testaging"/>
      <sheetName val="E.2 (Related)"/>
      <sheetName val="E.3 (AR Others)"/>
      <sheetName val="E.3.1"/>
      <sheetName val="E.3.2"/>
      <sheetName val="E.3.3"/>
      <sheetName val="E.3.4"/>
      <sheetName val="E.3.5 "/>
      <sheetName val="AR Turnover"/>
      <sheetName val="CASHFLOW2003"/>
      <sheetName val="BERLI 2002"/>
      <sheetName val="Cashflow'03"/>
      <sheetName val="Cashflow Indirect"/>
      <sheetName val="Consolidation"/>
      <sheetName val="Consolidation (Sort)"/>
      <sheetName val="Perhitungan fiskal"/>
      <sheetName val="Detailed WBS 1"/>
      <sheetName val="Detail WBS 2"/>
      <sheetName val="PAJE-PRJE'04"/>
      <sheetName val="T-ACC (PAJE)"/>
      <sheetName val="CAJE-CRJE'04"/>
      <sheetName val="T-ACC (CAJE)"/>
      <sheetName val="CAJE-CRJERekap"/>
      <sheetName val="PAJE-PRJErekap"/>
      <sheetName val="AKM DEPR"/>
      <sheetName val="EPS-StlhPLB"/>
      <sheetName val="EPS-SblmPLB"/>
      <sheetName val="ESOP 2003"/>
      <sheetName val="PAJE-PRJE (SORT)'02"/>
      <sheetName val="CAJE-CRJE (SORT)"/>
      <sheetName val="PAJE-PRJE'02"/>
      <sheetName val="CAJE-CRJE'02"/>
      <sheetName val="REKAPAN PARJE'04"/>
      <sheetName val="Accrued Expenses - P - ok"/>
      <sheetName val="Accrued Interest-P.1-ok"/>
      <sheetName val="Accrued Rent-P.2-ok"/>
      <sheetName val="Accr.Electricity-P.3-ok"/>
      <sheetName val="Accr. Spareparts-P.4-2005-ok"/>
      <sheetName val="Accrued Int.Leasing-P.4-ok"/>
      <sheetName val="J.1.1"/>
      <sheetName val="J.1.2"/>
      <sheetName val="J.1.3"/>
      <sheetName val="J.1.4"/>
      <sheetName val="J.1.5"/>
      <sheetName val="J.1.6"/>
      <sheetName val="J.1.7"/>
      <sheetName val="J.1.8"/>
      <sheetName val="J.3"/>
      <sheetName val="J.4"/>
      <sheetName val="PBC"/>
      <sheetName val="TB Dec 2010 SAP"/>
      <sheetName val="N.2 Lead"/>
      <sheetName val="N.2.1.1"/>
      <sheetName val="N.2.1.2"/>
      <sheetName val="N.2.1.3"/>
      <sheetName val="NN2"/>
      <sheetName val="Attributes"/>
      <sheetName val="Cal. Cost Broiler"/>
      <sheetName val=" Cal. Cost Layer"/>
      <sheetName val="Test Feed Consumed daily F-1"/>
      <sheetName val="Test Medicine used daily F-1"/>
      <sheetName val="Summary Feed Purchased Sept06"/>
      <sheetName val="MD-0906 "/>
      <sheetName val="Allocation DL-FOH_06"/>
      <sheetName val="Depletion Journal"/>
      <sheetName val="Depletion Calculation"/>
      <sheetName val="GA.100 200"/>
      <sheetName val="GA.301"/>
      <sheetName val="174.302"/>
      <sheetName val="Fiskal Recon"/>
      <sheetName val="O300 PPh art 23&amp;4(2)"/>
      <sheetName val="Deferred_tax_Assets"/>
      <sheetName val="Other_Assets"/>
      <sheetName val="Capital_stock"/>
      <sheetName val="Sales&amp;COGS"/>
      <sheetName val="EI"/>
      <sheetName val="Penyus To use "/>
      <sheetName val="LK1 (2)"/>
      <sheetName val="Penys. oke"/>
      <sheetName val="Penyus To use"/>
      <sheetName val="Penyus To use 3"/>
      <sheetName val="Kor.Fis Konservatif"/>
      <sheetName val="Kor.Fis AGRESIVE"/>
      <sheetName val="Penyus To use 2"/>
      <sheetName val="Kor.Fis Konservative 3"/>
      <sheetName val="Kor.Fis Agresive 3 "/>
      <sheetName val="OPR"/>
      <sheetName val="MEI'02"/>
      <sheetName val="Gls897"/>
      <sheetName val="Back"/>
      <sheetName val="PPh.22"/>
      <sheetName val="Kor.Fis  "/>
      <sheetName val="BUILD (2)"/>
      <sheetName val="GOL I (2)"/>
      <sheetName val="GOL II (2)"/>
      <sheetName val="GOL III (2)"/>
      <sheetName val="Lookup2"/>
      <sheetName val="Kor. Fis (2)"/>
      <sheetName val="BUILD"/>
      <sheetName val="LK7"/>
      <sheetName val="NERACA 04 (2)"/>
      <sheetName val="RL (2)"/>
      <sheetName val="PPh 29 &amp; 25"/>
      <sheetName val="TERBIT (2)"/>
      <sheetName val="CETAK (2)"/>
      <sheetName val="OPR EXP "/>
      <sheetName val="TERBIT (3)"/>
      <sheetName val="CETAK"/>
      <sheetName val="Kor. Fis"/>
      <sheetName val="GOL III"/>
      <sheetName val="2.PPh.22.02"/>
      <sheetName val="3.FISCAL"/>
      <sheetName val="4.PPh.23.02"/>
      <sheetName val="5.PPH.25"/>
      <sheetName val="HPP EXP"/>
      <sheetName val="Ent (3)"/>
      <sheetName val="ENT (2)"/>
      <sheetName val="V (2)"/>
      <sheetName val="OPR "/>
      <sheetName val="PENJELASAN KOREKSI FISKAL (2)"/>
      <sheetName val="PPh 22 Solar Sby"/>
      <sheetName val="PPh 22 Krakatau Sby"/>
      <sheetName val="PPh 22 Impor Sby"/>
      <sheetName val="PPh 22 Impor PNK"/>
      <sheetName val="PPh 22 Krakatau PNK "/>
      <sheetName val="PPh 22 Solar PNK "/>
      <sheetName val="SE46 "/>
      <sheetName val="Revenue Cut Off Service"/>
      <sheetName val="Payroll Journal"/>
      <sheetName val="POR Classifications"/>
      <sheetName val="Salary Info"/>
      <sheetName val="Employee Ref Table"/>
      <sheetName val="Group Codes"/>
      <sheetName val="Account Groups"/>
      <sheetName val="Allocations"/>
      <sheetName val="Start Dates"/>
      <sheetName val="2003 Annual Leave"/>
      <sheetName val="Samurai Bond"/>
      <sheetName val="BSMI Clean II IDR 500 bio"/>
      <sheetName val="DEG"/>
      <sheetName val="BTMU ABL Non Rev-IDR"/>
      <sheetName val="RPO Derivative effect"/>
      <sheetName val="FMO 2"/>
      <sheetName val="IFC AB Syndicated"/>
      <sheetName val="STBC 6"/>
      <sheetName val="SCCA Nexi"/>
      <sheetName val="STBC 7"/>
      <sheetName val="STBC 8"/>
      <sheetName val="STBC 9"/>
      <sheetName val="BOA"/>
      <sheetName val="MUTB"/>
      <sheetName val="MUTB 2"/>
      <sheetName val="BTMU ABL II Non Rev-IDR (2)"/>
      <sheetName val="BTMU ABL 3 Non Rev-USD"/>
      <sheetName val="STBC 4-Rev"/>
      <sheetName val="FA reconciliation"/>
      <sheetName val="org. advances"/>
      <sheetName val="advance cabang"/>
      <sheetName val="MED. ADV aug"/>
      <sheetName val="sal deduct 0807"/>
      <sheetName val="ORG.travel adv"/>
      <sheetName val="trav. adv"/>
      <sheetName val="other advance org"/>
      <sheetName val="other adv "/>
      <sheetName val="rincian 2005"/>
      <sheetName val="olah 78320 april "/>
      <sheetName val="original 78320 april"/>
      <sheetName val="olah 78310 april"/>
      <sheetName val="original 78310 april"/>
      <sheetName val="olah 78300 april"/>
      <sheetName val="location"/>
      <sheetName val="original 78300 april"/>
      <sheetName val="78300 april"/>
      <sheetName val="final  (2)"/>
      <sheetName val="FOLLOW-UP"/>
      <sheetName val="employee 03.07"/>
      <sheetName val="employee per april"/>
      <sheetName val="empl. pasrb"/>
      <sheetName val="emply.crcs"/>
      <sheetName val="emply.up country"/>
      <sheetName val="employee per agus "/>
      <sheetName val="clear"/>
      <sheetName val="NAMA"/>
      <sheetName val="original 78310 april (2)"/>
      <sheetName val="FOLLOW UP APRIL"/>
      <sheetName val="sal deduction"/>
      <sheetName val="origin. adv travel"/>
      <sheetName val="other adv jul"/>
      <sheetName val="ADVANCES jul"/>
      <sheetName val="follow-up medical"/>
      <sheetName val="Salary Recon"/>
      <sheetName val="SAL12-12"/>
      <sheetName val="letter"/>
      <sheetName val="Recons-Basic"/>
      <sheetName val="Recon Bank"/>
      <sheetName val="payslip"/>
      <sheetName val="JV split"/>
      <sheetName val="ADD BONUS"/>
      <sheetName val="13&amp;14"/>
      <sheetName val="JV03"/>
      <sheetName val="JV REVERSE"/>
      <sheetName val="Total Amount (2)"/>
      <sheetName val="Unaudited PY TB"/>
      <sheetName val="WPL CYe"/>
      <sheetName val="WBS-r"/>
      <sheetName val="CIT Calculation New"/>
      <sheetName val="presentation"/>
      <sheetName val="Journal DTA CIT"/>
      <sheetName val="DTA provision"/>
      <sheetName val="WBSsalah"/>
      <sheetName val="WPL CY"/>
      <sheetName val="TMP2"/>
      <sheetName val="DEMOCAR"/>
      <sheetName val="Penj BBN"/>
      <sheetName val="WO BLM TERIMA"/>
      <sheetName val="FPM BLM TERIMA (UNIT)"/>
      <sheetName val="disposal (2)"/>
      <sheetName val="Gain per fiscal"/>
      <sheetName val="Dec.021"/>
      <sheetName val="Mar.03"/>
      <sheetName val="Feb.03"/>
      <sheetName val="Jan.03"/>
      <sheetName val="Dec.02"/>
      <sheetName val="Nov.02"/>
      <sheetName val="Oct.02"/>
      <sheetName val="Adj.Q3"/>
      <sheetName val="Sep.02"/>
      <sheetName val="Aug.02"/>
      <sheetName val="Jul.02"/>
      <sheetName val="Remark expense"/>
      <sheetName val="Cost for sales"/>
      <sheetName val="JD"/>
      <sheetName val="Recharge_Form"/>
      <sheetName val="ICP-Summary"/>
      <sheetName val="ICP-Accounting"/>
      <sheetName val="ICP-Procurement"/>
      <sheetName val="Labour"/>
      <sheetName val="Equipments"/>
      <sheetName val="Implementation Budget"/>
      <sheetName val="IT (THB)Budget "/>
      <sheetName val="2006 WH Budget"/>
      <sheetName val="Transport Rates (excl. Margin)"/>
      <sheetName val="TPT. Conditions (INTERNAL ONLY)"/>
      <sheetName val="SADR_1_20051019"/>
      <sheetName val="Residences"/>
      <sheetName val="Base Costs"/>
      <sheetName val="Estate Detail"/>
      <sheetName val="RE Base Cost"/>
      <sheetName val="Real Estate Detail"/>
      <sheetName val="Vertical view (2)"/>
      <sheetName val="Budget Equity Rollup"/>
      <sheetName val="Project View"/>
      <sheetName val="Vertical view"/>
      <sheetName val="Fee bridge"/>
      <sheetName val="Notable items"/>
      <sheetName val="Jupiter"/>
      <sheetName val="Phuket"/>
      <sheetName val="Las Vegas"/>
      <sheetName val="CNL"/>
      <sheetName val="CASA"/>
      <sheetName val="RCC ST THOMAS"/>
      <sheetName val="FL BEACH"/>
      <sheetName val="RCC KAPALUA"/>
      <sheetName val="RCC SAN FRAN"/>
      <sheetName val="RCC SANTA BARBARA"/>
      <sheetName val="Dubai"/>
      <sheetName val="Whitbread"/>
      <sheetName val="RCC Los Cabos"/>
      <sheetName val=" Fee Summary"/>
      <sheetName val=" Fee Detail"/>
      <sheetName val="Closings"/>
      <sheetName val="2005 Volume"/>
      <sheetName val="JV ADMN  5010"/>
      <sheetName val="qryBu22_xls"/>
      <sheetName val="qryBu22_xls (2)"/>
      <sheetName val="fee income to Karen"/>
      <sheetName val="ALL JV FCAST FEE INCOME"/>
      <sheetName val="LRP Closings"/>
      <sheetName val="NEW SALES"/>
      <sheetName val="for FRMS calcs"/>
      <sheetName val="Jupiter Closings"/>
      <sheetName val="all Closings"/>
      <sheetName val="Jupiter Fcast Equity"/>
      <sheetName val="Chateau Fcast Equity"/>
      <sheetName val="Chateau LRP Financing"/>
      <sheetName val="Chateau LRP Equity"/>
      <sheetName val="CNL Fcast Equity"/>
      <sheetName val="CNL LRP Equity"/>
      <sheetName val="Phuket Fcast Equity"/>
      <sheetName val="Gross Sales"/>
      <sheetName val="FRS"/>
      <sheetName val="Europe"/>
      <sheetName val="Phuket 2004 LRP Equity"/>
      <sheetName val="CASA EQUITY"/>
      <sheetName val="SUM ALL JVS"/>
      <sheetName val="SUM NEW JVS"/>
      <sheetName val="JV Expenses Detail"/>
      <sheetName val="TSA"/>
      <sheetName val="Jupiter FN10"/>
      <sheetName val="Jupiter 2004 LRP Equity"/>
      <sheetName val="Jupiter Budget"/>
      <sheetName val="MVCI-Equity US$"/>
      <sheetName val="LV detail"/>
      <sheetName val="LRP Fee Summary"/>
      <sheetName val="LRP Fee Detail"/>
      <sheetName val="New JVs timeline"/>
      <sheetName val="Financials"/>
      <sheetName val="Labour Summary"/>
      <sheetName val="Labour Duty"/>
      <sheetName val="Op. Exp."/>
      <sheetName val="IT Costs"/>
      <sheetName val="Definition on costing model"/>
      <sheetName val="Modifications Log"/>
      <sheetName val="Module4"/>
      <sheetName val="Dialog1"/>
      <sheetName val="Module5"/>
      <sheetName val="SoldTo"/>
      <sheetName val="ShipTo"/>
      <sheetName val="Payer"/>
      <sheetName val="IDS Customer Master"/>
      <sheetName val="BDC Raw Data - Ship To"/>
      <sheetName val="IDS Customer"/>
      <sheetName val="HHR SUD"/>
      <sheetName val="OCA"/>
      <sheetName val="OA"/>
      <sheetName val="OCL"/>
      <sheetName val="SG&amp;A expenses"/>
      <sheetName val="Operating profit"/>
      <sheetName val="Intercom_BS_CPY32"/>
      <sheetName val="Interco_PL_YTD_CPY32"/>
      <sheetName val="ACCT_YTD_CPY32 December"/>
      <sheetName val="ST Investment"/>
      <sheetName val="AR Trade"/>
      <sheetName val="Invest in asso (1)"/>
      <sheetName val="Invest in asso (2)"/>
      <sheetName val="Invest in other"/>
      <sheetName val="HHR (in MINT Conso)"/>
      <sheetName val="AP FA"/>
      <sheetName val="Computer software 2009"/>
      <sheetName val="Intangible asset"/>
      <sheetName val="LT Borrowing"/>
      <sheetName val="Construction commitment"/>
      <sheetName val="Lease commitment"/>
      <sheetName val="Guarantee liabilities"/>
      <sheetName val="Segment reporting"/>
      <sheetName val="Other income"/>
      <sheetName val="Warrant"/>
      <sheetName val="Staff cost"/>
      <sheetName val="Forward exchange contract"/>
      <sheetName val="PMTH"/>
      <sheetName val="Sherene"/>
      <sheetName val="PhilipMorrisCost-Dec24"/>
      <sheetName val="Final Transport Charges"/>
      <sheetName val="PMTL Dispebser-2"/>
      <sheetName val="Organization Chart"/>
      <sheetName val="Flow Diagram"/>
      <sheetName val="User"/>
      <sheetName val="Orientation"/>
      <sheetName val="RptClose"/>
      <sheetName val="Hidden"/>
      <sheetName val="Configuration"/>
      <sheetName val="Report Local OLD 3MO"/>
      <sheetName val="Report USD OLD 3MO"/>
      <sheetName val="USD REPORT"/>
      <sheetName val="3MO_DETAIL_RPT"/>
      <sheetName val="3MO_TOT_FY_RPT"/>
      <sheetName val="3MO_TOT_FY_RPT_OV"/>
      <sheetName val="DETAIL_BY_QUARTER_RPT"/>
      <sheetName val="expset"/>
      <sheetName val="EXPORT_FCST"/>
      <sheetName val="EXPORT_FCSTPLAN$"/>
      <sheetName val="CAFL "/>
      <sheetName val="Press MC Capacity (2)"/>
      <sheetName val="Press MC Capacity (3)"/>
      <sheetName val="total GA per dept"/>
      <sheetName val="MOULD&amp;DIES_ok"/>
      <sheetName val="GR 1"/>
      <sheetName val="GR 2"/>
      <sheetName val="GR 3"/>
      <sheetName val="Reasonable Test"/>
      <sheetName val="COMMON"/>
      <sheetName val="E1.2GROUP-DIRECT"/>
      <sheetName val="RL Fiscal"/>
      <sheetName val="Salary Detail"/>
      <sheetName val="Calc. test w.holding tax 21"/>
      <sheetName val="Analisis BS (2)"/>
      <sheetName val="Analisis PL (2)"/>
      <sheetName val="Tickmarks (2)"/>
      <sheetName val="Analisis BS (3)"/>
      <sheetName val="Analisis PL (3)"/>
      <sheetName val="Tickmarks (3)"/>
      <sheetName val="153300 Deposits"/>
      <sheetName val="DEPN 2002"/>
      <sheetName val="temp"/>
      <sheetName val="Lookups"/>
      <sheetName val="Payment Record"/>
      <sheetName val="Currency Table"/>
      <sheetName val="Pivot Report (2)"/>
      <sheetName val="Project Code"/>
      <sheetName val="Accounts Entry"/>
      <sheetName val="M'sia billings"/>
      <sheetName val="Reports Required"/>
      <sheetName val="WBS asset"/>
      <sheetName val="WBS liabilities"/>
      <sheetName val="Result"/>
      <sheetName val="Group"/>
      <sheetName val="Class"/>
      <sheetName val="Atribute"/>
      <sheetName val="sales summary 2005"/>
      <sheetName val="target 2005"/>
      <sheetName val="sales analysis"/>
      <sheetName val="product group table"/>
      <sheetName val="month from C0"/>
      <sheetName val="Month_Tar2005"/>
      <sheetName val="Actual2004_2005"/>
      <sheetName val="sales summary 2004"/>
      <sheetName val="graph A-04 analysis"/>
      <sheetName val="unpaid"/>
      <sheetName val="Home Aged Debts"/>
      <sheetName val="Dollar Aged Debts"/>
      <sheetName val="Geograhpical"/>
      <sheetName val="Payment"/>
      <sheetName val="Exchange"/>
      <sheetName val="Unbilled USD"/>
      <sheetName val="Deferred USD"/>
      <sheetName val="COS USD"/>
      <sheetName val="Rechargeable USD"/>
      <sheetName val="March 03 Deferred"/>
      <sheetName val="P&amp;L Account Codes"/>
      <sheetName val="Unbilled receivables"/>
      <sheetName val="Deferred income - Wireline (2)"/>
      <sheetName val="Deferred income"/>
      <sheetName val="COS Accrual"/>
      <sheetName val="Rechargeable Exps"/>
      <sheetName val="Recognition Schedule"/>
      <sheetName val="Programmes Look up"/>
      <sheetName val="Rechargable Summary 2003"/>
      <sheetName val="Investment-P (2)"/>
      <sheetName val="Elimination Adjustment"/>
      <sheetName val="IDCF-P"/>
      <sheetName val="AR-AGING SCH."/>
      <sheetName val="PP&amp;E"/>
      <sheetName val="Adj-Branches"/>
      <sheetName val="CC-1.1k"/>
      <sheetName val="CC-2k"/>
      <sheetName val="AA-1 .1"/>
      <sheetName val="AA-1. 2"/>
      <sheetName val="AA-1. 3"/>
      <sheetName val="AA-2"/>
      <sheetName val="AA-2.1"/>
      <sheetName val="AA-4"/>
      <sheetName val="AA-5"/>
      <sheetName val="AA- 6"/>
      <sheetName val="Consol-1205"/>
      <sheetName val="RE Consol"/>
      <sheetName val="CAJE CSFB"/>
      <sheetName val="CAJE Intercompany"/>
      <sheetName val="TB CIGL'1205"/>
      <sheetName val="CIGL-1205"/>
      <sheetName val="PAJE CIGL"/>
      <sheetName val="TB JOB"/>
      <sheetName val="JOB-1205"/>
      <sheetName val="PAJE JOB"/>
      <sheetName val="RE JOB "/>
      <sheetName val="Consol-1204"/>
      <sheetName val="Consol-1203"/>
      <sheetName val="Consol-1202"/>
      <sheetName val="LT Avril 02"/>
      <sheetName val="Bonus Long Term"/>
      <sheetName val="Short term Bilan "/>
      <sheetName val="Feuil1"/>
      <sheetName val="Bonus ST Cost"/>
      <sheetName val="Read me first"/>
      <sheetName val="USD customers"/>
      <sheetName val="IDR customers"/>
      <sheetName val="CO E3-02"/>
      <sheetName val="CO T-03"/>
      <sheetName val="Sales Summary master"/>
      <sheetName val="check"/>
      <sheetName val="monthly budget per cust num"/>
      <sheetName val="GroupRef"/>
      <sheetName val="EmpCost"/>
      <sheetName val="Sum(PAYnIT)"/>
      <sheetName val="Sum(Mth)"/>
      <sheetName val="Sum(Div)"/>
      <sheetName val="Sum(FQR)"/>
      <sheetName val="Exe"/>
      <sheetName val="HRnS"/>
      <sheetName val="Lgl"/>
      <sheetName val="PnC"/>
      <sheetName val="Aud"/>
      <sheetName val="Drl"/>
      <sheetName val="TSB"/>
      <sheetName val="Exl"/>
      <sheetName val="TnS"/>
      <sheetName val="HR(All)"/>
      <sheetName val="IT(All)"/>
      <sheetName val="dt-val-02"/>
      <sheetName val="tunj."/>
      <sheetName val="dt-val-03"/>
      <sheetName val="dt-val-04"/>
      <sheetName val="dt-val-05"/>
      <sheetName val="adu"/>
      <sheetName val="2004 (3)"/>
      <sheetName val="2005_KP"/>
      <sheetName val="2004_KP"/>
      <sheetName val="2005 (2)"/>
      <sheetName val="2004 (2)"/>
      <sheetName val="2005 (3)"/>
      <sheetName val="hit_03"/>
      <sheetName val="hit_04"/>
      <sheetName val="indrec"/>
      <sheetName val="psak-psgjbr"/>
      <sheetName val="DIPA KINMATGI"/>
      <sheetName val="BRG.FSL.KB."/>
      <sheetName val="KWS.BRKT"/>
      <sheetName val="DETAIL MSLH KB"/>
      <sheetName val="SKEMA KAM"/>
      <sheetName val="MASLH.F2"/>
      <sheetName val="CROP_9"/>
      <sheetName val="CROP-1"/>
      <sheetName val="CROP-2"/>
      <sheetName val="CROP-3"/>
      <sheetName val="CROP-4"/>
      <sheetName val="CROP-5"/>
      <sheetName val="CROP-6"/>
      <sheetName val="CROP-7"/>
      <sheetName val="CROP-8"/>
      <sheetName val="CROP-9"/>
      <sheetName val="CROP-10"/>
      <sheetName val="CROP-11"/>
      <sheetName val="SEMBV"/>
      <sheetName val="wbs_1"/>
      <sheetName val="wbs_2"/>
      <sheetName val="detail _2_"/>
      <sheetName val="sales aff_"/>
      <sheetName val="other elim_"/>
      <sheetName val="other _2_"/>
      <sheetName val="rekonsil cpi"/>
      <sheetName val="Perincian CPP"/>
      <sheetName val="Sales FA"/>
      <sheetName val="Pesangon _ jml kary"/>
      <sheetName val="F00048"/>
      <sheetName val="A-FI-(3)"/>
      <sheetName val="inc-fi"/>
      <sheetName val="J-inc-sh"/>
      <sheetName val="J-inc-fi"/>
      <sheetName val="rec-1"/>
      <sheetName val="rec-2"/>
      <sheetName val="j-inc-aq"/>
      <sheetName val="inc-Aq"/>
      <sheetName val="GR-(2)"/>
      <sheetName val="NS-(1)"/>
      <sheetName val="NS-BNRTY"/>
      <sheetName val="SH-(4)"/>
      <sheetName val="FI-(5)"/>
      <sheetName val="FI-()"/>
      <sheetName val="FI-(6)"/>
      <sheetName val="Prepaid_Jun-05"/>
      <sheetName val="FA_Jun-05"/>
      <sheetName val="Update Non PO New"/>
      <sheetName val="JS. PEMASARAN"/>
      <sheetName val="Jasa Blm JV"/>
      <sheetName val="Peny.aktiva"/>
      <sheetName val="PPN OS Std"/>
      <sheetName val="BBN"/>
      <sheetName val="16D"/>
      <sheetName val="REALISASI"/>
      <sheetName val="PPN BENGKEL"/>
      <sheetName val="A3 Blm Terima"/>
      <sheetName val="monci"/>
      <sheetName val="TDM"/>
      <sheetName val="TIS"/>
      <sheetName val="TFS"/>
      <sheetName val="TFM"/>
      <sheetName val="CY profit"/>
      <sheetName val="Inc. TMP &amp; TMP2"/>
      <sheetName val="Movt TR"/>
      <sheetName val="Movt TMP"/>
      <sheetName val="Movt ARP"/>
      <sheetName val="AJE Invst."/>
      <sheetName val="Elim&amp;Eq Journal 1"/>
      <sheetName val="Elim&amp;Eq Journal 2"/>
      <sheetName val="Elim Intercoy"/>
      <sheetName val="Elim Intercoy Sales"/>
      <sheetName val="PwCTest_Units"/>
      <sheetName val="PwCTest_Parts"/>
      <sheetName val="Itory 0705"/>
      <sheetName val="Parts0705"/>
      <sheetName val="WP0505"/>
      <sheetName val="KCM0705"/>
      <sheetName val="KCM0505"/>
      <sheetName val="Jan 09"/>
      <sheetName val="Feb 09"/>
      <sheetName val="Dec08"/>
      <sheetName val="Nov08"/>
      <sheetName val="Okt08"/>
      <sheetName val="Sept08"/>
      <sheetName val="Aug08"/>
      <sheetName val="Juli 08"/>
      <sheetName val="Juni 08"/>
      <sheetName val="Mei  08"/>
      <sheetName val="Apr  08"/>
      <sheetName val="ndafis"/>
      <sheetName val="BS-KOM"/>
      <sheetName val="IS-COBA"/>
      <sheetName val="PROTAK"/>
      <sheetName val="BS BANK"/>
      <sheetName val="BS-FIS "/>
      <sheetName val="SPT FISKAL 2003 "/>
      <sheetName val="SPT MURNI 2003"/>
      <sheetName val="fiskal2003 REV"/>
      <sheetName val="fiskal2003"/>
      <sheetName val="IS-FIS "/>
      <sheetName val="FAKOM"/>
      <sheetName val="jual-fiskal"/>
      <sheetName val="WP (2)"/>
      <sheetName val="AKT"/>
      <sheetName val="WP-Penj."/>
      <sheetName val="Bi. Penj."/>
      <sheetName val="Bi. Pabrikase"/>
      <sheetName val="wp-pwkl"/>
      <sheetName val="HPP (2)"/>
      <sheetName val="NAMA DEPT"/>
      <sheetName val="RUMS"/>
      <sheetName val="RUMS_AMTSLS"/>
      <sheetName val="DB CR"/>
      <sheetName val="BGT 04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ACTUAL-MASTER (2002)"/>
      <sheetName val="BUDGET-MASTER (2003)"/>
      <sheetName val="KERTAS KERJA 03"/>
      <sheetName val="BS 10-07"/>
      <sheetName val="PL 10-07"/>
      <sheetName val="TB 10-07"/>
      <sheetName val="L1-PDE"/>
      <sheetName val="PDE-Dec.04"/>
      <sheetName val="L1.4"/>
      <sheetName val="L1.5"/>
      <sheetName val="L1.6"/>
      <sheetName val="BS old"/>
      <sheetName val="Q05"/>
      <sheetName val="Urut Div"/>
      <sheetName val="WS May '06"/>
      <sheetName val="AJE May'06"/>
      <sheetName val="Flux IS"/>
      <sheetName val="Flux BS"/>
      <sheetName val="Lease disp"/>
      <sheetName val="lease class"/>
      <sheetName val="lease intrst"/>
      <sheetName val="ᅸ力怀疗凨_x0002__x0000_"/>
      <sheetName val="Stock-BUYING"/>
      <sheetName val="EST &quot;Stock SELLING 2000&quot;"/>
      <sheetName val="FCST Stock SELLING 2001"/>
      <sheetName val="AR &amp; AP Other RP"/>
      <sheetName val="AP&amp;AR Kievit"/>
      <sheetName val="AP Other"/>
      <sheetName val="OPEX-Revised"/>
      <sheetName val="Tax1"/>
      <sheetName val="Tax2"/>
      <sheetName val="Tax2-R"/>
      <sheetName val="Tax3"/>
      <sheetName val="Est empl Benefit"/>
      <sheetName val="Dec31,08"/>
      <sheetName val="Feb10,09"/>
      <sheetName val="RECO. BalanceSheet"/>
      <sheetName val="Affiliate IG RECO"/>
      <sheetName val="IG No+Names"/>
      <sheetName val="#BusinessQuery#"/>
      <sheetName val="RECOUSD"/>
      <sheetName val="AR open item"/>
      <sheetName val="OR open item"/>
      <sheetName val="IG REC"/>
      <sheetName val="ACCTS REC"/>
      <sheetName val="Firjava Reco"/>
      <sheetName val="Hidden Legend"/>
      <sheetName val="Summary 051206"/>
      <sheetName val="Purpose"/>
      <sheetName val="Life"/>
      <sheetName val="Asset_Cat"/>
      <sheetName val="Cost_Center"/>
      <sheetName val="Timing"/>
      <sheetName val="PV"/>
      <sheetName val="GL Pivot"/>
      <sheetName val="GL - 801001 - Interest Expense "/>
      <sheetName val="GL OK"/>
      <sheetName val="PVT OK"/>
      <sheetName val="K.100 Lead"/>
      <sheetName val="K.200 List"/>
      <sheetName val="K.210 Reasonable Test"/>
      <sheetName val="K.220 AJE"/>
      <sheetName val="K.230 Sales per customer"/>
      <sheetName val="K.231 MPMR"/>
      <sheetName val="K.300 Sales Cutoff"/>
      <sheetName val="MONTHLY REPORT PRODUCING"/>
      <sheetName val="Month Data"/>
      <sheetName val="T Bal - C Rpt"/>
      <sheetName val="MPB P L"/>
      <sheetName val="B S"/>
      <sheetName val="MPB (S) 2002 "/>
      <sheetName val="PTSFPI (S) 2002"/>
      <sheetName val="PT Summ 02-CONSOL"/>
      <sheetName val="MPB Summ 02"/>
      <sheetName val="PTSFPI Summ 02 "/>
      <sheetName val="Rec XX"/>
      <sheetName val="Sch 28 x"/>
      <sheetName val="PT Tax"/>
      <sheetName val="Burden"/>
      <sheetName val="Exch Rates"/>
      <sheetName val="Chart Acc"/>
      <sheetName val="MPB (S) 2001"/>
      <sheetName val="PTSFPI (S) 2000"/>
      <sheetName val="PT Summ 99"/>
      <sheetName val="PT Summ 00"/>
      <sheetName val="PT Summ 01"/>
      <sheetName val="MPB Summ 99"/>
      <sheetName val="MPB Summ 00"/>
      <sheetName val="MPB Summ 01"/>
      <sheetName val="MPB Summ 01 (OL)"/>
      <sheetName val="MPB (S) 2000"/>
      <sheetName val="PT Summ 02"/>
      <sheetName val="MPB (S) 2001 "/>
      <sheetName val="PTSFPI (S) 2001"/>
      <sheetName val="SMITH"/>
      <sheetName val="Sales Cutoff"/>
      <sheetName val="Credit Note Cutoff"/>
      <sheetName val="Receivable"/>
      <sheetName val="GroupCo"/>
      <sheetName val="App 3"/>
      <sheetName val="avg_rate"/>
      <sheetName val="Form A-Input-Current"/>
      <sheetName val="Marshal 2"/>
      <sheetName val="Lampiran "/>
      <sheetName val="F!771-V"/>
      <sheetName val="SChDepr"/>
      <sheetName val="rINGKASANdEPRESIASI"/>
      <sheetName val="Interdata"/>
      <sheetName val="COGSan"/>
      <sheetName val="COGS &amp; SELLING"/>
      <sheetName val="PPE (2)"/>
      <sheetName val="AR 2"/>
      <sheetName val="XREF"/>
      <sheetName val="E15"/>
      <sheetName val="E14"/>
      <sheetName val="E13"/>
      <sheetName val="E09"/>
      <sheetName val="E08"/>
      <sheetName val="E07"/>
      <sheetName val="E06"/>
      <sheetName val="E05"/>
      <sheetName val="E04"/>
      <sheetName val="E03"/>
      <sheetName val="E02"/>
      <sheetName val="E01"/>
      <sheetName val="salaryrecon"/>
      <sheetName val="Lead (2)"/>
      <sheetName val="PL indo"/>
      <sheetName val="PPh 25 indo"/>
      <sheetName val="COGS-02"/>
      <sheetName val="net allocation out"/>
      <sheetName val="10000000"/>
      <sheetName val="20000000"/>
      <sheetName val="TP business FC-5%"/>
      <sheetName val="TP by Business"/>
      <sheetName val="TRADING PROFIT"/>
      <sheetName val="TAX COM"/>
      <sheetName val="TAX SCH"/>
      <sheetName val="SIN DIVIDEND"/>
      <sheetName val="HK DIVIDEND "/>
      <sheetName val="WT"/>
      <sheetName val="job wip"/>
      <sheetName val="factoryworkload"/>
      <sheetName val="Design Workload"/>
      <sheetName val="Order acquisition"/>
      <sheetName val="Personnel-policy"/>
      <sheetName val="Person-heads"/>
      <sheetName val="over-under-Summary"/>
      <sheetName val="P&amp;l DEPT"/>
      <sheetName val="Technical"/>
      <sheetName val="Testing"/>
      <sheetName val="Project General"/>
      <sheetName val="Contract&amp; MKTG"/>
      <sheetName val="Summary of overheads"/>
      <sheetName val="Other Costs( Income)"/>
      <sheetName val="Mktg. &amp; Svc. Dept."/>
      <sheetName val="Grp. Acct. &amp; Admin."/>
      <sheetName val="Fin exp"/>
      <sheetName val="Extra exp"/>
      <sheetName val="Investments"/>
      <sheetName val="PAC"/>
      <sheetName val="CvrPg"/>
      <sheetName val="GpStr "/>
      <sheetName val="Consol BS"/>
      <sheetName val="Consol P&amp;L"/>
      <sheetName val="PL Notes"/>
      <sheetName val="CJEs"/>
      <sheetName val="Gdwill"/>
      <sheetName val="BS AE"/>
      <sheetName val="Co adj"/>
      <sheetName val="AEM"/>
      <sheetName val="YH"/>
      <sheetName val="YH_PL"/>
      <sheetName val="Jan 01"/>
      <sheetName val="Feb 01"/>
      <sheetName val="Mar 01"/>
      <sheetName val="Apr 01"/>
      <sheetName val="May 01"/>
      <sheetName val="Jun 01"/>
      <sheetName val="Jul 01"/>
      <sheetName val="Aug 01"/>
      <sheetName val="Sep 01"/>
      <sheetName val="Oct 01"/>
      <sheetName val="Nov 01"/>
      <sheetName val="Dec 01"/>
      <sheetName val="Jan 02"/>
      <sheetName val="Feb 02"/>
      <sheetName val="Apr 02"/>
      <sheetName val="Jun 02"/>
      <sheetName val="Jul 02"/>
      <sheetName val="Sep 02"/>
      <sheetName val="Oct 02"/>
      <sheetName val="Nov 02"/>
      <sheetName val="Dec 02"/>
      <sheetName val="Jan 03"/>
      <sheetName val="Feb 03"/>
      <sheetName val="Mar 03"/>
      <sheetName val="Apr 03"/>
      <sheetName val="May 03"/>
      <sheetName val="Jun 03"/>
      <sheetName val="Jul 03"/>
      <sheetName val="Aug 03"/>
      <sheetName val="Sept 03"/>
      <sheetName val="Nov 03"/>
      <sheetName val="Jan 04"/>
      <sheetName val="Feb 04"/>
      <sheetName val="Mar 04"/>
      <sheetName val="Apr 04"/>
      <sheetName val="May 04"/>
      <sheetName val="Jun 04"/>
      <sheetName val="Jul 04"/>
      <sheetName val="Aug 04"/>
      <sheetName val="Sep 04"/>
      <sheetName val="Oct 04"/>
      <sheetName val="Nov 04"/>
      <sheetName val="Dec 04"/>
      <sheetName val="Jan 05"/>
      <sheetName val="Upkeep MV"/>
      <sheetName val="Project Schedule"/>
      <sheetName val="6542"/>
      <sheetName val="6543"/>
      <sheetName val="6544"/>
      <sheetName val="A14-Sales"/>
      <sheetName val="A19-2"/>
      <sheetName val="A19-3"/>
      <sheetName val="Journal Voucher"/>
      <sheetName val="B2A"/>
      <sheetName val="C100"/>
      <sheetName val="C200"/>
      <sheetName val="C400"/>
      <sheetName val="C-Note for final"/>
      <sheetName val="D100"/>
      <sheetName val="D101"/>
      <sheetName val="D-Analysis"/>
      <sheetName val="D-Notes for final"/>
      <sheetName val="F100"/>
      <sheetName val="F200"/>
      <sheetName val="F-Costing OB"/>
      <sheetName val="F-Costing"/>
      <sheetName val="I1A"/>
      <sheetName val="I100"/>
      <sheetName val="I200"/>
      <sheetName val="I400"/>
      <sheetName val="O100"/>
      <sheetName val="O200"/>
      <sheetName val="O201"/>
      <sheetName val="O300"/>
      <sheetName val="O1000-Local"/>
      <sheetName val="O1002-Export"/>
      <sheetName val="O1100"/>
      <sheetName val="O1101"/>
      <sheetName val="O1200-Local"/>
      <sheetName val="O1201-Export"/>
      <sheetName val="O1300-Local"/>
      <sheetName val="O1400"/>
      <sheetName val="O1500-Local"/>
      <sheetName val="O1600"/>
      <sheetName val="O-Notes for final"/>
      <sheetName val="Audited BS"/>
      <sheetName val="Audited P&amp;L"/>
      <sheetName val="B-1 Revenue"/>
      <sheetName val="B-1.1 Breakdown"/>
      <sheetName val="B-100 Trade Receivables"/>
      <sheetName val="D-1 PPE"/>
      <sheetName val="E - Cash"/>
      <sheetName val="E -100"/>
      <sheetName val="M - Other Assets"/>
      <sheetName val="N-1 "/>
      <sheetName val="B-2 Reasonableness test"/>
      <sheetName val="P-1 Interco"/>
      <sheetName val="J-100"/>
      <sheetName val="L-1 Income tax movements"/>
      <sheetName val="H-1 Payroll"/>
      <sheetName val="O-1 Other income&amp;Exp"/>
      <sheetName val="Other Income &amp; Expenses"/>
      <sheetName val="O-2 Break-down"/>
      <sheetName val="B-1.1"/>
      <sheetName val="B-100 Receivables"/>
      <sheetName val="Payroll-COGS"/>
      <sheetName val="Payroll_Admin"/>
      <sheetName val="O-1 Other Income &amp; Expenses"/>
      <sheetName val="Profit &amp; Loss account"/>
      <sheetName val="Recon MPRS BS"/>
      <sheetName val="BS Face"/>
      <sheetName val="GB 1"/>
      <sheetName val="GC 1"/>
      <sheetName val="GE 100"/>
      <sheetName val="GE101"/>
      <sheetName val="GF 1"/>
      <sheetName val="GH 1"/>
      <sheetName val="GH 1A"/>
      <sheetName val="GJ 1"/>
      <sheetName val="GK 100"/>
      <sheetName val="GK101"/>
      <sheetName val="GL1"/>
      <sheetName val="GL1.1"/>
      <sheetName val="GQ 1"/>
      <sheetName val="GQ3"/>
      <sheetName val="GW 1.1"/>
      <sheetName val="GW 1.4"/>
      <sheetName val="GX1"/>
      <sheetName val="GX100.1."/>
      <sheetName val="GX100.1.1"/>
      <sheetName val="GX100.2"/>
      <sheetName val="GX100.3"/>
      <sheetName val="GX100.3.1"/>
      <sheetName val="GX101-AR"/>
      <sheetName val="GX102-Rental"/>
      <sheetName val="GX103-Mgmt fee"/>
      <sheetName val="GX1.3"/>
      <sheetName val="GY1"/>
      <sheetName val="GY1.1"/>
      <sheetName val="GY4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AJE &amp; SUD 04"/>
      <sheetName val="RE rekon journal"/>
      <sheetName val="Jurnal 13"/>
      <sheetName val="Taxation 1999"/>
      <sheetName val="NBV movements"/>
      <sheetName val="AJE 2001"/>
      <sheetName val="FA Comm 99"/>
      <sheetName val="FA Comm 00"/>
      <sheetName val="FA Comm 01"/>
      <sheetName val="3200 - 99&amp;00"/>
      <sheetName val="3200 - 00&amp;01"/>
      <sheetName val="4100 (2)"/>
      <sheetName val="4100 (3)"/>
      <sheetName val="4100 - 99&amp;00"/>
      <sheetName val="4100 - 00&amp;01"/>
      <sheetName val="FUR-2000"/>
      <sheetName val="edp-2000"/>
      <sheetName val="COM-2000"/>
      <sheetName val="FA99"/>
      <sheetName val="FA98"/>
      <sheetName val="FA97"/>
      <sheetName val="FA96"/>
      <sheetName val="FA95"/>
      <sheetName val="FA94"/>
      <sheetName val="FA93"/>
      <sheetName val="FA-COMM91"/>
      <sheetName val="FA-DWELL91"/>
      <sheetName val="FA-FURNT91"/>
      <sheetName val="FA92-D99"/>
      <sheetName val="6200 (2)"/>
      <sheetName val="AdJ RE Beginning"/>
      <sheetName val="Sales Cycle"/>
      <sheetName val="O - Sales Controls"/>
      <sheetName val="Sales Control"/>
      <sheetName val="sales internal control obj"/>
      <sheetName val="Sales Control Testing-finding"/>
      <sheetName val="Sales testing-Obj."/>
      <sheetName val="Sales Testing"/>
      <sheetName val="Sch 8 - IAS Adj"/>
      <sheetName val="Sch 1.0 PL"/>
      <sheetName val="Sch 8"/>
      <sheetName val="June2002-Value (Filter)"/>
      <sheetName val="list of attachment (2)"/>
      <sheetName val="Tax Calc"/>
      <sheetName val="Marshal-SPT"/>
      <sheetName val="Summ Corr"/>
      <sheetName val="tax penalty"/>
      <sheetName val="fiscorrection"/>
      <sheetName val="Koreksifiskal"/>
      <sheetName val="fiscaldepr"/>
      <sheetName val="AT jual"/>
      <sheetName val="Employee cost"/>
      <sheetName val="WH tax"/>
      <sheetName val="Art. 22"/>
      <sheetName val="F1771-6 (2)"/>
      <sheetName val="Recap "/>
      <sheetName val="Input area"/>
      <sheetName val="Acc Surplus &amp; other Funds"/>
      <sheetName val="Debtors"/>
      <sheetName val="Income &amp; Expenditure"/>
      <sheetName val="A12_2"/>
      <sheetName val="J3  (2)"/>
      <sheetName val="J4"/>
      <sheetName val="O2_1"/>
      <sheetName val="O6"/>
      <sheetName val="P2_1"/>
      <sheetName val="P2_2"/>
      <sheetName val="P2_3"/>
      <sheetName val="P2_4"/>
      <sheetName val="P3"/>
      <sheetName val="P3_1"/>
      <sheetName val="O6 (2)"/>
      <sheetName val="F1771- III"/>
      <sheetName val="F1771- V"/>
      <sheetName val="Gain FA"/>
      <sheetName val="WP- Lain"/>
      <sheetName val="sAL-REC"/>
      <sheetName val="F 1771-IV"/>
      <sheetName val="F 1771-V"/>
      <sheetName val="F 1771-VI"/>
      <sheetName val="J101"/>
      <sheetName val="I2"/>
      <sheetName val="I2|1"/>
      <sheetName val="A4-1"/>
      <sheetName val="A4-2"/>
      <sheetName val="A4-3"/>
      <sheetName val="A12"/>
      <sheetName val="A14_1"/>
      <sheetName val="A19"/>
      <sheetName val="H1|1"/>
      <sheetName val="J3 - Search unrecorded liab"/>
      <sheetName val="O1|1"/>
      <sheetName val="P 2 detail expenses"/>
      <sheetName val="purchase testing"/>
      <sheetName val="sale testing"/>
      <sheetName val="Retainers"/>
      <sheetName val="2002-Interest"/>
      <sheetName val="2003-Interest"/>
      <sheetName val="2004-Interest"/>
      <sheetName val="2005-Interest"/>
      <sheetName val="Trade-AR-Sea Bear-AI"/>
      <sheetName val="Trade-AR-OGP029-AI"/>
      <sheetName val="2006-Interest"/>
      <sheetName val="Total Management fee"/>
      <sheetName val="Total Cash,Mat &amp; Equip provided"/>
      <sheetName val="AR-AY (SIN)"/>
      <sheetName val="AR-AI"/>
      <sheetName val="AP-AFV"/>
      <sheetName val="AR-AFV"/>
      <sheetName val="AY (VN)"/>
      <sheetName val="Total loan due to AI"/>
      <sheetName val="Inter Co"/>
      <sheetName val="Notes to disposal PT "/>
      <sheetName val="1.0 FS"/>
      <sheetName val="1.1 FS"/>
      <sheetName val="2.0 UH Consol"/>
      <sheetName val="4.0 Adj"/>
      <sheetName val="IMA Consol"/>
      <sheetName val="3.0 Inter Co"/>
      <sheetName val="A8.1"/>
      <sheetName val="A8.2"/>
      <sheetName val="A11.1"/>
      <sheetName val="A12.1"/>
      <sheetName val="A19.1"/>
      <sheetName val="D6"/>
      <sheetName val="D7"/>
      <sheetName val="F4.1"/>
      <sheetName val="H1.1"/>
      <sheetName val="I3"/>
      <sheetName val="I4"/>
      <sheetName val="I4.1"/>
      <sheetName val="J5"/>
      <sheetName val="J10"/>
      <sheetName val="J11"/>
      <sheetName val="L2.1"/>
      <sheetName val="L2.2"/>
      <sheetName val="L2.3"/>
      <sheetName val="O4.1"/>
      <sheetName val="P3.1"/>
      <sheetName val="P4"/>
      <sheetName val="P4.1"/>
      <sheetName val="P5.1"/>
      <sheetName val="P5.AR"/>
      <sheetName val="P6"/>
      <sheetName val="PXX"/>
      <sheetName val="R1.1"/>
      <sheetName val="R4.1"/>
      <sheetName val="Korea impairment test"/>
      <sheetName val="Capex &amp; WC"/>
      <sheetName val=" Profit &amp; Loss "/>
      <sheetName val=" 2009 Profit &amp; Loss -Analysis"/>
      <sheetName val=" Bu10 Profit &amp; Loss -Analys"/>
      <sheetName val=" SAP11Profit &amp; Loss -Analys"/>
      <sheetName val=" SAP12Profit &amp; Loss -Analys "/>
      <sheetName val="Japan impairment test"/>
      <sheetName val="Conn Spore impairment test"/>
      <sheetName val="Goodwill-HQ"/>
      <sheetName val="Schedule-HQ"/>
      <sheetName val="Goodwill - ELX"/>
      <sheetName val="PL - ELX"/>
      <sheetName val="Bishop - ELX"/>
      <sheetName val="(1)Discount Rate"/>
      <sheetName val="A14.1"/>
      <sheetName val="A100"/>
      <sheetName val="B100"/>
      <sheetName val="B200"/>
      <sheetName val="B300"/>
      <sheetName val="B400"/>
      <sheetName val="B500"/>
      <sheetName val="C201"/>
      <sheetName val="C300"/>
      <sheetName val="C301"/>
      <sheetName val="D2.8"/>
      <sheetName val="D102"/>
      <sheetName val="D102.1"/>
      <sheetName val="D200"/>
      <sheetName val="D201"/>
      <sheetName val="D201.1"/>
      <sheetName val="D300"/>
      <sheetName val="D301"/>
      <sheetName val="D302"/>
      <sheetName val="D400"/>
      <sheetName val="D500"/>
      <sheetName val="F300"/>
      <sheetName val="F301"/>
      <sheetName val="F302"/>
      <sheetName val="F303"/>
      <sheetName val="F304"/>
      <sheetName val="F400"/>
      <sheetName val="F500"/>
      <sheetName val="F600"/>
      <sheetName val="G100"/>
      <sheetName val="G200"/>
      <sheetName val="G201"/>
      <sheetName val="G201.1"/>
      <sheetName val="G300"/>
      <sheetName val="G400"/>
      <sheetName val="G500"/>
      <sheetName val="I2.1"/>
      <sheetName val="I2.2"/>
      <sheetName val="I2.3"/>
      <sheetName val="I2.4"/>
      <sheetName val="I2.5"/>
      <sheetName val="I101"/>
      <sheetName val="I300"/>
      <sheetName val="I301"/>
      <sheetName val="I302"/>
      <sheetName val="I500"/>
      <sheetName val="J3"/>
      <sheetName val="J4.1"/>
      <sheetName val="J100"/>
      <sheetName val="J102"/>
      <sheetName val="J200"/>
      <sheetName val="J201"/>
      <sheetName val="J201.1"/>
      <sheetName val="J300"/>
      <sheetName val="J301"/>
      <sheetName val="J400"/>
      <sheetName val="Dat"/>
      <sheetName val="A6"/>
      <sheetName val="GP BS"/>
      <sheetName val="Highlight"/>
      <sheetName val="PL details"/>
      <sheetName val="Sales &amp; COGS  Curr Month"/>
      <sheetName val="Sales &amp; COGS YTD"/>
      <sheetName val="GP Analysis Sales"/>
      <sheetName val="Tax Movement _PL_ RB"/>
      <sheetName val="AR Aging"/>
      <sheetName val="AR Collections"/>
      <sheetName val="ADS (USD)"/>
      <sheetName val="Detail - Current View"/>
      <sheetName val="Raw mat"/>
      <sheetName val="Manufacturing expense"/>
      <sheetName val="manufacturing expense-detail"/>
      <sheetName val="BP (2)"/>
      <sheetName val="Direct Labour"/>
      <sheetName val="Detail - Current View-sort HPP"/>
      <sheetName val="Gen &amp; Adm"/>
      <sheetName val="Buad"/>
      <sheetName val="other gainloss"/>
      <sheetName val="Provisi Bonus"/>
      <sheetName val="Rekon Salary "/>
      <sheetName val="Tax Credit"/>
      <sheetName val="Rekap vat 2004"/>
      <sheetName val="rekonPPN"/>
      <sheetName val="AN_Input"/>
      <sheetName val="Sales, AR"/>
      <sheetName val="Purchase, AP"/>
      <sheetName val="Payroll-Est"/>
      <sheetName val="TOC Purch"/>
      <sheetName val="TOC Capex"/>
      <sheetName val="TOC Payroll"/>
      <sheetName val="TOC Payroll-Fac"/>
      <sheetName val="TOC-CR"/>
      <sheetName val="TOC-CU"/>
      <sheetName val="Fac"/>
      <sheetName val="cutoff sales"/>
      <sheetName val="TOC delivery CPO"/>
      <sheetName val="Summary Of Assets"/>
      <sheetName val="AJE 2015"/>
      <sheetName val="TBRP"/>
      <sheetName val="TB HQ"/>
      <sheetName val="FX"/>
      <sheetName val="GC EstateRM"/>
      <sheetName val="TB S1"/>
      <sheetName val="TB S2"/>
      <sheetName val="TB N1"/>
      <sheetName val="TB N2"/>
      <sheetName val="GC Estate"/>
      <sheetName val="JAE"/>
      <sheetName val="JAHQ"/>
      <sheetName val="Rekon OCBC RP"/>
      <sheetName val="Rekon OCBC USD"/>
      <sheetName val="Rekon BNI"/>
      <sheetName val="Rekon BRIS"/>
      <sheetName val="Rekon BRIS (2)"/>
      <sheetName val="Rekon BRIP"/>
      <sheetName val="Rekon BRIP (2)"/>
      <sheetName val="ISRP.5"/>
      <sheetName val="ISRP.6"/>
      <sheetName val="BSRP"/>
      <sheetName val="BSRP (2)"/>
      <sheetName val="BSRP.6"/>
      <sheetName val="Rate Adj"/>
      <sheetName val="TBRM"/>
      <sheetName val="ISRM"/>
      <sheetName val="BSRM"/>
      <sheetName val="Mgt Fee"/>
      <sheetName val="Mgt Fee Plasma"/>
      <sheetName val="Amount Due TDMB"/>
      <sheetName val="TDMB"/>
      <sheetName val="Persatuan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16_Pemupukan N"/>
      <sheetName val="17_Pemupukan Borate"/>
      <sheetName val="18_Pemupukan Compound"/>
      <sheetName val="19_Sensus Pokok"/>
      <sheetName val="20_Tunasan,Pruning"/>
      <sheetName val="21_Kastrasi"/>
      <sheetName val="22_Rawat Tapak Timbun"/>
      <sheetName val="23_Rawat Teras(Tp.Kuda)"/>
      <sheetName val="24_Rawat Pagar"/>
      <sheetName val="24_Rawat Jalan"/>
      <sheetName val="24_Rawat Parit"/>
      <sheetName val="24_Mandor"/>
      <sheetName val="24_Mandor (KR)"/>
      <sheetName val="24_Kerani"/>
      <sheetName val="KebutuhanPKU"/>
      <sheetName val="Norma Harga"/>
      <sheetName val="Asumsi.(Kbn)"/>
      <sheetName val="Perbandiangan Norma"/>
      <sheetName val="RAWAT (Jkt)"/>
      <sheetName val="RAWAT(JBI)"/>
      <sheetName val="NormaTBM0"/>
      <sheetName val="CPT_TBM_NORMA (Jkt)"/>
      <sheetName val="CPT_TBM_NORMA (JBI)"/>
      <sheetName val="TBM1"/>
      <sheetName val="TBM2"/>
      <sheetName val="RAB 2008 PLASMA"/>
      <sheetName val="a.PK Umum"/>
      <sheetName val="b.Supervisi"/>
      <sheetName val="c.ATK"/>
      <sheetName val="d.Infra"/>
      <sheetName val="01_Konsolidasi Tanaman"/>
      <sheetName val="02_Transpor Bibit"/>
      <sheetName val="03_Ecer Bibit"/>
      <sheetName val="04_Menyisip Tanam"/>
      <sheetName val="05_Rawat Pagar"/>
      <sheetName val="06_Wiping Lalang"/>
      <sheetName val="07_Spot.Lalang"/>
      <sheetName val="10_Buat Jalan Pikul"/>
      <sheetName val="11_Weding Manual"/>
      <sheetName val="12_Semprot Rendahan"/>
      <sheetName val="16_Sensus Pokok"/>
      <sheetName val="17_Tunasan,Pruning"/>
      <sheetName val="18_Kastrasi"/>
      <sheetName val="19_Perawatan Jalan Pikul"/>
      <sheetName val="20_Rawat Jalan"/>
      <sheetName val="21_Rawat Parit"/>
      <sheetName val="22_Rawat Teras(Tp.Kuda)"/>
      <sheetName val="23_Rawat Tapak Timbun"/>
      <sheetName val="24_Pemupukan N"/>
      <sheetName val="25_Pemupukan Borate"/>
      <sheetName val="26_Pemupukan Compound"/>
      <sheetName val="27-Atk"/>
      <sheetName val="6.Asumsi"/>
      <sheetName val="1.HALAMAN DEPAN"/>
      <sheetName val="2.Rekapitulasi"/>
      <sheetName val="3.KALENDER 2008"/>
      <sheetName val="4.NORMA RAWAT"/>
      <sheetName val="5.HK RAWAT "/>
      <sheetName val="7.CPT TM"/>
      <sheetName val="8.CPT_TM_NORMA"/>
      <sheetName val="9. Circle Weeding Manual "/>
      <sheetName val="10._CPT Chemist"/>
      <sheetName val="11_Buat Rawat TPH Manual"/>
      <sheetName val="12_Weeding Gwg. Manual (DAK)"/>
      <sheetName val="13_Weeding Gwg Chemist"/>
      <sheetName val="14_Deteksi HPT"/>
      <sheetName val="15_Sensus Pokok"/>
      <sheetName val="16_Sensus Produksi"/>
      <sheetName val="17_Analisa Daun"/>
      <sheetName val="18_TANKOS"/>
      <sheetName val="19_Pruning"/>
      <sheetName val="20_Land Aplikasi"/>
      <sheetName val="21 Rawat Jalan"/>
      <sheetName val="1. Rapor Kebun"/>
      <sheetName val="2. Area Statement"/>
      <sheetName val="3.Peta Kebun Inti"/>
      <sheetName val="3a. Peta kebun Plasma1"/>
      <sheetName val="3b. Peta Kebun Plasma 2"/>
      <sheetName val="4. Produksi &amp; Potensi"/>
      <sheetName val="5. Tanam &amp; Sisip"/>
      <sheetName val="6. Peta SPH"/>
      <sheetName val="7. Peta Rawat Inti"/>
      <sheetName val="8. Nursery Sawit"/>
      <sheetName val="9. Progres Rawat TM"/>
      <sheetName val="10. Estate Cost"/>
      <sheetName val="11. Mill Cost"/>
      <sheetName val="12. Progres Tanaman TBM"/>
      <sheetName val="13. DevCost &amp; CTM"/>
      <sheetName val="14. Maintenance Cost Nursery"/>
      <sheetName val="15. Mill Performance"/>
      <sheetName val="16. Standar Kematangan TBS"/>
      <sheetName val="17. ZAO"/>
      <sheetName val="18. Peta Jalan"/>
      <sheetName val="19. Roda PDCA"/>
      <sheetName val="20. Compliance Report"/>
      <sheetName val="21. QCC-SS-QCP"/>
      <sheetName val="PNDKG"/>
      <sheetName val="LR-HD98"/>
      <sheetName val="PBLL"/>
      <sheetName val="RINBI-HD98"/>
      <sheetName val="NER-HD98-99"/>
      <sheetName val="JLSNER-HD98"/>
      <sheetName val="JLSNER-HD99_"/>
      <sheetName val="IPA Direct"/>
      <sheetName val="Kriteria IPA"/>
      <sheetName val="Biaya Panen"/>
      <sheetName val="1 HALAMAN DEPAN"/>
      <sheetName val="2 Rekap Panen"/>
      <sheetName val="3 NormaHK"/>
      <sheetName val="4 NormaTRUK"/>
      <sheetName val="5 Farm Traktor"/>
      <sheetName val="6 NORMA PANEN"/>
      <sheetName val="7 NORMA_HKPANEN"/>
      <sheetName val="8 NORMA HK KUTIP"/>
      <sheetName val="9 Norma Lansir"/>
      <sheetName val="10 Asumsi"/>
      <sheetName val="12 Prod 2008"/>
      <sheetName val="pLAN pROD 2008"/>
      <sheetName val="11 BUDGET PANEN"/>
      <sheetName val="BBB JAMBI"/>
      <sheetName val="KSE JAMBI"/>
      <sheetName val="PLASMA1 KSE"/>
      <sheetName val="PLASMA2 KSE"/>
      <sheetName val="PK Rwt"/>
      <sheetName val="PK Pan"/>
      <sheetName val="PK Rwt HPT"/>
      <sheetName val="Transp Pan"/>
      <sheetName val="PO Rwt"/>
      <sheetName val="PK RM Kbn"/>
      <sheetName val="PO RM Kbn"/>
      <sheetName val="PO Panen"/>
      <sheetName val="Gj Site"/>
      <sheetName val="Ovh Site"/>
      <sheetName val="Fix Ass"/>
      <sheetName val="DTL Transit Tek"/>
      <sheetName val="HA Done CPTCh"/>
      <sheetName val="_x005f_x0000__x005f_x0000__x005f_x0000__x005f_x0000__x0"/>
      <sheetName val="GS"/>
      <sheetName val="PS"/>
      <sheetName val="FO"/>
      <sheetName val="COE"/>
      <sheetName val="AHM"/>
      <sheetName val="QTY PRO"/>
      <sheetName val="Rp PRO"/>
      <sheetName val="Amount"/>
      <sheetName val="TOTAL SBU3"/>
      <sheetName val="TOTAL SBU4"/>
      <sheetName val="TOTAL SBU3+4"/>
      <sheetName val="TOTAL existing+project"/>
      <sheetName val="Price Unit"/>
      <sheetName val="Amount (2)"/>
      <sheetName val="GeminiProject"/>
      <sheetName val="Kridatama"/>
      <sheetName val="NRO Jan Actual"/>
      <sheetName val="CASH beg Jan"/>
      <sheetName val="Feb PO"/>
      <sheetName val="RevPerMonth"/>
      <sheetName val="S&amp;M G&amp;A"/>
      <sheetName val="Collections"/>
      <sheetName val="Cashflow 2008 USD"/>
      <sheetName val="Cashflow 2008 USD New"/>
      <sheetName val="Summary in mio"/>
      <sheetName val="Cashflow 2008 IDR"/>
      <sheetName val="Revenue Projection"/>
      <sheetName val="Bandwith"/>
      <sheetName val="Operational Expense"/>
      <sheetName val="STNotes"/>
      <sheetName val="BNI Loan"/>
      <sheetName val="CashMar25"/>
      <sheetName val="Cash beg Mar"/>
      <sheetName val="Cash May 13"/>
      <sheetName val="July 4"/>
      <sheetName val="May 27"/>
      <sheetName val="Cash As per July 31"/>
      <sheetName val="Aug 8"/>
      <sheetName val="Programers"/>
      <sheetName val="ProgramNew"/>
      <sheetName val="ProgrammingCost"/>
      <sheetName val="outs prog report"/>
      <sheetName val="Pivot Prog. Cost"/>
      <sheetName val="Capex Projection Summary"/>
      <sheetName val="Capex Detail"/>
      <sheetName val="Home Shopping CAPEX OPEX"/>
      <sheetName val="News OPEX"/>
      <sheetName val="Capex TV station"/>
      <sheetName val="TotalTVProjectCapex"/>
      <sheetName val="JA Aug 16"/>
      <sheetName val="capex tv sum"/>
      <sheetName val="RevProjectBase Sce"/>
      <sheetName val="Estimate Capex (CallCenter)"/>
      <sheetName val="25% DP March"/>
      <sheetName val="Settl 70% March"/>
      <sheetName val="Capex Expense April"/>
      <sheetName val="印尼當地採購軟硬體(TV Shopping)"/>
      <sheetName val="Document Proses TTD (5)"/>
      <sheetName val="Document Proses TTD (4)"/>
      <sheetName val="JADI"/>
      <sheetName val="Sektor "/>
      <sheetName val="SALES2003"/>
      <sheetName val="DAGANG"/>
      <sheetName val="ASUMSI UMUM (Not Print)"/>
      <sheetName val="INVESTMENT All"/>
      <sheetName val="Cost LCC"/>
      <sheetName val="Cost Tanam"/>
      <sheetName val="Cost TBM"/>
      <sheetName val="Cost TM"/>
      <sheetName val="Cost Prenursery"/>
      <sheetName val="Cost Mainnursery"/>
      <sheetName val="Kendaraan Kbn"/>
      <sheetName val="BangKeb"/>
      <sheetName val="Mesin &amp; Inventaris"/>
      <sheetName val="INFRASTR TBM 3"/>
      <sheetName val="Tanah &amp; Pra Ops"/>
      <sheetName val="SGA "/>
      <sheetName val="COGS &amp; Beban Usaha"/>
      <sheetName val="Gaji Kbn"/>
      <sheetName val="Gaji CPO Mill"/>
      <sheetName val="Cost CPO Mill"/>
      <sheetName val="Depre Tanaman"/>
      <sheetName val="Analyst"/>
      <sheetName val="TBS &amp; CPO Price"/>
      <sheetName val="Hist Prod"/>
      <sheetName val="Proyeksi Prod"/>
      <sheetName val="Cost Prod (noprint)"/>
      <sheetName val="KI 08"/>
      <sheetName val="IDC 08"/>
      <sheetName val="KI 09"/>
      <sheetName val="IDC 09"/>
      <sheetName val="KI 10"/>
      <sheetName val="IDC 10"/>
      <sheetName val="KI TBM Lanjut"/>
      <sheetName val="IDC TBM Lanjut"/>
      <sheetName val="KI CPO 1"/>
      <sheetName val="IDC CPO 1"/>
      <sheetName val="KI CPO 2"/>
      <sheetName val="IDC Portion"/>
      <sheetName val="GRANDSUM OK"/>
      <sheetName val="GFA"/>
      <sheetName val="RUPS"/>
      <sheetName val="SALES2004"/>
      <sheetName val="Sektor 2004"/>
      <sheetName val="JADI2004"/>
      <sheetName val="DAGANG2004"/>
      <sheetName val="PEND2004"/>
      <sheetName val="TW II"/>
      <sheetName val="Scenario"/>
      <sheetName val="LCC"/>
      <sheetName val="Init"/>
      <sheetName val="Statement"/>
      <sheetName val="SGA"/>
      <sheetName val="Prod Kebun Luar"/>
      <sheetName val="PKS Cost"/>
      <sheetName val="Gaji PKS "/>
      <sheetName val="Kendaraan Kbn (Realisasi)"/>
      <sheetName val="Infrastruktur (2)"/>
      <sheetName val="Realisasi tanam"/>
      <sheetName val="Investment (realisasi)"/>
      <sheetName val="Investment (Blm Realisasi)"/>
      <sheetName val="Investment New"/>
      <sheetName val="KI Kebun Old"/>
      <sheetName val="IDC Kebun Old"/>
      <sheetName val="KI Kebun New"/>
      <sheetName val="IDC Kebun New"/>
      <sheetName val="KI 11"/>
      <sheetName val="IDC 11"/>
      <sheetName val="KI 12"/>
      <sheetName val="IDC 12"/>
      <sheetName val="KI LAnjut TT 10"/>
      <sheetName val="IDC Lanjut TT10"/>
      <sheetName val="KI PKS 45-60"/>
      <sheetName val="IDC PKS 45-60"/>
      <sheetName val="Leas 1"/>
      <sheetName val="Leas 2"/>
      <sheetName val="COP PKS 30"/>
      <sheetName val="COP PKS 30-60"/>
      <sheetName val="COP PKS 45"/>
      <sheetName val="KI PKS 30"/>
      <sheetName val="IDC PKS 30"/>
      <sheetName val="KI PKS 30 Exp 60"/>
      <sheetName val="KI Lanjutan"/>
      <sheetName val="agst"/>
      <sheetName val="AGST'01"/>
      <sheetName val="JUL'01"/>
      <sheetName val="JUN'01"/>
      <sheetName val="Graph-Rev"/>
      <sheetName val="Graph-Opex"/>
      <sheetName val="Detail Opex"/>
      <sheetName val="Rumus BS"/>
      <sheetName val="RumusTB 1 bln"/>
      <sheetName val="RumusPL"/>
      <sheetName val="PL2001"/>
      <sheetName val="PFC"/>
      <sheetName val="GDR"/>
      <sheetName val="TBH"/>
      <sheetName val="PL2001 (2)"/>
      <sheetName val="SumPerfrmc"/>
      <sheetName val="Graph-Rev (2)"/>
      <sheetName val="Graph COGS (2)"/>
      <sheetName val="Graph COGS"/>
      <sheetName val="Detail Opex (2)"/>
      <sheetName val="Rumus Notes BS"/>
      <sheetName val="Rumus PL Accpac"/>
      <sheetName val="PL All"/>
      <sheetName val="PL PFC"/>
      <sheetName val="PL GDR"/>
      <sheetName val="PL TBH"/>
      <sheetName val="CF PFC"/>
      <sheetName val="CF GDR"/>
      <sheetName val="CF TBH"/>
      <sheetName val="Building PFC"/>
      <sheetName val="Building GDR"/>
      <sheetName val="Rekap Tamu"/>
      <sheetName val="Rumus PL"/>
      <sheetName val="COPA DETAIL"/>
      <sheetName val="fr BS"/>
      <sheetName val="fr PL"/>
      <sheetName val="fr notes BS"/>
      <sheetName val="fr summ PL"/>
      <sheetName val="TH LALU"/>
      <sheetName val="MONTHLY"/>
      <sheetName val="Proyeksi 2005"/>
      <sheetName val="FH &amp; GI"/>
      <sheetName val="FI per Category"/>
      <sheetName val="FH &amp; GI (Non LMIRT)"/>
      <sheetName val="FI per Category (Non LMIRT)"/>
      <sheetName val="FH &amp; GI (2008-2013)"/>
      <sheetName val="FI per Category (2008-2013)"/>
      <sheetName val="ii.Ulasan"/>
      <sheetName val="1.Areal Statemen"/>
      <sheetName val="2.AS.Afd"/>
      <sheetName val="3.Peta Kebun"/>
      <sheetName val="04.STO"/>
      <sheetName val="05.Nama staf"/>
      <sheetName val="06. tk"/>
      <sheetName val="07.MUTASI"/>
      <sheetName val="08.MHKK"/>
      <sheetName val="09.HKE"/>
      <sheetName val="10.rumah"/>
      <sheetName val="11.inventaris"/>
      <sheetName val="12.kendaraan"/>
      <sheetName val="13.ch"/>
      <sheetName val="14.Prod"/>
      <sheetName val="15.output pt bh"/>
      <sheetName val="16 BY PROD"/>
      <sheetName val="17 UMUM "/>
      <sheetName val="18,REKAP panen"/>
      <sheetName val="19, by panen"/>
      <sheetName val="20,rekap tm"/>
      <sheetName val="21, tm PER TT"/>
      <sheetName val="22,rekap tbm"/>
      <sheetName val="23,rawat tbm"/>
      <sheetName val="24SPK-Pst"/>
      <sheetName val="25 SPK-lkl"/>
      <sheetName val="26 tb"/>
      <sheetName val="27.BBT STATE"/>
      <sheetName val="28.SELEKSI"/>
      <sheetName val="29.KIRIM BBT"/>
      <sheetName val="30 bY BBT"/>
      <sheetName val="31.PETA BBT"/>
      <sheetName val="32.PUPUKan"/>
      <sheetName val="32. stock BHN"/>
      <sheetName val="32. Distribusai ppk"/>
      <sheetName val="33.TRANSIT KEND"/>
      <sheetName val="34.TRANSIR AB"/>
      <sheetName val="35.TRANSIT MSN"/>
      <sheetName val="30.Peta KONDS AREAL"/>
      <sheetName val="SUMMARY I"/>
      <sheetName val="RAB I"/>
      <sheetName val="Summary II"/>
      <sheetName val="RAB II"/>
      <sheetName val="FIX PRODUKSI"/>
      <sheetName val="Kirana"/>
      <sheetName val="RAB UMUM&amp;PDC KSE"/>
      <sheetName val="KTR KS BLN"/>
      <sheetName val="VER SG"/>
      <sheetName val="Upah SKU 1"/>
      <sheetName val="Matrial"/>
      <sheetName val="PROD KS"/>
      <sheetName val="PICA KS"/>
      <sheetName val="DAILY (KG)"/>
      <sheetName val="Plan actual"/>
      <sheetName val="Realisai Ha"/>
      <sheetName val="NORMA_HK"/>
      <sheetName val="REKAP PUPUK TM"/>
      <sheetName val="PUPUK TM BLOK KECIL"/>
      <sheetName val="REKOMENDASI PUPUK TBM"/>
      <sheetName val="REKAP PUPUK TBM"/>
      <sheetName val="PUPUK TBM BLOK KECIL"/>
      <sheetName val="Jan-Feb"/>
      <sheetName val="Strategy Activity"/>
      <sheetName val=" PERFORMANCE"/>
      <sheetName val=" Monthly Review"/>
      <sheetName val="W.Shop"/>
      <sheetName val="Part"/>
      <sheetName val="F.By Objc"/>
      <sheetName val="F.By Type"/>
      <sheetName val="F.BKL'99 "/>
      <sheetName val="F.PART'99"/>
      <sheetName val="03_Rawat Path Chemis=CPT"/>
      <sheetName val="EXF PK OLAH"/>
      <sheetName val="EXF PK RM"/>
      <sheetName val="Summary Revisi"/>
      <sheetName val="Review Note GAP"/>
      <sheetName val="Pay Back"/>
      <sheetName val="Rkp-Jdwl"/>
      <sheetName val="NONTAN_baru"/>
      <sheetName val="Angsuran per Fasilitas"/>
      <sheetName val="IDC per fasilitas"/>
      <sheetName val="inv per fasilitas"/>
      <sheetName val="Detail-Susut"/>
      <sheetName val="SATUAN BARU"/>
      <sheetName val="HARGA TBS"/>
      <sheetName val="RENCANA LAHAN"/>
      <sheetName val="Tan"/>
      <sheetName val="POTENSI PRODUKSI"/>
      <sheetName val="T-KERJA"/>
      <sheetName val="Nontan_lama"/>
      <sheetName val="Data-Machine_PKO"/>
      <sheetName val="32.1.Harga pupuk (2)"/>
      <sheetName val="32.3.Harga tools (2)"/>
      <sheetName val="32.2.Harga agrochemical (2)"/>
      <sheetName val="SAWA "/>
      <sheetName val="Budget vs Actual Tonase"/>
      <sheetName val="COA LHM"/>
      <sheetName val="TBM I"/>
      <sheetName val="Parameter1"/>
      <sheetName val="Database Karyawan"/>
      <sheetName val="Master List of 2013"/>
      <sheetName val="Master Data HS Blok"/>
      <sheetName val="Master Data PIC"/>
      <sheetName val="Lampiran Jenis Kecelakaan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base_Karyawan"/>
      <sheetName val="Master_List_of_2013"/>
      <sheetName val="Master_Data_HS_Blok"/>
      <sheetName val="Master_Data_PIC"/>
      <sheetName val="Lampiran_Jenis_Kecelakaan"/>
      <sheetName val="DKI@"/>
      <sheetName val="JATIM@"/>
      <sheetName val="JABAR@"/>
      <sheetName val="INTIM@"/>
      <sheetName val="JATENG@"/>
      <sheetName val="SMR@"/>
      <sheetName val="JATENG X"/>
      <sheetName val="intim"/>
      <sheetName val="OPR-99"/>
      <sheetName val="OPR_99"/>
      <sheetName val="PO"/>
      <sheetName val="pks"/>
      <sheetName val="BCA_01"/>
      <sheetName val="JATENG_X"/>
      <sheetName val="PABRIK_(2)"/>
      <sheetName val="Sanitasi"/>
      <sheetName val="Kastrasi"/>
      <sheetName val="Pasar IP"/>
      <sheetName val="Rawat Jalan"/>
      <sheetName val="Garuk Piringan"/>
      <sheetName val="Semprot CPT"/>
      <sheetName val="Oles Anak Kayu"/>
      <sheetName val="Pengendalian Lalang"/>
      <sheetName val="PATH MANUAL"/>
      <sheetName val="Deteksi HPT"/>
      <sheetName val="Pruning"/>
      <sheetName val="Data Blok"/>
      <sheetName val="TITI PANEN"/>
      <sheetName val="Pemupukan "/>
      <sheetName val=" PATOK BLOK"/>
      <sheetName val="Tanam Sisip"/>
      <sheetName val="Pembuatan TPH"/>
      <sheetName val="Prunning Rempes"/>
      <sheetName val="Tarrik goloran"/>
      <sheetName val="SENSUS SISIP"/>
      <sheetName val="Pendukung"/>
      <sheetName val="PETUNJUK_ISI"/>
      <sheetName val="TGL_KERJA"/>
      <sheetName val="DEV_COST"/>
      <sheetName val="RWT_TM"/>
      <sheetName val="RWT_TBM"/>
      <sheetName val="REKAP_CAPEX ESTATE"/>
      <sheetName val="T_PANEN"/>
      <sheetName val="ESTATE_COST"/>
      <sheetName val="COST PANEN"/>
      <sheetName val="REKAP_HS"/>
      <sheetName val="REKAP_TBS"/>
      <sheetName val="HA_STATEMENT"/>
      <sheetName val="HS_2012_2013"/>
      <sheetName val="HS_BLOK"/>
      <sheetName val="YIELD_PRO"/>
      <sheetName val="TBS_BLOK"/>
      <sheetName val="LAND_CLEARING"/>
      <sheetName val="BUAT_JALAN"/>
      <sheetName val="BUAT_INFRA"/>
      <sheetName val="PERKERASAN_JALAN"/>
      <sheetName val="TANAM"/>
      <sheetName val="JALAN_BLOK"/>
      <sheetName val="CUCI_PARIT"/>
      <sheetName val="AKSES_BLOK"/>
      <sheetName val="HPT BLOK"/>
      <sheetName val="WDG_BLOK"/>
      <sheetName val="CPT_BLOK"/>
      <sheetName val="LLG_BLOK"/>
      <sheetName val="IPM_BLOK"/>
      <sheetName val="PUPUK TBM_BLOK"/>
      <sheetName val="PUPUK TM_BLOK"/>
      <sheetName val="PUPUK_ORGANIK"/>
      <sheetName val="SENSUS BLOK"/>
      <sheetName val="TUNAS_BLOK"/>
      <sheetName val="TRANSPORT_TBS"/>
      <sheetName val="MPP_CHECKROLL"/>
      <sheetName val="BUM"/>
      <sheetName val="PK_UMUM"/>
      <sheetName val="CSR"/>
      <sheetName val="OPEX_NONTAN"/>
      <sheetName val="INTERNAL RELATIONSHIP"/>
      <sheetName val="SUSTAINABILITY"/>
      <sheetName val="CAPEX_NONTAN"/>
      <sheetName val="Infra"/>
      <sheetName val="NORMA_INFRA"/>
      <sheetName val="PERKERASAN JALAN"/>
      <sheetName val="NORMA_BIAYA"/>
      <sheetName val="HARGA_BORONG"/>
      <sheetName val="VRA"/>
      <sheetName val="DIST_VRA"/>
      <sheetName val="STANDART_CTM"/>
      <sheetName val="BIBITAN"/>
      <sheetName val="STD_RWT"/>
      <sheetName val="WRA"/>
      <sheetName val="ALAT KERJA 2"/>
      <sheetName val="ALAT KERJA"/>
      <sheetName val="Perumahan"/>
      <sheetName val="data_val"/>
      <sheetName val="05-07"/>
      <sheetName val="AMP01"/>
      <sheetName val="kse_pks"/>
      <sheetName val="AMP MAR"/>
      <sheetName val="bbb"/>
      <sheetName val="kse"/>
      <sheetName val="revisi_gltran"/>
      <sheetName val="1_SETUP"/>
      <sheetName val="BA bbt"/>
      <sheetName val="DU bbt-1"/>
      <sheetName val="DU bbt-2"/>
      <sheetName val="DU bbt-3"/>
      <sheetName val="DU bbt-4 "/>
      <sheetName val="DU bbt-5"/>
      <sheetName val="Du bbt-6"/>
      <sheetName val="Du bbt-7"/>
      <sheetName val="Du bbt-8"/>
      <sheetName val="Du bbt-9"/>
      <sheetName val="BA Afd II"/>
      <sheetName val="DU afd2-1"/>
      <sheetName val="DU afd 2-2"/>
      <sheetName val="DU Afd 2-3"/>
      <sheetName val="DU Afd 2-4"/>
      <sheetName val="DU Afd 2-5"/>
      <sheetName val="DU Afd 2-6"/>
      <sheetName val="BA Afd III"/>
      <sheetName val="Du afd III-1"/>
      <sheetName val="Du afd III-2"/>
      <sheetName val="Du afd III-3"/>
      <sheetName val="Du afd III-4"/>
      <sheetName val="Du afd III-5"/>
      <sheetName val="Du afd III-6"/>
      <sheetName val="Du afd III-7"/>
      <sheetName val="Du afd III-8"/>
      <sheetName val="Du afd III-9"/>
      <sheetName val="Du afd III-10"/>
      <sheetName val="Du afd III-11"/>
      <sheetName val="BA PLANT"/>
      <sheetName val="Absensi  JULI 2009"/>
      <sheetName val="Hasil Kerja 3 (2)"/>
      <sheetName val="Premi 4 (2)"/>
      <sheetName val="Lembur 5 (2)"/>
      <sheetName val="DU"/>
      <sheetName val="Slip Gaji (2)"/>
      <sheetName val="T. T. G AFD. OI"/>
      <sheetName val="Buat sirap"/>
      <sheetName val="Langsir Bibit"/>
      <sheetName val="CWM"/>
      <sheetName val="Weeding Manual"/>
      <sheetName val="Extra Fooding"/>
      <sheetName val="Jul 2014"/>
      <sheetName val="SS Site"/>
      <sheetName val="Map KTU"/>
      <sheetName val="INVES"/>
      <sheetName val="PICA"/>
      <sheetName val="Byr HO"/>
      <sheetName val="k_servis"/>
      <sheetName val="skb_tek"/>
      <sheetName val="PK Panen"/>
      <sheetName val="LSK"/>
      <sheetName val="ovh"/>
      <sheetName val="PK Umum"/>
      <sheetName val="PK RM Kebun"/>
      <sheetName val="202_405"/>
      <sheetName val="202_503"/>
      <sheetName val="PK Rawat"/>
      <sheetName val="Tabur Tankos"/>
      <sheetName val="700_416"/>
      <sheetName val="Transport_Tankos"/>
      <sheetName val="Trans Panen"/>
      <sheetName val="200_423"/>
      <sheetName val="L C"/>
      <sheetName val="RekapDetail"/>
      <sheetName val="EFCTBS"/>
      <sheetName val="efcPP"/>
      <sheetName val="EFC"/>
      <sheetName val="RM Kebun"/>
      <sheetName val="RM Pabrik"/>
      <sheetName val="mop"/>
      <sheetName val="Site Proyek"/>
      <sheetName val="DISTRIBUSI GJ"/>
      <sheetName val="KBT-KHT (2)"/>
      <sheetName val="Absen KBT-KHT"/>
      <sheetName val="Master Natura"/>
      <sheetName val="Payment Slip"/>
      <sheetName val="RWTTM_DIST"/>
      <sheetName val="RKT_RWT"/>
      <sheetName val="RKT_PNN"/>
      <sheetName val="RKT_CPN"/>
      <sheetName val="RKT_TPN"/>
      <sheetName val="RKT_BUM"/>
      <sheetName val="RKT_PKU"/>
      <sheetName val="RKT_CSR"/>
      <sheetName val="RKT_SHE"/>
      <sheetName val="RKT_MPP"/>
      <sheetName val="RKT_REPAIR"/>
      <sheetName val="RKT_RAC"/>
      <sheetName val="YPH_PROFILE"/>
      <sheetName val="RKT_NONTAN Revisi"/>
      <sheetName val="RKT_NONTAN"/>
      <sheetName val="CAP_NONTAN Revisi"/>
      <sheetName val="RKT_TBM"/>
      <sheetName val="RKT_INFRA"/>
      <sheetName val="IJIN"/>
      <sheetName val="RKT_BLOK"/>
      <sheetName val="RKT_IMAS"/>
      <sheetName val="RKT_LC"/>
      <sheetName val="RKT_TERAS"/>
      <sheetName val="RKT_TNM"/>
      <sheetName val="RKT_KCG"/>
      <sheetName val="RKT_JLN"/>
      <sheetName val="RKT_PRT"/>
      <sheetName val="RKT_JBT"/>
      <sheetName val="RKT_BBT"/>
      <sheetName val="NORMA"/>
      <sheetName val="NORMA-ALAT"/>
      <sheetName val="PD2"/>
      <sheetName val="REK-RWT"/>
      <sheetName val="REK-PNN"/>
      <sheetName val="MPP1"/>
      <sheetName val="RWT-HK"/>
      <sheetName val="RWT-CHM"/>
      <sheetName val="RWT-PPK"/>
      <sheetName val="ALT-KBN"/>
      <sheetName val="PNN-HK"/>
      <sheetName val="PNN-TPN"/>
      <sheetName val="PNN-UND"/>
      <sheetName val="RUN-BBM"/>
      <sheetName val="RUN-SPT"/>
      <sheetName val="PK-UMM"/>
      <sheetName val="SUM-COST"/>
      <sheetName val="RWT-UND"/>
      <sheetName val="BBT"/>
      <sheetName val="KACANGAN"/>
      <sheetName val="INV-TEKNIK"/>
      <sheetName val="SUMMARY SPS2"/>
      <sheetName val="INF"/>
      <sheetName val="RWT TBM"/>
      <sheetName val="REKAP_CAPEX"/>
      <sheetName val="TNM LCC"/>
      <sheetName val="TNM SSP SAWIT"/>
      <sheetName val="RWT TBM-0"/>
      <sheetName val="RWT TBM-1"/>
      <sheetName val="RWT TBM-2"/>
      <sheetName val="RWT TBM-3"/>
      <sheetName val="RWT TM"/>
      <sheetName val="CHECKROLL"/>
      <sheetName val="TERAS MANUAL"/>
      <sheetName val="BUAT PARIT MNL (HRN)"/>
      <sheetName val="PARIT MANUAL BRG"/>
      <sheetName val="NORMA LC + TBM 0"/>
      <sheetName val="NORMA TBM 1"/>
      <sheetName val="PEMUPUKAN (BLN TNM)"/>
      <sheetName val="plan vs real mupuk kg&amp;ha"/>
      <sheetName val="HECTARE STATEMENT LCC"/>
      <sheetName val="HA STATEMENT SD DES 08"/>
      <sheetName val="DATA TANAM KARET"/>
      <sheetName val="PANCANG"/>
      <sheetName val="IMAS TUMBANG"/>
      <sheetName val="IMAS TUMBANG (FISIK)"/>
      <sheetName val="HA STATEMENT SD DES 08 TBM"/>
      <sheetName val="IMAS TUMBANG 2007"/>
      <sheetName val="Setting"/>
      <sheetName val="NILZI J KKPA"/>
      <sheetName val="FISIK_RAB_2000"/>
      <sheetName val="ocean_voyage"/>
      <sheetName val="NILZI_J_KKPA"/>
      <sheetName val="List_PT"/>
      <sheetName val="MASTER BLOK UPDATE"/>
      <sheetName val="SETTING DATA"/>
      <sheetName val="Rend~CPO"/>
      <sheetName val="FFA"/>
      <sheetName val="Rend~Kernel"/>
      <sheetName val="Breakdown"/>
      <sheetName val="PO  Olah"/>
      <sheetName val="PK  RM"/>
      <sheetName val="PO  RM"/>
      <sheetName val="% Lbr vs GP"/>
      <sheetName val="Land Aplikasi"/>
      <sheetName val="Smatr"/>
      <sheetName val="PL Des"/>
      <sheetName val="PL Nov"/>
      <sheetName val="PL Okt"/>
      <sheetName val="GRAF TBS VS COST"/>
      <sheetName val="graflbr-gp"/>
      <sheetName val="AN PK"/>
      <sheetName val="OLAH VS OT"/>
      <sheetName val="LD Okt"/>
      <sheetName val="LD Nov"/>
      <sheetName val="LD Des"/>
      <sheetName val="GRAF SM"/>
      <sheetName val="Through"/>
      <sheetName val="Qlt CPO"/>
      <sheetName val="Qlt KRN"/>
      <sheetName val="Br Dn"/>
      <sheetName val="ER Vs FFA"/>
      <sheetName val="Qlt Vs ER"/>
      <sheetName val="Proses Ctr"/>
      <sheetName val="CPO Loss"/>
      <sheetName val="Krn Loss"/>
      <sheetName val="REKAP ST M"/>
      <sheetName val="janue"/>
      <sheetName val="OLAH VS OT (2)"/>
      <sheetName val="K.Mesin"/>
      <sheetName val="CH Vs Er"/>
      <sheetName val="SRL1"/>
      <sheetName val="SRL2"/>
      <sheetName val="Pab SRL 1"/>
      <sheetName val="Master Date"/>
      <sheetName val="GjBn2001"/>
      <sheetName val="Data Pendukung"/>
      <sheetName val="CPO Feb-Mar"/>
      <sheetName val="CPO-Mei"/>
      <sheetName val="CPO Juni"/>
      <sheetName val="Per Transportir"/>
      <sheetName val="CPO Juli-TID"/>
      <sheetName val="CPO Juli-Orgnl"/>
      <sheetName val="BAST CPO-7"/>
      <sheetName val="CPO Agst-Orgnl"/>
      <sheetName val="CPO Agsts TID"/>
      <sheetName val="BAST CPO-8"/>
      <sheetName val="CPO 26-8-Orgnl"/>
      <sheetName val="CPO 26-8-TID"/>
      <sheetName val="BAST CPO-26-8"/>
      <sheetName val="Pemakaian Solar 26-8"/>
      <sheetName val="CPO 5-9-Orgnl "/>
      <sheetName val="CPO 5-9-TID"/>
      <sheetName val="BAST CPO-5-9 "/>
      <sheetName val="Pemakaian Solar 5-9 "/>
      <sheetName val="CPO 16-9-TID Orl"/>
      <sheetName val="CPO 16-9-TID "/>
      <sheetName val="BAST CPO-16-9 HP"/>
      <sheetName val="BAST CPO-16-9 SM"/>
      <sheetName val="Pemakaian Solar 16-9 "/>
      <sheetName val="CPO 6-10-TID Orl"/>
      <sheetName val="CPO 6-10-TID"/>
      <sheetName val="BAST CPO-6-10 HP"/>
      <sheetName val="BAST CPO-6-10 SM"/>
      <sheetName val="Pemakaian Solar 6-10"/>
      <sheetName val="CPO 27-10-Orgnl"/>
      <sheetName val="BAST CPO-27-10 SM"/>
      <sheetName val="BAST CPO-27-10 HP"/>
      <sheetName val="kmb"/>
      <sheetName val="Pemakaian Solar 27-10"/>
      <sheetName val="CPO 9-11-Orgnl "/>
      <sheetName val="BAST CPO-9-11 SM"/>
      <sheetName val="BAST CPO-9-11 HP"/>
      <sheetName val="kmb 9-11-04"/>
      <sheetName val="Pemakaian Solar 9-11"/>
      <sheetName val="CPO 7-12-Orgnl"/>
      <sheetName val="BAST CPO-7-12 SM"/>
      <sheetName val="BAST CPO-7-12 HP"/>
      <sheetName val="KMB 7-12-04"/>
      <sheetName val="Pemakaian Solar 7-12"/>
      <sheetName val="glacc1"/>
      <sheetName val="Coklat"/>
      <sheetName val="Estate Map"/>
      <sheetName val="SM-Yanaprima"/>
      <sheetName val="Rsm 1-Bank (5)"/>
      <sheetName val="Rsm 1-Bank (4)"/>
      <sheetName val="Rsm 1-Bank (3)"/>
      <sheetName val="Rsm 1-Bank (2)"/>
      <sheetName val="Rsm 1-Bank"/>
      <sheetName val="Spl PT. IJS"/>
      <sheetName val="Bgnan PT. IJS"/>
      <sheetName val="PT. IJS Cost 1"/>
      <sheetName val="PT. IJS Cost 2"/>
      <sheetName val="Bgn-BCT"/>
      <sheetName val="Bct-2007"/>
      <sheetName val="Draft-PT. IJS"/>
      <sheetName val="Tnh-PT. IJS"/>
      <sheetName val="Tnh Ksg-PT. IJS"/>
      <sheetName val="SM-PT. IJS"/>
      <sheetName val="Gudang I"/>
      <sheetName val="Gudang II"/>
      <sheetName val="Tempat Parkir I"/>
      <sheetName val="Tempat Parkir II"/>
      <sheetName val="Gardu"/>
      <sheetName val="Gudang dan bengkel"/>
      <sheetName val="Narasi-Mesin 2009"/>
      <sheetName val="anal Mesin PT Indomulti Jay (2)"/>
      <sheetName val="Stock Barang"/>
      <sheetName val="TANAH   (review)"/>
      <sheetName val="BANG   (Review)"/>
      <sheetName val="RAB (Review)"/>
      <sheetName val="L.BANG"/>
      <sheetName val="TANAH  "/>
      <sheetName val="BANG  "/>
      <sheetName val="HIT BANG"/>
      <sheetName val="WORKING PAPER"/>
      <sheetName val="Narasi Tanah"/>
      <sheetName val="Narasi Bgn"/>
      <sheetName val="Narasi - SPL"/>
      <sheetName val="1.Form X bgn 1"/>
      <sheetName val="KUNJUGAN SURVEY"/>
      <sheetName val="_43_9_"/>
      <sheetName val="CF Budget vs CF Plan"/>
      <sheetName val="CFR 0310 vs CFP 0410 "/>
      <sheetName val="CF Konsol "/>
      <sheetName val="Kebun "/>
      <sheetName val="C&amp;T "/>
      <sheetName val="Pabrik "/>
      <sheetName val="Kantor Perwakilan "/>
      <sheetName val="KK CFP JAKARTA"/>
      <sheetName val="KK CFP JAMBI-Site"/>
      <sheetName val="HK-KHL Bukit Hijau Apr'10"/>
      <sheetName val="HK-KHL Bukit Hijau Mei'10 "/>
      <sheetName val="HK-KHL Bukit Hijau Juni'10"/>
      <sheetName val="HK-KHL Taman Raja Apr'10"/>
      <sheetName val="HK-KHL Taman Raja Mei'10 "/>
      <sheetName val="HK-KHL Taman Raja Juni'10"/>
      <sheetName val="Kas Bank Site"/>
      <sheetName val="Real 01-15 (SIte)"/>
      <sheetName val="Est 16-31 (Site)"/>
      <sheetName val="Funding"/>
      <sheetName val="Pby TBS Exsternal"/>
      <sheetName val="Gaji &amp; Upah Kebun (2)"/>
      <sheetName val="Biaya Overhead Ktr Pwk &amp; Kebun"/>
      <sheetName val="Cash Flow Budget"/>
      <sheetName val="GAJI PHL "/>
      <sheetName val="REAL  MARET "/>
      <sheetName val="Sheet2 (2)"/>
      <sheetName val="AFD.7 OK  "/>
      <sheetName val="PSJ"/>
      <sheetName val="DPCache_REKAP (2)"/>
      <sheetName val="(      )9.5"/>
      <sheetName val="(     )9.4"/>
      <sheetName val="PBG_2"/>
      <sheetName val="PBG1"/>
      <sheetName val="PBG_3"/>
      <sheetName val="PBG_5MAS"/>
      <sheetName val="PBG_6"/>
      <sheetName val="PBG_8"/>
      <sheetName val="APPI"/>
      <sheetName val="BanjarBaru"/>
      <sheetName val="KKP"/>
      <sheetName val="Logging"/>
      <sheetName val="RBH"/>
      <sheetName val="TotalMakin"/>
      <sheetName val="PBG_1 test1"/>
      <sheetName val="PBG_1 test2"/>
      <sheetName val="JobCode"/>
      <sheetName val="STD_Jab_HO"/>
      <sheetName val="notulen 7 mar"/>
      <sheetName val="Ulasan"/>
      <sheetName val="Tng Krj"/>
      <sheetName val="crh hjn PUD"/>
      <sheetName val="crh hjn KUM"/>
      <sheetName val="PETA PUD"/>
      <sheetName val="PETA thn tnm KUMP"/>
      <sheetName val="prod 2"/>
      <sheetName val="prod3"/>
      <sheetName val="bypnn"/>
      <sheetName val="bytm"/>
      <sheetName val="bytbm"/>
      <sheetName val="bytlctb"/>
      <sheetName val="byprod"/>
      <sheetName val="pupuk_anOrg"/>
      <sheetName val="as _08"/>
      <sheetName val="Areal Statemen_MUTASI"/>
      <sheetName val="Areal Statemen_BULANAN"/>
      <sheetName val="rekap AS"/>
      <sheetName val="I kum"/>
      <sheetName val="II kum"/>
      <sheetName val="III kum"/>
      <sheetName val="IV kum"/>
      <sheetName val="POSISI TENAGA KERJA"/>
      <sheetName val="DETAIL TNG KRJ"/>
      <sheetName val="PRODUKSI_TBS _2_"/>
      <sheetName val="PRODUKSI_TBS"/>
      <sheetName val="ACTION PLANT _2_"/>
      <sheetName val="PETA POTENSI PRODUKSI"/>
      <sheetName val="KEBUTUHAN PERUMAHAN"/>
      <sheetName val="CAPEX_DETAIL"/>
      <sheetName val="TRANSIT_DETAIL"/>
      <sheetName val="crew"/>
      <sheetName val="bgn-2"/>
      <sheetName val="bgn-1"/>
      <sheetName val="Ptanah"/>
      <sheetName val="data tanah"/>
      <sheetName val="tanah (2)"/>
      <sheetName val="1-COVER"/>
      <sheetName val="2-Daftar Isi"/>
      <sheetName val="3-Pendahuluan"/>
      <sheetName val="4-Cover DLM"/>
      <sheetName val="5-LAP T&amp;B"/>
      <sheetName val="6.MESIN  (3)"/>
      <sheetName val="6.MESIN  (2)"/>
      <sheetName val="6.MESIN "/>
      <sheetName val="7.KENDARAAN"/>
      <sheetName val="Foto Kendaraan SBE"/>
      <sheetName val="8-LAP Tan"/>
      <sheetName val="7-LAP PBRK"/>
      <sheetName val="Laporan Inventaris"/>
      <sheetName val="Laporan Kendaraan"/>
      <sheetName val="Data 1"/>
      <sheetName val="Data 3"/>
      <sheetName val="AST"/>
      <sheetName val="Lembar Sirkulasi"/>
      <sheetName val="Cover PBRK"/>
      <sheetName val="Data 4"/>
      <sheetName val="Text NP Tanah (2)"/>
      <sheetName val="Text NP Tanah"/>
      <sheetName val="Text Likuidasi Tanah"/>
      <sheetName val="Text Total NP"/>
      <sheetName val="Text Total"/>
      <sheetName val="COPYWRITE"/>
      <sheetName val="Tanah "/>
      <sheetName val="Comparable"/>
      <sheetName val="FORM-X-1"/>
      <sheetName val="FORM-X-2"/>
      <sheetName val="FORM-X-3"/>
      <sheetName val="Cap Exp"/>
      <sheetName val="Other Costs"/>
      <sheetName val="Mining Costs"/>
      <sheetName val="Organization"/>
      <sheetName val="Loader.exc"/>
      <sheetName val="Coal"/>
      <sheetName val="Geo ROM"/>
      <sheetName val="Equip Costs"/>
      <sheetName val="Own&amp;Op Cost"/>
      <sheetName val="Mat'l Costs"/>
      <sheetName val="MAINT"/>
      <sheetName val="Lab.Cost Plant"/>
      <sheetName val="Lab.Cost Mining"/>
      <sheetName val="Pow.Req"/>
      <sheetName val="Activity Plan"/>
      <sheetName val="Cal'cs"/>
      <sheetName val="QUAL."/>
      <sheetName val="Eq.hire"/>
      <sheetName val="Sulphur Graph"/>
      <sheetName val="Sum  Sensitivities"/>
      <sheetName val="NPV Summary"/>
      <sheetName val="Input Sheet"/>
      <sheetName val="Unit Cost detail"/>
      <sheetName val="Unit Costs Graph"/>
      <sheetName val="Graphs"/>
      <sheetName val="42-staff cost"/>
      <sheetName val="43-RPT"/>
      <sheetName val="45-capital commit"/>
      <sheetName val="46-Lease in comm"/>
      <sheetName val="47A"/>
      <sheetName val="biz segment"/>
      <sheetName val="geographical segment"/>
      <sheetName val="WP-Bank"/>
      <sheetName val="other cred"/>
      <sheetName val="payable"/>
      <sheetName val="19a"/>
      <sheetName val="31a"/>
      <sheetName val="XXX0"/>
      <sheetName val="XXX1"/>
      <sheetName val="XXX2"/>
      <sheetName val="Cover _2_"/>
      <sheetName val="Bas01"/>
      <sheetName val="Est_FFB02"/>
      <sheetName val="Da_Kar"/>
      <sheetName val="SmryExpd03_06"/>
      <sheetName val="LbrScdl08_09"/>
      <sheetName val="Structure10"/>
      <sheetName val="oki"/>
      <sheetName val="p nsihombing"/>
      <sheetName val="i ginting"/>
      <sheetName val="Var_Cst31"/>
      <sheetName val="all bagian"/>
      <sheetName val="account code new"/>
      <sheetName val="antisipasi"/>
      <sheetName val="HS INTI"/>
      <sheetName val="Master Tgl"/>
      <sheetName val="REPORT VRA"/>
      <sheetName val="310r"/>
      <sheetName val="600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800B"/>
      <sheetName val="Mutasi LR"/>
      <sheetName val="DRAFT"/>
      <sheetName val="Bank Umum Konvensional"/>
      <sheetName val="Bank Umum Syariah"/>
      <sheetName val="BPR Konvensional"/>
      <sheetName val="BPR Syariah"/>
      <sheetName val="PPAP FISKAL"/>
      <sheetName val="COA-Audit"/>
      <sheetName val="JK 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ledger konsol"/>
      <sheetName val="TREND_ASET"/>
      <sheetName val="TREND_LDR"/>
      <sheetName val="TREND_PYD"/>
      <sheetName val="TREND_CR"/>
      <sheetName val="TREND_CAR"/>
      <sheetName val="TREND_NPL"/>
      <sheetName val="COF"/>
      <sheetName val="LIKUIDITAS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LRMONTH"/>
      <sheetName val="KOMPAR."/>
      <sheetName val="ROA"/>
      <sheetName val="GRAFIK AD"/>
      <sheetName val="TARGET &amp; REAL. NERACA"/>
      <sheetName val="TARGET &amp; REAL. L R"/>
      <sheetName val="Ledger Konsol 07"/>
      <sheetName val="100D"/>
      <sheetName val="100A1"/>
      <sheetName val="100A2"/>
      <sheetName val="110D"/>
      <sheetName val="110F"/>
      <sheetName val="120"/>
      <sheetName val="130"/>
      <sheetName val="130D1"/>
      <sheetName val="130D2"/>
      <sheetName val="140"/>
      <sheetName val="140D1"/>
      <sheetName val="140D2"/>
      <sheetName val="170"/>
      <sheetName val="170F1"/>
      <sheetName val="195"/>
      <sheetName val="200"/>
      <sheetName val="200 C1"/>
      <sheetName val="200D"/>
      <sheetName val="200E"/>
      <sheetName val="210"/>
      <sheetName val="210 D1"/>
      <sheetName val="210D2"/>
      <sheetName val="220"/>
      <sheetName val="APT"/>
      <sheetName val="230"/>
      <sheetName val="230F1"/>
      <sheetName val="230F2.1"/>
      <sheetName val="230F3"/>
      <sheetName val="230F4"/>
      <sheetName val="230F5"/>
      <sheetName val="230D1"/>
      <sheetName val="230D2"/>
      <sheetName val="230D3"/>
      <sheetName val="230D4"/>
      <sheetName val="230D5"/>
      <sheetName val="230D6"/>
      <sheetName val="300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10"/>
      <sheetName val="310F"/>
      <sheetName val="320"/>
      <sheetName val="380"/>
      <sheetName val="390"/>
      <sheetName val="390F1"/>
      <sheetName val="390F2"/>
      <sheetName val="390D1"/>
      <sheetName val="390D2"/>
      <sheetName val="390D3"/>
      <sheetName val="390D4"/>
      <sheetName val="390D5"/>
      <sheetName val="450"/>
      <sheetName val="180"/>
      <sheetName val="225"/>
      <sheetName val="310J1"/>
      <sheetName val="310J2"/>
      <sheetName val="310J3"/>
      <sheetName val="320 F1"/>
      <sheetName val="350"/>
      <sheetName val="Est komit kontin"/>
      <sheetName val="200C1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230F2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Susunan Pengurus"/>
      <sheetName val="tangguhan"/>
      <sheetName val="JKaruskas06"/>
      <sheetName val="aruskas06"/>
      <sheetName val="JKaruskas05"/>
      <sheetName val="aruskas05"/>
      <sheetName val="Ledger Konsol 06"/>
      <sheetName val="thll"/>
      <sheetName val="900F "/>
      <sheetName val="Fiskal PPAP"/>
      <sheetName val="Fiskal Des'07"/>
      <sheetName val="BY. KORFIS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00C1 (2)"/>
      <sheetName val="Konf Giro"/>
      <sheetName val="Konf Tab"/>
      <sheetName val="Konf Dep"/>
      <sheetName val="DES_07"/>
      <sheetName val="NOV_07"/>
      <sheetName val="OKT_07"/>
      <sheetName val="BP01"/>
      <sheetName val="BP02"/>
      <sheetName val="BP03"/>
      <sheetName val="BP04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50"/>
      <sheetName val="175"/>
      <sheetName val="190"/>
      <sheetName val="205"/>
      <sheetName val="330"/>
      <sheetName val="360"/>
      <sheetName val="370"/>
      <sheetName val="395"/>
      <sheetName val="430"/>
      <sheetName val="455"/>
      <sheetName val="500"/>
      <sheetName val="590"/>
      <sheetName val="620"/>
      <sheetName val="700"/>
      <sheetName val="750"/>
      <sheetName val="840.01"/>
      <sheetName val="840.02"/>
      <sheetName val="1500"/>
      <sheetName val="2500"/>
      <sheetName val="230B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XXXXX1"/>
      <sheetName val="Ner-Mut"/>
      <sheetName val="PIUT DIR"/>
      <sheetName val="BPP EX"/>
      <sheetName val="NRC(F) "/>
      <sheetName val="ARUS KAS "/>
      <sheetName val="BPrd  "/>
      <sheetName val="BUA "/>
      <sheetName val="BO "/>
      <sheetName val="Piut.x-port"/>
      <sheetName val="Piut.Lokal"/>
      <sheetName val="GLR"/>
      <sheetName val="kar"/>
      <sheetName val="um "/>
      <sheetName val="x√"/>
      <sheetName val="inp"/>
      <sheetName val="lph"/>
      <sheetName val="graf"/>
      <sheetName val="ph-3"/>
      <sheetName val="KRATIO"/>
      <sheetName val="K-LR"/>
      <sheetName val="K-NRC"/>
      <sheetName val="DAFTAR KK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GPenj"/>
      <sheetName val="GBu"/>
      <sheetName val="PJLS"/>
      <sheetName val="NERMUT"/>
      <sheetName val="brg jadi"/>
      <sheetName val="LR OLD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IR"/>
      <sheetName val="Prosedur BUA&amp;Pej"/>
      <sheetName val="Lead sheet(TS)"/>
      <sheetName val="Rincian beban operasi"/>
      <sheetName val="BPPperbln-dirlab"/>
      <sheetName val="BPPperbln-sol,lis,pack"/>
      <sheetName val="BPPperbln-pemel"/>
      <sheetName val="BPPperbln-lain"/>
      <sheetName val="Biayaperbln"/>
      <sheetName val="FA2006"/>
      <sheetName val="RKB"/>
      <sheetName val="Rekap Cost"/>
      <sheetName val="Form TM"/>
      <sheetName val="Rekap Cost TM"/>
      <sheetName val="Afdeling C"/>
      <sheetName val="Afdeling D"/>
      <sheetName val="Afdeling E"/>
      <sheetName val="Afdeling F"/>
      <sheetName val="Afdeling G"/>
      <sheetName val="Afdeling H"/>
      <sheetName val="Form TBM"/>
      <sheetName val="Rekap Cost TBM"/>
      <sheetName val="Afdeling_A"/>
      <sheetName val="Afdeling_B"/>
      <sheetName val="Afdeling_C"/>
      <sheetName val="Afdeling_D"/>
      <sheetName val="Afdeling_E"/>
      <sheetName val="Afdeling_F"/>
      <sheetName val="Afdeling_H"/>
      <sheetName val="Afdeling_I"/>
      <sheetName val="Afdeling_J"/>
      <sheetName val="List Norma"/>
      <sheetName val="Afd A Detail"/>
      <sheetName val="HS TBM"/>
      <sheetName val="HS STATEMENT"/>
      <sheetName val="Run_Alat"/>
      <sheetName val="STD VRA"/>
      <sheetName val="_ Lbr vs GP"/>
      <sheetName val="PO__Olah"/>
      <sheetName val="PK__RM"/>
      <sheetName val="PO__RM"/>
      <sheetName val="%_Lbr_vs_GP"/>
      <sheetName val="Land_Aplikasi"/>
      <sheetName val="__Lbr_vs_GP"/>
      <sheetName val="InputSheet"/>
      <sheetName val="1.GasAcct"/>
      <sheetName val="PGN TOP"/>
      <sheetName val="3.Gas(MMSCF)"/>
      <sheetName val="2.Gas(MMBTU)"/>
      <sheetName val="4.Gas(USD) "/>
      <sheetName val="5.Cond"/>
      <sheetName val="LoadingDoc.Letter"/>
      <sheetName val="Letter for Inv"/>
      <sheetName val="GSAInvoice"/>
      <sheetName val="sig-bonus"/>
      <sheetName val="3.CMR-GAS&gt;ACQ(MSCF) "/>
      <sheetName val="7.CMR-GAS&gt;ACQ(MMBTU)"/>
      <sheetName val="10. ($) Gas &gt; acq "/>
      <sheetName val="C&amp;D (Year end)"/>
      <sheetName val="14.MT-1(qrt)"/>
      <sheetName val="GSAInvoice.2"/>
      <sheetName val="KuitansiPJB"/>
      <sheetName val="KuitansiPJB.2"/>
      <sheetName val="Aprroval Letter"/>
      <sheetName val="Rev.Approv.Letter"/>
      <sheetName val="Approval"/>
      <sheetName val="DI-PartA"/>
      <sheetName val="DI-Part-B"/>
      <sheetName val="Rev.DI-PartA"/>
      <sheetName val="Rev.DI-PartB"/>
      <sheetName val="CoverC&amp;D-HO"/>
      <sheetName val="10.C&amp;DReq"/>
      <sheetName val="CoverC&amp;DRep"/>
      <sheetName val="11.C&amp;DTaxK60"/>
      <sheetName val="12.PSC7.1-K60"/>
      <sheetName val="13.PSC7.2-K60"/>
      <sheetName val="14.C&amp;DTaxK40"/>
      <sheetName val="15. PSC7.1-K40"/>
      <sheetName val="16.PSC7.2-K40"/>
      <sheetName val="Letter for Inv_CorrPLN"/>
      <sheetName val="22.C&amp;D(R)"/>
      <sheetName val="DMO-LTR"/>
      <sheetName val="18.DMO"/>
      <sheetName val="Supp'l"/>
      <sheetName val="RRS"/>
      <sheetName val="MA-5"/>
      <sheetName val="MA-6"/>
      <sheetName val="Reinstate PGN-96"/>
      <sheetName val="lettter PGN-96"/>
      <sheetName val="UKGAAP-adj"/>
      <sheetName val="DataEntry"/>
      <sheetName val="Data Graph"/>
      <sheetName val="preBud"/>
      <sheetName val="HFM"/>
      <sheetName val="ST144"/>
      <sheetName val="Journal consolidated"/>
      <sheetName val="Journal adjustment unit"/>
      <sheetName val="landright"/>
      <sheetName val="BS &amp; IS"/>
      <sheetName val="CF-CONSO&amp;UNITS"/>
      <sheetName val="Journal Adjusment Unit"/>
      <sheetName val=" ENGLISH"/>
      <sheetName val="DIT-P"/>
      <sheetName val="man pow"/>
      <sheetName val="FSC-BS"/>
      <sheetName val="FSC-PL"/>
      <sheetName val="COGM APR 12"/>
      <sheetName val="FSC-NT"/>
      <sheetName val="Diferred"/>
      <sheetName val="DAIP-BS"/>
      <sheetName val="DAIP-PL"/>
      <sheetName val="DAIP-NT"/>
      <sheetName val="DAIP-CIP"/>
      <sheetName val="DAIP-FA"/>
      <sheetName val="ICBSP"/>
      <sheetName val="Escroow january"/>
      <sheetName val="Escroow February"/>
      <sheetName val="Escroow Maret"/>
      <sheetName val="Escroow"/>
      <sheetName val="Diferred tax"/>
      <sheetName val="DSIP-BS"/>
      <sheetName val="DSIP-PL"/>
      <sheetName val="DSIP-NT"/>
      <sheetName val="DSIP-CIP"/>
      <sheetName val="DSIP-FA"/>
      <sheetName val="Mei 2011"/>
      <sheetName val="Jun 2011"/>
      <sheetName val="Jul 2011"/>
      <sheetName val="Ags 2011"/>
      <sheetName val="Sep 2011"/>
      <sheetName val="Okt 11"/>
      <sheetName val="Nop 11"/>
      <sheetName val="Des 11"/>
      <sheetName val="Schedul Escroow"/>
      <sheetName val="Deffered"/>
      <sheetName val="SIP-BS"/>
      <sheetName val="SIP-PL"/>
      <sheetName val="SIP-NT"/>
      <sheetName val="SIP-FA"/>
      <sheetName val="TB    "/>
      <sheetName val="GL    "/>
      <sheetName val="TB      "/>
      <sheetName val="GL      "/>
      <sheetName val="rek-hpp"/>
      <sheetName val="R Cash"/>
      <sheetName val="Estate-cost"/>
      <sheetName val="factory-cost"/>
      <sheetName val="produk jadi"/>
      <sheetName val="Propit&amp;loss"/>
      <sheetName val="rinci-Cash"/>
      <sheetName val="rinci-AR"/>
      <sheetName val="rinci-inventory"/>
      <sheetName val="rinci-AP"/>
      <sheetName val="G&amp;A-Expenses"/>
      <sheetName val="G &amp; A Expenses"/>
      <sheetName val="rinci-Affiliasi "/>
      <sheetName val="rinci-taxe"/>
      <sheetName val="rinci-All others"/>
      <sheetName val="D. P Asst "/>
      <sheetName val="Intercompany "/>
      <sheetName val="Rekonse BNI "/>
      <sheetName val="Pert asset 2009 "/>
      <sheetName val="SUPPORTING "/>
      <sheetName val="ARJUNA"/>
      <sheetName val="ARIMBI"/>
      <sheetName val="CINTA"/>
      <sheetName val="PGN"/>
      <sheetName val="RESIDUE"/>
      <sheetName val="PLNGAS"/>
      <sheetName val="ENT-PER"/>
      <sheetName val="MA5JA"/>
      <sheetName val="MA6JA"/>
      <sheetName val="MA5&amp;6 recon"/>
      <sheetName val="BCAJA"/>
      <sheetName val="BCA UK GAAP"/>
      <sheetName val="LIFTR"/>
      <sheetName val="C&amp;DTAX"/>
      <sheetName val="MV"/>
      <sheetName val="Comp equip"/>
      <sheetName val="Mach &amp; equip"/>
      <sheetName val="Freezers"/>
      <sheetName val="Operating Exp. ID2"/>
      <sheetName val="Maping ACC Sep05"/>
      <sheetName val="TB-Dec05 ID2"/>
      <sheetName val="fieldcost"/>
      <sheetName val="kerja-est"/>
      <sheetName val="kerja-budget"/>
      <sheetName val="point"/>
      <sheetName val="Persediaan CPO&amp;PK"/>
      <sheetName val="By Produksi"/>
      <sheetName val="Rincian Neraca"/>
      <sheetName val="neraca CF"/>
      <sheetName val="Debt"/>
      <sheetName val="admin-bunga"/>
      <sheetName val="Detail Aktiva"/>
      <sheetName val="Plantations"/>
      <sheetName val="Strategic"/>
      <sheetName val="Asumption"/>
      <sheetName val="TOP IS"/>
      <sheetName val="TOP Others"/>
      <sheetName val="Beniform"/>
      <sheetName val="Cr.Suis"/>
      <sheetName val="WP-CF"/>
      <sheetName val="FS ver 1"/>
      <sheetName val="Fact.C"/>
      <sheetName val="Matur.C"/>
      <sheetName val="Distr.Cost"/>
      <sheetName val="Mater.P"/>
      <sheetName val="PKS&amp;SG"/>
      <sheetName val="AGW"/>
      <sheetName val="WP Cons"/>
      <sheetName val="BUDGET AND STRATEGIC PLAN"/>
      <sheetName val="BUDGET AMM"/>
      <sheetName val="AMM"/>
      <sheetName val="WCF"/>
      <sheetName val="Exc.Summary"/>
      <sheetName val="Detail Neraca"/>
      <sheetName val="Detail BS-Exc.Summ"/>
      <sheetName val="BS-Exc.Summary"/>
      <sheetName val="IS2.Exc.Summ"/>
      <sheetName val="IS.Exc.Summ"/>
      <sheetName val="Graphik Produksi"/>
      <sheetName val="CF-Exc.Summ"/>
      <sheetName val="sales 1"/>
      <sheetName val="sales 2"/>
      <sheetName val="Exc.sales customer"/>
      <sheetName val="Budget Travel"/>
      <sheetName val="Budget Lainnya"/>
      <sheetName val="SK Perjln Dinas"/>
      <sheetName val="Daftar Harga"/>
      <sheetName val="Asumsi Makro"/>
      <sheetName val="PT. AGW"/>
      <sheetName val="UNIT KONSOL"/>
      <sheetName val="PT. AMM"/>
      <sheetName val="PT.SNP"/>
      <sheetName val="DETAIL PL_UNIT KONSOL"/>
      <sheetName val="DETAIL PL_PT.SNP"/>
      <sheetName val="DETAIL PL_PT. AGW"/>
      <sheetName val="Inventory SNP"/>
      <sheetName val="DETAIL PL_PT. AMM"/>
      <sheetName val="Export Tax"/>
      <sheetName val="Dftr"/>
      <sheetName val="Rkp-LR-Budget"/>
      <sheetName val="Key Indicators"/>
      <sheetName val="penj.i"/>
      <sheetName val="r-tmi"/>
      <sheetName val="tmi-s"/>
      <sheetName val="rtbmi"/>
      <sheetName val="tbmi'04"/>
      <sheetName val="tbmi'05"/>
      <sheetName val="rbbt"/>
      <sheetName val="btl-k-d"/>
      <sheetName val="btl-ho-ro"/>
      <sheetName val="ALK-BTL-RO"/>
      <sheetName val="ALK-BTL-DO II"/>
      <sheetName val="ALK-BTL-HO"/>
      <sheetName val="ALK-BUNGA-HO"/>
      <sheetName val="ALK-PENY-HO"/>
      <sheetName val="penj.p"/>
      <sheetName val="rbtmp"/>
      <sheetName val="tmp-s"/>
      <sheetName val="rtbmp"/>
      <sheetName val="tbmp'04"/>
      <sheetName val="tbmp'05"/>
      <sheetName val="Piutang Staff"/>
      <sheetName val="Piutang Lain Lain"/>
      <sheetName val="Piutang Affiliasi"/>
      <sheetName val="Piut AFF RO-HO terbaru"/>
      <sheetName val="Segmen-05"/>
      <sheetName val="GLP 2013 "/>
      <sheetName val="Rincian 2013 PGE"/>
      <sheetName val="Rincian 2013 LME"/>
      <sheetName val="2014-2018 PGE"/>
      <sheetName val="2014-2018 LME"/>
      <sheetName val="2014-2018 GLP"/>
      <sheetName val="FFB Prod."/>
      <sheetName val="15.outpu pt bh"/>
      <sheetName val="Original Peb'13"/>
      <sheetName val="Asli Peb'13"/>
      <sheetName val="Full"/>
      <sheetName val="Trade"/>
      <sheetName val="Kontraktor"/>
      <sheetName val="DSU1"/>
      <sheetName val="dsu2&amp;3"/>
      <sheetName val="DPKlah"/>
      <sheetName val="Direk II"/>
      <sheetName val="PTKP"/>
      <sheetName val="Rentilan"/>
      <sheetName val="rekap hasil usaha"/>
      <sheetName val="PMCS"/>
      <sheetName val="CCM"/>
      <sheetName val="PMBOK"/>
      <sheetName val="5R + ohsas"/>
      <sheetName val="ABC"/>
      <sheetName val="MonitorProy2 Dit II"/>
      <sheetName val="resume for 05"/>
      <sheetName val="mon.ews"/>
      <sheetName val="Res.dme"/>
      <sheetName val="Res.epc"/>
      <sheetName val="Scorecard"/>
      <sheetName val="perbandingan"/>
      <sheetName val="simhu05"/>
      <sheetName val="LK-BPh"/>
      <sheetName val="NO-LK"/>
      <sheetName val="Slab"/>
      <sheetName val="Ramps"/>
      <sheetName val="Stairs"/>
      <sheetName val="HS (2)"/>
      <sheetName val="Slab (2)"/>
      <sheetName val="Lap Bul"/>
      <sheetName val="CAT-HRG"/>
      <sheetName val="CAT-HRG "/>
      <sheetName val="DAF- 4"/>
      <sheetName val="DAFT-12"/>
      <sheetName val="SC-FIN"/>
      <sheetName val="Spek Kusen"/>
      <sheetName val="AN-M&amp;E"/>
      <sheetName val="Gross Area"/>
      <sheetName val="Vol-M&amp;E"/>
      <sheetName val="T-Sch"/>
      <sheetName val="Remark"/>
      <sheetName val="RUKAN"/>
      <sheetName val="BAG-2"/>
      <sheetName val="CAT_HRG "/>
      <sheetName val="GRAND TOTAL"/>
      <sheetName val="DAF_7"/>
      <sheetName val="P.Petir"/>
      <sheetName val="Std-Analisa"/>
      <sheetName val="HRG (2)"/>
      <sheetName val="A4 (2)"/>
      <sheetName val="A4add"/>
      <sheetName val="COVTM3"/>
      <sheetName val="baop"/>
      <sheetName val="lap (2)"/>
      <sheetName val="HRG"/>
      <sheetName val="lap 10"/>
      <sheetName val="lap 11"/>
      <sheetName val="lap 12"/>
      <sheetName val="lap 13"/>
      <sheetName val="lap 14"/>
      <sheetName val="lap 15"/>
      <sheetName val="Gal-ABC"/>
      <sheetName val="vol"/>
      <sheetName val="BEKP"/>
      <sheetName val="2 (2)"/>
      <sheetName val="3 (2)"/>
      <sheetName val="Win Loss Analysis"/>
      <sheetName val="RESUME OK CADANGAN"/>
      <sheetName val="OK CADANGAN"/>
      <sheetName val="Alat Prod"/>
      <sheetName val="RABT"/>
      <sheetName val="pek tambah (selisih vol)"/>
      <sheetName val="BQ STRK"/>
      <sheetName val="BQ-ELEK"/>
      <sheetName val="BQ-MEK"/>
      <sheetName val="HSB"/>
      <sheetName val="tgp-02"/>
      <sheetName val="tgp_02"/>
      <sheetName val="TOTAL HC 1"/>
      <sheetName val="TOTAL HC"/>
      <sheetName val="Tunjab"/>
      <sheetName val="TOTAL all"/>
      <sheetName val="DATA U LK"/>
      <sheetName val="NT "/>
      <sheetName val="LR DEP "/>
      <sheetName val="PENJ-INTERN"/>
      <sheetName val="PENJ-LOAN"/>
      <sheetName val="PIUT BAPEPAM-JUN"/>
      <sheetName val="RET-BAPEPAM-JUN"/>
      <sheetName val="MUTASI AKT"/>
      <sheetName val="TAGBRUT BAPEPAM"/>
      <sheetName val="IKHT-PYD&amp;PDP"/>
      <sheetName val="IKHT PYD"/>
      <sheetName val="IKHT PDDK"/>
      <sheetName val="IHTISAR KSO"/>
      <sheetName val="IKHT UTG PER NSBH "/>
      <sheetName val="SEGMEN GEOGRAFIS"/>
      <sheetName val="VALAS"/>
      <sheetName val="LK-KONSOLIDASI "/>
      <sheetName val="CF KONSOL"/>
      <sheetName val="NOTES PUBLIS"/>
      <sheetName val="Judul 07"/>
      <sheetName val="Rekap Aktiva Tetap+ Penys"/>
      <sheetName val="Konfirmasi Bank"/>
      <sheetName val="PPN Masukan"/>
      <sheetName val="PPh 25 (2)"/>
      <sheetName val="Bayar 21"/>
      <sheetName val="BRI Jakarta"/>
      <sheetName val="BRI Suraby"/>
      <sheetName val="Bukopin JKT"/>
      <sheetName val="Bukopin SBY"/>
      <sheetName val="Mandiri JKT"/>
      <sheetName val="Mandiri SBY"/>
      <sheetName val="Imbln. Kerja"/>
      <sheetName val="Praoprasi"/>
      <sheetName val="AJ 07"/>
      <sheetName val="WBS 07"/>
      <sheetName val="Khosim"/>
      <sheetName val="BNI JKT"/>
      <sheetName val="BNI SBY"/>
      <sheetName val="PPh 21 "/>
      <sheetName val="Hutang PPh 23"/>
      <sheetName val="Rekap PPh 23 Agung"/>
      <sheetName val="Peralatan kantor"/>
      <sheetName val="Kendaraan"/>
      <sheetName val="PROJECT-BLN"/>
      <sheetName val="Penjualan 2010"/>
      <sheetName val="Biaya 2010"/>
      <sheetName val="LEDGER SEPT"/>
      <sheetName val="NERACA&quot;T&quot;"/>
      <sheetName val="RL 08-10"/>
      <sheetName val="simhu"/>
      <sheetName val="piutang usaha "/>
      <sheetName val="piutang lain"/>
      <sheetName val="Impairment"/>
      <sheetName val="piutang retensi"/>
      <sheetName val="piutang kary"/>
      <sheetName val="pajak DD"/>
      <sheetName val="PDD"/>
      <sheetName val="ap wika "/>
      <sheetName val="hutang lain"/>
      <sheetName val="beban lain "/>
      <sheetName val="beban pajak"/>
      <sheetName val="LEDGER DES"/>
      <sheetName val="TIMOR LESTE (USD)"/>
      <sheetName val="KETAPANG"/>
      <sheetName val="KUPANG (USD)"/>
      <sheetName val="KCM"/>
      <sheetName val="SEMEN PDG"/>
      <sheetName val="MEDCO"/>
      <sheetName val="ASAM2"/>
      <sheetName val="AMURANG"/>
      <sheetName val="INDOCEMENT"/>
      <sheetName val="KUALANAMU"/>
      <sheetName val="OPTIMA"/>
      <sheetName val="FAJAR"/>
      <sheetName val="SANKYU"/>
      <sheetName val="SANKYU - UBC"/>
      <sheetName val="SANKYU - EFM"/>
      <sheetName val="SANKYU - IKK"/>
      <sheetName val="DAFTAR ISI (3)"/>
      <sheetName val="DAFTAR ISI (2)"/>
      <sheetName val="I (2)"/>
      <sheetName val="AK-TL"/>
      <sheetName val="New CF"/>
      <sheetName val="14a"/>
      <sheetName val="20a"/>
      <sheetName val="FORMAT"/>
      <sheetName val="NT-IFRS"/>
      <sheetName val="LRDEPT IFRS"/>
      <sheetName val="PIUT BAPEPAM-DES"/>
      <sheetName val="RET-BAPEPAM-DES"/>
      <sheetName val="PYD"/>
      <sheetName val="UM DITERIMA"/>
      <sheetName val="IKHT PDPK"/>
      <sheetName val="IKHT UTG PER NSBH"/>
      <sheetName val="FORMAT JO"/>
      <sheetName val=" HUTANG TOTAL"/>
      <sheetName val="HUTANG PEMASOK (HANIK)"/>
      <sheetName val="HUTANG SUBKON"/>
      <sheetName val="lk konsolidasi des"/>
      <sheetName val="LR_SPK 2012 "/>
      <sheetName val="CABANGPPN"/>
      <sheetName val="CABANG21"/>
      <sheetName val="CABANG4(2)"/>
      <sheetName val="hargapokok"/>
      <sheetName val="pend_lain2"/>
      <sheetName val="bi_lain2"/>
      <sheetName val="CADANGAN"/>
      <sheetName val="indukPPH"/>
      <sheetName val="IndukPPN"/>
      <sheetName val="induk42"/>
      <sheetName val="induk21"/>
      <sheetName val="induk22-23-26-pbb"/>
      <sheetName val="rekap23"/>
      <sheetName val="EQUALISASI"/>
      <sheetName val="KEND_FIS"/>
      <sheetName val="kend_WP"/>
      <sheetName val="note_4_wiston"/>
      <sheetName val="LPP (2)"/>
      <sheetName val="LPP (3)"/>
      <sheetName val="LPP (4)"/>
      <sheetName val="MASa2326"/>
      <sheetName val="PBB"/>
      <sheetName val="masalah"/>
      <sheetName val="KKP SL-baru"/>
      <sheetName val="htung lama"/>
      <sheetName val="finalhpp"/>
      <sheetName val="Des '07"/>
      <sheetName val="CO '08"/>
      <sheetName val="DSU-2"/>
      <sheetName val="LPP Des 07"/>
      <sheetName val="rkap'08"/>
      <sheetName val="DSU-2 (OP)"/>
      <sheetName val="DSU-2 (LK)"/>
      <sheetName val="OP-bln"/>
      <sheetName val="LK-bln"/>
      <sheetName val="OK-bln"/>
      <sheetName val="DSU-2 (2)"/>
      <sheetName val="SWOT"/>
      <sheetName val="TKSEHAT"/>
      <sheetName val="KEYPEFOR"/>
      <sheetName val="ANSWOT"/>
      <sheetName val="PROGKER"/>
      <sheetName val="rinc-bius"/>
      <sheetName val="rl-lain"/>
      <sheetName val="PENGELUAR"/>
      <sheetName val="PENERIMAAN"/>
      <sheetName val="proyinv"/>
      <sheetName val="Tanggapan"/>
      <sheetName val="ELKP"/>
      <sheetName val="NAV0"/>
      <sheetName val="Perubahan Modal"/>
      <sheetName val="Rasio 2"/>
      <sheetName val="Schedule A"/>
      <sheetName val="Schedule B"/>
      <sheetName val="Schedule C"/>
      <sheetName val="Schedule D"/>
      <sheetName val="Rasio Diklat "/>
      <sheetName val="Analisis"/>
      <sheetName val="Sub A"/>
      <sheetName val="Sub B (1)"/>
      <sheetName val="Sub B (2)"/>
      <sheetName val="Sub C"/>
      <sheetName val="Sub D"/>
      <sheetName val="Rincian A-1"/>
      <sheetName val="Rincian B-1"/>
      <sheetName val="Rincian C-1"/>
      <sheetName val="Rincian D-1"/>
      <sheetName val="Rincian F-1"/>
      <sheetName val="Rincian E-1"/>
      <sheetName val="Rincian G-1"/>
      <sheetName val="Rincian H-1"/>
      <sheetName val="Rincian L-1"/>
      <sheetName val="Rincian M-1"/>
      <sheetName val="Rincian N-1"/>
      <sheetName val="Rincian O-1"/>
      <sheetName val="Rincian P-1"/>
      <sheetName val="Rincian Q-1"/>
      <sheetName val="Rincian R-1"/>
      <sheetName val="Rincian S-1"/>
      <sheetName val="Rincian T-1"/>
      <sheetName val="Rincian U-1"/>
      <sheetName val="Rincian V-1"/>
      <sheetName val="Rincian W-1"/>
      <sheetName val="Rincian X-1"/>
      <sheetName val="Rincian Y-1"/>
      <sheetName val="BUAT LAMPIRAN NERACA 09"/>
      <sheetName val="NERACA 2009 NERACA"/>
      <sheetName val="NERACA 2009 ASLI"/>
      <sheetName val="02_2009"/>
      <sheetName val="01_2009"/>
      <sheetName val="12_2008  (epc)"/>
      <sheetName val="12_2008  (NRC) (2)"/>
      <sheetName val="12_2008  (NRC)"/>
      <sheetName val="12_2008 "/>
      <sheetName val="Konfirmasi Hutang"/>
      <sheetName val="WS AKE"/>
      <sheetName val="MJE"/>
      <sheetName val="tax(client)"/>
      <sheetName val="WBS Induk"/>
      <sheetName val="Correction List"/>
      <sheetName val="Catatan Neraca"/>
      <sheetName val="Catatan Laba Rugi"/>
      <sheetName val="hut. Bank"/>
      <sheetName val="hut. lain-lain"/>
      <sheetName val="hut. Pajak"/>
      <sheetName val="hut. usaha"/>
      <sheetName val="B Memo"/>
      <sheetName val="B Lead"/>
      <sheetName val="B1.Aging Summary"/>
      <sheetName val="B1.1 Subsequent Aging IDR"/>
      <sheetName val="B1.2 Subsequent Aging USD"/>
      <sheetName val="B.2 Confirm"/>
      <sheetName val="IDR until 31_12_5 original"/>
      <sheetName val="USD until 31_12_5_original"/>
      <sheetName val="Concept"/>
      <sheetName val="2. Mill Input"/>
      <sheetName val="4. Mill Cost"/>
      <sheetName val="5. MPP"/>
      <sheetName val="6. OPEX"/>
      <sheetName val="7. Other Inc Exp"/>
      <sheetName val="8. CAPEX"/>
      <sheetName val="1A. RD Estate"/>
      <sheetName val="1B. RD Mill"/>
      <sheetName val="2A. CD Field Cost by Month"/>
      <sheetName val="2B. CD Premi Panen"/>
      <sheetName val="2C. CD Mill Cost"/>
      <sheetName val="2. CD Field Cost by PY"/>
      <sheetName val="3. CD OPEX"/>
      <sheetName val="4. CD Other Inc Exp"/>
      <sheetName val="5. CAPEX"/>
      <sheetName val="1. PL PT"/>
      <sheetName val="Estate Charges"/>
      <sheetName val="RKP.CAPEX &amp; STRATEX"/>
      <sheetName val="L2 (2)"/>
      <sheetName val="G.O.T"/>
      <sheetName val="1170 "/>
      <sheetName val="TRANSFER PART"/>
      <sheetName val="12-06-ins"/>
      <sheetName val="F8.TOC"/>
      <sheetName val="G2.1"/>
      <sheetName val="G2.2"/>
      <sheetName val="K2.1"/>
      <sheetName val="L1.PDE"/>
      <sheetName val="L1.9 TOC"/>
      <sheetName val="L1.10"/>
      <sheetName val="P2.1-BNP"/>
      <sheetName val="P2.2-SCB"/>
      <sheetName val="P2.3-TSS"/>
      <sheetName val="U3.2.1"/>
      <sheetName val="rumah"/>
      <sheetName val="Jembatan-Gorong2"/>
      <sheetName val="grafik R1"/>
      <sheetName val="GBSM"/>
      <sheetName val="FLTI"/>
      <sheetName val="SKM"/>
      <sheetName val="HPM-R1"/>
      <sheetName val="SAWA-R1 (2)"/>
      <sheetName val="SAWA-R1"/>
      <sheetName val="DLJ 1"/>
      <sheetName val="DLJ 2"/>
      <sheetName val="EBL"/>
      <sheetName val="NPN"/>
      <sheetName val="SAWA"/>
      <sheetName val="PTA"/>
      <sheetName val="MSL"/>
      <sheetName val="KSD"/>
      <sheetName val="KSA1"/>
      <sheetName val="BHA1"/>
      <sheetName val="DAP1"/>
      <sheetName val="KSA2 utara"/>
      <sheetName val="KSA2 selatan"/>
      <sheetName val="KSA3"/>
      <sheetName val="KSA5"/>
      <sheetName val="PWA"/>
      <sheetName val="BP00"/>
      <sheetName val="BP02A"/>
      <sheetName val="BP03A"/>
      <sheetName val="BP11"/>
      <sheetName val="BP12"/>
      <sheetName val="BP13"/>
      <sheetName val="BP14"/>
      <sheetName val="BP15"/>
      <sheetName val="BP16"/>
      <sheetName val="BP17"/>
      <sheetName val="BP21"/>
      <sheetName val="BP21A"/>
      <sheetName val="BP22"/>
      <sheetName val="BP22LDC"/>
      <sheetName val="BP22LOC"/>
      <sheetName val="BP24"/>
      <sheetName val="BP25"/>
      <sheetName val="BP27"/>
      <sheetName val="BP41"/>
      <sheetName val="BP42"/>
      <sheetName val="BP42A"/>
      <sheetName val="BP43A"/>
      <sheetName val="BP43"/>
      <sheetName val="BP44"/>
      <sheetName val="BP44A"/>
      <sheetName val="BP45"/>
      <sheetName val="BP46"/>
      <sheetName val="BP51"/>
      <sheetName val="BP52"/>
      <sheetName val="BP53"/>
      <sheetName val="BP57"/>
      <sheetName val="BP61"/>
      <sheetName val="BP65"/>
      <sheetName val="BP66"/>
      <sheetName val="BP91"/>
      <sheetName val="BP93"/>
      <sheetName val="BP93A"/>
      <sheetName val="BP_BAL"/>
      <sheetName val="BP_BALMAN"/>
      <sheetName val="REFERENCE"/>
      <sheetName val="SUPPORTING"/>
      <sheetName val="CAVER"/>
      <sheetName val="i.Daft.isi"/>
      <sheetName val="ii.Ulasan "/>
      <sheetName val="2.AS.Afd "/>
      <sheetName val="land clearing"/>
      <sheetName val="6.SELEKSI"/>
      <sheetName val="7.KIRIM BBT "/>
      <sheetName val="9.ch"/>
      <sheetName val="10.STO"/>
      <sheetName val="11.Nama staf"/>
      <sheetName val="12. tk  "/>
      <sheetName val="13.MUTASI "/>
      <sheetName val="14.MHKK "/>
      <sheetName val="15.HKE JAN 02 "/>
      <sheetName val="16.akad "/>
      <sheetName val="Inventaris"/>
      <sheetName val="19.kendaraan"/>
      <sheetName val="20.Prod"/>
      <sheetName val="Output "/>
      <sheetName val="BY UMUM 1"/>
      <sheetName val="22,REKAP panen"/>
      <sheetName val="24,by panen98"/>
      <sheetName val="26,rekap tm"/>
      <sheetName val="27,rawat tm98"/>
      <sheetName val="32. rekap tbm"/>
      <sheetName val="34,rawat tbm05"/>
      <sheetName val="36.PUPUK"/>
      <sheetName val="38.LPD"/>
      <sheetName val="TRANSIT KEND (2)"/>
      <sheetName val="TRAN AB (2)"/>
      <sheetName val="TRN MSN (2)"/>
      <sheetName val="KET "/>
      <sheetName val="Fax"/>
      <sheetName val="Price_List"/>
      <sheetName val="STATION"/>
      <sheetName val="ST GROUP"/>
      <sheetName val="VHINFO"/>
      <sheetName val="Ach Prog "/>
      <sheetName val="Staff"/>
      <sheetName val="Sum-Ha"/>
      <sheetName val="Ha Mov"/>
      <sheetName val="Crop OP,RB"/>
      <sheetName val="Crop CA,CN"/>
      <sheetName val=" Crop Sta.OP"/>
      <sheetName val="Crop Sta.RB"/>
      <sheetName val="Crop Sta.CA"/>
      <sheetName val="Crop Sta.CN"/>
      <sheetName val="Crop New Opening"/>
      <sheetName val="Stimul"/>
      <sheetName val="Upk-M RB"/>
      <sheetName val="Upk-M OP"/>
      <sheetName val="Upk-M CA"/>
      <sheetName val="Upk-IM Y1"/>
      <sheetName val="Upk-IM Y2"/>
      <sheetName val="Upk-IM Y3"/>
      <sheetName val="Perf Imm RB"/>
      <sheetName val="Perf Imm OP"/>
      <sheetName val="Perf Imm CA,CN"/>
      <sheetName val="Develop Y0"/>
      <sheetName val="Contract"/>
      <sheetName val="Manure-Mat"/>
      <sheetName val="Manure-Imm"/>
      <sheetName val="Nurs.OP"/>
      <sheetName val="Nurs. R"/>
      <sheetName val="Nurs. CA"/>
      <sheetName val="R.fall"/>
      <sheetName val="Lab.Force"/>
      <sheetName val="Lab.alloc"/>
      <sheetName val="Health"/>
      <sheetName val="Staff-Bungalow"/>
      <sheetName val="Housing- others"/>
      <sheetName val="Heavy Vehicles "/>
      <sheetName val="Capex Npl"/>
      <sheetName val="Stores Movement"/>
      <sheetName val="Ha Mov Est"/>
      <sheetName val="Prod Feb"/>
      <sheetName val="Pengiriman TBS"/>
      <sheetName val="Check Afd"/>
      <sheetName val="Oilpalm Profile"/>
      <sheetName val="Mei "/>
      <sheetName val="Juli-Agst"/>
      <sheetName val="Agst-Sept"/>
      <sheetName val="Sept-Oktb"/>
      <sheetName val="Oktb-Nov"/>
      <sheetName val="Nov-Des"/>
      <sheetName val="Monthly BS"/>
      <sheetName val="Monthly P&amp;L"/>
      <sheetName val="Monthly PJ P&amp;L"/>
      <sheetName val="Interco Balances"/>
      <sheetName val="Interco Transaction"/>
      <sheetName val="Related Party "/>
      <sheetName val="Off Equipment"/>
      <sheetName val="Computer Hardware"/>
      <sheetName val="Furniture &amp; Fixtures"/>
      <sheetName val="Transport Eq."/>
      <sheetName val="Computer Software "/>
      <sheetName val="SUMMARY -per book"/>
      <sheetName val="Office Equipment"/>
      <sheetName val="Comp Hardw"/>
      <sheetName val="Furn&amp;Fixt"/>
      <sheetName val="Transportation Equipment"/>
      <sheetName val="Comp Software"/>
      <sheetName val="K Report"/>
      <sheetName val="K Flow"/>
      <sheetName val="K1 Building"/>
      <sheetName val="K1.1 Details"/>
      <sheetName val="K2 Off Equipment"/>
      <sheetName val="K2.1 Details"/>
      <sheetName val="K3 Comp Hardware"/>
      <sheetName val="K3.1 Details"/>
      <sheetName val="K4 Furniture&amp;Fixture"/>
      <sheetName val="K4.1 Details"/>
      <sheetName val="K5 Transp Equip"/>
      <sheetName val="K5.1 Details"/>
      <sheetName val="Addition FA in 2007"/>
      <sheetName val="J1 Comp Software"/>
      <sheetName val="N-1 (AP Trade)"/>
      <sheetName val="N-2 (AP Others)"/>
      <sheetName val="N-3 (AP O Affiliates)"/>
      <sheetName val="Audit Program"/>
      <sheetName val="Total - tb Dec08"/>
      <sheetName val="CIT UPA Dec 08"/>
      <sheetName val="A3 - BS (Dec 08)"/>
      <sheetName val="NAV001"/>
      <sheetName val="NAV002"/>
      <sheetName val="NAV003"/>
      <sheetName val="NAV004"/>
      <sheetName val="NAV005"/>
      <sheetName val="PM (GMP)"/>
      <sheetName val="WBS1 Combined"/>
      <sheetName val="WBS2 Combined"/>
      <sheetName val="WPL Combined"/>
      <sheetName val="Mov Cash Flow"/>
      <sheetName val="Cash Flow(not yet)"/>
      <sheetName val="WBS1(Site)"/>
      <sheetName val="WBS2(Site)"/>
      <sheetName val="WPL(Site)"/>
      <sheetName val="PAJE(Site)"/>
      <sheetName val="PRJE(Site) "/>
      <sheetName val="CAJE(Site)"/>
      <sheetName val="WBS1(JKO)"/>
      <sheetName val="WBS2(JKO)"/>
      <sheetName val="WPL(JKO)"/>
      <sheetName val="PAJE(JKO)"/>
      <sheetName val="PRJE(JKO)"/>
      <sheetName val="CAJE(JKO)"/>
      <sheetName val="PAJE(Site) (2)"/>
      <sheetName val="Inventory-Lead"/>
      <sheetName val="NRV"/>
      <sheetName val="Analytical Inventory"/>
      <sheetName val="allvatin (2)"/>
      <sheetName val="vat2"/>
      <sheetName val="MFG"/>
      <sheetName val="sepdec"/>
      <sheetName val="1. Act (4years) without DC"/>
      <sheetName val="2. Act (4years) with DC"/>
      <sheetName val="3. Act (3years) without DC"/>
      <sheetName val="4. Act (3years) with DC"/>
      <sheetName val="5. Adjustment"/>
      <sheetName val="6. depr FC 2008  bagi 4x "/>
      <sheetName val="7. Future crop 2008 ASLI"/>
      <sheetName val="8. WP  FC 2008 REVISI 4X "/>
      <sheetName val="9.WP FC 2009  revisi 4"/>
      <sheetName val="10. WP  FC 2008 asli"/>
      <sheetName val="O Combined"/>
      <sheetName val="O.1 Inc. Tax Pay. art 21 &amp; 26"/>
      <sheetName val="O.1.2 Inc. tax art 21 (Jan-Dec)"/>
      <sheetName val="O.2 Inc Tax Payable art 23"/>
      <sheetName val="O.3 Prepaid Tax art 25"/>
      <sheetName val="O.3.1 STP"/>
      <sheetName val="O.3.2 Fiscal Tax"/>
      <sheetName val="O.4 Inc. Tax Payable art 26"/>
      <sheetName val="O.5.2"/>
      <sheetName val="O.5.3"/>
      <sheetName val="Sales Sugar"/>
      <sheetName val="GL VAT IN"/>
      <sheetName val="VAT in Site"/>
      <sheetName val="K.2 Plantation"/>
      <sheetName val="K.3 Factory"/>
      <sheetName val="K.3.1"/>
      <sheetName val="K.3.2"/>
      <sheetName val="K.4 R&amp;D"/>
      <sheetName val="K.4.1"/>
      <sheetName val="K.4.2"/>
      <sheetName val="K.5 General"/>
      <sheetName val="K.5.1"/>
      <sheetName val="K.5.2"/>
      <sheetName val="K.6 Leasing"/>
      <sheetName val="K.6.1"/>
      <sheetName val="K.6.2"/>
      <sheetName val="KK SPT Y"/>
      <sheetName val="Detail Koreksi Fiskal"/>
      <sheetName val="D.6 "/>
      <sheetName val="D.7"/>
      <sheetName val="PM&amp;TE - SITE"/>
      <sheetName val="TB_WBS - Site"/>
      <sheetName val="TB_WPL - Site"/>
      <sheetName val="Adj Effect"/>
      <sheetName val="PRJE(Site)"/>
      <sheetName val="PRJE for Reporting (Site)"/>
      <sheetName val="CAJE RJE(Site)"/>
      <sheetName val="PM&amp;TE - JKO"/>
      <sheetName val="TB_WBS - JKO"/>
      <sheetName val="TB_WPL - JKO"/>
      <sheetName val="PM&amp;TE - Combined"/>
      <sheetName val="Current Tax 2010"/>
      <sheetName val="Deferred Tax 2010"/>
      <sheetName val="Statutory Tax 2010"/>
      <sheetName val="Accrued Expenses"/>
      <sheetName val="U-1 Lead+adjustment"/>
      <sheetName val="U-1.1 Sales Sugar"/>
      <sheetName val="U-1.2 Subsidi Sales"/>
      <sheetName val="U-1.3 Comparison per month"/>
      <sheetName val="U-1.3.1 Comparison+Gross Margin"/>
      <sheetName val="U-1.3.1 Summary per month"/>
      <sheetName val="U-1.4 Compare per Customer"/>
      <sheetName val="U-1.4.1 PER - PENYALUR"/>
      <sheetName val="U-1.5 ARPs"/>
      <sheetName val="U-1.6 Other Sales"/>
      <sheetName val="U-1.7 Vouching Sales and Other "/>
      <sheetName val="U-1.8 Sales Cut Off"/>
      <sheetName val="U-1.9"/>
      <sheetName val="Opinion LAI"/>
      <sheetName val="Opini Direksi"/>
      <sheetName val="W.S consolidasi"/>
      <sheetName val="CLK-Dwi"/>
      <sheetName val="PENJELASAN-PDMM05002"/>
      <sheetName val="PENJELASAN-PDMM05001"/>
      <sheetName val="Divisi"/>
      <sheetName val="IO"/>
      <sheetName val="Prior"/>
      <sheetName val="Sources"/>
      <sheetName val="PROG UTM FUNC PLAN"/>
      <sheetName val="TBL_COSTCENTER_BARU"/>
      <sheetName val="TBL_PP"/>
      <sheetName val="TBL_FOCus_Segmen"/>
      <sheetName val="TBL_PROBISNIS"/>
      <sheetName val="TBL_BARANGNEW"/>
      <sheetName val="TBL_LOKASI"/>
      <sheetName val="TBL_STATUSPROGRAM"/>
      <sheetName val="Dimensi Ifra"/>
      <sheetName val="TBL_AKUNBARU"/>
      <sheetName val="TBL_COSTCENTER"/>
      <sheetName val="TBL_INVPROGRAM"/>
      <sheetName val="TBL_KEGIATAN"/>
      <sheetName val="TBL_KELOMPOK_INVESTASI"/>
      <sheetName val="TBL_KONTRAKTOR"/>
      <sheetName val="TBL_MTU"/>
      <sheetName val="TBL_MATAUANG"/>
      <sheetName val="TBL_PAKET"/>
      <sheetName val="TBL_POLA_PENDANAAN"/>
      <sheetName val="TBL_PRODUCT"/>
      <sheetName val="TBL_StatusCarryOver"/>
      <sheetName val="._ls_._ls_._ls_AJE"/>
      <sheetName val="WS Unfull"/>
      <sheetName val="EquSta"/>
      <sheetName val="NotesKONSOL"/>
      <sheetName val="BSKONSOL"/>
      <sheetName val="IS (KONSOL)"/>
      <sheetName val="EquSta (KONSOL)"/>
      <sheetName val="CF (KONSOL)"/>
      <sheetName val="coverK0NSOL"/>
      <sheetName val="Daf IsiKONSOL"/>
      <sheetName val="OpinionKONSOL"/>
      <sheetName val="Pernyataan Direksi"/>
      <sheetName val="Penjelas"/>
      <sheetName val="Ls_XlbFormatTables"/>
      <sheetName val="Vouching Aset"/>
      <sheetName val="1221-0002 BANGUNAN"/>
      <sheetName val="1221-0003 INFRASTRUKTUR"/>
      <sheetName val="1221-0004 INSTALASI"/>
      <sheetName val="1221-0005 MESIN"/>
      <sheetName val="1221-0006 PERAL. PABRIK"/>
      <sheetName val="1221-0007 KENDARAAN"/>
      <sheetName val="1221-0008 PERAL. KANTIN"/>
      <sheetName val="1221-0009 PERAL. KANTOR"/>
      <sheetName val="Des'12"/>
      <sheetName val="KKP Jk Pnjg&lt;1thn"/>
      <sheetName val="KKP Pinjmn Jk Pnjg"/>
      <sheetName val="Kend. Leasing (31-12-2012)"/>
      <sheetName val="BS (KONSOL)"/>
      <sheetName val="KKP Perubahan Kebijakan Akntsi"/>
      <sheetName val="KKP Penyesuaian Angka Pajak"/>
      <sheetName val="BIAYA03"/>
      <sheetName val="ANALISABIAYA"/>
      <sheetName val="BIAYA20"/>
      <sheetName val="REKBIAYA"/>
      <sheetName val="BIAYA21"/>
      <sheetName val="ANAL22"/>
      <sheetName val="BIAYA22"/>
      <sheetName val="BIAYA23"/>
      <sheetName val="DataBase(Per;300905)"/>
      <sheetName val="sta-peg"/>
      <sheetName val="Rincian Gaji"/>
      <sheetName val="NAIK-1099(setelah tambahan)"/>
      <sheetName val="DATA(PER;30999)"/>
      <sheetName val="DATA(PER;30998)"/>
      <sheetName val="EKRP(3);FQ"/>
      <sheetName val="NAIK-1099(sebelum tambahan)"/>
      <sheetName val="NAIK-1099(GM;MNG;AM)"/>
      <sheetName val="NAIK-1099(KACAB)"/>
      <sheetName val="NAIK-1099(SALES)"/>
      <sheetName val="SALES(&lt;250;250-350;&gt;350)"/>
      <sheetName val="KENAIKAN TAMBAHAN (CBG)"/>
      <sheetName val="KENAIKAN TAMBAHAN(GAJI)"/>
      <sheetName val="ADJUST-(1)(&lt;300)"/>
      <sheetName val="ADJUST-(2)"/>
      <sheetName val="ADJUST-(3)"/>
      <sheetName val="ADJUST-(4)"/>
      <sheetName val="ADJUST-(5)"/>
      <sheetName val="BLP"/>
      <sheetName val="BDA"/>
      <sheetName val="BDL"/>
      <sheetName val="BDG (2)"/>
      <sheetName val="BJM"/>
      <sheetName val="DPS"/>
      <sheetName val="PKB"/>
      <sheetName val="PKB (2)"/>
      <sheetName val="SMG"/>
      <sheetName val="UPG"/>
      <sheetName val="YGY"/>
      <sheetName val="NAIK1099(KACAB)"/>
      <sheetName val="NAIK1099(KACAB) (2)"/>
      <sheetName val="NAIK1099(KP)"/>
      <sheetName val="KP(LEMBUR)"/>
      <sheetName val="PCN(Usulan)"/>
      <sheetName val="GJ(BARU)MNG&amp;ASST."/>
      <sheetName val="MNG&amp;ASST(KP)percobaan"/>
      <sheetName val="SPV&amp;STAF(KP)percobaan"/>
      <sheetName val="GM&amp;MNG(KP)"/>
      <sheetName val="MNG&amp;ASMG(301199)"/>
      <sheetName val="KP-Supervisor"/>
      <sheetName val="KP-Staf(non lembur)"/>
      <sheetName val="KP-Staf(lembur)"/>
      <sheetName val="GATS(31-10-99)"/>
      <sheetName val="KP-Sekretaris"/>
      <sheetName val="TOS(311099)"/>
      <sheetName val="AA(311199)"/>
      <sheetName val="MAGANG(30-11-99)"/>
      <sheetName val="FS;SS;STS(SIP-99)"/>
      <sheetName val="Chief&amp;Coll(31-10-99)"/>
      <sheetName val="DATA(KP-301199)"/>
      <sheetName val="AMD(301199)"/>
      <sheetName val="A&amp;T(301199)"/>
      <sheetName val="BD(301199)"/>
      <sheetName val="DIR(301199)"/>
      <sheetName val="GATS(301199)"/>
      <sheetName val="HRD(301199)"/>
      <sheetName val="IA(301199)"/>
      <sheetName val="KOM(301199)"/>
      <sheetName val="KSO(301199)"/>
      <sheetName val="LOG(301199)"/>
      <sheetName val="FMIS(301199)"/>
      <sheetName val="MU(301199)"/>
      <sheetName val="OP(301199)"/>
      <sheetName val="TambahKary(1-11-99)"/>
      <sheetName val="GAJI-(4)"/>
      <sheetName val="K.4CASHINBANK"/>
      <sheetName val="K.5CASHONHAND"/>
      <sheetName val="K.6DEPOSIT"/>
      <sheetName val="Gab-edit new"/>
      <sheetName val="Gabungan-edit"/>
      <sheetName val="Bank (3)"/>
      <sheetName val="REK.BANK (2)"/>
      <sheetName val="per unit bank"/>
      <sheetName val="b&amp;p"/>
      <sheetName val="odb"/>
      <sheetName val="per unit kas"/>
      <sheetName val="A-HC"/>
      <sheetName val="A-OC"/>
      <sheetName val="Bahan-OC (2)"/>
      <sheetName val="Bahan-OC"/>
      <sheetName val="Bahan-HC (2)"/>
      <sheetName val="Bahan-HC"/>
      <sheetName val="penyisihan pius"/>
      <sheetName val="Bahan Baku"/>
      <sheetName val="BP-(Inter,Access,Packing)"/>
      <sheetName val="Finish good"/>
      <sheetName val="K100"/>
      <sheetName val="CO.KC-R"/>
      <sheetName val="CO.KC-R1"/>
      <sheetName val="K110"/>
      <sheetName val="CO.KC-T"/>
      <sheetName val="K200"/>
      <sheetName val="K210"/>
      <sheetName val="K220"/>
      <sheetName val="Detail Bank"/>
      <sheetName val="HJULS"/>
      <sheetName val="Anls04"/>
      <sheetName val="Anls05"/>
      <sheetName val="PJ"/>
      <sheetName val="PW"/>
      <sheetName val="HPP++"/>
      <sheetName val="TB-SD-Madura-2008"/>
      <sheetName val="BS&amp;PL"/>
      <sheetName val="40.1"/>
      <sheetName val="40.2"/>
      <sheetName val="40.3"/>
      <sheetName val="40.4"/>
      <sheetName val="40.5"/>
      <sheetName val="40.6"/>
      <sheetName val="50.1"/>
      <sheetName val="50.2"/>
      <sheetName val="L-R (Sari Valas)-2012"/>
      <sheetName val="NERACA (Sari Valas)-2012"/>
      <sheetName val="WBS-Thamrin"/>
      <sheetName val="WBS-Pejaten"/>
      <sheetName val="WBS-Yogyakarta"/>
      <sheetName val="WBS-Banyumanik"/>
      <sheetName val="WBS-Basrah"/>
      <sheetName val="WBS S. Valas"/>
      <sheetName val="CUT-1"/>
      <sheetName val="WBS BATAM"/>
      <sheetName val="CUT-2"/>
      <sheetName val="Jurnal Eliminasi"/>
      <sheetName val="NerAkt2011"/>
      <sheetName val="NerPas 2011"/>
      <sheetName val="RL 2010 psat &amp; Outlet"/>
      <sheetName val="WBS-Kanpus"/>
      <sheetName val="ekuitas (2)"/>
      <sheetName val="NERACA KON"/>
      <sheetName val="LR PERBANDINGAN RKAP"/>
      <sheetName val="LR KONSOL"/>
      <sheetName val="NERACA INDUK"/>
      <sheetName val="NERACA (Sari Valas)"/>
      <sheetName val="L-R (Sari Valas)"/>
      <sheetName val="CUT"/>
      <sheetName val="L-R KONSOL"/>
      <sheetName val="CUT "/>
      <sheetName val="PERUBAHAN MODAL 2011"/>
      <sheetName val="Gabungan Outlet"/>
      <sheetName val="NERACA PERBANDINGAN (2011-2010)"/>
      <sheetName val="PRBHN MODAL"/>
      <sheetName val="ratio keu"/>
      <sheetName val="ARUS KAS 2011"/>
      <sheetName val="CUT 4"/>
      <sheetName val="laba-rugi kons"/>
      <sheetName val="L-R KONSOL(Dalam Jutaan)"/>
      <sheetName val="Perbandingan Investasi"/>
      <sheetName val="Perhitungan Pjk Tangguhan"/>
      <sheetName val="koreksi temuan KAP"/>
      <sheetName val="koreksi Audit 2009"/>
      <sheetName val="JK WBS Gab."/>
      <sheetName val="WBS Gabungan"/>
      <sheetName val="WBS Audited"/>
      <sheetName val="AJE FINAL"/>
      <sheetName val="jk kp"/>
      <sheetName val="WBS Kanpus"/>
      <sheetName val="JK Jatim"/>
      <sheetName val="JK Jateng"/>
      <sheetName val="WBS Jatim"/>
      <sheetName val="WBSJateng"/>
      <sheetName val="JK PEJATEN"/>
      <sheetName val="WBS PEJATEN"/>
      <sheetName val="LRkons"/>
      <sheetName val="JK Sarivalas"/>
      <sheetName val="SARI VALAS"/>
      <sheetName val="JK DKI"/>
      <sheetName val="WBSDKI"/>
      <sheetName val="Opini 2"/>
      <sheetName val="Uraian"/>
      <sheetName val="ctt lap"/>
      <sheetName val="EQ (2)"/>
      <sheetName val="Note's (3)"/>
      <sheetName val="PL-08"/>
      <sheetName val="CF-08"/>
      <sheetName val="Jrnl_Rstd"/>
      <sheetName val="TB-All Unit (3)"/>
      <sheetName val="NS (2)"/>
      <sheetName val="Rgks Operasi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FA Fcl 2006"/>
      <sheetName val="2005 - rev"/>
      <sheetName val="RPT"/>
      <sheetName val="FACT  LOAN"/>
      <sheetName val="USD-BAL"/>
      <sheetName val="RP-BAL"/>
      <sheetName val="A R"/>
      <sheetName val="PAID"/>
      <sheetName val="FE-1770-IV"/>
      <sheetName val="FI-1770-IV"/>
      <sheetName val="TT Detail"/>
      <sheetName val="EstateAddTax'04"/>
      <sheetName val="OMAddnTax'04"/>
      <sheetName val="OMDisp2004 (2)"/>
      <sheetName val="EstateDisp2004"/>
      <sheetName val="OMDisp2004"/>
      <sheetName val="Trial"/>
      <sheetName val="KI"/>
      <sheetName val="B.1.1"/>
      <sheetName val="B.1.2"/>
      <sheetName val="B.1.3"/>
      <sheetName val="B.3.1"/>
      <sheetName val="VS"/>
      <sheetName val="NVS"/>
      <sheetName val="incentive"/>
      <sheetName val="B.4.1"/>
      <sheetName val="baikan"/>
      <sheetName val="B5"/>
      <sheetName val="21wp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kori"/>
      <sheetName val="WS Jakarta"/>
      <sheetName val="kORBTM"/>
      <sheetName val="WS Btm"/>
      <sheetName val="WSGab"/>
      <sheetName val="pil"/>
      <sheetName val="shu"/>
      <sheetName val="akas"/>
      <sheetName val="Daf-Rek"/>
      <sheetName val="Worksheet99"/>
      <sheetName val="Jurnal,Mutasi&amp;Saldo"/>
      <sheetName val="No.Rekening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KEWAJIBAN J.PANJANG"/>
      <sheetName val="Tab.Perkiraan"/>
      <sheetName val="KW.JK.PANJANG"/>
      <sheetName val="@INA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Attachments-2"/>
      <sheetName val="Lampiran-2"/>
      <sheetName val="Fiscal Depreciation"/>
      <sheetName val="Prepaid tax Art 23 (E)"/>
      <sheetName val="Prepaid tax Art 23"/>
      <sheetName val="entertainment (E)"/>
      <sheetName val="1771-y (eng)"/>
      <sheetName val="Financial Statement"/>
      <sheetName val="Attachment "/>
      <sheetName val="Attachment  (2)"/>
      <sheetName val="FA Reconcil"/>
      <sheetName val="PENYUSUT"/>
      <sheetName val="Art.23 recon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SURL"/>
      <sheetName val="test of Average Interest"/>
      <sheetName val="fm14(Tabungan)"/>
      <sheetName val="Test of Witholding Tax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SubDebt"/>
      <sheetName val="LRK"/>
      <sheetName val="PEND+BIAYA"/>
      <sheetName val="NONCAB"/>
      <sheetName val="lr treas"/>
      <sheetName val="Sandi laba rugi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giro_bbl (2)"/>
      <sheetName val="dep_bbl"/>
      <sheetName val="dep_bbl (2)"/>
      <sheetName val="EXRA"/>
      <sheetName val="trf d-i"/>
      <sheetName val="p***"/>
      <sheetName val="**_x0000__x0000_"/>
      <sheetName val="Scen Formula"/>
      <sheetName val="ASBS"/>
      <sheetName val="ASIS"/>
      <sheetName val="ASOFF"/>
      <sheetName val="Scen Print"/>
      <sheetName val="HL"/>
      <sheetName val="BI_Ratios"/>
      <sheetName val="Soundness"/>
      <sheetName val="Gen Asum"/>
      <sheetName val="OFF $"/>
      <sheetName val="GOI Bonds"/>
      <sheetName val="Securities"/>
      <sheetName val="Int Exp"/>
      <sheetName val="OHC"/>
      <sheetName val="NPL"/>
      <sheetName val="Ec_Sec"/>
      <sheetName val="KUK"/>
      <sheetName val="Modal Saham4"/>
      <sheetName val="Modal Saham5"/>
      <sheetName val="Laba Saham"/>
      <sheetName val="RF ESOP"/>
      <sheetName val="T MEMO"/>
      <sheetName val="T LEAD 06"/>
      <sheetName val="D.2.1.1 (2)"/>
      <sheetName val="H.1.1 Penyertaan Dec'06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Tax Memo"/>
      <sheetName val="O.2 Report Format"/>
      <sheetName val="O.2 CITC"/>
      <sheetName val="O.2.1 CITC Detail"/>
      <sheetName val="Deferred Tax 31 Dec 2006"/>
      <sheetName val="O.3 - Tax art 21-HO"/>
      <sheetName val="O.4 - Tax art 23,26"/>
      <sheetName val="O.5 - Tax art 25"/>
      <sheetName val="Tax Assesment"/>
      <sheetName val="Tax Status"/>
      <sheetName val="Tax Assesment (2)"/>
      <sheetName val="Icome"/>
      <sheetName val="Aset"/>
      <sheetName val="RL Fiskal"/>
      <sheetName val="Note-fiscal"/>
      <sheetName val="Receiv"/>
      <sheetName val="AB"/>
      <sheetName val="Neraca_Eng"/>
      <sheetName val="Ekuitas_Eng"/>
      <sheetName val="CF_Eng"/>
      <sheetName val="LR_Eng"/>
      <sheetName val="NERACA_cashflow"/>
      <sheetName val="tb round (2)"/>
      <sheetName val="WBS-PL SI 2011-update"/>
      <sheetName val="AJE-RJE Gabung"/>
      <sheetName val="LHEK"/>
      <sheetName val="PAJAK_KINI"/>
      <sheetName val="Catlap-new"/>
      <sheetName val="Mutasi AT"/>
      <sheetName val="Piutang-CKPN"/>
      <sheetName val="Homestatement 2011"/>
      <sheetName val="contoh Tbk"/>
      <sheetName val="LS-B"/>
      <sheetName val="B-1(rev)"/>
      <sheetName val="B-2.1"/>
      <sheetName val="B-2.2"/>
      <sheetName val="B-2.3"/>
      <sheetName val="B-5 (2)"/>
      <sheetName val="B-6 (Avloop) (2)"/>
      <sheetName val="pending konfirmasi"/>
      <sheetName val="JDP I"/>
      <sheetName val="jdp1"/>
      <sheetName val="IE"/>
      <sheetName val="PPIDN"/>
      <sheetName val="NRC "/>
      <sheetName val="LAK"/>
      <sheetName val="Kas Harian"/>
      <sheetName val="Kas Kecil"/>
      <sheetName val="Bank Bel"/>
      <sheetName val="Bank Rp"/>
      <sheetName val="Bank US"/>
      <sheetName val="Bank Eu"/>
      <sheetName val="Ak Tetap"/>
      <sheetName val="Expenses Surveyor"/>
      <sheetName val="Masda"/>
      <sheetName val="Retur_Pemb"/>
      <sheetName val="FP_KLR"/>
      <sheetName val="FP_MSK"/>
      <sheetName val="1195"/>
      <sheetName val="1195-1"/>
      <sheetName val="1195-2"/>
      <sheetName val="1195A2"/>
      <sheetName val="119A11"/>
      <sheetName val="1195A1"/>
      <sheetName val="1195A3"/>
      <sheetName val="1195B1"/>
      <sheetName val="1195B2"/>
      <sheetName val="1195B3"/>
      <sheetName val="1195B31"/>
      <sheetName val="1195B4"/>
      <sheetName val="1195BM"/>
      <sheetName val="1995BM1"/>
      <sheetName val="SearchLiabilities"/>
      <sheetName val="Cut Off Sales Lokal"/>
      <sheetName val="Cut Off Sales Export"/>
      <sheetName val="Cut Off Purchase"/>
      <sheetName val="CashReceipt"/>
      <sheetName val="CashDisbursement"/>
      <sheetName val="EC_2001"/>
      <sheetName val="DT2001"/>
      <sheetName val="DN_2001"/>
      <sheetName val="TaxExp"/>
      <sheetName val="Datas"/>
      <sheetName val="Double Paid"/>
      <sheetName val="Master List"/>
      <sheetName val="Trial Balance - Local Currency"/>
      <sheetName val="Trial Balance - Group Currency"/>
      <sheetName val="Trial Balance - summary"/>
      <sheetName val="ERD Accounts"/>
      <sheetName val="ERD Quality Checklist"/>
      <sheetName val="110000"/>
      <sheetName val="110000 Quality Checklist"/>
      <sheetName val="Inter Co Quality Checklist"/>
      <sheetName val="202000"/>
      <sheetName val="202000 Quality Checklist"/>
      <sheetName val="210100"/>
      <sheetName val="210100 Quality Checklist"/>
      <sheetName val="210500"/>
      <sheetName val="210500 Quality Checklist"/>
      <sheetName val="210600"/>
      <sheetName val="210600 Quality Checklist "/>
      <sheetName val="211100"/>
      <sheetName val="211100 Quality Checklist"/>
      <sheetName val="214000"/>
      <sheetName val="214100"/>
      <sheetName val="215050"/>
      <sheetName val="215100"/>
      <sheetName val="215150"/>
      <sheetName val="215500"/>
      <sheetName val="216200"/>
      <sheetName val="119995 &amp; 209995"/>
      <sheetName val="119990"/>
      <sheetName val="119991"/>
      <sheetName val="209990"/>
      <sheetName val="FA Quality Checklist"/>
      <sheetName val="215000 Quality Checklist"/>
      <sheetName val="210600 Quality Checklist"/>
      <sheetName val="214000 Quality Checklist"/>
      <sheetName val="214100 Quality Checklist"/>
      <sheetName val="215050 Quality Checklist"/>
      <sheetName val="215100 Quality Checklist "/>
      <sheetName val="215150 Quality Checklist  "/>
      <sheetName val="215500 Quality Checklist  "/>
      <sheetName val="216200 Quality Checklist   "/>
      <sheetName val="Current Data"/>
      <sheetName val="Tracking Chart"/>
      <sheetName val="Account Information"/>
      <sheetName val="PivotData"/>
      <sheetName val="Summary PPh 21 Cfm Masa"/>
      <sheetName val="Kalk Dec 2009"/>
      <sheetName val="Augst"/>
      <sheetName val="ST"/>
      <sheetName val="Data-ST-Ori"/>
      <sheetName val="Data-AS-Ori"/>
      <sheetName val="1721-A1_ST"/>
      <sheetName val="1721-A1_AS"/>
      <sheetName val="OP TRANPORTATION (2)"/>
      <sheetName val="OP TRANPORTATION"/>
      <sheetName val="OP OTHERS (2)"/>
      <sheetName val="**01"/>
      <sheetName val="vlookup"/>
      <sheetName val="160100"/>
      <sheetName val="220100"/>
      <sheetName val="030200"/>
      <sheetName val="100200"/>
      <sheetName val="250200"/>
      <sheetName val="160200"/>
      <sheetName val="030300"/>
      <sheetName val="100300"/>
      <sheetName val="150300"/>
      <sheetName val="050400"/>
      <sheetName val="140400"/>
      <sheetName val="280400"/>
      <sheetName val="040500"/>
      <sheetName val="120500"/>
      <sheetName val="290500"/>
      <sheetName val="310500"/>
      <sheetName val="070600"/>
      <sheetName val="190600"/>
      <sheetName val="Neraca dan RL"/>
      <sheetName val="wbs Timika"/>
      <sheetName val="VESLIS97"/>
      <sheetName val="VESLIS97 (2)"/>
      <sheetName val="pertanyaan to Sumanto"/>
      <sheetName val="Anrev 06"/>
      <sheetName val="Anrev BS"/>
      <sheetName val="A-100 Cash &amp; Bank"/>
      <sheetName val="piutang whole"/>
      <sheetName val="B-100 Piutang"/>
      <sheetName val="Selisih Piutang"/>
      <sheetName val="B-200 Piutang MF Bisanta ok "/>
      <sheetName val=" B-300 Piut MF Permata ok "/>
      <sheetName val="B-400 piutang MF Anggrek"/>
      <sheetName val="B-500 Piut MF MPI"/>
      <sheetName val="B-600 Piutang MKSP Anggrek"/>
      <sheetName val="B-700 Piut bagi hasil Permata"/>
      <sheetName val="B-800 Piut bagi hasil anggrek"/>
      <sheetName val="B-900 Piut lainnya"/>
      <sheetName val="B-1000 Piut Hub Istimewa"/>
      <sheetName val="L-100 Prpaymet &amp; Other Assets"/>
      <sheetName val="L-200 Uang Muka Asuransi "/>
      <sheetName val="L-300 Pjk Dibayar Dimuka"/>
      <sheetName val="L-400"/>
      <sheetName val="U-100 FA"/>
      <sheetName val="DD-100 Current Liabilities"/>
      <sheetName val="DD-200 Hutang PPn"/>
      <sheetName val="DD-300 Hutang PPh21"/>
      <sheetName val="DD-400 Hutang Lainya"/>
      <sheetName val="FF-Income Taxes"/>
      <sheetName val="FF-200 Hutang PPh 29"/>
      <sheetName val="PP-100 HUtang Hub Istimewa"/>
      <sheetName val="SS-100 Ekuitas"/>
      <sheetName val="tahun 04 sehrsnya"/>
      <sheetName val="   "/>
      <sheetName val="Manf kary - used"/>
      <sheetName val="Manfaat karyawan"/>
      <sheetName val="Sheet 1"/>
      <sheetName val="MF"/>
      <sheetName val="Anrev"/>
      <sheetName val="Master_Produk"/>
      <sheetName val="Summary List"/>
      <sheetName val="PSI"/>
      <sheetName val="PST FG Valuation"/>
      <sheetName val="P&amp;L Dest&amp;Shipping Point -Sep"/>
      <sheetName val="Sales Analysis - Location"/>
      <sheetName val="PL PSI F"/>
      <sheetName val="Pemalang"/>
      <sheetName val="Pasuruan"/>
      <sheetName val="Pasuruan Crab"/>
      <sheetName val="Pasuruan Fish"/>
      <sheetName val="PSIC"/>
      <sheetName val="Per Pound Data Fish"/>
      <sheetName val="Sulawesi Crab"/>
      <sheetName val="Sulawesi Fish"/>
      <sheetName val="PL Consolidate"/>
      <sheetName val="Per Pound Data Crab "/>
      <sheetName val="PL Consolidate Crab"/>
      <sheetName val="PL Consolidate Fish"/>
      <sheetName val="Lampung Crab"/>
      <sheetName val="PL Consolidate Value Added"/>
      <sheetName val="Per Pound Value Added"/>
      <sheetName val="Lampung Value Added"/>
      <sheetName val="PSiF"/>
      <sheetName val="PSP Val"/>
      <sheetName val="PSI V"/>
      <sheetName val="Per Pound Data Value Added"/>
      <sheetName val="PL Consolidate Val"/>
      <sheetName val="PSN fish"/>
      <sheetName val="PSIPLV"/>
      <sheetName val="All Product Sold VA"/>
      <sheetName val="All Product Sold Fish"/>
      <sheetName val="PSI Crab PL"/>
      <sheetName val="All Product Sold"/>
      <sheetName val="Per Pound Data Fish."/>
      <sheetName val="Per Pound Data Value Added."/>
      <sheetName val="Sales Analy - Product Line"/>
      <sheetName val="GSS"/>
      <sheetName val="SPAB"/>
      <sheetName val="C-Lead"/>
      <sheetName val="E.1.2"/>
      <sheetName val="AR-BARU"/>
      <sheetName val="Other AR"/>
      <sheetName val="G1-lead"/>
      <sheetName val="Ad. Suppliier"/>
      <sheetName val="K-5.1"/>
      <sheetName val="k.6"/>
      <sheetName val="1771 "/>
      <sheetName val="CF-Combined"/>
      <sheetName val="COGS-CONSOL"/>
      <sheetName val="BS-CONSOL"/>
      <sheetName val="PL-CONSOL"/>
      <sheetName val="TJ2003"/>
      <sheetName val="AJE&amp;RJE-KRG"/>
      <sheetName val="COGS-KRG"/>
      <sheetName val="PL-KRG"/>
      <sheetName val="BS-KRG"/>
      <sheetName val="BS-SMG"/>
      <sheetName val="PL-SMG"/>
      <sheetName val="COGS-SMG"/>
      <sheetName val="AJE&amp;RJE-SMG"/>
      <sheetName val="TBPEP2"/>
      <sheetName val="TBALL"/>
      <sheetName val="J1.A"/>
      <sheetName val="J1.B"/>
      <sheetName val="E1.A"/>
      <sheetName val="E1.B"/>
      <sheetName val="dpt In-House feb'02"/>
      <sheetName val="dpt In-House feb'03"/>
      <sheetName val="dpt In-House Feb '03"/>
      <sheetName val="In-direct"/>
      <sheetName val="Art 23"/>
      <sheetName val=" "/>
      <sheetName val="ROOM_04"/>
      <sheetName val="FBD_05"/>
      <sheetName val="TLP_06"/>
      <sheetName val="LAUNDRY_07"/>
      <sheetName val="PARKING_10"/>
      <sheetName val="KIOSK_11"/>
      <sheetName val="BSCENTER_08"/>
      <sheetName val="OTH INCOME_09"/>
      <sheetName val="ADMGEN_12"/>
      <sheetName val="H.RESOURCES_15"/>
      <sheetName val="MARKETING_13"/>
      <sheetName val="POMEC_14"/>
      <sheetName val="OWNERS"/>
      <sheetName val="COMP INC_01"/>
      <sheetName val="PER1000"/>
      <sheetName val="STATOF INC1_02"/>
      <sheetName val="STATOF INC 2_03"/>
      <sheetName val="HOUSE LNDRY"/>
      <sheetName val="FBANALIS"/>
      <sheetName val="ROOM STSC"/>
      <sheetName val="OPS. RATIO"/>
      <sheetName val="PROFITLOSS"/>
      <sheetName val="RESERVE"/>
      <sheetName val="DEFFERED CHG"/>
      <sheetName val="BLC SHEET"/>
      <sheetName val="BAL BECKUP"/>
      <sheetName val="SERVICE TAX"/>
      <sheetName val="CURR ASSET"/>
      <sheetName val="GUEST CREDIT"/>
      <sheetName val="BANKREV"/>
      <sheetName val="BANK EXPENSE"/>
      <sheetName val="BANK EMERGENCY"/>
      <sheetName val="AP PROFORMA"/>
      <sheetName val="MAINT REPORT"/>
      <sheetName val="AR OTHER"/>
      <sheetName val="STRUCTURAL"/>
      <sheetName val="SYNTHESIS01"/>
      <sheetName val="STATE01-02"/>
      <sheetName val="WCF Direct"/>
      <sheetName val="Non Financial"/>
      <sheetName val="WBS-Beg"/>
      <sheetName val="Fiscal0901"/>
      <sheetName val="KSO NDE0901"/>
      <sheetName val="Fiscal0900"/>
      <sheetName val="KSO NDE0900"/>
      <sheetName val="Debitur &amp; Creditur"/>
      <sheetName val="DEFER-TAX"/>
      <sheetName val="B-BS-IC-CF-HL-RAT"/>
      <sheetName val="C-NOTES"/>
      <sheetName val="D-COST&amp;EXP"/>
      <sheetName val="E-REV-CS-INV"/>
      <sheetName val="A-GL-SUMMARY"/>
      <sheetName val="ACS"/>
      <sheetName val="DET_ADJ"/>
      <sheetName val="P-A"/>
      <sheetName val="SUMM-P-A"/>
      <sheetName val="DT "/>
      <sheetName val="COST-SHIP"/>
      <sheetName val="B-BS-IC-CF-HL-RAT (PA)"/>
      <sheetName val="RAW DATA AX"/>
      <sheetName val="TB0609"/>
      <sheetName val="TB0509"/>
      <sheetName val="TB0409"/>
      <sheetName val="TB0309"/>
      <sheetName val="TB 0209"/>
      <sheetName val="TB 0109"/>
      <sheetName val="TB 1208 AUDIT"/>
      <sheetName val="BS-FISC"/>
      <sheetName val="ADJ-FISC"/>
      <sheetName val="GOV-REP"/>
      <sheetName val="汽配车间扩建"/>
      <sheetName val="锅炉"/>
      <sheetName val="喷漆房"/>
      <sheetName val="C-6-ss"/>
      <sheetName val="C_6_ss"/>
      <sheetName val="P for DD- interim"/>
      <sheetName val="Interco - interim"/>
      <sheetName val="Finals"/>
      <sheetName val="P for DD (2)"/>
      <sheetName val="P for DD_ interim"/>
      <sheetName val="F-4(04-entry)"/>
      <sheetName val="审定表"/>
      <sheetName val="其它应收款调整事项"/>
      <sheetName val="12月单位往来"/>
      <sheetName val="个人往来12月帐龄"/>
      <sheetName val="其他应收帐款底稿"/>
      <sheetName val="6月帐龄"/>
      <sheetName val="12月函证"/>
      <sheetName val="6月单位往来_"/>
      <sheetName val="应收帐款调整事项"/>
      <sheetName val="调整后帐龄及明细表"/>
      <sheetName val="坏帐准备"/>
      <sheetName val="帐龄分析调整"/>
      <sheetName val="串户调整分录"/>
      <sheetName val="预收帐款调整事项"/>
      <sheetName val="99年补做收入明细"/>
      <sheetName val="应收帐款贷方"/>
      <sheetName val="预收帐款"/>
      <sheetName val="帐龄及明细表"/>
      <sheetName val="3年以上帐龄明细表"/>
      <sheetName val="应收帐款贷方明细"/>
      <sheetName val="2000年补做收入"/>
      <sheetName val="银行存款余额验证表"/>
      <sheetName val="FF_1"/>
      <sheetName val="RM02-1~7"/>
      <sheetName val="RM02-1"/>
      <sheetName val="RM02-2"/>
      <sheetName val="RM02-3"/>
      <sheetName val="RM02-4"/>
      <sheetName val="RM02-5"/>
      <sheetName val="RM02-6"/>
      <sheetName val="RM02-7"/>
      <sheetName val="02-1~7材料库"/>
      <sheetName val="02-1~7铸件库"/>
      <sheetName val="02-1~7割草机材料"/>
      <sheetName val="02-1~7自制半成品割草机"/>
      <sheetName val="02-1~7自制半成品富豪"/>
      <sheetName val="RM02-8~12"/>
      <sheetName val="RM02-8"/>
      <sheetName val="RM02-9"/>
      <sheetName val="RM02-10"/>
      <sheetName val="RM02-11"/>
      <sheetName val="RM02-12"/>
      <sheetName val="02-8~12铸造主材明细"/>
      <sheetName val="02-8~12加工主材明细"/>
      <sheetName val="02-8~12铸造辅材"/>
      <sheetName val="02-8~12加工辅材"/>
      <sheetName val="02-8~12铸造修理材料"/>
      <sheetName val="02-8~12加工修理材料"/>
      <sheetName val="02-8~12包装材料"/>
      <sheetName val="02-8~12割草机材料"/>
      <sheetName val="02-8~12包装物"/>
      <sheetName val="02-8~12铸造低值易耗品"/>
      <sheetName val="02-8~12加工低值易耗品"/>
      <sheetName val="02-8~12自制半成品割草"/>
      <sheetName val="房屋"/>
      <sheetName val="C-7(RM)"/>
      <sheetName val="C-8(FG)"/>
      <sheetName val="Interco _ interim"/>
      <sheetName val="现金盘点"/>
      <sheetName val="现金清点表"/>
      <sheetName val="科目余额表"/>
      <sheetName val="应收帐款"/>
      <sheetName val="其他应收帐款"/>
      <sheetName val="预付帐款"/>
      <sheetName val="索引表"/>
      <sheetName val="报表附注"/>
      <sheetName val="收入验证"/>
      <sheetName val="函证清单"/>
      <sheetName val="银行存款余额明细表"/>
      <sheetName val="银行未达帐验证表"/>
      <sheetName val="存货明细"/>
      <sheetName val="存货盘点表"/>
      <sheetName val="固定资产盘点表"/>
      <sheetName val="存货计价抽查表"/>
      <sheetName val="固定资产及累计折旧"/>
      <sheetName val="固定资产变动情况明细表"/>
      <sheetName val="固定资产变动损益明细"/>
      <sheetName val="短期借款明细表"/>
      <sheetName val="长期借款明细表"/>
      <sheetName val="工资明细表"/>
      <sheetName val="工资附加计算明细表"/>
      <sheetName val="增值税销项税金及附加计算表"/>
      <sheetName val="销值收入成本明细汇总"/>
      <sheetName val="销售收入明细及分析"/>
      <sheetName val="生产成本明细核对表"/>
      <sheetName val="生产成本及销售成本倒轧表"/>
      <sheetName val="制造费用明细汇总表"/>
      <sheetName val="制造费用变动分析表"/>
      <sheetName val="管理费用明细汇总表"/>
      <sheetName val="管理费用变动分析表"/>
      <sheetName val="营业费用明细汇总表"/>
      <sheetName val="营业费用变动分析表"/>
      <sheetName val="财务费用明细汇总表"/>
      <sheetName val="财务费用变动分析表"/>
      <sheetName val="应交税金"/>
      <sheetName val="CA95 "/>
      <sheetName val="DFA95"/>
      <sheetName val="FORMC"/>
      <sheetName val="108"/>
      <sheetName val="RA COST"/>
      <sheetName val="EXCHANGE "/>
      <sheetName val="com00"/>
      <sheetName val="Ramblings"/>
      <sheetName val="Amemo"/>
      <sheetName val="LS "/>
      <sheetName val="A22G"/>
      <sheetName val="A23"/>
      <sheetName val="A23-client"/>
      <sheetName val="A30"/>
      <sheetName val="A52-client"/>
      <sheetName val="A53-Client"/>
      <sheetName val="A59"/>
      <sheetName val="A81G"/>
      <sheetName val="Cmemo"/>
      <sheetName val="Fmemo"/>
      <sheetName val="F8"/>
      <sheetName val="F9"/>
      <sheetName val="F10"/>
      <sheetName val="F11"/>
      <sheetName val="FF1.1"/>
      <sheetName val="FF1.2"/>
      <sheetName val="FF1.3"/>
      <sheetName val="FF1.4"/>
      <sheetName val="FF1.5"/>
      <sheetName val="I3.1"/>
      <sheetName val="I3.2"/>
      <sheetName val="K102"/>
      <sheetName val="Kmemo"/>
      <sheetName val="N4"/>
      <sheetName val="N5"/>
      <sheetName val="N6"/>
      <sheetName val="O5"/>
      <sheetName val="Smemo"/>
      <sheetName val="U2memo1"/>
      <sheetName val="U2memo2"/>
      <sheetName val="U5.1"/>
      <sheetName val="U7,1"/>
      <sheetName val="U7.2"/>
      <sheetName val="U7.3"/>
      <sheetName val="U8"/>
      <sheetName val="U11"/>
      <sheetName val="E3x"/>
      <sheetName val="E4x"/>
      <sheetName val="E5x"/>
      <sheetName val="F4x"/>
      <sheetName val="G2x"/>
      <sheetName val="G3x"/>
      <sheetName val="N3x"/>
      <sheetName val="N4x"/>
      <sheetName val="U2x"/>
      <sheetName val="U3.2x"/>
      <sheetName val="U5.1x"/>
      <sheetName val="U6x"/>
      <sheetName val="Kxx"/>
      <sheetName val="余额表"/>
      <sheetName val="制造费用"/>
      <sheetName val="生产成本"/>
      <sheetName val="应收票据"/>
      <sheetName val="产成品"/>
      <sheetName val="Kx"/>
      <sheetName val="存货"/>
      <sheetName val="Nx"/>
      <sheetName val="Nxx"/>
      <sheetName val="集团医院资产表"/>
      <sheetName val="集团医院利润表"/>
      <sheetName val="集团医院分录"/>
      <sheetName val="筹建处资产表"/>
      <sheetName val="筹建处利润表"/>
      <sheetName val="筹建处分录"/>
      <sheetName val="大香港资产表"/>
      <sheetName val="大香港利润表"/>
      <sheetName val="大香港分录"/>
      <sheetName val="老孙家食品资产表"/>
      <sheetName val="老孙家食品利润表"/>
      <sheetName val="老孙家食品分录"/>
      <sheetName val="Lap Piutang"/>
      <sheetName val="SoAwal"/>
      <sheetName val="Jsp"/>
      <sheetName val="Listbyr"/>
      <sheetName val="SoAkhir"/>
      <sheetName val="So Akhir New"/>
      <sheetName val="Jan_Apr 09"/>
      <sheetName val="bca"/>
      <sheetName val="US_"/>
      <sheetName val="lippo"/>
      <sheetName val="So Akhir New _2_"/>
      <sheetName val="Fp"/>
      <sheetName val="412src2"/>
      <sheetName val="SELISIHKURSSOURCE"/>
      <sheetName val="T- 1"/>
      <sheetName val="T-1.1"/>
      <sheetName val="T-1.4"/>
      <sheetName val="Operating Income"/>
      <sheetName val="ARK-WBS"/>
      <sheetName val="ARK-WPL"/>
      <sheetName val="wbskons1"/>
      <sheetName val="wbskons2"/>
      <sheetName val="wplkons"/>
      <sheetName val="ADJST"/>
      <sheetName val="investment  &amp; income from sub"/>
      <sheetName val="related  party"/>
      <sheetName val="TB Summary"/>
      <sheetName val="TB UEPN"/>
      <sheetName val="BS AKR-UEPN"/>
      <sheetName val="IS AKR-UEPN"/>
      <sheetName val="JTT WBS"/>
      <sheetName val="JTT WPL"/>
      <sheetName val="AR-AP RELATED  PARTY"/>
      <sheetName val="CEK PROFIT SUB"/>
      <sheetName val="TB ANDAHANESA"/>
      <sheetName val="current month"/>
      <sheetName val="SIC-WP"/>
      <sheetName val="PL-S"/>
      <sheetName val="PL-Oct-Nov-Dec"/>
      <sheetName val="wplkons-comp"/>
      <sheetName val="wplkons-Oct"/>
      <sheetName val="wplkons-Oct-YEF"/>
      <sheetName val="wplkons-sept"/>
      <sheetName val="KLZ Section I"/>
      <sheetName val="BGT SIC IS"/>
      <sheetName val="ISSIC11"/>
      <sheetName val="FS SIC"/>
      <sheetName val="Interco (2)"/>
      <sheetName val="wbs1-khalista"/>
      <sheetName val="wbs2-khalista"/>
      <sheetName val="wpl-khalista"/>
      <sheetName val="E- Memo"/>
      <sheetName val="Subsequent"/>
      <sheetName val="E.a"/>
      <sheetName val="E- Aging"/>
      <sheetName val="Aging Analysis"/>
      <sheetName val="BD-Procedures"/>
      <sheetName val="Reduction of BD"/>
      <sheetName val="AR-Overdue (Top10)"/>
      <sheetName val="Comparison Aging"/>
      <sheetName val="E-4 (sum)"/>
      <sheetName val="E-6.1"/>
      <sheetName val="E-6.2"/>
      <sheetName val="E-6.3"/>
      <sheetName val="E-6.4 edited"/>
      <sheetName val="E-6.5"/>
      <sheetName val="Payment against contract"/>
      <sheetName val="C Lead 04"/>
      <sheetName val="Q- Lead"/>
      <sheetName val="Q2 Leasing"/>
      <sheetName val="Q4 Repayment Schedule"/>
      <sheetName val="Q5 Covenants"/>
      <sheetName val="U-4.2.1"/>
      <sheetName val="U-4.2.2"/>
      <sheetName val="U-4.2.3"/>
      <sheetName val="U-4.2.4"/>
      <sheetName val="U-4.2.5"/>
      <sheetName val="Rekap Sales"/>
      <sheetName val="U1-4"/>
      <sheetName val="U1-5"/>
      <sheetName val="P-6"/>
      <sheetName val="P-6.1"/>
      <sheetName val="P-6.1.1"/>
      <sheetName val="P-6.1.2"/>
      <sheetName val="P-6.1.3"/>
      <sheetName val="P-6.1.4"/>
      <sheetName val="P-6.1.5"/>
      <sheetName val="P-6.1.6"/>
      <sheetName val="P-6.1.7"/>
      <sheetName val="P-6.1.8"/>
      <sheetName val="P-6.1.9"/>
      <sheetName val="P-6.1.10"/>
      <sheetName val="P-6.2"/>
      <sheetName val="P-6.3"/>
      <sheetName val="P-6.4"/>
      <sheetName val="P-6.5"/>
      <sheetName val="P-6.5.1"/>
      <sheetName val="P-6.6"/>
      <sheetName val="P-6.7"/>
      <sheetName val="P-6.8"/>
      <sheetName val="P-6.9"/>
      <sheetName val="P-6.10"/>
      <sheetName val="P-6.11"/>
      <sheetName val="P-6.12"/>
      <sheetName val="Entries"/>
      <sheetName val="A1- Asset"/>
      <sheetName val="A1- Liabilities &amp; SHE"/>
      <sheetName val="O - Lead"/>
      <sheetName val="T- Lead"/>
      <sheetName val="KUMULATIF"/>
      <sheetName val="WRITE-OFF(INT)"/>
      <sheetName val="WRITE-OFF(FBC)"/>
      <sheetName val="Leasehold"/>
      <sheetName val="Off.equip"/>
      <sheetName val="Lab equip"/>
      <sheetName val="Mechanical equip"/>
      <sheetName val="genremark"/>
      <sheetName val="intrec"/>
      <sheetName val="ins"/>
      <sheetName val="supplies"/>
      <sheetName val="preother"/>
      <sheetName val="sfa"/>
      <sheetName val="Guarantee"/>
      <sheetName val="taxpay"/>
      <sheetName val="23tenant"/>
      <sheetName val="received"/>
      <sheetName val="accrexp"/>
      <sheetName val="shortloan"/>
      <sheetName val="longloan"/>
      <sheetName val="receipt"/>
      <sheetName val="32118p"/>
      <sheetName val="91213"/>
      <sheetName val="3619PLM"/>
      <sheetName val="3619P"/>
      <sheetName val="3613"/>
      <sheetName val="3613lm"/>
      <sheetName val="3614"/>
      <sheetName val="9121"/>
      <sheetName val="25151"/>
      <sheetName val="OL-AMOUNT"/>
      <sheetName val="OL-QTY"/>
      <sheetName val="intlm"/>
      <sheetName val="intcm"/>
      <sheetName val="32118"/>
      <sheetName val="SO REKON"/>
      <sheetName val="ENDING"/>
      <sheetName val="moveP"/>
      <sheetName val="REC"/>
      <sheetName val="COGS INTRANSIT"/>
      <sheetName val="JURNAL IB"/>
      <sheetName val="dt_link"/>
      <sheetName val="trkIDR4"/>
      <sheetName val="trkUSD4"/>
      <sheetName val="cogs_sb"/>
      <sheetName val="cogs_dm"/>
      <sheetName val="cogs_ms"/>
      <sheetName val="cogs_md"/>
      <sheetName val="ms"/>
      <sheetName val="asc Jan  (2)"/>
      <sheetName val="PoRct Sby"/>
      <sheetName val="PoRct31"/>
      <sheetName val="PoGL31"/>
      <sheetName val="Move "/>
      <sheetName val="Rec Jan"/>
      <sheetName val="asc Jan "/>
      <sheetName val="117511207"/>
      <sheetName val="IB"/>
      <sheetName val="KOSONG"/>
      <sheetName val="G-1.7a"/>
      <sheetName val="G-1.7b"/>
      <sheetName val="G-1.10"/>
      <sheetName val="G-1.12"/>
      <sheetName val="G-1.14"/>
      <sheetName val="G-1.15"/>
      <sheetName val="G-1.16"/>
      <sheetName val="11370des"/>
      <sheetName val="nol"/>
      <sheetName val="NMBRG"/>
      <sheetName val="BARANG"/>
      <sheetName val="PKTBI"/>
      <sheetName val="T-4"/>
      <sheetName val="T-4.1"/>
      <sheetName val="perbulan"/>
      <sheetName val="PER BULAN"/>
      <sheetName val="PERUB KARY"/>
      <sheetName val="perub cc"/>
      <sheetName val="tabel_inc"/>
      <sheetName val="A1- Asset (Update)"/>
      <sheetName val="A1- Liabilities &amp; SHE (Update)"/>
      <sheetName val="A2 (Update)"/>
      <sheetName val="107199 SEP"/>
      <sheetName val="Move SBY"/>
      <sheetName val="Report AP"/>
      <sheetName val="FOREX MTM"/>
      <sheetName val="Monaset"/>
      <sheetName val="Interest(Jasa Giro)"/>
      <sheetName val="Time Deposit OK"/>
      <sheetName val="Amt Bunas H0 ok"/>
      <sheetName val="Bank Facy Fee H OK"/>
      <sheetName val="Rev LT Loan ok"/>
      <sheetName val="Syndication Loan Due"/>
      <sheetName val="Rev ST Loan ok"/>
      <sheetName val="Cust Deposit"/>
      <sheetName val="Interest TD"/>
      <sheetName val="TOE-Exps"/>
      <sheetName val="JUNE"/>
      <sheetName val="JAN-DEC"/>
      <sheetName val="Acquisition"/>
      <sheetName val="JAN-JAN"/>
      <sheetName val="JAN-MRT"/>
      <sheetName val="JAN-APR"/>
      <sheetName val="JAN-MAY"/>
      <sheetName val="JAN-JUNE"/>
      <sheetName val="JAN-JULY"/>
      <sheetName val="JAN-AUG"/>
      <sheetName val="JAN-SEPT"/>
      <sheetName val="JAN-OCT"/>
      <sheetName val="JAN-NOV"/>
      <sheetName val="packcont PRO"/>
      <sheetName val="SI"/>
      <sheetName val="PL pro"/>
      <sheetName val="INVpro"/>
      <sheetName val="PACK LST"/>
      <sheetName val="INVOUT"/>
      <sheetName val="shipadv"/>
      <sheetName val="PACDE"/>
      <sheetName val="MSM03"/>
      <sheetName val="NewP3S"/>
      <sheetName val="Rubah"/>
      <sheetName val="pacdec"/>
      <sheetName val="Building improvement-GHB"/>
      <sheetName val="Artwork"/>
      <sheetName val="Artwork-GHB "/>
      <sheetName val="FF&amp;E"/>
      <sheetName val="FF&amp;E-GHB "/>
      <sheetName val="K&amp;L"/>
      <sheetName val="K&amp;L-GHB "/>
      <sheetName val="Machinery-GHB "/>
      <sheetName val="SPHTL"/>
      <sheetName val="SPHTL-GHB"/>
      <sheetName val="Vehicle-GHB "/>
      <sheetName val="Oprt.Equipt"/>
      <sheetName val="Summ."/>
      <sheetName val="Sales Register Dec 04"/>
      <sheetName val="Per Customer"/>
      <sheetName val="CMA"/>
      <sheetName val="TOT"/>
      <sheetName val="Office Equipment1"/>
      <sheetName val="Office Equipment2"/>
      <sheetName val="Gain or loss on sale of FA"/>
      <sheetName val="List PBC Yunita"/>
      <sheetName val="Deduction (final)"/>
      <sheetName val="Analisa Cost vs Accm"/>
      <sheetName val="ADJ 2007"/>
      <sheetName val="ADJ2006"/>
      <sheetName val="ADJ2008"/>
      <sheetName val="classification"/>
      <sheetName val="pvadata adj"/>
      <sheetName val="PV CONSOL 2008"/>
      <sheetName val="PV CONSOL 2007"/>
      <sheetName val="2007-2008 STARCOM"/>
      <sheetName val="SC CAT"/>
      <sheetName val="CATEGORY"/>
      <sheetName val="145.60.003"/>
      <sheetName val="235.10.002"/>
      <sheetName val="235.10.003"/>
      <sheetName val="235.10.004"/>
      <sheetName val="235.10.005"/>
      <sheetName val="O2-Inc23"/>
      <sheetName val="O3-Inc25&amp;29"/>
      <sheetName val="O4-WHT21"/>
      <sheetName val="O5-WHT23,26,4(2)"/>
      <sheetName val="O5.1"/>
      <sheetName val="O7 TaxExpsr"/>
      <sheetName val="O6-STP"/>
      <sheetName val="coa-amps"/>
      <sheetName val="coahyp-pl"/>
      <sheetName val="coa sub"/>
      <sheetName val="coahyp-all"/>
      <sheetName val="OP111"/>
      <sheetName val="%psi"/>
      <sheetName val="PL-R"/>
      <sheetName val="hyp PL"/>
      <sheetName val="ID REPORT"/>
      <sheetName val="Detail Calc 05"/>
      <sheetName val="F.Adj"/>
      <sheetName val="Art.17"/>
      <sheetName val="F.Adj Allocation"/>
      <sheetName val="BIK update"/>
      <sheetName val="Fiscal Assets Summary"/>
      <sheetName val="2001s Calculation"/>
      <sheetName val="Disposal@fiscal"/>
      <sheetName val="add-2002"/>
      <sheetName val="HF"/>
      <sheetName val="Prod Orig."/>
      <sheetName val="HF Orig."/>
      <sheetName val="Location_Details"/>
      <sheetName val="Account_Sets"/>
      <sheetName val="Accounts"/>
      <sheetName val="B9 Margin"/>
      <sheetName val="COGS1"/>
      <sheetName val="COGS2"/>
      <sheetName val="COGS3"/>
      <sheetName val="A3 LB Details 08"/>
      <sheetName val="AJE-SRI 08"/>
      <sheetName val="PV Data"/>
      <sheetName val="BS-SC "/>
      <sheetName val="PL-SC"/>
      <sheetName val="AJE-SC"/>
      <sheetName val="Journal (2)"/>
      <sheetName val="AR-AP"/>
      <sheetName val="Posting"/>
      <sheetName val="COB"/>
      <sheetName val="Interco AR ID9080"/>
      <sheetName val="Interco AP ID9080"/>
      <sheetName val="Interco AR SG8152"/>
      <sheetName val="Interco AP SG8152"/>
      <sheetName val="IC AP"/>
      <sheetName val="Interco List"/>
      <sheetName val="Art. 23 recons"/>
      <sheetName val="ppH25 &amp; PROVISION"/>
      <sheetName val="BIK-NDE"/>
      <sheetName val="F1771-II."/>
      <sheetName val="F1771-V."/>
      <sheetName val="4th of 2001 (2)"/>
      <sheetName val="sum-korfisk"/>
      <sheetName val="list-1"/>
      <sheetName val="list-1 (2)"/>
      <sheetName val="withholding tax"/>
      <sheetName val="depr 2002"/>
      <sheetName val="additional (2)"/>
      <sheetName val="additional (3)"/>
      <sheetName val="additional (4)"/>
      <sheetName val="m-galant"/>
      <sheetName val="Recon 2007"/>
      <sheetName val="E.1 Aging Receivable"/>
      <sheetName val="E.1a Recon AR 08"/>
      <sheetName val="E.1.14Detail AR Others"/>
      <sheetName val="E.1.1 Detail SMART telecom"/>
      <sheetName val="E.1.2 Detail TVS"/>
      <sheetName val="E.1.3 Detail P&amp;G"/>
      <sheetName val="E.1.4 Detail STB"/>
      <sheetName val="E.1.5 Detail Samsung"/>
      <sheetName val="E.1.6 Detail Bayer"/>
      <sheetName val="E.1.7 Detail PT Mead Johnson"/>
      <sheetName val="E.1.8 Detail Emirates"/>
      <sheetName val="E.1.9 Detail Richemont Lux"/>
      <sheetName val="E.1.10 Detail Western Union"/>
      <sheetName val="E.1.11 Detail Perfetti "/>
      <sheetName val="E.1.12 Detail UOB"/>
      <sheetName val="E.1.13 Detail Iniatiative,etc"/>
      <sheetName val="E.2 AR Billable"/>
      <sheetName val="wipdetail"/>
      <sheetName val="E.2.1 P&amp;G"/>
      <sheetName val="E.2.2 Smart Telecom"/>
      <sheetName val="E.2.3 Samsung"/>
      <sheetName val="E.2.4 Perfetti"/>
      <sheetName val="E.2.5 STB"/>
      <sheetName val="E.2.6 Mead Johnson"/>
      <sheetName val="E.2.7 Emirates"/>
      <sheetName val="E.2.8 PT Bayer"/>
      <sheetName val="E.2.9 TVS Motor"/>
      <sheetName val="E.2.10 SC Malaysia"/>
      <sheetName val="E.2.11 Richemont"/>
      <sheetName val="E.3 Client Prepayment"/>
      <sheetName val="E.4 WIP"/>
      <sheetName val="E.5 Cut off"/>
      <sheetName val="EE.Confirmation Control"/>
      <sheetName val="EE.2.1 Recon VanMelle"/>
      <sheetName val="EE.3.1 Recon PT Bayer"/>
      <sheetName val="E.3 - Client Prepayment"/>
      <sheetName val="WP E"/>
      <sheetName val="BS_PL Komersil and Fiskal"/>
      <sheetName val="STATE01 (2)-03"/>
      <sheetName val="ROOM04"/>
      <sheetName val="ROOMSTATISTIC4a"/>
      <sheetName val="F&amp;B5"/>
      <sheetName val="FBANALYSIS"/>
      <sheetName val="COVER5a"/>
      <sheetName val="SPORT"/>
      <sheetName val="GUESTLAUNDRY6"/>
      <sheetName val="HOUSELAUNDRY"/>
      <sheetName val="TELEPHONE7"/>
      <sheetName val="SHOP&amp;OTHER INCOME8"/>
      <sheetName val="BUSINESSCENTER9"/>
      <sheetName val="SALES &amp;MARKETING11"/>
      <sheetName val="POMEC12"/>
      <sheetName val="ADM&amp;GENERAL10"/>
      <sheetName val="HUMANRESOURCES13"/>
      <sheetName val="MAINT REPORT12a"/>
      <sheetName val="OP.RATIO"/>
      <sheetName val="CURR.ASSET"/>
      <sheetName val="GCC"/>
      <sheetName val="RECONBANK(SIN$)"/>
      <sheetName val="RECONBANK (US$)"/>
      <sheetName val="RECONBANK (OPERATING)"/>
      <sheetName val="RECONBANK(GENERAL)"/>
      <sheetName val="OPSTATE"/>
      <sheetName val="OVEROOM"/>
      <sheetName val="OVERF&amp;B"/>
      <sheetName val="D.STORE"/>
      <sheetName val="OVERAG"/>
      <sheetName val="OVERSLS"/>
      <sheetName val="OverPomec"/>
      <sheetName val="OVERHRD"/>
      <sheetName val="MKredit"/>
      <sheetName val="sampling kredit"/>
      <sheetName val="An.Rev"/>
      <sheetName val="PPH BADAN SCK"/>
      <sheetName val="Summary BV_SCK"/>
      <sheetName val="Summary BV_KSO"/>
      <sheetName val="Movement RE"/>
      <sheetName val="Movement Investasi"/>
      <sheetName val="MI movement"/>
      <sheetName val="Pengakuan rugi JBA"/>
      <sheetName val="Pengakuan laba PT BV"/>
      <sheetName val="Pengakuan Rugi LMD"/>
      <sheetName val="CAJE (AJE) KSO SS"/>
      <sheetName val="CAJE(AJE) SCK"/>
      <sheetName val="CAJE(AJE)JBA"/>
      <sheetName val="CAJE(AJE) BKV"/>
      <sheetName val="PPH badan JBA"/>
      <sheetName val="PPH BADAN BKV"/>
      <sheetName val="Neraca SCK konsol"/>
      <sheetName val="PNL SCK Konsol"/>
      <sheetName val="CF_SCK konsol"/>
      <sheetName val="Movement RE &amp; Dividen_Konsol"/>
      <sheetName val="KSO SS_NERACA"/>
      <sheetName val="PL KSO"/>
      <sheetName val="CF KSO SS"/>
      <sheetName val="Neraca SCK induk"/>
      <sheetName val="PL SCK INDUK"/>
      <sheetName val="CF SCK induk"/>
      <sheetName val="KIND NO"/>
      <sheetName val="CAPEX 06-08"/>
      <sheetName val="CAPEX 05-07"/>
      <sheetName val="LIST CC"/>
      <sheetName val="YTD (2)"/>
      <sheetName val="REVIEW for REPORT"/>
      <sheetName val="Sup-CF 08"/>
      <sheetName val="Sup.CF 07"/>
      <sheetName val="Elim Consol"/>
      <sheetName val="Elim Combined"/>
      <sheetName val="Real Estate"/>
      <sheetName val="PAJE RE"/>
      <sheetName val="CORPORATE"/>
      <sheetName val="Plaza SA"/>
      <sheetName val="Summarecon Bekasi"/>
      <sheetName val="WBS I Mall"/>
      <sheetName val="WBS II Mall"/>
      <sheetName val="WPL Mall"/>
      <sheetName val="Gading Food City"/>
      <sheetName val="La Piazza"/>
      <sheetName val="MALL"/>
      <sheetName val="KKG"/>
      <sheetName val="Summerville"/>
      <sheetName val="Gading Batavia"/>
      <sheetName val="Summit Opr"/>
      <sheetName val="WBS I R.E"/>
      <sheetName val="WBS II R.E"/>
      <sheetName val="WPL R.E"/>
      <sheetName val="The Kernel"/>
      <sheetName val="Kas dan setara kas"/>
      <sheetName val="Biaya dibayar dimuka"/>
      <sheetName val="Uang Muka Penjualan (Deposit)"/>
      <sheetName val="Uang Jaminan"/>
      <sheetName val="Biaya Masih Hrs Dibayar"/>
      <sheetName val="Net Revenue"/>
      <sheetName val="COGS &amp; Direct Cost"/>
      <sheetName val="Aktiva &amp; Liabilities Valas"/>
      <sheetName val="Other Income (Charge)"/>
      <sheetName val="Combined"/>
      <sheetName val="Pajak (2008)"/>
      <sheetName val="Pajak Anak (2008)"/>
      <sheetName val="Perhitungan Pajak (2008)"/>
      <sheetName val="Pajak Parkir (2008)"/>
      <sheetName val="LMD Jual Beli"/>
      <sheetName val="NERACA SALDO CO per 31 12 2009"/>
      <sheetName val="NERACA_SALDO_SUMMARECON_BEKASI_"/>
      <sheetName val="Top-TOC"/>
      <sheetName val="Sample List"/>
      <sheetName val="Execution-B1.1"/>
      <sheetName val="GBKI-B1.2"/>
      <sheetName val="Documentation-B1.3"/>
      <sheetName val="Gain (Loss)-B1.4"/>
      <sheetName val="Reasonableness-B1.5"/>
      <sheetName val="Recording Method-B1.6"/>
      <sheetName val="Quantitative1-B1.7"/>
      <sheetName val="Quantitative2-B1.8"/>
      <sheetName val="Quantitative3-B1.9"/>
      <sheetName val="Quantitative4-B1.10"/>
      <sheetName val="Approval-B1.11"/>
      <sheetName val="Recording-B1.12"/>
      <sheetName val="Top-Analytical"/>
      <sheetName val="Year End"/>
      <sheetName val="Retquest-Dayat"/>
      <sheetName val="Request-Wolter"/>
      <sheetName val="REKAP-PORTO"/>
      <sheetName val="BANK INV"/>
      <sheetName val="RKP-DEPOS"/>
      <sheetName val="SAHAM"/>
      <sheetName val="REKSA"/>
      <sheetName val="OBL-TRAFS"/>
      <sheetName val="OBLI"/>
      <sheetName val="MTN"/>
      <sheetName val="Direct Investment"/>
      <sheetName val="Promissory NOte"/>
      <sheetName val="Land &amp; Building"/>
      <sheetName val="Property"/>
      <sheetName val="oblig Trad&amp;AFS"/>
      <sheetName val="ANTM"/>
      <sheetName val="N-INDF"/>
      <sheetName val="N-HMSP"/>
      <sheetName val="N-GGRM"/>
      <sheetName val="N-ASII"/>
      <sheetName val="N-AALI"/>
      <sheetName val="N-UNTR"/>
      <sheetName val="TRIM"/>
      <sheetName val="N-SMGR"/>
      <sheetName val="MPPA"/>
      <sheetName val="DSUC"/>
      <sheetName val="SONA"/>
      <sheetName val="Entry  HTM"/>
      <sheetName val="Cost 1 Jan"/>
      <sheetName val="N-INKP"/>
      <sheetName val="IDSR"/>
      <sheetName val="INTP"/>
      <sheetName val="N-CTRS"/>
      <sheetName val="N-BBNI"/>
      <sheetName val="N-LTLS"/>
      <sheetName val="N-LPLI"/>
      <sheetName val="N-KLBF"/>
      <sheetName val="J-JIHD"/>
      <sheetName val="N-JIHD"/>
      <sheetName val="SMAR"/>
      <sheetName val="N-UNVR"/>
      <sheetName val="RMBA"/>
      <sheetName val="N-TSPC"/>
      <sheetName val="N-TKIM"/>
      <sheetName val="PTBA"/>
      <sheetName val="SMCB"/>
      <sheetName val="N-RALS"/>
      <sheetName val="N-PNBN"/>
      <sheetName val="BELI-NJHT-AFS"/>
      <sheetName val="JUAL-NJHT-FS"/>
      <sheetName val="JUAL-NJHT-FT"/>
      <sheetName val="Penurunan Efek"/>
      <sheetName val="ANTM-N"/>
      <sheetName val="INAF-N"/>
      <sheetName val="INDF"/>
      <sheetName val="J-ASII "/>
      <sheetName val="AALI-J"/>
      <sheetName val="Hut-Pit"/>
      <sheetName val="HERO-N"/>
      <sheetName val="HERO"/>
      <sheetName val="BHIT"/>
      <sheetName val="Art. 25"/>
      <sheetName val="Regroup FA"/>
      <sheetName val="Penyusutan AT"/>
      <sheetName val="PPh 23 "/>
      <sheetName val="Tax Art 23"/>
      <sheetName val="Tax Art 25(E &amp; I)"/>
      <sheetName val="Exit-Tax(E &amp; I)"/>
      <sheetName val="Entertainment (E &amp; I)"/>
      <sheetName val="Entertainment (E &amp; I) (A)"/>
      <sheetName val="COGS98"/>
      <sheetName val="RL98"/>
      <sheetName val="Neraca98"/>
      <sheetName val="DEPR98"/>
      <sheetName val="assets98"/>
      <sheetName val="Art2598"/>
      <sheetName val="COM-TAX(DISAL)"/>
      <sheetName val="depr-tax"/>
      <sheetName val="SORT-ADD"/>
      <sheetName val="add2001"/>
      <sheetName val="disp2001"/>
      <sheetName val="SEP05"/>
      <sheetName val="OKT05"/>
      <sheetName val="NOV05"/>
      <sheetName val="DES05"/>
      <sheetName val="JAN'07"/>
      <sheetName val="Daftar Lamp."/>
      <sheetName val="Sample Base"/>
      <sheetName val="GRESIK"/>
      <sheetName val="JUN03-13299"/>
      <sheetName val="JUN03-13819"/>
      <sheetName val="JULY03-13299"/>
      <sheetName val="JULY03-13819"/>
      <sheetName val="AUG03-13299"/>
      <sheetName val="AUG03-13819"/>
      <sheetName val="SEP03-13299"/>
      <sheetName val="SEP03-13819"/>
      <sheetName val="OCT03-13299"/>
      <sheetName val="OCT03-13819"/>
      <sheetName val="NOV03-13299"/>
      <sheetName val="NOV03-13819"/>
      <sheetName val="DEC03-13299"/>
      <sheetName val="DEC03-13819"/>
      <sheetName val="JAN04-13299"/>
      <sheetName val="JAN04-13819"/>
      <sheetName val="FEB04-13299"/>
      <sheetName val="FEB04-13819"/>
      <sheetName val="MAR04-13299"/>
      <sheetName val="MAR04-13819"/>
      <sheetName val="APR04-13299"/>
      <sheetName val="APR04-13819"/>
      <sheetName val="MAY04-13299"/>
      <sheetName val="MAY04-13819"/>
      <sheetName val="AMFG"/>
      <sheetName val="MEDC"/>
      <sheetName val="MEGA"/>
      <sheetName val="CPIN"/>
      <sheetName val="BNGAN"/>
      <sheetName val="BNGA"/>
      <sheetName val="BMTR-N"/>
      <sheetName val="BMTR"/>
      <sheetName val="BDMN"/>
      <sheetName val="N-INTP"/>
      <sheetName val="N-INCO"/>
      <sheetName val="N-BLTA"/>
      <sheetName val="Syntegra"/>
      <sheetName val="SSI"/>
      <sheetName val="PDCC"/>
      <sheetName val="UK"/>
      <sheetName val="SPI GMBH"/>
      <sheetName val="CF_2002"/>
      <sheetName val="Oct_TB"/>
      <sheetName val="paje (adjusted)"/>
      <sheetName val="I - 10"/>
      <sheetName val="2002_CF_reclass"/>
      <sheetName val="U-80"/>
      <sheetName val="K-roll"/>
      <sheetName val="k-10"/>
      <sheetName val="Answer"/>
      <sheetName val="Entry Broker"/>
      <sheetName val="Op AP"/>
      <sheetName val="A. PM, TE &amp; SAD-June"/>
      <sheetName val="B. TE Allocation-June"/>
      <sheetName val="A. PM, TE &amp; SAD"/>
      <sheetName val="Fis-ANK"/>
      <sheetName val="Def. tax ANK"/>
      <sheetName val="O-6"/>
      <sheetName val="M-Flow"/>
      <sheetName val="Q-Flow"/>
      <sheetName val="K-Mov"/>
      <sheetName val="Neraca lajur rumus baru"/>
      <sheetName val="WS ANK"/>
      <sheetName val="C.000"/>
      <sheetName val="E.000"/>
      <sheetName val="F.000"/>
      <sheetName val="G.000"/>
      <sheetName val="I.000"/>
      <sheetName val="O.000"/>
      <sheetName val="K.000"/>
      <sheetName val="J.000"/>
      <sheetName val="Q.000"/>
      <sheetName val="N.000"/>
      <sheetName val="P.000"/>
      <sheetName val="T.000"/>
      <sheetName val="UA.000"/>
      <sheetName val="VA.000"/>
      <sheetName val="VB.000"/>
      <sheetName val="VC.000"/>
      <sheetName val="VD.000"/>
      <sheetName val="VE.000"/>
      <sheetName val="UB.000"/>
      <sheetName val="UC.000"/>
      <sheetName val="WS ACM"/>
      <sheetName val="H.000"/>
      <sheetName val="Rekon Fskl"/>
      <sheetName val="Preliminary"/>
      <sheetName val="Y-Z"/>
      <sheetName val="M. Asing"/>
      <sheetName val="DFR WBS"/>
      <sheetName val="DFR WPL"/>
      <sheetName val="DFR CF"/>
      <sheetName val="DFR RE Statmnt"/>
      <sheetName val="A4-Consol"/>
      <sheetName val="DFR Cash"/>
      <sheetName val="DFR AR"/>
      <sheetName val="I-100 "/>
      <sheetName val="DFR Invt."/>
      <sheetName val="DFR FA"/>
      <sheetName val="K-Sum"/>
      <sheetName val="DFR Other Asset"/>
      <sheetName val="DFR Tax"/>
      <sheetName val="DFR Emp Ben"/>
      <sheetName val="Data "/>
      <sheetName val="R (2)"/>
      <sheetName val="DFR AP"/>
      <sheetName val="I-000"/>
      <sheetName val="DFR Accrue"/>
      <sheetName val="DFR Revenue"/>
      <sheetName val="DFR COS"/>
      <sheetName val="DFR OPEX"/>
      <sheetName val="DFR Other Inc(Exp)"/>
      <sheetName val="BLI_OutstandingCashAdvance"/>
      <sheetName val="BLI_CostCenter"/>
      <sheetName val="BLI_Facility"/>
      <sheetName val="BLI_Currency"/>
      <sheetName val="BLI_PaymentType"/>
      <sheetName val="BLI_ListEmployee"/>
      <sheetName val="Plafond Hutang"/>
      <sheetName val="Flow hutang"/>
      <sheetName val="ELIM-BULAN"/>
      <sheetName val="ELIM-KUM"/>
      <sheetName val="Detail ACM"/>
      <sheetName val="Detail ANK"/>
      <sheetName val="Detail SKDA"/>
      <sheetName val="Detail PGK"/>
      <sheetName val="Rekap Adj"/>
      <sheetName val="Ak&amp;ke dlm mata uang asing"/>
      <sheetName val="Cash&amp;AP in Foreign Curr."/>
      <sheetName val="BS Cons"/>
      <sheetName val="Rincian BS Cons"/>
      <sheetName val="IS Cons"/>
      <sheetName val="Fis-Con"/>
      <sheetName val="Fis-ACM"/>
      <sheetName val="Fis-PGK"/>
      <sheetName val="Recon Fis-SKDA"/>
      <sheetName val="DTA SKDA"/>
      <sheetName val="ELIM-KUM 2008"/>
      <sheetName val="ELIM-BULAN 2008"/>
      <sheetName val="Def. tax konsol"/>
      <sheetName val="Sales PGK"/>
      <sheetName val="Forex Materiality"/>
      <sheetName val="Rekap Insurance"/>
      <sheetName val="Insurance ACM"/>
      <sheetName val="Insurance ANK"/>
      <sheetName val="Insurance PGK"/>
      <sheetName val="Insurance SKDA"/>
      <sheetName val="jaminan htg bank"/>
      <sheetName val="Rincian htg Bank ACM"/>
      <sheetName val="Rincian htg Bank ANK"/>
      <sheetName val="Rincian htg Bank SKDA"/>
      <sheetName val="Rincian htg bank PGK"/>
      <sheetName val="Depresiasi&amp;Amortisasi"/>
      <sheetName val="Inv ANK"/>
      <sheetName val="Inv SKDA"/>
      <sheetName val="Inv PGK"/>
      <sheetName val="Suku Bunga"/>
      <sheetName val="Jmlh s.d 07"/>
      <sheetName val="Jmlh 07"/>
      <sheetName val="Jmlh 08"/>
      <sheetName val="Jmlh s.d 08"/>
      <sheetName val="Jmlh 09"/>
      <sheetName val="Jmlh s.d 09"/>
      <sheetName val="Jmlh 10"/>
      <sheetName val="Jmlh s.d 10"/>
      <sheetName val="VW"/>
      <sheetName val="Altis"/>
      <sheetName val="Vios"/>
      <sheetName val="Loader"/>
      <sheetName val="Forklift"/>
      <sheetName val="Caterpillar"/>
      <sheetName val="O.100"/>
      <sheetName val="O.200"/>
      <sheetName val="O.300"/>
      <sheetName val="O.400"/>
      <sheetName val="O.500"/>
      <sheetName val="O.600"/>
      <sheetName val="O.700"/>
      <sheetName val="O.710"/>
      <sheetName val="O.800"/>
      <sheetName val="O.900"/>
      <sheetName val="0.910"/>
      <sheetName val="0.911 Diposed FA Fis 2009"/>
      <sheetName val="O.912 Proyeksi 2010 Com"/>
      <sheetName val="O.913 Proyeksi 2010 Fis"/>
      <sheetName val="O.920 Empl. Benefit"/>
      <sheetName val="Laba"/>
      <sheetName val="Asu"/>
      <sheetName val="Perjamuan"/>
      <sheetName val="Akt Fisc'09"/>
      <sheetName val="S19A(1)(HP)"/>
      <sheetName val="SCH (2)"/>
      <sheetName val="Int working"/>
      <sheetName val="(1)B2"/>
      <sheetName val="(1)B2-1"/>
      <sheetName val="(1)B5.1"/>
      <sheetName val="(2)C1"/>
      <sheetName val="(2)C1-1"/>
      <sheetName val="(2)C3"/>
      <sheetName val="(2)C5"/>
      <sheetName val="(2)D1"/>
      <sheetName val="(2)D2"/>
      <sheetName val="(2)DA1"/>
      <sheetName val="(2)DA3"/>
      <sheetName val="(2)E1"/>
      <sheetName val="(2)E3"/>
      <sheetName val="(2)E3-1"/>
      <sheetName val="(2)EA3"/>
      <sheetName val="(2)EA4"/>
      <sheetName val="(2)EA4-1"/>
      <sheetName val="(2)EA4-2"/>
      <sheetName val="(2)F1"/>
      <sheetName val="(2)F3"/>
      <sheetName val="(2)F3-1"/>
      <sheetName val="(2)F3-2"/>
      <sheetName val="(2)F5"/>
      <sheetName val="(2)F6"/>
      <sheetName val="(2)G1"/>
      <sheetName val="(2)H1"/>
      <sheetName val="(2)H4"/>
      <sheetName val="(2)H5"/>
      <sheetName val="(2)I2"/>
      <sheetName val="(2)J1"/>
      <sheetName val="(2)J3"/>
      <sheetName val="(2)J3-1"/>
      <sheetName val="(2)J3-2"/>
      <sheetName val="(2)J6"/>
      <sheetName val="(2)J6-2"/>
      <sheetName val="(2)J8"/>
      <sheetName val="(2)J9"/>
      <sheetName val="(2)K1"/>
      <sheetName val="(2)K2"/>
      <sheetName val="(2)K101"/>
      <sheetName val="(2)L1"/>
      <sheetName val="(2)M1"/>
      <sheetName val="(2)M2"/>
      <sheetName val="(2)N1"/>
      <sheetName val="(2)N2"/>
      <sheetName val="(2)N3"/>
      <sheetName val="(2)N4"/>
      <sheetName val="(2)P1"/>
      <sheetName val="(2)P2"/>
      <sheetName val="(2)P3"/>
      <sheetName val="(2)P3-1"/>
      <sheetName val="(2)P3-2"/>
      <sheetName val="(2)P4"/>
      <sheetName val="(2)P4-1"/>
      <sheetName val="(2)P4-2"/>
      <sheetName val="(2)R1"/>
      <sheetName val="(2)R1-1"/>
      <sheetName val="(2)R2"/>
      <sheetName val="(2)R2-1"/>
      <sheetName val="(2)R3"/>
      <sheetName val="(2)R3-1"/>
      <sheetName val="(2)R3-2"/>
      <sheetName val="(2)R4"/>
      <sheetName val="(2)R4-1"/>
      <sheetName val="(2)R4-2"/>
      <sheetName val="(2)R5"/>
      <sheetName val="(2)R5-1"/>
      <sheetName val="(2)R5-2"/>
      <sheetName val="(2)R6"/>
      <sheetName val="(2)R6-1"/>
      <sheetName val="(2)R7"/>
      <sheetName val="(2)R8"/>
      <sheetName val="(2)R9"/>
      <sheetName val="(2)R10"/>
      <sheetName val="(2)R11"/>
      <sheetName val="(2)R12"/>
      <sheetName val="(2)R13"/>
      <sheetName val="(2)R14"/>
      <sheetName val="(2)R15"/>
      <sheetName val="(2)R16"/>
      <sheetName val="(2)R17"/>
      <sheetName val="(2)R18"/>
      <sheetName val="(2)R19"/>
      <sheetName val="(2)R20"/>
      <sheetName val="(2)R21"/>
      <sheetName val="(2)R22"/>
      <sheetName val="(2)R23"/>
      <sheetName val="(2)R24"/>
      <sheetName val="(2)R25"/>
      <sheetName val="(2)R26"/>
      <sheetName val="(2)R27"/>
      <sheetName val="(2)R28"/>
      <sheetName val="(2)R29"/>
      <sheetName val="(2)R30"/>
      <sheetName val="(2)R31"/>
      <sheetName val="(2)V1"/>
      <sheetName val="Chat"/>
      <sheetName val="Cycle"/>
      <sheetName val="Halaman-1"/>
      <sheetName val="sederhana ke 1 (2)"/>
      <sheetName val="sederhana ke 1"/>
      <sheetName val="dafaktur"/>
      <sheetName val="Daftar-B1"/>
      <sheetName val="DAFINV"/>
      <sheetName val="1195B1 Hal.2"/>
      <sheetName val="1195B1 Hal.3"/>
      <sheetName val="1195B1 Hal.4"/>
      <sheetName val="1195B1 Hal.5"/>
      <sheetName val="1195B1 Hal.6"/>
      <sheetName val="1195B1 Hal.7"/>
      <sheetName val="1195B1 Hal.8"/>
      <sheetName val="1195B1 Hal 9"/>
      <sheetName val="1195B1 hal.10"/>
      <sheetName val="UA Lead"/>
      <sheetName val="UB.Lead"/>
      <sheetName val="VC.Lead"/>
      <sheetName val="VF.Lead"/>
      <sheetName val="VG.Lead"/>
      <sheetName val="Conf.Ctrl"/>
      <sheetName val="TOC3"/>
      <sheetName val="Close job cut off"/>
      <sheetName val="VE"/>
      <sheetName val="VF"/>
      <sheetName val="TOOL 05_gol 1"/>
      <sheetName val="K_2_1"/>
      <sheetName val="Other charges _income_"/>
      <sheetName val="U.1.2 (Sales Cut-Off)"/>
      <sheetName val="U.2.1 (Purchase Cut-Off"/>
      <sheetName val="U.2-1 Attachment"/>
      <sheetName val="REFERENSI"/>
      <sheetName val="BENTUK REPORT AKHIR"/>
      <sheetName val="LAP. PENJUALAN PREPAID 3G"/>
      <sheetName val="DAFTAR CHANNEL"/>
      <sheetName val="F.3.1"/>
      <sheetName val="G.1-2 Attachment"/>
      <sheetName val="FAA AUGUST"/>
      <sheetName val="R1-CAPEX-01"/>
      <sheetName val="R1-CAPEX-02"/>
      <sheetName val="R1-CAPEX-03"/>
      <sheetName val="APRIL WEIGHTED AVR"/>
      <sheetName val="Detail Sundry All"/>
      <sheetName val="R1-CAPEX-04"/>
      <sheetName val="FAA03"/>
      <sheetName val="R1-CAPEX-04-A"/>
      <sheetName val="R1-CAPEX-04-C"/>
      <sheetName val="R1-CAPEX-04-D"/>
      <sheetName val="N.1.1"/>
      <sheetName val="0.3.2"/>
      <sheetName val="OO"/>
      <sheetName val="P.2.1"/>
      <sheetName val="M.1"/>
      <sheetName val="T T"/>
      <sheetName val="Travel Advance"/>
      <sheetName val="Other Advance"/>
      <sheetName val="Accrued Others"/>
      <sheetName val="U.2.7"/>
      <sheetName val="Rekap remittence"/>
      <sheetName val="Sales Analysis "/>
      <sheetName val="GP Margin"/>
      <sheetName val="CARJE - Refinery"/>
      <sheetName val="Elimination - Refinery"/>
      <sheetName val="Elimination - Plant &amp; Ref"/>
      <sheetName val="V-Related party transaction Ref"/>
      <sheetName val="CARJE"/>
      <sheetName val="Rekap remittance"/>
      <sheetName val="GP Margin Dec"/>
      <sheetName val="Anlytical"/>
      <sheetName val="Audit Issue"/>
      <sheetName val="Actual VS Budget"/>
      <sheetName val="PARJE"/>
      <sheetName val="N.1-AP Trade"/>
      <sheetName val="N.1.1.1 Predictive AP"/>
      <sheetName val="N.1.2SubsequentChemprox"/>
      <sheetName val="N.2 Other Payable"/>
      <sheetName val="N2.1Cons-Finance"/>
      <sheetName val="NN.2-APMonagrro"/>
      <sheetName val="P.Accrued Exp"/>
      <sheetName val="P.2-AccruedOthers"/>
      <sheetName val="Q.1longterm advance "/>
      <sheetName val="Q.2Stockholders loan"/>
      <sheetName val="Q.3Longtermloan"/>
      <sheetName val="Q.3.2SubsequentSHLoan"/>
      <sheetName val="Cash Flow Dec 2008"/>
      <sheetName val="PM TE SAD"/>
      <sheetName val="SAD Schedule"/>
      <sheetName val="Cashflow Sept 2007"/>
      <sheetName val="Cashflow Explanation"/>
      <sheetName val="Cash Explanation"/>
      <sheetName val="AR Non Trade"/>
      <sheetName val="AR TO"/>
      <sheetName val="Prepaid Expense"/>
      <sheetName val="Advance Paid"/>
      <sheetName val="Others CA"/>
      <sheetName val="Others Non CA"/>
      <sheetName val="Audit Procedures WBS 1"/>
      <sheetName val="Audit Procedures WBS 2 "/>
      <sheetName val="TB-PERMONTH"/>
      <sheetName val="1011-001"/>
      <sheetName val="1012-002"/>
      <sheetName val="1022-002"/>
      <sheetName val="1031-001"/>
      <sheetName val="1031-002"/>
      <sheetName val="1031-004"/>
      <sheetName val="1041'1044"/>
      <sheetName val="1044-005"/>
      <sheetName val="1050-001"/>
      <sheetName val="1050-002"/>
      <sheetName val="1061"/>
      <sheetName val="1062-003"/>
      <sheetName val="1062-004'009"/>
      <sheetName val="1080"/>
      <sheetName val="1100-006"/>
      <sheetName val="2011-002"/>
      <sheetName val="2012-002"/>
      <sheetName val="2022-002"/>
      <sheetName val="2041-003"/>
      <sheetName val="2041-004"/>
      <sheetName val="2041-005"/>
      <sheetName val="2041-006"/>
      <sheetName val="2041-099"/>
      <sheetName val="2050-003"/>
      <sheetName val="2050-004"/>
      <sheetName val="2070-003"/>
      <sheetName val="LOAN-BOTM"/>
      <sheetName val="LOAN-NISP"/>
      <sheetName val="LOAN DBS"/>
      <sheetName val="LOAN BSMI"/>
      <sheetName val="PURCHASE 2009"/>
      <sheetName val="SALES 2009"/>
      <sheetName val="U2-4.7_Royalty"/>
      <sheetName val="U2-4.7.1_RoyaltyCalculation"/>
      <sheetName val="U1-4_Export Sales"/>
      <sheetName val="J-2.3_Restitusi 2004"/>
      <sheetName val="Tax expense"/>
      <sheetName val="J-2_Claim tax Refund-Final"/>
      <sheetName val="J-2.1 - PPh 2003"/>
      <sheetName val="VAT-in"/>
      <sheetName val="U.4.2 - Rekap SKP dan STP"/>
      <sheetName val="9A4.1"/>
      <sheetName val="9A4.2"/>
      <sheetName val="9A4.3"/>
      <sheetName val="9C-Lead"/>
      <sheetName val="9CC"/>
      <sheetName val="9E-Lead"/>
      <sheetName val="9E.1"/>
      <sheetName val="9EE"/>
      <sheetName val="9F-Lead"/>
      <sheetName val="9F.1"/>
      <sheetName val="9F.2"/>
      <sheetName val="9F.2.1"/>
      <sheetName val="9G-Lead"/>
      <sheetName val="9G.1"/>
      <sheetName val="9H-Lead"/>
      <sheetName val="9K-Lead"/>
      <sheetName val="9K.1"/>
      <sheetName val="9L-Lead"/>
      <sheetName val="9N-Lead"/>
      <sheetName val="9NN"/>
      <sheetName val="9N.1"/>
      <sheetName val="9O-Lead"/>
      <sheetName val="9O.1"/>
      <sheetName val="9O.2 "/>
      <sheetName val="9O.3"/>
      <sheetName val="9P-Lead"/>
      <sheetName val="9P.1"/>
      <sheetName val="9P.1.1"/>
      <sheetName val="9P.1.2"/>
      <sheetName val="9U1-Lead"/>
      <sheetName val="9U1.1"/>
      <sheetName val="9U1.2"/>
      <sheetName val="9U2-Lead"/>
      <sheetName val="9U2.1"/>
      <sheetName val="9U3"/>
      <sheetName val="9U4"/>
      <sheetName val="9U5"/>
      <sheetName val="9U6"/>
      <sheetName val="9U7"/>
      <sheetName val="List PBC"/>
      <sheetName val="IS 08"/>
      <sheetName val="TB Sept 08"/>
      <sheetName val="TB Ags"/>
      <sheetName val="IS MAR 2010"/>
      <sheetName val="COGS MAR 2010"/>
      <sheetName val="TB MAR 2010"/>
      <sheetName val="List Adj "/>
      <sheetName val="TB Sep"/>
      <sheetName val="IS Combine Dec 2008"/>
      <sheetName val="TB DEC 2008"/>
      <sheetName val="COGS Dec 2009&amp;2008"/>
      <sheetName val="IS DEC 2009"/>
      <sheetName val="TB DEC 2009"/>
      <sheetName val="UB.2"/>
      <sheetName val="C (MH)"/>
      <sheetName val="C-1 (MH)"/>
      <sheetName val="C-2 (MH)"/>
      <sheetName val="D (MH)"/>
      <sheetName val="E-1 (MH)"/>
      <sheetName val="F (MH)"/>
      <sheetName val="G.1.3 (MH)"/>
      <sheetName val="K-1 (MH)"/>
      <sheetName val="O-1(MH)"/>
      <sheetName val="O.1.1 (MH)"/>
      <sheetName val="U-2.1 (MH)"/>
      <sheetName val="U-3.1 (MH)"/>
      <sheetName val="U-3.2 (MH)"/>
      <sheetName val="U-3.3 (MH)"/>
      <sheetName val="U-3.3.1 (MH)"/>
      <sheetName val="U-3.4 (MH)"/>
      <sheetName val="U-3.6 (MH)"/>
      <sheetName val="U-3.7 (MH)"/>
      <sheetName val="U-3.9 (MH)"/>
      <sheetName val="U-3.10 (MH)"/>
      <sheetName val="U-4.1 (MH)"/>
      <sheetName val="U-4.1.1 (MH)"/>
      <sheetName val="Rate bunga deposito (MH)"/>
      <sheetName val="U-4.2 (MH)"/>
      <sheetName val="U-4.3 (MH)"/>
      <sheetName val="R1_CAPEX_03"/>
      <sheetName val="BDD 27 Des"/>
      <sheetName val="Corr Exp 2007 (2)"/>
      <sheetName val="Corr Exp 2007"/>
      <sheetName val="CONF"/>
      <sheetName val="D-1 (2)"/>
      <sheetName val="FISKAL KANTOR &amp; MESS"/>
      <sheetName val="FISKAL PROYEK"/>
      <sheetName val="FISKAL RMH CTH"/>
      <sheetName val="CC-3"/>
      <sheetName val="SE"/>
      <sheetName val="30-1"/>
      <sheetName val="30-2"/>
      <sheetName val="R-1 Deferred Tax &amp; Cor Rec"/>
      <sheetName val="R-1.1 Depr"/>
      <sheetName val="R-1.1 Depr (2)"/>
      <sheetName val="R-1.1.1 FISKAL 2011"/>
      <sheetName val="R-1.1.1 FISKAL2010"/>
      <sheetName val="R-1.2 Prov ESEnt"/>
      <sheetName val="HUTdanPIUT2012"/>
      <sheetName val="E.1.1"/>
      <sheetName val="E.1.3"/>
      <sheetName val="E.1.4"/>
      <sheetName val="E.1.5"/>
      <sheetName val="E.1.6"/>
      <sheetName val="E.1.7"/>
      <sheetName val="E.1.8"/>
      <sheetName val="E.1.9"/>
      <sheetName val="E.1.10"/>
      <sheetName val="E.1.11"/>
      <sheetName val="E.1.12"/>
      <sheetName val="E.1.13"/>
      <sheetName val="E.1.14"/>
      <sheetName val="E.1.15"/>
      <sheetName val="E.1.16"/>
      <sheetName val="E.1.17"/>
      <sheetName val="E.1.18"/>
      <sheetName val="E.1.19"/>
      <sheetName val="E.1.20"/>
      <sheetName val="E.1.21"/>
      <sheetName val="E.1.22"/>
      <sheetName val="Benefit table"/>
      <sheetName val="Sample Rp"/>
      <sheetName val="??????"/>
      <sheetName val="A (Cash Top Schedule)"/>
      <sheetName val="A.1 (Cash On Hand)"/>
      <sheetName val="A.1.3 TF"/>
      <sheetName val="A.1.4 TF"/>
      <sheetName val="A.1.5 TF"/>
      <sheetName val="A.2 (Cash in Bank)"/>
      <sheetName val="A.TT"/>
      <sheetName val="A.2.CO"/>
      <sheetName val="A.3 (Time Deposit)"/>
      <sheetName val="A.3 TEST"/>
      <sheetName val="A.CRAM"/>
      <sheetName val="co_data"/>
      <sheetName val="ACT Cashflow"/>
      <sheetName val="CF Ksd"/>
      <sheetName val="Brand"/>
      <sheetName val="Dept code"/>
      <sheetName val="Chart of Account"/>
      <sheetName val="Comm View"/>
      <sheetName val="IS SUM 2008"/>
      <sheetName val="BD COGS"/>
      <sheetName val="FCF"/>
      <sheetName val="Fin Stmt"/>
      <sheetName val="Detail Sales &amp; COGS"/>
      <sheetName val="03 DPD"/>
      <sheetName val="14 DC"/>
      <sheetName val="15 F&amp;A"/>
      <sheetName val="16 P&amp;GA"/>
      <sheetName val="17 IT"/>
      <sheetName val="30 MC"/>
      <sheetName val="40 MDv"/>
      <sheetName val="41 Proc"/>
      <sheetName val="18-29 SROOM"/>
      <sheetName val="21 VL"/>
      <sheetName val="22 HM"/>
      <sheetName val="23 SM"/>
      <sheetName val="24 CK"/>
      <sheetName val="25 VST"/>
      <sheetName val="26 CG1"/>
      <sheetName val="27 CG2"/>
      <sheetName val="28 CG3"/>
      <sheetName val="29 COM"/>
      <sheetName val="30 CG1 Lama"/>
      <sheetName val="31 VH"/>
      <sheetName val="32 AP"/>
      <sheetName val="33 GB"/>
      <sheetName val="51 DN"/>
      <sheetName val="52 LL"/>
      <sheetName val="53 LANG"/>
      <sheetName val="90 Others"/>
      <sheetName val="TB Detail 2601"/>
      <sheetName val="TB Detail 2601 (CAD AUDITED)"/>
      <sheetName val="TB Detail 2602"/>
      <sheetName val="TB Detail 2603"/>
      <sheetName val="TB Detail 2604"/>
      <sheetName val="TB Detail 2605"/>
      <sheetName val="TB Detail 2606"/>
      <sheetName val="TB Detail 2607"/>
      <sheetName val="TB Detail 2608"/>
      <sheetName val="TB Detail 2609"/>
      <sheetName val="TB Detail 2610"/>
      <sheetName val="TB Detail 2611"/>
      <sheetName val="TB Detail 2612"/>
      <sheetName val="TB Detail 2613"/>
      <sheetName val="Timetable"/>
      <sheetName val="StaffForecast"/>
      <sheetName val="EngagementList"/>
      <sheetName val="ClientList"/>
      <sheetName val="StaffList"/>
      <sheetName val="Per Sched"/>
      <sheetName val="Progress - Daily"/>
      <sheetName val="SO - 2010"/>
      <sheetName val="Portofolio Trading"/>
      <sheetName val="TOTALP&amp;L"/>
      <sheetName val="Matahari"/>
      <sheetName val="BS MTP (1)"/>
      <sheetName val="NOTES (4-8)"/>
      <sheetName val="Attachment (9-14) "/>
      <sheetName val="Fixset-MHU"/>
      <sheetName val="Pre-Operating"/>
      <sheetName val="C of P Proj"/>
      <sheetName val="C of S Proj"/>
      <sheetName val="Sales Proj"/>
      <sheetName val="IS Proj"/>
      <sheetName val="CF Proj"/>
      <sheetName val="Fixset-CPW"/>
      <sheetName val="IS-CPW"/>
      <sheetName val="CF-CPW"/>
      <sheetName val="BS-CPW"/>
      <sheetName val="MEDCN"/>
      <sheetName val="Drop Down List"/>
      <sheetName val="share cost"/>
      <sheetName val="Raw Material Vender"/>
      <sheetName val="Raw Material ทำเอง"/>
      <sheetName val="Raw Material"/>
      <sheetName val="supply in stock"/>
      <sheetName val="TB0903"/>
      <sheetName val="AR-Summary"/>
      <sheetName val="AR-Record"/>
      <sheetName val="AP-Record"/>
      <sheetName val="AP-Summary"/>
      <sheetName val="Work'n Process"/>
      <sheetName val="Job allocation"/>
      <sheetName val="Knowledge"/>
      <sheetName val="Non used assets"/>
      <sheetName val="Reconcile P&amp;L"/>
      <sheetName val="TB-Sept10"/>
      <sheetName val="Lia&amp;Eqty"/>
      <sheetName val="pl&amp;re"/>
      <sheetName val="AJE10"/>
      <sheetName val="RJE10"/>
      <sheetName val="RJE09"/>
      <sheetName val="F3.1"/>
      <sheetName val="pl5"/>
      <sheetName val="_FS1220"/>
      <sheetName val="_FS1600"/>
      <sheetName val="_FS1610"/>
      <sheetName val="_FS1710"/>
      <sheetName val="req note"/>
      <sheetName val="req note 2545"/>
      <sheetName val="company name for consoSCG"/>
      <sheetName val="งบดุล-eng"/>
      <sheetName val="tax-plan"/>
      <sheetName val="bs-2003"/>
      <sheetName val="pl-2003"/>
      <sheetName val="Current asset"/>
      <sheetName val="งบกระแสเงินสด"/>
      <sheetName val="detail44 (2)"/>
      <sheetName val="inc(dec)"/>
      <sheetName val="ส่งออกเครือฯ"/>
      <sheetName val="ST Loan"/>
      <sheetName val="LT IFCT"/>
      <sheetName val="LT BAY"/>
      <sheetName val="LT JGC"/>
      <sheetName val="LT TOC&amp; MOC"/>
      <sheetName val="Z-4"/>
      <sheetName val="AA-6 (2)"/>
      <sheetName val="AA-6"/>
      <sheetName val="NN-6"/>
      <sheetName val="BB-7"/>
      <sheetName val="CC-8"/>
      <sheetName val="CC-9"/>
      <sheetName val="30-note"/>
      <sheetName val="10-test (revise)"/>
      <sheetName val="10-1 Media"/>
      <sheetName val="10-cut"/>
      <sheetName val="10-test"/>
      <sheetName val="DealerData"/>
      <sheetName val="CustomerData"/>
      <sheetName val="comm_FCD"/>
      <sheetName val="Com_Paid_FCD"/>
      <sheetName val="comm_THB"/>
      <sheetName val="Comm_Paid_THB"/>
      <sheetName val="comm_EUR"/>
      <sheetName val="CF-4"/>
      <sheetName val="S33 (3 months)"/>
      <sheetName val="S33 (3 months)-note"/>
      <sheetName val="S33 (6 months)"/>
      <sheetName val="S33 (6 months)-note"/>
      <sheetName val="34-note-mar"/>
      <sheetName val="K100A"/>
      <sheetName val="K120"/>
      <sheetName val="K130"/>
      <sheetName val="K140"/>
      <sheetName val="K150"/>
      <sheetName val="K160"/>
      <sheetName val="K170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30-analyse"/>
      <sheetName val="70-3"/>
      <sheetName val="30-3"/>
      <sheetName val="หลักประกัน"/>
      <sheetName val="หลักประกัน adj (1)"/>
      <sheetName val="การเงิน"/>
      <sheetName val="Fact Cost"/>
      <sheetName val="MAR09"/>
      <sheetName val="APR09"/>
      <sheetName val="MAY09 "/>
      <sheetName val="JUN09  "/>
      <sheetName val="AUG09"/>
      <sheetName val="SEP09 "/>
      <sheetName val="DETAIL-COGEN"/>
      <sheetName val="DETAIL-POLISHING"/>
      <sheetName val="NFS"/>
      <sheetName val="NFS (th)"/>
      <sheetName val="AC55296 - Idle cost"/>
      <sheetName val="U-(fixed asset)"/>
      <sheetName val="Selection"/>
      <sheetName val="3lev-mth"/>
      <sheetName val="3lev-YTD"/>
      <sheetName val="10TEST"/>
      <sheetName val="20TEST "/>
      <sheetName val="M-MM"/>
      <sheetName val="fwd"/>
      <sheetName val="jbic"/>
      <sheetName val="unreal"/>
      <sheetName val="Cls_Budget"/>
      <sheetName val="1.ProdDiv"/>
      <sheetName val="2.OlefinsDept"/>
      <sheetName val="3.AromaticDept"/>
      <sheetName val="4.Planning"/>
      <sheetName val="5.Technical"/>
      <sheetName val="6.QualityCtl"/>
      <sheetName val="7. Eng&amp;Maintainance"/>
      <sheetName val="8.Personnel"/>
      <sheetName val="9.Safety"/>
      <sheetName val="10.TQC"/>
      <sheetName val="11.Accounting"/>
      <sheetName val="DataSheet"/>
      <sheetName val="Cls IO"/>
      <sheetName val="CCtr"/>
      <sheetName val="30S"/>
      <sheetName val="30S-2"/>
      <sheetName val="30S-1"/>
      <sheetName val="30A-1"/>
      <sheetName val="30A-2"/>
      <sheetName val="CUT OFF SALE"/>
      <sheetName val="20-test"/>
      <sheetName val="0-1"/>
      <sheetName val="30-1 (2)"/>
      <sheetName val="40-1(LT)"/>
      <sheetName val="40-2(PN)"/>
      <sheetName val="70-1(PN)"/>
      <sheetName val="F-2 "/>
      <sheetName val="ques."/>
      <sheetName val="F_note"/>
      <sheetName val="AA-FWD"/>
      <sheetName val="CC_1"/>
      <sheetName val="CC_2"/>
      <sheetName val="issue"/>
      <sheetName val="30-2 (2)"/>
      <sheetName val="COUNT_wh (2)"/>
      <sheetName val="COUNT_wh"/>
      <sheetName val="INVEN(TEST)"/>
      <sheetName val="COUNT_NNDC"/>
      <sheetName val="NTET2004 (DEC)"/>
      <sheetName val="NEG2004 (DEC)"/>
      <sheetName val="NEG2004 (DEC) (2)"/>
      <sheetName val="LIA"/>
      <sheetName val="ASS"/>
      <sheetName val="ADJ."/>
      <sheetName val="ADJ-VAR"/>
      <sheetName val="hedging"/>
      <sheetName val="Rate B,G"/>
      <sheetName val="defer"/>
      <sheetName val="คชจ-อบรม"/>
      <sheetName val="aff"/>
      <sheetName val="ASS."/>
      <sheetName val="LIA."/>
      <sheetName val="VAR"/>
      <sheetName val="retire42"/>
      <sheetName val="prop"/>
      <sheetName val="F-1 NOTE"/>
      <sheetName val="F-2 NOTE"/>
      <sheetName val="F-3 NOTE"/>
      <sheetName val="FF-NOTE"/>
      <sheetName val="10 CUT Local"/>
      <sheetName val="10 CUT Export"/>
      <sheetName val="20 CUT"/>
      <sheetName val="Exp._etd Apr"/>
      <sheetName val="retire45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113990"/>
      <sheetName val="Program"/>
      <sheetName val="BS-FULL"/>
      <sheetName val="BS-Format"/>
      <sheetName val="replacement Asset"/>
      <sheetName val="ARAP "/>
      <sheetName val="APAR BY ACCOUNT"/>
      <sheetName val="Detail Sales,Purchase"/>
      <sheetName val="Psmsms0402"/>
      <sheetName val="ARAP BY ACCOUNT"/>
      <sheetName val="retire44"/>
      <sheetName val="ยอดระหว่างกัน"/>
      <sheetName val="PFข้อ7.2540_BP"/>
      <sheetName val="PFข้อ7.2540_BS"/>
      <sheetName val="PFข้อ8.2541_"/>
      <sheetName val="Exp._etd"/>
      <sheetName val="Export_tkic"/>
      <sheetName val="ประกอบงบ-ใช้ตอนQ4"/>
      <sheetName val="frptolocal"/>
      <sheetName val="detailadjust"/>
      <sheetName val="Disposed"/>
      <sheetName val="Curren FA Local"/>
      <sheetName val="BB (2)"/>
      <sheetName val="BB-1 (2)"/>
      <sheetName val="BB-2 (2)"/>
      <sheetName val="5xxxxx"/>
      <sheetName val="64xxxx"/>
      <sheetName val="12.31.01"/>
      <sheetName val=" F-1"/>
      <sheetName val=" F-2"/>
      <sheetName val=" F-3"/>
      <sheetName val="F-1-note"/>
      <sheetName val="F-2-note"/>
      <sheetName val="LINE"/>
      <sheetName val="bscom"/>
      <sheetName val="manage"/>
      <sheetName val="ACCODE1"/>
      <sheetName val="1800"/>
      <sheetName val="1111"/>
      <sheetName val="1112"/>
      <sheetName val="1112.1"/>
      <sheetName val="1104"/>
      <sheetName val="1123"/>
      <sheetName val="1114"/>
      <sheetName val="1302"/>
      <sheetName val="1302.1"/>
      <sheetName val="2101"/>
      <sheetName val="LOT"/>
      <sheetName val="2101.1"/>
      <sheetName val="2101.2"/>
      <sheetName val="2108"/>
      <sheetName val="2101-3103"/>
      <sheetName val="4210"/>
      <sheetName val="5107-9"/>
      <sheetName val="1107-1109"/>
      <sheetName val="5807"/>
      <sheetName val="5809"/>
      <sheetName val="เมล็ด"/>
      <sheetName val="เมล็ดเสื่อม"/>
      <sheetName val="1307"/>
      <sheetName val="5100"/>
      <sheetName val="1108"/>
      <sheetName val="1102.1"/>
      <sheetName val="1105"/>
      <sheetName val="1105.1"/>
      <sheetName val="2105"/>
      <sheetName val="5105"/>
      <sheetName val="ใบหน้ารายงาน"/>
      <sheetName val="รายงานSGV"/>
      <sheetName val="5910"/>
      <sheetName val="M-MM (2)"/>
      <sheetName val="mm-ex"/>
      <sheetName val="f-1-1"/>
      <sheetName val="C-nrv"/>
      <sheetName val="CC (2)"/>
      <sheetName val="exc"/>
      <sheetName val="30-ex"/>
      <sheetName val="revalue"/>
      <sheetName val="DDNOTE"/>
      <sheetName val="C-turnover"/>
      <sheetName val="10-Test (domestic)"/>
      <sheetName val="10-Test (export)"/>
      <sheetName val="10-CUT(2)"/>
      <sheetName val="20-2"/>
      <sheetName val="20-CUT"/>
      <sheetName val="Interim"/>
      <sheetName val="Export Sales"/>
      <sheetName val="Dealer Sales"/>
      <sheetName val="Domestic Sales"/>
      <sheetName val="EXPORT"/>
      <sheetName val="DEALER"/>
      <sheetName val="DOMESTIC"/>
      <sheetName val="FOC DOMESTIC"/>
      <sheetName val="FOC EXPORT"/>
      <sheetName val="CREDIT NOTE"/>
      <sheetName val="DEBIT NOTE"/>
      <sheetName val="B-to"/>
      <sheetName val="BB-to"/>
      <sheetName val="Vouch"/>
      <sheetName val="Project &amp; Construction"/>
      <sheetName val="Engineering Center"/>
      <sheetName val="Maintenance Polyolefins"/>
      <sheetName val="Maintenance Olefins"/>
      <sheetName val="ME Center"/>
      <sheetName val="EE&amp;IE Center"/>
      <sheetName val="DataSheet_Cls"/>
      <sheetName val="AA_settle"/>
      <sheetName val="Hyperion-1"/>
      <sheetName val="CRM-1"/>
      <sheetName val="CRM"/>
      <sheetName val="AUCLoadData1"/>
      <sheetName val="AUCLoadData1 (2)"/>
      <sheetName val="Status24.05.48"/>
      <sheetName val="สรุปCE50"/>
      <sheetName val="CE_10000"/>
      <sheetName val="detail 0480-10000"/>
      <sheetName val="plan_Depre_CCCC_asset_31.08.06"/>
      <sheetName val="plan_Depre_close_IO_2006"/>
      <sheetName val="plan_Depre_close_IO_2007"/>
      <sheetName val="plan_Depre_CE2007"/>
      <sheetName val="รายชื่อผู้ติดต่อ"/>
      <sheetName val="Managing Director"/>
      <sheetName val="สินค้าพิเศษ"/>
      <sheetName val="ส่วนวางแผน"/>
      <sheetName val="การบุคคล"/>
      <sheetName val="ใบของบ"/>
      <sheetName val="ROC-CCTR."/>
      <sheetName val="REPCO-CCtr"/>
      <sheetName val="MTT-CCtr"/>
      <sheetName val="RPL-CCtr"/>
      <sheetName val="RIL1996-CCtr"/>
      <sheetName val="วิเคราะห์"/>
      <sheetName val="BS'000"/>
      <sheetName val="BS_Detail"/>
      <sheetName val="GL_FSC"/>
      <sheetName val="101xxx"/>
      <sheetName val="128xxx"/>
      <sheetName val="20-Test-Imp"/>
      <sheetName val="20-Test-Imp-Note"/>
      <sheetName val="20-Test-Loc"/>
      <sheetName val="20-Test-Loc-Note"/>
      <sheetName val="20-3"/>
      <sheetName val="20-3-Note"/>
      <sheetName val="40,70"/>
      <sheetName val="DL"/>
      <sheetName val="F-3Note"/>
      <sheetName val="l-note"/>
      <sheetName val="mm-note"/>
      <sheetName val="boi"/>
      <sheetName val="Sales-local"/>
      <sheetName val="Sales-export"/>
      <sheetName val="sumcaje_09'00"/>
      <sheetName val="Sum CAJE"/>
      <sheetName val="sub f1, f2 q3'96"/>
      <sheetName val="L-T LOAN"/>
      <sheetName val="Selected AR &amp; AP"/>
      <sheetName val="average"/>
      <sheetName val="forward05"/>
      <sheetName val="forward04"/>
      <sheetName val="Training exp"/>
      <sheetName val="TCRT line1"/>
      <sheetName val="TCRT 20&quot;wa,25&quot;"/>
      <sheetName val="TCP"/>
      <sheetName val="cal tax"/>
      <sheetName val="bstcp"/>
      <sheetName val="Idle cost"/>
      <sheetName val="TB-0310"/>
      <sheetName val="Alert"/>
      <sheetName val="F3-1"/>
      <sheetName val="Admin tic"/>
      <sheetName val="Recovered_Sheet7"/>
      <sheetName val="Recovered_Sheet8"/>
      <sheetName val="Recovered_Sheet9"/>
      <sheetName val="Recovered_Sheet10"/>
      <sheetName val="Recovered_Sheet11"/>
      <sheetName val="Recovered_Sheet12"/>
      <sheetName val="Recovered_Sheet13"/>
      <sheetName val="Add Data"/>
      <sheetName val="InterastPayCash_BS"/>
      <sheetName val="K-CUR"/>
      <sheetName val="keys"/>
      <sheetName val="detail - tcc"/>
      <sheetName val="NOTEBS1"/>
      <sheetName val="NOTEBS2"/>
      <sheetName val="NOTEPL1"/>
      <sheetName val="NOTEPL2"/>
      <sheetName val="adminexp"/>
      <sheetName val="REC&amp;PAY-TRADE"/>
      <sheetName val="REC&amp;PAY - other"/>
      <sheetName val="REC&amp;PAY-promissory note"/>
      <sheetName val="long term loan"/>
      <sheetName val="Investment_sub&amp;asso"/>
      <sheetName val="Investment_other"/>
      <sheetName val="asset&amp;invest_sold"/>
      <sheetName val="IP&amp;manage_exp"/>
      <sheetName val="debentures"/>
      <sheetName val="req note-cur"/>
      <sheetName val="ST-derivative"/>
      <sheetName val="req note last year"/>
      <sheetName val="ppe _note last year"/>
      <sheetName val="Change"/>
      <sheetName val="Note5_RelatedParties"/>
      <sheetName val="RelatedParties (Change)"/>
      <sheetName val="TB-YTD"/>
      <sheetName val="Note for CashFlow"/>
      <sheetName val="Note8_Inventory"/>
      <sheetName val="Note16_LTDebt"/>
      <sheetName val="Note16_Detail LT Debt"/>
      <sheetName val="RelatedParties"/>
      <sheetName val="sales-Services"/>
      <sheetName val="Defer Dec. 2002"/>
      <sheetName val="Defer Nov. 2003 "/>
      <sheetName val="FG(B)"/>
      <sheetName val="part-local"/>
      <sheetName val="LOCAL(B)"/>
      <sheetName val="part-import"/>
      <sheetName val="FA Consol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Point (2)"/>
      <sheetName val="OUTSOURCE"/>
      <sheetName val="02040+41090"/>
      <sheetName val="ZD410_Interest Exp"/>
      <sheetName val="Account Code"/>
      <sheetName val="Cost Center"/>
      <sheetName val="U (2)"/>
      <sheetName val="Test of production"/>
      <sheetName val="ภงด.1"/>
      <sheetName val="Social"/>
      <sheetName val="Commission"/>
      <sheetName val="PL05"/>
      <sheetName val="PL04"/>
      <sheetName val="Client"/>
      <sheetName val="SUM AJE&amp;RJE 2005"/>
      <sheetName val="CompanyAtt"/>
      <sheetName val="ตั๋วเงินรับ"/>
      <sheetName val="เงินกู้ธนชาติ"/>
      <sheetName val="เงินกู้ MGC"/>
      <sheetName val="Cash Flow-E&amp;Y"/>
      <sheetName val="Interest &amp; Other Income"/>
      <sheetName val="Cost of Sales"/>
      <sheetName val="Stock Valuation"/>
      <sheetName val="Selling &amp; Admn Exps"/>
      <sheetName val="Forex Gains (Loss)"/>
      <sheetName val="Cash &amp; Bank Balance"/>
      <sheetName val="Short term Investment"/>
      <sheetName val="Account Receivable"/>
      <sheetName val="Advances to Employees"/>
      <sheetName val="Advance to suppliers"/>
      <sheetName val="Other Current Assets"/>
      <sheetName val="Long Term Inv &amp; Dep"/>
      <sheetName val="Other non-Current Assets "/>
      <sheetName val="Property &amp; Equipment"/>
      <sheetName val="Prop. &amp; Equip. Details"/>
      <sheetName val="Short term Loans"/>
      <sheetName val="Trade Account payable"/>
      <sheetName val="Long Term Loans"/>
      <sheetName val="Hire purchase liability"/>
      <sheetName val="Other Current Liab"/>
      <sheetName val="Account Pay -Non Current portio"/>
      <sheetName val="Other -Non Current Liabilities"/>
      <sheetName val="Reserves &amp; Surplus"/>
      <sheetName val="General &amp; Admn Overheads"/>
      <sheetName val="Weighted Average shares"/>
      <sheetName val="TB IMIS"/>
      <sheetName val="P&amp;L_IIFL"/>
      <sheetName val="BS_IIFL"/>
      <sheetName val="IntDec00TespM&amp;B"/>
      <sheetName val="Age311299TESP"/>
      <sheetName val="P4DDBFTESP"/>
      <sheetName val="FA Schedule"/>
      <sheetName val="Shareholding"/>
      <sheetName val="KP1590_E"/>
      <sheetName val="PTA Spread "/>
      <sheetName val="PX Cons Ratio"/>
      <sheetName val="อาคาร"/>
      <sheetName val="Form isian"/>
      <sheetName val="Bobot"/>
      <sheetName val="Report 1"/>
      <sheetName val="Global Assumptions"/>
      <sheetName val="Mine Assumptions"/>
      <sheetName val="Contractor"/>
      <sheetName val="Operations"/>
      <sheetName val="Depreciation &amp; Amortisation"/>
      <sheetName val="Scenarios and Sensitivities"/>
      <sheetName val="Costs and Selling Price"/>
      <sheetName val="Operations Summary"/>
      <sheetName val="feed to PPT"/>
      <sheetName val="Loundry &amp; SS"/>
      <sheetName val="APlm"/>
      <sheetName val="EE-2"/>
      <sheetName val="EE-3 KKB BCA-3 Avanza VVTI-2"/>
      <sheetName val="EE-4 KKB BCA-2 Avanza VVTI-3"/>
      <sheetName val="EE-5 KKB BCA-1 Avanza MT-5"/>
      <sheetName val="EE-6 KKB BCA-2 Avanza MT-6"/>
      <sheetName val="EE-7 KKB BCA-2 Avanza EMT-7"/>
      <sheetName val="EE-8 KKB BCA-3 Avanza MT-8"/>
      <sheetName val="EE-9 KKB BCA-3 Avanza EMT-9"/>
      <sheetName val="EE-10 Leasing Dipo-Camry-10"/>
      <sheetName val="EE-11 Dipo-1 Innova GMT-11"/>
      <sheetName val="EE-12 KKB BCA  Avanza EMT-13"/>
      <sheetName val="EE-13 KKB BCA Mitsubishi FE-14"/>
      <sheetName val="EE-14 KKB BCA-1 Innova G AT-15 "/>
      <sheetName val="EE-15 Tunas Sarana-13 FEnL-16"/>
      <sheetName val="EE-16 Dipo-1 Altis V AT-17"/>
      <sheetName val="EE-17 ACC-1 Alphard X AT-18"/>
      <sheetName val="EE-18 Dipo-6 FM n FN-19"/>
      <sheetName val="EE-19 Saseka-1 Camry-20"/>
      <sheetName val="EE-20 KKB BCA-1 Innova-21"/>
      <sheetName val="EE-21 Dipo-1 FM 517-22"/>
      <sheetName val="EE-22 Tunas Mandiri Avanza E-23"/>
      <sheetName val="EE-23 BCA Finance-1 Alphard-24"/>
      <sheetName val="EE-24 BCA Finance-1 Accord-25"/>
      <sheetName val="EE-25 BCA Finance-2 Mercy-26 "/>
      <sheetName val="EE-26 BII Finance-1 Alphard-27"/>
      <sheetName val="EE-27 Balimor 1 Innova-28"/>
      <sheetName val="EE-28 Balimor 2 Mitsu FM 517-29"/>
      <sheetName val="EE-29 KKB BCA-9 Innova-4"/>
      <sheetName val="EE-30 Balimor 1 Innova B 1531 "/>
      <sheetName val="EE-31 Balimor 1 Avanza B 1510 "/>
      <sheetName val="EE- 32Balimor 30FE 74 Chasis-32"/>
      <sheetName val="EE-33 Dipo Star 15Mitsubishi "/>
      <sheetName val="EE-34 Mandiri Tunas 5 Mitsu "/>
      <sheetName val="EE-35 Mandiri Tunas 1 FN 517 "/>
      <sheetName val="EE-36 Dipo Star 5 FN 527ML-36"/>
      <sheetName val="EE-37 Balimor 3 Mitsu Fuso-2"/>
      <sheetName val="Leasing Dipo-15 Fuso-1"/>
      <sheetName val="KKB BCA-3 Avanza VVTI-2"/>
      <sheetName val="KKB BCA-2 Avanza VVTI-3"/>
      <sheetName val="KKB BCA-9 Innova-4"/>
      <sheetName val="KKB BCA-1 Avanza MT-5"/>
      <sheetName val="KKB BCA-2 Avanza MT-6"/>
      <sheetName val="KKB BCA-2 Avanza EMT-7"/>
      <sheetName val="KKB BCA-3 Avanza MT-8"/>
      <sheetName val="KKB BCA-3 Avanza EMT-9"/>
      <sheetName val="Leasing Dipo-Camry-10"/>
      <sheetName val="Dipo-1 Innova GMT-11"/>
      <sheetName val="Dipo-2 Alphard-12"/>
      <sheetName val="KKB BCA LPG-5 Avanza EMT-13"/>
      <sheetName val="KKB BCA LPG-25 Mitsubishi FE-14"/>
      <sheetName val="Panin Bank LPG-5 Fuso FN-c"/>
      <sheetName val="KKB BCA-1 Innova G AT-15 "/>
      <sheetName val="Tunas Fin Sarana-13 FEnL-16"/>
      <sheetName val="Dipo-1 Altis V AT-17"/>
      <sheetName val="ACC-1 Alphard X AT-18"/>
      <sheetName val="Dipo-6 FM n FN-19"/>
      <sheetName val="Saseka-1 Camry-20"/>
      <sheetName val="KKB BCA-1 Innova-21"/>
      <sheetName val="Dipo-1 FM 517-22"/>
      <sheetName val="Tunas Mandiri-1 Avanza E-23"/>
      <sheetName val="BCA Finance-1 Alphard-24"/>
      <sheetName val="BCA Finance-1 Accord-25"/>
      <sheetName val="BCA Finance-2 Mercy-26 "/>
      <sheetName val="BII Finance-1 Alphard-27"/>
      <sheetName val="Balimor 1 Innova-28"/>
      <sheetName val="Balimor 2 Mitsu FM 517-29"/>
      <sheetName val="Balimor 1 Innova B 1531 SOB-30"/>
      <sheetName val="Balimor 1 Avanza B 1510 SOB-31"/>
      <sheetName val="Balimor 30 FE 74 Chasis-32"/>
      <sheetName val="Dipo Star 15Mitsubishi FE 74-33"/>
      <sheetName val="Mandiri Tunas 5 Mitsu FE74HD-34"/>
      <sheetName val="Mandiri Tunas 1 FN 517 ML2-35"/>
      <sheetName val="Dipo Star 5 FN 527ML-36"/>
      <sheetName val="Mandiri 20 Hino Dutro -37"/>
      <sheetName val="BLCT-Dipo Star 2 FE74-1"/>
      <sheetName val="BLCT-Dipo Star 2 FN 517 ML-2"/>
      <sheetName val="BLCT-Dipo Star 3 FN 517 ML-3"/>
      <sheetName val="Posisi Htg Pemb Aktiva 300908"/>
      <sheetName val="Mutasi Pokok"/>
      <sheetName val="Mutasi Bunga "/>
      <sheetName val="ABB Dipo-1 FN 527 ML-1"/>
      <sheetName val="ABB Balimor 3 Mitsu Fuso-2"/>
      <sheetName val="Koreksi PPN"/>
      <sheetName val="BLCT"/>
      <sheetName val="PSAK BLCT-2"/>
      <sheetName val="PSAK BLCT-3"/>
      <sheetName val="PSAK ABB"/>
      <sheetName val="PSAK ABB (2)"/>
      <sheetName val="PSAK VWBI"/>
      <sheetName val="PSAK VWBI-2"/>
      <sheetName val="PSAK VWBI USD"/>
      <sheetName val="PSAK VWC"/>
      <sheetName val="AJE'04"/>
      <sheetName val="PAS"/>
      <sheetName val="DIT-NET"/>
      <sheetName val="Asumsi (1)"/>
      <sheetName val="RAB (4)"/>
      <sheetName val="Neraca (5)"/>
      <sheetName val="Laba (6)"/>
      <sheetName val="Kas (7)"/>
      <sheetName val="ProBiaya"/>
      <sheetName val="Sensitiv"/>
      <sheetName val="Tab1"/>
      <sheetName val="DR"/>
      <sheetName val="Tab_Word"/>
      <sheetName val="ProBiaya (2)"/>
      <sheetName val="Perhit. PPh 21 Tahunan 2007"/>
      <sheetName val="230C2.1"/>
      <sheetName val="230C2.2"/>
      <sheetName val="230C3"/>
      <sheetName val="230C4"/>
      <sheetName val="230 D1.1"/>
      <sheetName val="230 D1.2"/>
      <sheetName val="230 D2.1"/>
      <sheetName val="230 D2.2"/>
      <sheetName val="230 D2.3"/>
      <sheetName val="21&amp;26"/>
      <sheetName val="23&amp;26"/>
      <sheetName val="4 (2)"/>
      <sheetName val="Bea"/>
      <sheetName val="PPh dipotong"/>
      <sheetName val="300 B"/>
      <sheetName val="300 C1"/>
      <sheetName val="300 C2"/>
      <sheetName val="390D13.1"/>
      <sheetName val="300 F"/>
      <sheetName val="300 F2"/>
      <sheetName val="300 F3"/>
      <sheetName val="300 F4"/>
      <sheetName val="300 F5"/>
      <sheetName val="500D"/>
      <sheetName val="500D1"/>
      <sheetName val="500D3"/>
      <sheetName val="200C2"/>
      <sheetName val="800D1"/>
      <sheetName val="320F1.1P"/>
      <sheetName val="800F1"/>
      <sheetName val="800F2"/>
      <sheetName val="KK ARUS KAS"/>
      <sheetName val="JKaruskas"/>
      <sheetName val="400F"/>
      <sheetName val="Daftar akta"/>
      <sheetName val="100 J"/>
      <sheetName val="BAP KAS"/>
      <sheetName val="CHGB"/>
      <sheetName val="Penarikan saldo kas"/>
      <sheetName val="reg. bank"/>
      <sheetName val="form.konf.bank"/>
      <sheetName val="Reg.konf.H-P"/>
      <sheetName val="Rekonsiliasi Bank Rp"/>
      <sheetName val="Rekonsiliasi Bank VLS"/>
      <sheetName val="REKAP_PPh21"/>
      <sheetName val="REKAP PPh23-26 "/>
      <sheetName val="KLASIFIKASI PPh23-26"/>
      <sheetName val="JENIS JASA PPh23-26"/>
      <sheetName val="REKAP PPNDN"/>
      <sheetName val="PPh PSL 4 (2)"/>
      <sheetName val="REKAP STP 2011"/>
      <sheetName val="DETLED"/>
      <sheetName val="ASSETFISKAL2009"/>
      <sheetName val="ASSETKOMERSIL2010"/>
      <sheetName val="ASSETFISKAL2010"/>
      <sheetName val="ASSETKOMERSIL2011"/>
      <sheetName val="ASSETFISKAL2011"/>
      <sheetName val="Rekonsiliasi PPh 21"/>
      <sheetName val="Rekonsiliasi PPh 23"/>
      <sheetName val="Pembayaran &amp; Pelaporan PPh 22"/>
      <sheetName val="Tangguhan (2)"/>
      <sheetName val="PROFIT LOSS"/>
      <sheetName val="1.BSPL"/>
      <sheetName val="2.EQUITY"/>
      <sheetName val="3.CASHFLOW"/>
      <sheetName val="4.NFS GENERAL"/>
      <sheetName val="6.NFS-ACCOUNT"/>
      <sheetName val="7.INFORMASI SEGMEN"/>
      <sheetName val="UTK CF"/>
      <sheetName val="KK Arus Kas (2)"/>
      <sheetName val="WS 311209"/>
      <sheetName val="PR01 - PM, TE"/>
      <sheetName val="PR02 - Ident. of Sig. Accts."/>
      <sheetName val="PR03 - Inherent Risk Assessment"/>
      <sheetName val="PR04 - Combined Risk Assessment"/>
      <sheetName val="KKA100 Cash"/>
      <sheetName val="KKA 120 -Short-term Investments"/>
      <sheetName val="KKA 125 -Marketable Securitites"/>
      <sheetName val="KKA 130 AR - Trade"/>
      <sheetName val="KKA 135 AR - Affiliate"/>
      <sheetName val="KKA 150 Invty"/>
      <sheetName val="KKA 180 Prepaid expenses"/>
      <sheetName val="KKA 185 Intangibles"/>
      <sheetName val="KKA 190 - Long-term Investments"/>
      <sheetName val="KKA 196 - Inv in affiliates"/>
      <sheetName val="KKA 200 PPE"/>
      <sheetName val="KKA 250 - Long-term receivables"/>
      <sheetName val="KKA 300 Notes Payable"/>
      <sheetName val="KKA 320 AP - Trade"/>
      <sheetName val="KKA 340 AP - Affiliates"/>
      <sheetName val="KKA 355 Income Taxes"/>
      <sheetName val="KKA 360 Provisions"/>
      <sheetName val="KKA 390 Long-term debt"/>
      <sheetName val="KKA 396 Derivatives"/>
      <sheetName val="KKA 400 Equity"/>
      <sheetName val="KKA 500 Revenue"/>
      <sheetName val="KKA 550 Cost of Sales"/>
      <sheetName val="KKA 600 Selling Expenses"/>
      <sheetName val="KKA 700 Admin Expenses"/>
      <sheetName val="KKA 750 Payroll"/>
      <sheetName val="KKA 800 Other Income (Expense)"/>
      <sheetName val="PPN M"/>
      <sheetName val="mar "/>
      <sheetName val="G_ LR"/>
      <sheetName val="g_Penj"/>
      <sheetName val="G_ By"/>
      <sheetName val="LPK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PU"/>
      <sheetName val="PJKDD"/>
      <sheetName val="BYDD"/>
      <sheetName val="KK-AT"/>
      <sheetName val="AL"/>
      <sheetName val="HA"/>
      <sheetName val="UMP"/>
      <sheetName val="HPJK"/>
      <sheetName val="BYMH"/>
      <sheetName val="MDL"/>
      <sheetName val="B6"/>
      <sheetName val="nermut07"/>
      <sheetName val="lap by"/>
      <sheetName val="rl baru"/>
      <sheetName val="ph3"/>
      <sheetName val="G-Pj"/>
      <sheetName val="Pos2"/>
      <sheetName val="LR "/>
      <sheetName val="LR berjalan "/>
      <sheetName val="By langsng"/>
      <sheetName val="By-6"/>
      <sheetName val="By-7"/>
      <sheetName val="LMK (2)"/>
      <sheetName val="HTG LL"/>
      <sheetName val="UM KMR"/>
      <sheetName val="nm nEW"/>
      <sheetName val="Jr"/>
      <sheetName val="by pra"/>
      <sheetName val="hpp Ballroom"/>
      <sheetName val="at2"/>
      <sheetName val="G-LR"/>
      <sheetName val="G-By"/>
      <sheetName val="Hut Lain"/>
      <sheetName val="Piut lain"/>
      <sheetName val="NRC New"/>
      <sheetName val="LR berjalan New"/>
      <sheetName val="KARTU RATIO"/>
      <sheetName val="KARTU LR"/>
      <sheetName val="kartu neraca"/>
      <sheetName val="FotoAT"/>
      <sheetName val="Grafik "/>
      <sheetName val="By_6"/>
      <sheetName val="By-6(2)"/>
      <sheetName val="By_7"/>
      <sheetName val="By-7(2)"/>
      <sheetName val="ANALISA KONS"/>
      <sheetName val="Olie _SPBU"/>
      <sheetName val="NRC (INT)"/>
      <sheetName val="mk INT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BY7"/>
      <sheetName val="BY9"/>
      <sheetName val="pos2 ner&amp;LR"/>
      <sheetName val="HUTB"/>
      <sheetName val="HUTNB"/>
      <sheetName val="LPSHB"/>
      <sheetName val="LPSHN"/>
      <sheetName val="ttl"/>
      <sheetName val="FORMBY6"/>
      <sheetName val="FORMBY7"/>
      <sheetName val="FORMBY9"/>
      <sheetName val="daft"/>
      <sheetName val="GR BY"/>
      <sheetName val="GR LR"/>
      <sheetName val="GR PENJ"/>
      <sheetName val="TKA"/>
      <sheetName val="LPH-VALAS"/>
      <sheetName val="LPP-VALAS"/>
      <sheetName val="perinc. bg"/>
      <sheetName val="HPP SP"/>
      <sheetName val="HPP MATRAS"/>
      <sheetName val="POS NRC"/>
      <sheetName val="ak-tetap"/>
      <sheetName val="lampiran6-new"/>
      <sheetName val="Road to report"/>
      <sheetName val="Juli 09"/>
      <sheetName val="analisa single"/>
      <sheetName val="analisa2"/>
      <sheetName val="analisa1"/>
      <sheetName val="PBPP"/>
      <sheetName val="LMP"/>
      <sheetName val="Rincian AT KOM"/>
      <sheetName val="KPNO"/>
      <sheetName val="KPO"/>
      <sheetName val="Sda"/>
      <sheetName val="NGAGEL"/>
      <sheetName val="200B"/>
      <sheetName val="200D1.1"/>
      <sheetName val="200C3"/>
      <sheetName val="200C4"/>
      <sheetName val="200C5"/>
      <sheetName val="200F1"/>
      <sheetName val="200F2"/>
      <sheetName val="200F4"/>
      <sheetName val="200F5"/>
      <sheetName val="200D2.1"/>
      <sheetName val="200D2.2"/>
      <sheetName val="200D2.3"/>
      <sheetName val="200D2.4"/>
      <sheetName val="200D2.5"/>
      <sheetName val="200D2.6"/>
      <sheetName val="650"/>
      <sheetName val="1600"/>
      <sheetName val="2600"/>
      <sheetName val="Sub ev rev"/>
      <sheetName val="Hub.is.rev"/>
      <sheetName val="Im. paska kerja rev"/>
      <sheetName val="TANAH _ BANGUNAN"/>
      <sheetName val="KENDARAAN "/>
      <sheetName val="PERLENGKAPAN "/>
      <sheetName val="PERABOT"/>
      <sheetName val="Cross Check AT KPNO"/>
      <sheetName val="Cross Check AT KPO"/>
      <sheetName val="Cross Check AT SDA"/>
      <sheetName val="Cross Check AT Ngagel"/>
      <sheetName val="Cross Check MLG"/>
      <sheetName val="Cross Check KONSOL"/>
      <sheetName val="100. Kas dan setara kas"/>
      <sheetName val="140. Piutang lain - lain"/>
      <sheetName val="180. uang muka kerja"/>
      <sheetName val="185. PYAD"/>
      <sheetName val="200. Aktiva Tetap"/>
      <sheetName val="250 Aktiva lain-lain"/>
      <sheetName val="350. Hutang lain-lain"/>
      <sheetName val="400. Modal"/>
      <sheetName val="700. Beban Usaha"/>
      <sheetName val="750 B"/>
      <sheetName val="750 D"/>
      <sheetName val="750 D1"/>
      <sheetName val="750 D2"/>
      <sheetName val="750 D3"/>
      <sheetName val="750 D4"/>
      <sheetName val="750 D5"/>
      <sheetName val="750 F"/>
      <sheetName val="K_2_2_1"/>
      <sheetName val="R_14_OIL"/>
      <sheetName val="R-1 (Oil)"/>
      <sheetName val="R-1 (Gas)"/>
      <sheetName val="R-4 (Oil)"/>
      <sheetName val="R-4 (Gas)"/>
      <sheetName val="R-4A"/>
      <sheetName val="R-8A"/>
      <sheetName val="R-11A"/>
      <sheetName val="R-14.GAS"/>
      <sheetName val="R-16.1.1"/>
      <sheetName val="R-16.2.1"/>
      <sheetName val="DMO-Dec99"/>
      <sheetName val="Tax Calculation Sheet"/>
      <sheetName val="Tbl-Q1"/>
      <sheetName val="Tbl-Q2"/>
      <sheetName val="Tbl-Q3"/>
      <sheetName val="C-Lead-NOV"/>
      <sheetName val="C2 NOV"/>
      <sheetName val="C3 NOV"/>
      <sheetName val="timedeppostnov"/>
      <sheetName val="Detail C1"/>
      <sheetName val="detailC2"/>
      <sheetName val="timedeppost"/>
      <sheetName val="confcontrol"/>
      <sheetName val="I_4_1 _2_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Worksheet_05"/>
      <sheetName val="BV1"/>
      <sheetName val="BV2"/>
      <sheetName val="BV3"/>
      <sheetName val="BV4"/>
      <sheetName val="PC1"/>
      <sheetName val="PC2"/>
      <sheetName val="PC3"/>
      <sheetName val="PC5"/>
      <sheetName val="PC4"/>
      <sheetName val="AJ1"/>
      <sheetName val="LEDGER BS"/>
      <sheetName val="LEDGER PL"/>
      <sheetName val="EB"/>
      <sheetName val="Wells"/>
      <sheetName val="Zones"/>
      <sheetName val="H-2.SRB-MRB-MsRB"/>
      <sheetName val="Notelines"/>
      <sheetName val="FS Lines"/>
      <sheetName val="FS Sub-Classes"/>
      <sheetName val="Classess"/>
      <sheetName val="Note Lines"/>
      <sheetName val="ALICIA"/>
      <sheetName val="MELANIA"/>
      <sheetName val="MOESI"/>
      <sheetName val="CIBUNI"/>
      <sheetName val="WPL FISKAL"/>
      <sheetName val="FInal Non Final"/>
      <sheetName val="2010-DESEMBER"/>
      <sheetName val="NDE C04 - RTK GA"/>
      <sheetName val="NDE C09 - IS"/>
      <sheetName val="NDE B10 - RTK COS"/>
      <sheetName val="NDE C14 - Pemasaran"/>
      <sheetName val="NDE D02A - Deposito"/>
      <sheetName val="NDE - BIAYA PAJAK"/>
      <sheetName val="TD - PENYUSUTAN"/>
      <sheetName val="NDE - BIAYA GAJI"/>
      <sheetName val="TD - BIAYA GAJI"/>
      <sheetName val="TD - HONOR TA"/>
      <sheetName val="TD - LABA AKTIVA"/>
      <sheetName val="NDE - BEBAN BUNGA"/>
      <sheetName val="__VBA__23"/>
      <sheetName val="__VBA__24"/>
      <sheetName val="__VBA__25"/>
      <sheetName val="__VBA__26"/>
      <sheetName val="__VBA__27"/>
      <sheetName val="__VBA__28"/>
      <sheetName val="__VBA__29"/>
      <sheetName val="__VBA__30"/>
      <sheetName val="__VBA__31"/>
      <sheetName val="__VBA__32"/>
      <sheetName val="__VBA__33"/>
      <sheetName val="__VBA__34"/>
      <sheetName val="__VBA__35"/>
      <sheetName val="__VBA__36"/>
      <sheetName val="__VBA__37"/>
      <sheetName val="__VBA__38"/>
      <sheetName val="__VBA__39"/>
      <sheetName val="__VBA__40"/>
      <sheetName val="__VBA__41"/>
      <sheetName val="__VBA__42"/>
      <sheetName val="__VBA__43"/>
      <sheetName val="__VBA__44"/>
      <sheetName val="__VBA__45"/>
      <sheetName val="__VBA__46"/>
      <sheetName val="__VBA__47"/>
      <sheetName val="__VBA__48"/>
      <sheetName val="__VBA__49"/>
      <sheetName val="__VBA__0"/>
      <sheetName val="__VBA__1"/>
      <sheetName val="__VBA__2"/>
      <sheetName val="__VBA__3_2"/>
      <sheetName val="__VBA__4_2"/>
      <sheetName val="__VBA__5_2"/>
      <sheetName val="__VBA__6_2"/>
      <sheetName val="__VBA__7_2"/>
      <sheetName val="__VBA__8_2"/>
      <sheetName val="__VBA__9_2"/>
      <sheetName val="__VBA__10_2"/>
      <sheetName val="__VBA__11_2"/>
      <sheetName val="__VBA__12_2"/>
      <sheetName val="EJE-INVESTMENT (2)"/>
      <sheetName val="FAIR VALUE"/>
      <sheetName val="TOP (2)"/>
      <sheetName val="CONSOLIDATED COMPANIES"/>
      <sheetName val="CASH-FLOW"/>
      <sheetName val="EY RECLASS EQUITY-2009"/>
      <sheetName val="EY RECLASS 2009 FA-2009"/>
      <sheetName val="ADJUSTMENT AT CONSOL LEVEL"/>
      <sheetName val="EJE-INVESTMENT"/>
      <sheetName val="EJE-INTERCO BALANCES"/>
      <sheetName val="TRANSACTION WITH RP"/>
      <sheetName val="EJE-RESIPROCAL"/>
      <sheetName val="MONIS"/>
      <sheetName val="STI"/>
      <sheetName val="APAR"/>
      <sheetName val="FA-S"/>
      <sheetName val="FA-NS"/>
      <sheetName val="FA-BOT"/>
      <sheetName val="PRO"/>
      <sheetName val="ONCA"/>
      <sheetName val="CBL"/>
      <sheetName val="AE"/>
      <sheetName val="LBL"/>
      <sheetName val="ITC"/>
      <sheetName val="SI-CIT"/>
      <sheetName val="ITD"/>
      <sheetName val="SI-DTA"/>
      <sheetName val="PEBO"/>
      <sheetName val="SSS&lt;FINAL PEBO&gt;"/>
      <sheetName val="RET-PEBO"/>
      <sheetName val="GL-PEBO"/>
      <sheetName val="Pension-PEBO"/>
      <sheetName val="MONE"/>
      <sheetName val="Summary (Pr)"/>
      <sheetName val="CONDENSE"/>
      <sheetName val="aging AR-AP"/>
      <sheetName val="Akt &amp; kwjb original"/>
      <sheetName val="SSL - BS"/>
      <sheetName val="Eliminated (Condensed)"/>
      <sheetName val="Analysis 2009"/>
      <sheetName val="rincian beda waktu"/>
      <sheetName val="hutang jk pjg per org curr"/>
      <sheetName val="Movement hutang"/>
      <sheetName val="OS - BS"/>
      <sheetName val="OS - per month"/>
      <sheetName val="SSL-per month "/>
      <sheetName val="FA - OS"/>
      <sheetName val="FA - SSL"/>
      <sheetName val="Labor Law"/>
      <sheetName val="Labor law fo report"/>
      <sheetName val="Jaminan Bank"/>
      <sheetName val="RCF"/>
      <sheetName val="BBLR"/>
      <sheetName val="RBF"/>
      <sheetName val="BBNRC"/>
      <sheetName val="KHU"/>
      <sheetName val="L-R"/>
      <sheetName val="ALK"/>
      <sheetName val="BF"/>
      <sheetName val="Pendptan (2)"/>
      <sheetName val="LTD"/>
      <sheetName val="Sheet8 (2)"/>
      <sheetName val="Working Paper (2)"/>
      <sheetName val="1771 Y Ind"/>
      <sheetName val="1771 Y Eng"/>
      <sheetName val="Final TB"/>
      <sheetName val="Tax Calc. - Resume"/>
      <sheetName val="1771-V "/>
      <sheetName val="26(4)"/>
      <sheetName val="kredit LN"/>
      <sheetName val="March 06"/>
      <sheetName val="Updated sort"/>
      <sheetName val="Non Ded Exp"/>
      <sheetName val="Journal Entry"/>
      <sheetName val="Sub Total"/>
      <sheetName val="Scala"/>
      <sheetName val="ARKA"/>
      <sheetName val="PJL LK"/>
      <sheetName val="L-6"/>
      <sheetName val="L-7"/>
      <sheetName val="L-8"/>
      <sheetName val="L-9"/>
      <sheetName val="L-10"/>
      <sheetName val="L-11"/>
      <sheetName val="L-13"/>
      <sheetName val="NLM"/>
      <sheetName val="Beli IVT"/>
      <sheetName val="PDJ"/>
      <sheetName val="Perhitungan PPh"/>
      <sheetName val="Piu Hut Ps 21-10"/>
      <sheetName val="Table 1"/>
      <sheetName val="Daftar Gaji Tambahan"/>
      <sheetName val="Daftar Gaji"/>
      <sheetName val="Buku Tambahan"/>
      <sheetName val="Tabel Bantu"/>
      <sheetName val="GLJ (2)"/>
      <sheetName val="KAS (3)"/>
      <sheetName val="BPJ (3)"/>
      <sheetName val="101"/>
      <sheetName val="BPJ (2)"/>
      <sheetName val="NPC"/>
      <sheetName val="BPJ"/>
      <sheetName val="KAS (2)"/>
      <sheetName val="BPJ (4)"/>
      <sheetName val="JPJ"/>
      <sheetName val="Cashflow _ without SSM"/>
      <sheetName val="WBS_WPL KONSOL"/>
      <sheetName val="LKDES09-net,"/>
      <sheetName val="DETAIL PENJELASAN"/>
      <sheetName val="A (2)"/>
      <sheetName val="G_2_1"/>
      <sheetName val="G_3"/>
      <sheetName val="N_1_1"/>
      <sheetName val="S-2.2"/>
      <sheetName val="FINREP _2_"/>
      <sheetName val="FINREP"/>
      <sheetName val="WP_SP_03"/>
      <sheetName val="C-8.1"/>
      <sheetName val="Att. E-1.2 (Subseq. Rcpt.)"/>
      <sheetName val="G-4"/>
      <sheetName val="O-1-1 (PPh 21-Jkt)"/>
      <sheetName val="O-1.2 (PPh 21-Smg)"/>
      <sheetName val="WP-SP-03"/>
      <sheetName val="PYJE '03"/>
      <sheetName val="PAJE '03"/>
      <sheetName val="PRJE '03"/>
      <sheetName val="CAJE-03"/>
      <sheetName val="CRJE-03"/>
      <sheetName val="E-1.1 Oil"/>
      <sheetName val="E.1.1.3 Conf"/>
      <sheetName val="E-1.2 Gas"/>
      <sheetName val="E-1.3 DMO"/>
      <sheetName val="E-2.3.3"/>
      <sheetName val="E-2.4.1"/>
      <sheetName val="E-2.4.2"/>
      <sheetName val="K.2.1(rav indo gaap)"/>
      <sheetName val="K-2.2"/>
      <sheetName val="K-2.2(rev indo gaap)"/>
      <sheetName val="K-2.3 Reserve"/>
      <sheetName val="T Confirmation"/>
      <sheetName val="U.1.1.1"/>
      <sheetName val="JNL Oil Old"/>
      <sheetName val="U-2.1.1.1"/>
      <sheetName val="U-2.1.2"/>
      <sheetName val="U-2.2.1"/>
      <sheetName val="GL 060210"/>
      <sheetName val="TB "/>
      <sheetName val="GL REVISED"/>
      <sheetName val="JIB_1H"/>
      <sheetName val="JIB_2H"/>
      <sheetName val="Comp DMO"/>
      <sheetName val="TB REVISED"/>
      <sheetName val="Oper"/>
      <sheetName val="TB OLD"/>
      <sheetName val="GL 060202"/>
      <sheetName val="INSTITUSI"/>
      <sheetName val="Asset SIT"/>
      <sheetName val="RINC"/>
      <sheetName val="ujicoba"/>
      <sheetName val="MATRIKS HUTANG PIUTANG"/>
      <sheetName val="Pjg"/>
      <sheetName val="CM Holding"/>
      <sheetName val="Y2D Holding"/>
      <sheetName val="LR detail"/>
      <sheetName val="FA Fiscal _ Tangguhan"/>
      <sheetName val="led-at"/>
      <sheetName val="Bukti Pot"/>
      <sheetName val="Rekon-Perbook SIT"/>
      <sheetName val="Rekon dctx"/>
      <sheetName val="dep-fiskal"/>
      <sheetName val="1771 Induk"/>
      <sheetName val="1771-III (2)"/>
      <sheetName val="1A depre"/>
      <sheetName val="3A-1"/>
      <sheetName val="3A-2"/>
      <sheetName val="8A-6 trans"/>
      <sheetName val="Angs 25"/>
      <sheetName val="NERACA&amp;PL"/>
      <sheetName val="E1 &amp; E2"/>
      <sheetName val="DATA CODA"/>
      <sheetName val="Mut Nop'10"/>
      <sheetName val="&lt;=201011"/>
      <sheetName val="Piutang &amp; hutang Afiliasi"/>
      <sheetName val="B. G &amp; A"/>
      <sheetName val="140B"/>
      <sheetName val="140 D"/>
      <sheetName val="140 F"/>
      <sheetName val="140C"/>
      <sheetName val="140F"/>
      <sheetName val="140F2"/>
      <sheetName val="Customers"/>
      <sheetName val="Products"/>
      <sheetName val="TrfToBlend"/>
      <sheetName val="SalesReg"/>
      <sheetName val="RequisForSample"/>
      <sheetName val="ProdPivot"/>
      <sheetName val="TrfToBlendPivot"/>
      <sheetName val="ProdBlendPivot"/>
      <sheetName val="RequisForSamplePivot"/>
      <sheetName val="SalesPivot"/>
      <sheetName val="HProd"/>
      <sheetName val="HTrfToBlend"/>
      <sheetName val="HSalesReg"/>
      <sheetName val="HRequisForSample"/>
      <sheetName val="KKLR"/>
      <sheetName val="PAJE-PAJE SUMMARY "/>
      <sheetName val="CAJE- CAJE SUMMARY "/>
      <sheetName val="AFILIASI SIT _NET"/>
      <sheetName val="AFILIASI-2"/>
      <sheetName val="AR-AP By Cur"/>
      <sheetName val="Jml Kary"/>
      <sheetName val="Affiliated"/>
      <sheetName val="Affiliated-NET"/>
      <sheetName val="Foreign BS"/>
      <sheetName val="FA Versi report"/>
      <sheetName val="Breakdown BS"/>
      <sheetName val="Def_tax"/>
      <sheetName val="Eliminasi-REVISI"/>
      <sheetName val="Direct CF"/>
      <sheetName val="Minority interest SIT"/>
      <sheetName val="Non_audited subsis"/>
      <sheetName val="CF support"/>
      <sheetName val="Empl benefit panurjwan"/>
      <sheetName val="rincian ptg dan htg"/>
      <sheetName val="Aff_SIG"/>
      <sheetName val="Aff_SIG _1_"/>
      <sheetName val="Aff_SIG_2"/>
      <sheetName val="LAP perub ekuitas"/>
      <sheetName val="jurnal_eli"/>
      <sheetName val="condensed entity"/>
      <sheetName val="AFFILIASI"/>
      <sheetName val="Perincian sesuai report"/>
      <sheetName val="FA KSL"/>
      <sheetName val="JURNAL ABSORB LABA ANAK KE TBS"/>
      <sheetName val="SSL _ PL"/>
      <sheetName val="PERINCIAN_1"/>
      <sheetName val="FA SSL"/>
      <sheetName val="LR COMPRE"/>
      <sheetName val="Bank SSL"/>
      <sheetName val="Equity report"/>
      <sheetName val="REKLASS 2010"/>
      <sheetName val="TOPCompare"/>
      <sheetName val="Balance per Entity"/>
      <sheetName val="Income per Entity"/>
      <sheetName val="TOP2010"/>
      <sheetName val="PLCompare"/>
      <sheetName val="PL2011"/>
      <sheetName val="PL2010"/>
      <sheetName val="AJE UNIT"/>
      <sheetName val="AJECONSOL"/>
      <sheetName val="TOP2011"/>
      <sheetName val="TB TBS JKT"/>
      <sheetName val="TBS SMR"/>
      <sheetName val="Sumbar - Likuidasi"/>
      <sheetName val="Pinang - Likuidasi"/>
      <sheetName val="UPPIS - Likuidasi"/>
      <sheetName val="Kapuas - Likuidasi"/>
      <sheetName val="Prabu - Likuidasi"/>
      <sheetName val="Banjar"/>
      <sheetName val="Kutai"/>
      <sheetName val="Ampel Konsol"/>
      <sheetName val="Merak"/>
      <sheetName val="Balerang"/>
      <sheetName val="Deli"/>
      <sheetName val="Kota"/>
      <sheetName val="Kuala"/>
      <sheetName val="Makassar"/>
      <sheetName val="Papan"/>
      <sheetName val="Tara"/>
      <sheetName val="Tembini"/>
      <sheetName val="Tirang"/>
      <sheetName val="Musi"/>
      <sheetName val="DRAFT (2)"/>
      <sheetName val="13.hutang lain2"/>
      <sheetName val="840A"/>
      <sheetName val="840"/>
      <sheetName val="840D1"/>
      <sheetName val="840D2"/>
      <sheetName val="840D3"/>
      <sheetName val="840D4"/>
      <sheetName val="840D5"/>
      <sheetName val="Angsuran PPh 29"/>
      <sheetName val="Leadsheet"/>
      <sheetName val="Analisa umur"/>
      <sheetName val="Mutasi Peny. piutang"/>
      <sheetName val="Analisa Statistik Piutang"/>
      <sheetName val="Rekonstruksi"/>
      <sheetName val="130 C1.1"/>
      <sheetName val="130 C1.2"/>
      <sheetName val="130 J"/>
      <sheetName val="125"/>
      <sheetName val="160"/>
      <sheetName val="185"/>
      <sheetName val="196"/>
      <sheetName val="200,210"/>
      <sheetName val="250"/>
      <sheetName val="375"/>
      <sheetName val="399"/>
      <sheetName val="550"/>
      <sheetName val="841"/>
      <sheetName val="320A"/>
      <sheetName val="320B"/>
      <sheetName val="320C1.1"/>
      <sheetName val="320C1.2"/>
      <sheetName val="320C1.3"/>
      <sheetName val="320C1.4"/>
      <sheetName val="320C1.5"/>
      <sheetName val="320F1"/>
      <sheetName val="320F2"/>
      <sheetName val="320 F3"/>
      <sheetName val="320J"/>
      <sheetName val="135"/>
      <sheetName val="340"/>
      <sheetName val="560"/>
      <sheetName val="150 A"/>
      <sheetName val="150 B"/>
      <sheetName val="150 F1"/>
      <sheetName val="150 F3"/>
      <sheetName val="150 F4"/>
      <sheetName val="150 F5"/>
      <sheetName val="150 F6"/>
      <sheetName val="150 F7"/>
      <sheetName val="150 F8"/>
      <sheetName val="150 D1"/>
      <sheetName val="150 C1"/>
      <sheetName val="150 C2"/>
      <sheetName val="150 D2"/>
      <sheetName val="310B"/>
      <sheetName val="310C"/>
      <sheetName val="310D1"/>
      <sheetName val="310D2"/>
      <sheetName val="310F2"/>
      <sheetName val="310F3"/>
      <sheetName val="310K"/>
      <sheetName val="Lap Ekspor"/>
      <sheetName val="Lap Lokal"/>
      <sheetName val="LIST-FA'08"/>
      <sheetName val="LIST-FA'07 (Otak-Atik)"/>
      <sheetName val="LIST-FA'07 (2)"/>
      <sheetName val="REKAP 2004"/>
      <sheetName val="cumm"/>
      <sheetName val="mess&amp;nda"/>
      <sheetName val="standard"/>
      <sheetName val="REKAP FA 2003"/>
      <sheetName val="1051-WIRECHG"/>
      <sheetName val="1052-RECLASS USD"/>
      <sheetName val="1053-RECLASS IDR"/>
      <sheetName val="1054-RECLASS SGD"/>
      <sheetName val="LIST-FA 2008"/>
      <sheetName val="LIST-FA 2006"/>
      <sheetName val="LIST-FA 2007"/>
      <sheetName val="600 B"/>
      <sheetName val="600 "/>
      <sheetName val="600C1"/>
      <sheetName val="600C2"/>
      <sheetName val="600F1"/>
      <sheetName val="200F1 "/>
      <sheetName val="200F2- Kel 1"/>
      <sheetName val="200F3-kel 2"/>
      <sheetName val="Books of account"/>
      <sheetName val="WPTBMFG"/>
      <sheetName val="ISPPTI"/>
      <sheetName val="BSPPTI"/>
      <sheetName val="CASHFLOWPPTI"/>
      <sheetName val="Gen.journal"/>
      <sheetName val="Schedule of Expenses  "/>
      <sheetName val="Schedule of factory overhead "/>
      <sheetName val="schedulestoolsteel"/>
      <sheetName val="CONSOLIDATEDINCOME"/>
      <sheetName val="CONSOLIDATEDINCOME MNFNG &amp; TRAD"/>
      <sheetName val="BSDUETOAFFILOFF"/>
      <sheetName val="CONSOCASHFLOWMFGTOOL"/>
      <sheetName val="consolidatedCASHFLOW"/>
      <sheetName val="Hitachi Financial statement"/>
      <sheetName val="Hitachi"/>
      <sheetName val="FStradingnewform"/>
      <sheetName val="BSTRADING"/>
      <sheetName val="trial balance dollar"/>
      <sheetName val="WS Trading"/>
      <sheetName val="Summary of Journal voucher "/>
      <sheetName val="factory overhead tool steel"/>
      <sheetName val="cashrecon"/>
      <sheetName val="indentcom"/>
      <sheetName val="Finished Good Inventory"/>
      <sheetName val="Semi-finished"/>
      <sheetName val="sept05 (2)"/>
      <sheetName val="Factory Supplies Inventory  "/>
      <sheetName val="NOVEMBER2005"/>
      <sheetName val="raw mat feb"/>
      <sheetName val=" JANUARY AS ADJUSTED"/>
      <sheetName val="Inventory Raw Mater"/>
      <sheetName val="TEMPORARYADVANCES"/>
      <sheetName val="advances to officer and employe"/>
      <sheetName val="advances to off and emp"/>
      <sheetName val="ADV. TO SUPPLIER"/>
      <sheetName val="Advances to Affi "/>
      <sheetName val="Advances to Nichiei Corp."/>
      <sheetName val="Prepaid expenses"/>
      <sheetName val="Prepaid Tax "/>
      <sheetName val="Unexpired insurance"/>
      <sheetName val="Loan receivable-NPI "/>
      <sheetName val="UTILITYDEPOSIT"/>
      <sheetName val="lapsing"/>
      <sheetName val="AP OTHERS (2)"/>
      <sheetName val="AP TRADE (2)"/>
      <sheetName val="Fringe Benefit tax payable"/>
      <sheetName val="Income Tax payable"/>
      <sheetName val="Accrued Retirement "/>
      <sheetName val="Due to Nichiei Corp"/>
      <sheetName val="Due to Nichiei Pilipinas"/>
      <sheetName val="Loan Payable RCBC"/>
      <sheetName val="Loan Payable Nichiei Corp."/>
      <sheetName val="Paid in Capital"/>
      <sheetName val="This Year Profit"/>
      <sheetName val="Gross earnings"/>
      <sheetName val="schedule of sales"/>
      <sheetName val="RENT EXPENSE"/>
      <sheetName val="13th month pay"/>
      <sheetName val="repair and maintenance"/>
      <sheetName val="salesschedtonichiei"/>
      <sheetName val="collection"/>
      <sheetName val="PPTIOFFSETARTONPI"/>
      <sheetName val="NPIOFFSETTOPPTI"/>
      <sheetName val="payrollToolSteelDiv"/>
      <sheetName val="PROVIISION13THMOtool"/>
      <sheetName val="provision for retirmenttool"/>
      <sheetName val="incentivetool"/>
      <sheetName val="AJEPROFEEACCRUE"/>
      <sheetName val="NPIJVrentincome"/>
      <sheetName val="greson"/>
      <sheetName val="PACAJE Sum"/>
      <sheetName val="IS analytics"/>
      <sheetName val="BS analytics"/>
      <sheetName val="AP-Balabagan2"/>
      <sheetName val="AP-Balabagan1"/>
      <sheetName val="prep.income tax"/>
      <sheetName val="advance rental"/>
      <sheetName val="retirement-updated"/>
      <sheetName val="retirement"/>
      <sheetName val="remittance-tax"/>
      <sheetName val="N-Search"/>
      <sheetName val="Fsum"/>
      <sheetName val="RF_diesel"/>
      <sheetName val="F-nrv test-FG"/>
      <sheetName val="RE-roll"/>
      <sheetName val="N-CRAM"/>
      <sheetName val="E-cram"/>
      <sheetName val="C-cram"/>
      <sheetName val="PPE lapsing"/>
      <sheetName val="payments to agencies"/>
      <sheetName val="N2-cram "/>
      <sheetName val="N-cram2"/>
      <sheetName val="EL-1"/>
      <sheetName val="staff superannuation "/>
      <sheetName val="EL-4"/>
      <sheetName val="BIR"/>
      <sheetName val="Unrecorded Lia"/>
      <sheetName val="July 31, 2010"/>
      <sheetName val="July 31, 2011"/>
      <sheetName val="July 31, 2012"/>
      <sheetName val="ISTA"/>
      <sheetName val="SIT"/>
      <sheetName val="SWM "/>
      <sheetName val="SRA"/>
      <sheetName val="Ner Report Kons"/>
      <sheetName val="nering "/>
      <sheetName val="Ner Kons 2002"/>
      <sheetName val="aje-kons"/>
      <sheetName val="WP ISP Ind 02"/>
      <sheetName val="Aje Isp (Ind) 2002"/>
      <sheetName val="koreksi HPP"/>
      <sheetName val="PSAK 46-koreksi"/>
      <sheetName val="PSAK 46 Mnrt ISP"/>
      <sheetName val="Disclose hut pjk"/>
      <sheetName val="PSAK 46 buat discl"/>
      <sheetName val="Pos LB"/>
      <sheetName val="Konfr 02"/>
      <sheetName val="neraca-inggris"/>
      <sheetName val="Kurs Transaksi Bank Indonesia"/>
      <sheetName val="_REF_"/>
      <sheetName val="invs usd"/>
      <sheetName val="invs idr"/>
      <sheetName val="ytd (dept)"/>
      <sheetName val="budget usd"/>
      <sheetName val="REKAP PENJ"/>
      <sheetName val="net_impact_pros_other_crts_actu"/>
      <sheetName val="l*****"/>
      <sheetName val="NM-10"/>
      <sheetName val="GraL-R"/>
      <sheetName val="GraPb-Pj"/>
      <sheetName val="GraBu"/>
      <sheetName val="DtMtrl"/>
      <sheetName val="IkhKeu"/>
      <sheetName val="TPHP"/>
      <sheetName val="Piut Kar"/>
      <sheetName val="PIUT Phk III JJI"/>
      <sheetName val="Hut Phk III JJI"/>
      <sheetName val="Hut Dir JJI"/>
      <sheetName val="PAT"/>
      <sheetName val="PAT JJK"/>
      <sheetName val="PAT JJI"/>
      <sheetName val="Hut Ush JJK"/>
      <sheetName val="Hut Bi. Pemb. JJK"/>
      <sheetName val="Perin. Bi. Dbyr Dmk"/>
      <sheetName val="Perincian asuransi"/>
      <sheetName val="P.Kary04-08 (3)"/>
      <sheetName val="P.Kary04-08 (2)"/>
      <sheetName val="PIUT.kary"/>
      <sheetName val="LPP.USD"/>
      <sheetName val="NM.Agt"/>
      <sheetName val="LR.rinci"/>
      <sheetName val="LR.SBY"/>
      <sheetName val="LR.JKT"/>
      <sheetName val="LR.SMG"/>
      <sheetName val="LR.Riau"/>
      <sheetName val="LR.BL"/>
      <sheetName val="LR.PL"/>
      <sheetName val="LR.UPG"/>
      <sheetName val="Pdtan"/>
      <sheetName val="POS.k"/>
      <sheetName val="B.Lgs"/>
      <sheetName val="B.Tdk.Lgs"/>
      <sheetName val="Lamp.AT"/>
      <sheetName val="G. Penj "/>
      <sheetName val="G.Laba brsh "/>
      <sheetName val="G.By. Ush"/>
      <sheetName val="PIUT.kary (2)"/>
      <sheetName val="LPP_USD (2)"/>
      <sheetName val="AT.Jul"/>
      <sheetName val="AT.Agt"/>
      <sheetName val="AT.Sep"/>
      <sheetName val="NM Jul"/>
      <sheetName val="NM Agt"/>
      <sheetName val="LPP_USD"/>
      <sheetName val="P.Kary07.07"/>
      <sheetName val="P.Kary08.07"/>
      <sheetName val="P.Kary09.07"/>
      <sheetName val="P.Kary10.07"/>
      <sheetName val="NM Sep"/>
      <sheetName val="POS_k"/>
      <sheetName val="LR.Jul"/>
      <sheetName val="LR.Agt"/>
      <sheetName val="LR.Sep"/>
      <sheetName val="G.omzet"/>
      <sheetName val="Sheet4 (2)"/>
      <sheetName val="per sales"/>
      <sheetName val="per sales triwulan I"/>
      <sheetName val="LR triwulan I"/>
      <sheetName val="Graph  (2)"/>
      <sheetName val="grf_Laba"/>
      <sheetName val="grf_Penj"/>
      <sheetName val="grf_Biaya"/>
      <sheetName val="N_M_"/>
      <sheetName val="Jr "/>
      <sheetName val="By_Sales"/>
      <sheetName val="LMP pot"/>
      <sheetName val=" BDP"/>
      <sheetName val="Brg Jadi "/>
      <sheetName val="PK LL"/>
      <sheetName val="BCA03"/>
      <sheetName val="Pihak III"/>
      <sheetName val="BY_AKT"/>
      <sheetName val="BY DDM"/>
      <sheetName val="LMP.PTG"/>
      <sheetName val="BCA04"/>
      <sheetName val="RL A (2)"/>
      <sheetName val="RL A"/>
      <sheetName val="RL (4)"/>
      <sheetName val="RL (6)"/>
      <sheetName val="RL (3)"/>
      <sheetName val="RL (5)"/>
      <sheetName val="HPP Telur KW II"/>
      <sheetName val="Perbandingan Penj &amp; By"/>
      <sheetName val="RL KW 2"/>
      <sheetName val="NRC1 (3)"/>
      <sheetName val="NRC1"/>
      <sheetName val="NRC1 (2)"/>
      <sheetName val="NERACA SALDO JUL'08 SK"/>
      <sheetName val="SILVI"/>
      <sheetName val="KK-BY"/>
      <sheetName val="kk-nermut"/>
      <sheetName val="ARISAN"/>
      <sheetName val="UM penj"/>
      <sheetName val="Kode Perk"/>
      <sheetName val="Foto AT"/>
      <sheetName val="Pitg Lain"/>
      <sheetName val="AT.Tahunan"/>
      <sheetName val="AT'OKT'08"/>
      <sheetName val="AT.Thn- Gab"/>
      <sheetName val="AT.okt- Gab (2)"/>
      <sheetName val="KodeAkun"/>
      <sheetName val="LKH "/>
      <sheetName val="KKK-pEB"/>
      <sheetName val="LBH TPI"/>
      <sheetName val="LBH Pda"/>
      <sheetName val="LBH BMPR"/>
      <sheetName val="LBH BMPU"/>
      <sheetName val="LBH TM"/>
      <sheetName val="LBH BDI"/>
      <sheetName val="LBH TD"/>
      <sheetName val="RekonBank"/>
      <sheetName val="Kode KK"/>
      <sheetName val="AnalisaLap"/>
      <sheetName val="Analisa Ratio"/>
      <sheetName val="LKH &amp; LBH GABUNGAN"/>
      <sheetName val="RL New"/>
      <sheetName val="HPP PEB 09"/>
      <sheetName val="HELP NERMUT"/>
      <sheetName val="LMK (Sort)"/>
      <sheetName val="Pembelian LAIN2"/>
      <sheetName val="HUTANG LAIN2"/>
      <sheetName val="UMJual"/>
      <sheetName val="B.600"/>
      <sheetName val="B.700"/>
      <sheetName val="B.900"/>
      <sheetName val="HPP FEB 08a"/>
      <sheetName val="HPP FEB 08b"/>
      <sheetName val="KKK-Apr"/>
      <sheetName val="Note-APR08"/>
      <sheetName val="HPP APR 08"/>
      <sheetName val="PDM PPh 23"/>
      <sheetName val="Lap.Mutasi.Keu"/>
      <sheetName val="Perk."/>
      <sheetName val="BUKU TAB P.TAGOR (2)"/>
      <sheetName val="PIUT KARY PB"/>
      <sheetName val="control "/>
      <sheetName val="EXP. PUJI ASTUTI"/>
      <sheetName val="BUKU TAB P.TAGOR"/>
      <sheetName val="KANTONG PLASTIK"/>
      <sheetName val="LBH 9010"/>
      <sheetName val="LBH 9021"/>
      <sheetName val="LBH 2485"/>
      <sheetName val="LBH P1"/>
      <sheetName val="LBH P2"/>
      <sheetName val="LBH P3"/>
      <sheetName val="BNI 6263"/>
      <sheetName val="BCA 0461"/>
      <sheetName val="B.JATIM 291"/>
      <sheetName val="B.PANIN"/>
      <sheetName val="BNI 1685"/>
      <sheetName val="B.JATIM 2752"/>
      <sheetName val="AYAT SILANG"/>
      <sheetName val="MEMORIAL"/>
      <sheetName val="KODE_KK JAN09"/>
      <sheetName val="An_Ratio_Periode"/>
      <sheetName val="LR NEW"/>
      <sheetName val="LR NEW (SORT)"/>
      <sheetName val="HPP+JUAL"/>
      <sheetName val="HPP+JUAL (sort)"/>
      <sheetName val="LR TOKO"/>
      <sheetName val="LR PER AREA"/>
      <sheetName val="Lap.Mutasi.Keu (SORT)"/>
      <sheetName val="ADVANCE (SORT)"/>
      <sheetName val="LPP (SORT)"/>
      <sheetName val="PERSEDIAAN "/>
      <sheetName val="UANG MUKA PEMBELIAN"/>
      <sheetName val="PIUTANG KARYAWAN (SORT)"/>
      <sheetName val="LPH STARS"/>
      <sheetName val="LPH STARS (SORT)"/>
      <sheetName val="LPH WOWKEREN"/>
      <sheetName val="LPH WOWKEREN (SORT)"/>
      <sheetName val="HUTANG TOKO "/>
      <sheetName val="HUTANG TOKO  (SORT)"/>
      <sheetName val="AKTIVA TDK LANCAR LAINYA"/>
      <sheetName val="AKTIVA TETAP "/>
      <sheetName val="AKTIVA LAIN2 JAMINAN"/>
      <sheetName val="SEWA DIBAYAR DIMUKA STARS"/>
      <sheetName val="SEWA DIBAYAR DIMUKA WOWKEREN"/>
      <sheetName val="PIUTANG AFILIASI"/>
      <sheetName val="PIUTANG BUNGA"/>
      <sheetName val="TITIPAN PIHAK KE 3"/>
      <sheetName val="SEWA YMH DIBYR"/>
      <sheetName val="HUTANG KENDARAAN"/>
      <sheetName val="HUTANG PEMEGANG SAHAM"/>
      <sheetName val="HUTANG PIHAK KE 3"/>
      <sheetName val="BG DIBUKA MUNDUR"/>
      <sheetName val="HUTANG BIAYA"/>
      <sheetName val="HUTANG AFILIASI"/>
      <sheetName val="REALISASI UM"/>
      <sheetName val="ADVANCE BU ETIK"/>
      <sheetName val="PRK"/>
      <sheetName val="LKH"/>
      <sheetName val="LBH1"/>
      <sheetName val="LBH2"/>
      <sheetName val="LBH3"/>
      <sheetName val="LBH4"/>
      <sheetName val="LBH5"/>
      <sheetName val="Konf Bank"/>
      <sheetName val="Mut Keuangan"/>
      <sheetName val="B7"/>
      <sheetName val="B9"/>
      <sheetName val="B10"/>
      <sheetName val="B13"/>
      <sheetName val="B14"/>
      <sheetName val="B15"/>
      <sheetName val="B16"/>
      <sheetName val="B17"/>
      <sheetName val="B18"/>
      <sheetName val="B19"/>
      <sheetName val="B20"/>
      <sheetName val="B21"/>
      <sheetName val="B22"/>
      <sheetName val="B23"/>
      <sheetName val="B24"/>
      <sheetName val="B25"/>
      <sheetName val="B26"/>
      <sheetName val="B27"/>
      <sheetName val="B28"/>
      <sheetName val="B29"/>
      <sheetName val="B30"/>
      <sheetName val="B31"/>
      <sheetName val="RAB intern"/>
      <sheetName val="Preparation"/>
      <sheetName val="Mix_Storage_Silo"/>
      <sheetName val="Transportation - Steel Struc"/>
      <sheetName val="Transportation - Foundation"/>
      <sheetName val="BC-RH.01"/>
      <sheetName val="BC-RH.02"/>
      <sheetName val="BC-RH.03"/>
      <sheetName val="BC-RH.03A"/>
      <sheetName val="BC-03.04"/>
      <sheetName val="BC-03.04A"/>
      <sheetName val="BC-03.04B"/>
      <sheetName val="BC-03.04C"/>
      <sheetName val="Other Items"/>
      <sheetName val="Analisa harga Fabrikasi"/>
      <sheetName val="JUNI'00"/>
      <sheetName val="lr_divisi"/>
      <sheetName val="ratio_juni_2003"/>
      <sheetName val="nermfc-0206"/>
      <sheetName val="labamfc-0206"/>
      <sheetName val="nermfc-0207"/>
      <sheetName val="labamfc-0207"/>
      <sheetName val="nermfc-0208"/>
      <sheetName val="labamfc-0208"/>
      <sheetName val="nermfc-0209"/>
      <sheetName val="labamfc-0209"/>
      <sheetName val="nermfc-0210"/>
      <sheetName val="labamfc-0210"/>
      <sheetName val="ner-0211"/>
      <sheetName val="laba-0211"/>
      <sheetName val="ner-0212"/>
      <sheetName val="laba-0212"/>
      <sheetName val="ner-0301"/>
      <sheetName val="laba-0301"/>
      <sheetName val="ner-0302"/>
      <sheetName val="laba-0302"/>
      <sheetName val="ner-0303"/>
      <sheetName val="laba-0303"/>
      <sheetName val="ner-0304"/>
      <sheetName val="laba-0304"/>
      <sheetName val="ner-0305"/>
      <sheetName val="laba-0305"/>
      <sheetName val="ner-0306"/>
      <sheetName val="laba-0306"/>
      <sheetName val="ner-0307"/>
      <sheetName val="laba-0307"/>
      <sheetName val="ner-0308"/>
      <sheetName val="laba-0308"/>
      <sheetName val="ner-0309"/>
      <sheetName val="laba-0309"/>
      <sheetName val="ner-0310"/>
      <sheetName val="laba-0310"/>
      <sheetName val="ner-0311"/>
      <sheetName val="laba-0311"/>
      <sheetName val="ner-0312"/>
      <sheetName val="laba-0312"/>
      <sheetName val="ner-0401"/>
      <sheetName val="laba-0401"/>
      <sheetName val="ner-0402"/>
      <sheetName val="laba-0402"/>
      <sheetName val="ner-0403"/>
      <sheetName val="laba-0403"/>
      <sheetName val="ner-0404"/>
      <sheetName val="laba-0404"/>
      <sheetName val="ner-0405"/>
      <sheetName val="laba-0405"/>
      <sheetName val="ner-0406"/>
      <sheetName val="laba-0406"/>
      <sheetName val="ner-0407"/>
      <sheetName val="laba-0407"/>
      <sheetName val="ner-0408"/>
      <sheetName val="laba-0408"/>
      <sheetName val="ner-0409"/>
      <sheetName val="laba-0409"/>
      <sheetName val="laba-0409(proyeksi)"/>
      <sheetName val="evaby-0407"/>
      <sheetName val="evaby-0407 (BTL)"/>
      <sheetName val="eva-BTL(Peb05)"/>
      <sheetName val="Rab-sd-Peb05"/>
      <sheetName val="eva-BTL(Peb05)-01"/>
      <sheetName val="2308"/>
      <sheetName val="Real"/>
      <sheetName val="Kuantitas (2)"/>
      <sheetName val="DIV.2.1"/>
      <sheetName val="DIV-8"/>
      <sheetName val="Rekap Kososng"/>
      <sheetName val="Kuantitas Kosong"/>
      <sheetName val="Conversion"/>
      <sheetName val="Peta Quarry"/>
      <sheetName val="Conditions"/>
      <sheetName val="Schedule lot 8"/>
      <sheetName val="Preamble"/>
      <sheetName val="Grand Summary"/>
      <sheetName val="rekap akhir"/>
      <sheetName val="Unit Price-WIKA intern"/>
      <sheetName val="Unit Price-WIKA ext"/>
      <sheetName val="Unit Price-WK"/>
      <sheetName val="ExchangeRate"/>
      <sheetName val="An-TEK"/>
      <sheetName val="An-TEK (2)"/>
      <sheetName val="BASIC PRICE (2)"/>
      <sheetName val="Harga Sat"/>
      <sheetName val="Unit Price (2)"/>
      <sheetName val="SERIE C"/>
      <sheetName val="Unit Price-WIKA ext (2)"/>
      <sheetName val="SERIE B"/>
      <sheetName val="Rekap Harga Sipil"/>
      <sheetName val="Sat. Pek."/>
      <sheetName val="Pond Bangunan Utama"/>
      <sheetName val="Bangunan Utama A"/>
      <sheetName val="Bangunan Utama B "/>
      <sheetName val="Bangunan Utama C"/>
      <sheetName val=" Lantai Bangunan "/>
      <sheetName val="Dinding P. Tanah"/>
      <sheetName val="PAO, SCR &amp; MLR"/>
      <sheetName val="Transfer Carr"/>
      <sheetName val="L. Ramp"/>
      <sheetName val="Tippler"/>
      <sheetName val="Rel Track"/>
      <sheetName val="Capstan &amp; Bollard"/>
      <sheetName val="Threshing"/>
      <sheetName val="Kernel Recovery"/>
      <sheetName val=" Pondasi  KSB"/>
      <sheetName val=" Empty Bunch Area"/>
      <sheetName val="Clarification"/>
      <sheetName val="Fat Pit"/>
      <sheetName val="Power House"/>
      <sheetName val="Cable Trench &amp; Pond Panel"/>
      <sheetName val="Pondasi CPO Tank"/>
      <sheetName val="WTP"/>
      <sheetName val="J. Timbang "/>
      <sheetName val="Workshop"/>
      <sheetName val="G. Kimia"/>
      <sheetName val="Loading Sheed"/>
      <sheetName val="T. Parkir M &amp; S"/>
      <sheetName val="Pos Jaga-2"/>
      <sheetName val="Musholla"/>
      <sheetName val="Balai P. Karyawan"/>
      <sheetName val="Pos Grading"/>
      <sheetName val="Bak Fiber"/>
      <sheetName val="R. Pompa Diesel"/>
      <sheetName val="R. P. Oil Despath"/>
      <sheetName val="R. Pompa K. Limbah"/>
      <sheetName val="Power Pack"/>
      <sheetName val="Area Parkir Truk"/>
      <sheetName val="Jalan &amp; Saluran "/>
      <sheetName val="Turfing"/>
      <sheetName val="Sal Underflow"/>
      <sheetName val="Pagar &amp; Pintu Pabrik"/>
      <sheetName val=" Pagar Waduk"/>
      <sheetName val="Pagar Kolam Limbah"/>
      <sheetName val="Gudang Kernel"/>
      <sheetName val="General Item"/>
      <sheetName val="Sub Contract"/>
      <sheetName val="Contigence"/>
      <sheetName val="Personnel"/>
      <sheetName val="DIV X"/>
      <sheetName val="AN-HSP"/>
      <sheetName val="QUARRY"/>
      <sheetName val="ALAT-1"/>
      <sheetName val="AGG, C"/>
      <sheetName val="URAIAN ALAT"/>
      <sheetName val="HARGA ALAT"/>
      <sheetName val="LALIN"/>
      <sheetName val="URAI X"/>
      <sheetName val="URAIAN "/>
      <sheetName val="LS-Rutin"/>
      <sheetName val="REKAP - 2006"/>
      <sheetName val="BQ - 2006"/>
      <sheetName val="Perhitungan Mobilisasi Alat"/>
      <sheetName val="Jembatan Sementara"/>
      <sheetName val="HRG MAT"/>
      <sheetName val="FINALISASI (1)"/>
      <sheetName val="REKAP (1)"/>
      <sheetName val="REKAP (3)"/>
      <sheetName val="BQ (1)"/>
      <sheetName val="BQ (2)"/>
      <sheetName val="BQ (3)"/>
      <sheetName val="AN-RC"/>
      <sheetName val="MOB Air Pangi"/>
      <sheetName val="MOB Air Empayang"/>
      <sheetName val="MOB Air Kikim"/>
      <sheetName val="NP (2)"/>
      <sheetName val="Analisa HSP"/>
      <sheetName val="k-350"/>
      <sheetName val="kayu"/>
      <sheetName val="kayu1"/>
      <sheetName val="7.16.1"/>
      <sheetName val="demolition"/>
      <sheetName val="box culvert"/>
      <sheetName val="ready mix"/>
      <sheetName val="polos"/>
      <sheetName val="Unit Price(Barrier)"/>
      <sheetName val="Barrier"/>
      <sheetName val="Unit Price(1)"/>
      <sheetName val="Rekap(2)"/>
      <sheetName val="Civil Work(3-5)"/>
      <sheetName val="Equipment Cost(6)"/>
      <sheetName val="Material Cost(7)"/>
      <sheetName val="IDC(8-10)"/>
      <sheetName val="employer(11)"/>
      <sheetName val="Local Staff(12)"/>
      <sheetName val="sekret(13)"/>
      <sheetName val="facility(14)"/>
      <sheetName val="trans(15)"/>
      <sheetName val="Labour(16)"/>
      <sheetName val="BP(17)"/>
      <sheetName val="Eqp Opr(18)"/>
      <sheetName val="rab-ver2"/>
      <sheetName val="ALJAZAIR  FINAL BEAM"/>
      <sheetName val="hrg dasar"/>
      <sheetName val="Terbilang"/>
      <sheetName val="Q'TY"/>
      <sheetName val="DIV.1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8"/>
      <sheetName val="DIV.8.a"/>
      <sheetName val="DIV.9"/>
      <sheetName val="6.PEK ASPAL"/>
      <sheetName val="7.PEK-STRUKTUR"/>
      <sheetName val="SK 5.3"/>
      <sheetName val="5.1-5.4(1)-5.4(2)"/>
      <sheetName val="Sat_ Pek_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Komposisi"/>
      <sheetName val="AHS Aspal"/>
      <sheetName val="AHS Marka"/>
      <sheetName val="Analisa lampu"/>
      <sheetName val="Usulan"/>
      <sheetName val="BA PP (2)"/>
      <sheetName val="BA Prestasi"/>
      <sheetName val="Kuantitas _ Harga"/>
      <sheetName val="List Material"/>
      <sheetName val="Tindak Lanjut"/>
      <sheetName val="samsidb"/>
      <sheetName val="P2K3"/>
      <sheetName val="EvPBM"/>
      <sheetName val="PresBul"/>
      <sheetName val="PresPek"/>
      <sheetName val="EvProd"/>
      <sheetName val="Tahap"/>
      <sheetName val="UPY"/>
      <sheetName val="Add"/>
      <sheetName val="6_PEK ASPAL"/>
      <sheetName val="TOTAL BTL"/>
      <sheetName val="PERSONALIA"/>
      <sheetName val="SS MNGMNT"/>
      <sheetName val="DIV_3"/>
      <sheetName val="DIV_8"/>
      <sheetName val="DIV_9"/>
      <sheetName val="AN_RC"/>
      <sheetName val="HARGA BAHAN"/>
      <sheetName val="r.dokter(2)"/>
      <sheetName val="R.JENAZAH(2)"/>
      <sheetName val="R. MUSHOLA(2)"/>
      <sheetName val="R. JAGA(2)"/>
      <sheetName val="PERAWAT"/>
      <sheetName val="R.KBDANAN"/>
      <sheetName val="R.ICU"/>
      <sheetName val="VIP"/>
      <sheetName val="RWT.INAP"/>
      <sheetName val="DAPUR RS"/>
      <sheetName val="PEK.PERSIAPAN"/>
      <sheetName val="POLY"/>
      <sheetName val="UGD"/>
      <sheetName val="ANAL KSR"/>
      <sheetName val="ANAL.BOW"/>
      <sheetName val="ANAL.KAYU"/>
      <sheetName val="ANAL_BOW"/>
      <sheetName val="r.dokter"/>
      <sheetName val="R.JENAZAH"/>
      <sheetName val="R. MUSHOLA"/>
      <sheetName val="R. JAGA"/>
      <sheetName val="R.KBDANAN (2)"/>
      <sheetName val="VIP (2)"/>
      <sheetName val="Elimasi Induk by AR"/>
      <sheetName val="VERSI RILLY"/>
      <sheetName val="BKM"/>
      <sheetName val="BKK"/>
      <sheetName val="BBM 1"/>
      <sheetName val="BBK1"/>
      <sheetName val="BBM2"/>
      <sheetName val="BBK2"/>
      <sheetName val="BBM3"/>
      <sheetName val="BBK3"/>
      <sheetName val="BBM4"/>
      <sheetName val="BBK4"/>
      <sheetName val="BBM5"/>
      <sheetName val="BBK5"/>
      <sheetName val="Reg. CHGb"/>
      <sheetName val="Reg. BNI 9010"/>
      <sheetName val="Reg. BNI 9021"/>
      <sheetName val="REG. BNI 2485"/>
      <sheetName val="KODE HUT"/>
      <sheetName val="NOTE AGUST07"/>
      <sheetName val="UANG MUKA PEMB."/>
      <sheetName val="Rekap LR Toko"/>
      <sheetName val="SEWA DIBAYAR DIMUKA"/>
      <sheetName val="UANG MUKA LAIN2"/>
      <sheetName val="PERINCIAN GB DIBUKA MUNDUR"/>
      <sheetName val="PIUTANG CHBG"/>
      <sheetName val="Hut Konsin"/>
      <sheetName val="LPH Afiliasi "/>
      <sheetName val="LPH PIII"/>
      <sheetName val="LPP Afiliasi "/>
      <sheetName val="PIUTANG CHGB"/>
      <sheetName val="_x0000__x0010__x0000_듄ú̀_x0000__x001e__x0000__x0010__x0000_Ǡ_x0000__x0010__x0000__x0010_"/>
      <sheetName val="T1"/>
      <sheetName val="T6"/>
      <sheetName val="Perub Ekuitas"/>
      <sheetName val="By lgs"/>
      <sheetName val="at (3)"/>
      <sheetName val="Ratio "/>
      <sheetName val="kartu LR "/>
      <sheetName val="KARTU NERACA "/>
      <sheetName val="LR Berjalan"/>
      <sheetName val="tidak dipakai"/>
      <sheetName val="nm "/>
      <sheetName val="Rekap LMP"/>
      <sheetName val="PIUTANGP3"/>
      <sheetName val="By-7 (2)"/>
      <sheetName val="By-6 (2)"/>
      <sheetName val="KD Perk"/>
      <sheetName val="Olie -SPBU"/>
      <sheetName val="Jurnal koreksi - EJT"/>
      <sheetName val="CATREV"/>
      <sheetName val="Nermut Januari"/>
      <sheetName val="Nermut Februari"/>
      <sheetName val="Nermut Maret"/>
      <sheetName val="1) Grafik Penjualan"/>
      <sheetName val="2) Grafik BOP"/>
      <sheetName val="3) GR_LR"/>
      <sheetName val="4) NRC"/>
      <sheetName val="5) RL Detail"/>
      <sheetName val="6) RL"/>
      <sheetName val="7) AK  "/>
      <sheetName val="KK_LMK"/>
      <sheetName val="8) MK"/>
      <sheetName val="9) POS"/>
      <sheetName val="10) LAHP"/>
      <sheetName val="11) BPP"/>
      <sheetName val="12) Biaya"/>
      <sheetName val="LPP 1 &amp; 2"/>
      <sheetName val="Piutang CH-GB 3"/>
      <sheetName val="Piutang Lain - 4"/>
      <sheetName val="LMP SBY - 5"/>
      <sheetName val="LMP SBY BARANG SAMPAH -6"/>
      <sheetName val="LMP JKT - 7"/>
      <sheetName val="LMP DUNIA BANGUNAN JKT - 8"/>
      <sheetName val="LPP Triwulan"/>
      <sheetName val="UMPB Surabaya"/>
      <sheetName val="UMPB Jakarta"/>
      <sheetName val="Tabel AT"/>
      <sheetName val="LAHP OMZET"/>
      <sheetName val="Lap. AHP Triwulan I"/>
      <sheetName val="Reg PENJUALAN"/>
      <sheetName val="320-F"/>
      <sheetName val="320-F2"/>
      <sheetName val="10-CATREV"/>
      <sheetName val="JK JAN"/>
      <sheetName val="gf_4_"/>
      <sheetName val="MODAL KERJA"/>
      <sheetName val="AKT_TTP"/>
      <sheetName val="BY.PEMB"/>
      <sheetName val="PIUT_LAIN"/>
      <sheetName val="TEPUNG"/>
      <sheetName val="HUT_LAIN-LAIN"/>
      <sheetName val="HUT BANK"/>
      <sheetName val="Lap_Stock"/>
      <sheetName val="UM PEMB piut tepung"/>
      <sheetName val="penj natura"/>
      <sheetName val="NATURA"/>
      <sheetName val="Cat Rev maret '10"/>
      <sheetName val="peR. AT"/>
      <sheetName val="NRC GT (2)"/>
      <sheetName val="Tbl_RL"/>
      <sheetName val="Daftar Diskon"/>
      <sheetName val="Tabel Aktiva 2"/>
      <sheetName val="KKMK"/>
      <sheetName val="1) G-Pj"/>
      <sheetName val="2) G-By"/>
      <sheetName val="3) G-LR"/>
      <sheetName val="4) NRC GT"/>
      <sheetName val="5) RL GT"/>
      <sheetName val="6) Pos"/>
      <sheetName val="7) AK GT"/>
      <sheetName val="8) LMK"/>
      <sheetName val="9) BPP GT - 1"/>
      <sheetName val="10) Biaya GT - 2&amp;3"/>
      <sheetName val="11) RK - 3&amp;4"/>
      <sheetName val="ASET_TETAP "/>
      <sheetName val="Hut. Lain2"/>
      <sheetName val="RL JULI 09-08"/>
      <sheetName val="AK   _2_"/>
      <sheetName val="NRC _2_"/>
      <sheetName val="LR  _2_"/>
      <sheetName val="G_HK"/>
      <sheetName val="G_LR"/>
      <sheetName val="G_By"/>
      <sheetName val="G_Pj"/>
      <sheetName val="AK  "/>
      <sheetName val="KK-MK"/>
      <sheetName val="LMPHK "/>
      <sheetName val="Piut_Dir"/>
      <sheetName val="Hut_Gj"/>
      <sheetName val="e_meeting_tdk_print"/>
      <sheetName val="Cat Rev April '10"/>
      <sheetName val="1) G_HK-1"/>
      <sheetName val="2) G_Pj"/>
      <sheetName val="3) G_By"/>
      <sheetName val="4) G_LR"/>
      <sheetName val="5) NRC"/>
      <sheetName val="6) LR "/>
      <sheetName val="7) LR Berjalan"/>
      <sheetName val="8) Pos"/>
      <sheetName val="9) LMK"/>
      <sheetName val="10) AK  "/>
      <sheetName val="11) Biaya"/>
      <sheetName val="12) LPP - 1"/>
      <sheetName val="13) Piut_Dir - 2"/>
      <sheetName val="14) LMPHK - 3"/>
      <sheetName val="15) LMP - 4"/>
      <sheetName val="16) AT - 5"/>
      <sheetName val="17) Hut_Gj - 6"/>
      <sheetName val="18) DP  - 7"/>
      <sheetName val="LPH 6 &amp; 7"/>
      <sheetName val="Agust tanpa JK"/>
      <sheetName val="JK TW IV 2010"/>
      <sheetName val="Nermut Jan"/>
      <sheetName val="Nermut Peb"/>
      <sheetName val="Nermut Mar"/>
      <sheetName val="6) RL Gabungan"/>
      <sheetName val="Lap. AHP Triwulan II"/>
      <sheetName val="Bk Pembantu "/>
      <sheetName val="bk pembantu LabaRugi "/>
      <sheetName val="Nrc ljr"/>
      <sheetName val="Nrc,L-R"/>
      <sheetName val="RAB 100903 (blok R)"/>
      <sheetName val="RAB 100903 (blok S)"/>
      <sheetName val="bk pembantu LabaRugi  (2)"/>
      <sheetName val="Bk Pembantu  (2)"/>
      <sheetName val="tf ke RUI (2)"/>
      <sheetName val="NM8"/>
      <sheetName val="LMK7"/>
      <sheetName val="NRC5"/>
      <sheetName val="LR6"/>
      <sheetName val="AHProd"/>
      <sheetName val="G-LR3"/>
      <sheetName val="G-LRB"/>
      <sheetName val="G-PJ2"/>
      <sheetName val="G-BY1"/>
      <sheetName val="RATIO LR"/>
      <sheetName val="BY.Dibyr Dimk"/>
      <sheetName val="ratio NRC"/>
      <sheetName val="Sourch"/>
      <sheetName val="NRC Tahunan"/>
      <sheetName val="Penj.NRC"/>
      <sheetName val="By567"/>
      <sheetName val="CHMKL"/>
      <sheetName val="AKTV"/>
      <sheetName val="180F1"/>
      <sheetName val="BDP"/>
      <sheetName val="BDP (lipat)"/>
      <sheetName val="BJ"/>
      <sheetName val="tinta&amp;solvent,sealtape"/>
      <sheetName val="CCL"/>
      <sheetName val="210C2"/>
      <sheetName val="MANDIRI (2)"/>
      <sheetName val="PERHITUNGAN K.P"/>
      <sheetName val="KRENENG"/>
      <sheetName val="JURNAL AUDIT 2006"/>
      <sheetName val="PERSEDIAAN STARS&amp;WOWKEREN"/>
      <sheetName val="U.MUKA LAIN2"/>
      <sheetName val="AKTIVA LAIN-LAIN JAMINAN"/>
      <sheetName val="HUTANG LEASING"/>
      <sheetName val="RINCI"/>
      <sheetName val="Reg Bank"/>
      <sheetName val="LBH"/>
      <sheetName val="Register BS Bank"/>
      <sheetName val="KUMP "/>
      <sheetName val="DPH"/>
      <sheetName val="LPH  "/>
      <sheetName val="Deposit daily"/>
      <sheetName val="tbl-penundaan"/>
      <sheetName val="Apl. Penundaan"/>
      <sheetName val="E-Payment (2)"/>
      <sheetName val="E-Payment"/>
      <sheetName val="DATA-ERROR"/>
      <sheetName val="rekon_kris"/>
      <sheetName val="Rekonsiliasi_Penundaan"/>
      <sheetName val="REKAP_CABANG"/>
      <sheetName val="peg. agustus 06"/>
      <sheetName val="d01"/>
      <sheetName val="d02"/>
      <sheetName val="d03"/>
      <sheetName val="d04"/>
      <sheetName val="d05"/>
      <sheetName val="d06"/>
      <sheetName val="d07"/>
      <sheetName val="d08"/>
      <sheetName val="d08b"/>
      <sheetName val="d09(no print)"/>
      <sheetName val="D09a"/>
      <sheetName val="D09b"/>
      <sheetName val="d09c(no print)"/>
      <sheetName val="d10"/>
      <sheetName val="d11 (no print)"/>
      <sheetName val="d12"/>
      <sheetName val="d13"/>
      <sheetName val="d14"/>
      <sheetName val="d15"/>
      <sheetName val="d16"/>
      <sheetName val="d17(no print)"/>
      <sheetName val="d18"/>
      <sheetName val="d19(no print)"/>
      <sheetName val="d20(no print)"/>
      <sheetName val="Notes26.Liquidity Risk"/>
      <sheetName val="GL Corr"/>
      <sheetName val=" D1.5 Lead PL"/>
      <sheetName val="D1.6 Interest Income"/>
      <sheetName val="REPORT "/>
      <sheetName val="D1.5.1 Matrix "/>
      <sheetName val="D.1.5.5 Missclsfy"/>
      <sheetName val="D1.5.1.1 Pricing"/>
      <sheetName val="D1.5.1.1 MTN mtm"/>
      <sheetName val="D1.5.1.1 Telkom PN"/>
      <sheetName val="D1.5.1.2 Unrlzd TRA"/>
      <sheetName val="D1.5.1.3 Unrlzd AFS"/>
      <sheetName val="D1.5.2 RollFw-AFS"/>
      <sheetName val="D1.5.3 RollFw-TRA"/>
      <sheetName val="D1.5.4 Sale SBI"/>
      <sheetName val="D1.6.1 Interest SBI"/>
      <sheetName val="D1.6.2 OS SBI"/>
      <sheetName val="Redemp"/>
      <sheetName val="GL Opic"/>
      <sheetName val="Purch SBI HTM"/>
      <sheetName val="Mansek"/>
      <sheetName val="PM-TE-SAD"/>
      <sheetName val="SRM_BS Report"/>
      <sheetName val="SRM_PL Report"/>
      <sheetName val="A3 - BS"/>
      <sheetName val="A3 - PL"/>
      <sheetName val="A3 - Off BS"/>
      <sheetName val="CF format"/>
      <sheetName val="A3 - OFF"/>
      <sheetName val="Adj MIDAS"/>
      <sheetName val="CF format (2)"/>
      <sheetName val="Adj CSB"/>
      <sheetName val="Adj IC Elimination"/>
      <sheetName val="BS Report"/>
      <sheetName val="PL Report"/>
      <sheetName val="KPI CBO"/>
      <sheetName val="KPI RO"/>
      <sheetName val="KPI CS"/>
      <sheetName val="TE Calc"/>
      <sheetName val="D-lead"/>
      <sheetName val="E-lead"/>
      <sheetName val="J-lead"/>
      <sheetName val="FA mov't"/>
      <sheetName val="N-lead"/>
      <sheetName val="P-lead"/>
      <sheetName val="O-lead"/>
      <sheetName val="T-lead"/>
      <sheetName val="U-1 Lead"/>
      <sheetName val="U-2 Lead"/>
      <sheetName val="6600"/>
      <sheetName val="Related"/>
      <sheetName val="BI-DAERAH"/>
      <sheetName val="WPMG"/>
      <sheetName val="C-NERACA"/>
      <sheetName val="36.00.01"/>
      <sheetName val="DATA EY-1"/>
      <sheetName val="TODAY PROCESS"/>
      <sheetName val="SGD"/>
      <sheetName val="EUR"/>
      <sheetName val="JPY"/>
      <sheetName val="HKD"/>
      <sheetName val="USD_JPM"/>
      <sheetName val="Color_info"/>
      <sheetName val="800 C"/>
      <sheetName val="800D1-Other Income"/>
      <sheetName val="800D2-Other Expense"/>
      <sheetName val="800 F1"/>
      <sheetName val="800 F2-Interest Income"/>
      <sheetName val="800 F3-Canteen Income"/>
      <sheetName val="800 F4-Rent Gym"/>
      <sheetName val="800 F5-Rent Class"/>
      <sheetName val="800 F5.2"/>
      <sheetName val="800 F6"/>
      <sheetName val="BS0809"/>
      <sheetName val="RL0809"/>
      <sheetName val="TB0809"/>
      <sheetName val="Selling exp"/>
      <sheetName val="G&amp;A exp"/>
      <sheetName val="Lampiran SK"/>
      <sheetName val="Mapping Per Unit"/>
      <sheetName val="Rekap TUP"/>
      <sheetName val="BOPTN-2014"/>
      <sheetName val="BeliPivot"/>
      <sheetName val="Uses"/>
      <sheetName val="PakaiPivot"/>
      <sheetName val="Vendors"/>
      <sheetName val="Materials"/>
      <sheetName val="BySupplier"/>
      <sheetName val="HPurchases"/>
      <sheetName val="HUses"/>
      <sheetName val="SparePartsPurchases"/>
      <sheetName val="SpareParts2"/>
      <sheetName val="180F-Asuransi "/>
      <sheetName val="180A"/>
      <sheetName val="Cek Invoice Payment 110308-1443"/>
      <sheetName val="RECEIPT No BA 2 ( INV ) 110308-"/>
      <sheetName val="sel kurs"/>
      <sheetName val="DEBTAGE(TREND)"/>
      <sheetName val="debtage"/>
      <sheetName val="PL-MGT"/>
      <sheetName val="PL-MGT(Trend)"/>
      <sheetName val="COSALES"/>
      <sheetName val="Floxal"/>
      <sheetName val="Production "/>
      <sheetName val="Distribution "/>
      <sheetName val="Expsummary"/>
      <sheetName val="Fin Highlights"/>
      <sheetName val="form CO"/>
      <sheetName val="AR&amp;DA"/>
      <sheetName val="hi-lights"/>
      <sheetName val="cost reduc"/>
      <sheetName val="sch3"/>
      <sheetName val="sch2"/>
      <sheetName val="PENY-97"/>
      <sheetName val="FormCO"/>
      <sheetName val="Jan ok"/>
      <sheetName val="MAR06"/>
      <sheetName val="Report2007"/>
      <sheetName val="3. Items of Focus"/>
      <sheetName val="Front Cover"/>
      <sheetName val="1. P&amp;L Local GAAP"/>
      <sheetName val="2. BS YTD Trend"/>
      <sheetName val=" 5. BS  Results"/>
      <sheetName val="6. Other Assets BS Local GAAP"/>
      <sheetName val="7. Regulatory Analysis"/>
      <sheetName val="10. BS Reconciliation"/>
      <sheetName val="P8"/>
      <sheetName val="P11"/>
      <sheetName val="P14"/>
      <sheetName val="P15"/>
      <sheetName val="12. Provision Analysis"/>
      <sheetName val="13. Provision Analysis (2)"/>
      <sheetName val="14. Pricing Testing Analysis"/>
      <sheetName val="15. Risk Analysis - Credit"/>
      <sheetName val="16. Market Risk Analysis"/>
      <sheetName val="17. Treasury"/>
      <sheetName val="18. New Business"/>
      <sheetName val="19. Tax 1"/>
      <sheetName val="20. Tax 2"/>
      <sheetName val="21.  Reg&amp;Lit Enquiries"/>
      <sheetName val="3.Reg Capital"/>
      <sheetName val="4. GAAP recon"/>
      <sheetName val="5. AppA"/>
      <sheetName val="9. P &amp; L Reconciliation"/>
      <sheetName val="2-GAAP Recon"/>
      <sheetName val="Des 2011"/>
      <sheetName val="SL Des 2011"/>
      <sheetName val="N.3 Tickmark"/>
      <sheetName val="Exch Rate"/>
      <sheetName val="N.3 Index"/>
      <sheetName val="N.3 Memo"/>
      <sheetName val="N.3 RF"/>
      <sheetName val="N.3 Lead"/>
      <sheetName val="N.3.1 Detail 6 digits"/>
      <sheetName val="N.3.1.1 Detail per Branches"/>
      <sheetName val="N.3.2 GL Overseas"/>
      <sheetName val="N.3.3 Reconcile GL vs SubGL"/>
      <sheetName val="N.3.3.1 Saving Acc"/>
      <sheetName val="N.3.3.2.1 Tokyo"/>
      <sheetName val="N.3.3.2.2 Hongkong"/>
      <sheetName val="N.3.3.2.3 Singapore"/>
      <sheetName val="N.3.3.2.4 New York"/>
      <sheetName val="N.3.3.2.5 London"/>
      <sheetName val="N.3.4 Vostro"/>
      <sheetName val="N.3.4.1 Reclassification CA"/>
      <sheetName val="N.3.4.2 Reclassification TD"/>
      <sheetName val="N.3.4.3 Review Mapping Overseas"/>
      <sheetName val="N.3.5 ARPs"/>
      <sheetName val="N.3.6 TPF blocked as coll"/>
      <sheetName val="N.3.6.1 Blocked Domestic GIRO"/>
      <sheetName val="N.3.6.1 Blocked Domestic TAB"/>
      <sheetName val="N.3.6.1 Blocked Domestic DEP"/>
      <sheetName val="N.3.6.2 Blocked New York"/>
      <sheetName val="N.3.6.3 Blocked Singapore"/>
      <sheetName val="N.3.6.4 Blocked London"/>
      <sheetName val="N.3.7 Maturity"/>
      <sheetName val="N.3.8 Related Party"/>
      <sheetName val="N.3.8.1 KOP SWADHARMA"/>
      <sheetName val="N.3.8.2 BNI SECURITIES"/>
      <sheetName val="N.3.8.3 SWADHARMA GRS DINAMIKA"/>
      <sheetName val="N.3.8.4 BNI LIFE INSURANCE"/>
      <sheetName val="N.3.8.5 ASURANSI TRIPAKARTA"/>
      <sheetName val="N.3.8.6 DANA PENSIUN BNI"/>
      <sheetName val="N.3.8.7 SWADHARMA DUTA DATA"/>
      <sheetName val="N.3.8.8 SWADHARMA PROPERTINDO"/>
      <sheetName val="N.3.8.9 SWADHARMA INFORMATIKA"/>
      <sheetName val="N.3.8.10 YAYASAN DANAR"/>
      <sheetName val="N.3.8.11 BNI MULTI FINANCE"/>
      <sheetName val="N.3.8.12 SWADHARMA KERYSATYA"/>
      <sheetName val="N.3.8.14 CITANDUY PERKASA"/>
      <sheetName val="N.3.9 tab berdasarkan jenis"/>
      <sheetName val="N.3.10 Interest Rate Risk"/>
      <sheetName val="N.3.10.1 Suku bunga di atas LPS"/>
      <sheetName val="N.3.11 Details AJE-RJE(For NOP)"/>
      <sheetName val="CC current account"/>
      <sheetName val="CC time deposit"/>
      <sheetName val="CC saving account"/>
      <sheetName val="bl"/>
      <sheetName val="SaldoCorona"/>
      <sheetName val="kurs (2)"/>
      <sheetName val=" krc"/>
      <sheetName val="kbn"/>
      <sheetName val="rjn"/>
      <sheetName val="ums"/>
      <sheetName val="cmi"/>
      <sheetName val="dbs"/>
      <sheetName val="lbu"/>
      <sheetName val="snb"/>
      <sheetName val="kld"/>
      <sheetName val="dro"/>
      <sheetName val="ngg"/>
      <sheetName val="lbb"/>
      <sheetName val="lwt"/>
      <sheetName val="klmt"/>
      <sheetName val="ttm"/>
      <sheetName val="awu"/>
      <sheetName val="lsr"/>
      <sheetName val="bkr"/>
      <sheetName val="tlg"/>
      <sheetName val="png"/>
      <sheetName val="sng"/>
      <sheetName val="fudi"/>
      <sheetName val="gdw"/>
      <sheetName val="egon"/>
      <sheetName val="jlnr"/>
      <sheetName val="TRI I 2005"/>
      <sheetName val="TRI 2 2005"/>
      <sheetName val="TRI 3 2004"/>
      <sheetName val="TRI 4-2004"/>
      <sheetName val="TWI"/>
      <sheetName val="JANU-KEU"/>
      <sheetName val="nggapulu &amp; labobar"/>
      <sheetName val="TRAYEK PER VOYAGE"/>
      <sheetName val="opsi"/>
      <sheetName val="PNP"/>
      <sheetName val="LAMP 6-11.2"/>
      <sheetName val="LAMP 6-11"/>
      <sheetName val="Lamp 1-5"/>
      <sheetName val="KK_PERKAPALAN"/>
      <sheetName val="DATA BAS BLNAN"/>
      <sheetName val="KK_BARANG"/>
      <sheetName val="Cut-Off BBM"/>
      <sheetName val="RINCI FO"/>
      <sheetName val="Cut-Off LO (2)"/>
      <sheetName val="Cut-Off LO"/>
      <sheetName val="SCAB09 (2)"/>
      <sheetName val="CUT-OFF SP"/>
      <sheetName val="VKON10"/>
      <sheetName val="KK_PERKAPALAN JULI"/>
      <sheetName val="BIAYA ABK"/>
      <sheetName val="BIAYA ABK JULI"/>
      <sheetName val="BREAKDOWN KINERJA SEM-I"/>
      <sheetName val="BBM (2)"/>
      <sheetName val="B.OVERHEAD NEW"/>
      <sheetName val="B. DILUAR USAHA NEW"/>
      <sheetName val="NAMA AKUN"/>
      <sheetName val="DATA BES PSO"/>
      <sheetName val="SCAB10 (2)"/>
      <sheetName val="SCAB10 (3)"/>
      <sheetName val="SCAB10 (4)"/>
      <sheetName val="SCAB10"/>
      <sheetName val="V06A10"/>
      <sheetName val="VCAB10"/>
      <sheetName val="V05A10"/>
      <sheetName val="V02A09 (3)"/>
      <sheetName val="V02A09 (2)"/>
      <sheetName val="V02A10"/>
      <sheetName val="KK_PERKAPALAN PSO"/>
      <sheetName val="Alt 4 BARU"/>
      <sheetName val="HIT BPK REAL'05 VERIFIKASI BARU"/>
      <sheetName val="REKAP PER KAPAL"/>
      <sheetName val="JANU-KEU (2)"/>
      <sheetName val="slhkcdkol"/>
      <sheetName val="JANU-KEU (3)"/>
      <sheetName val="BALANZA"/>
      <sheetName val="100205 conc"/>
      <sheetName val="100205 edo cta"/>
      <sheetName val="100207 conc"/>
      <sheetName val="100207 edo cta"/>
      <sheetName val="100209"/>
      <sheetName val="110100"/>
      <sheetName val="119032"/>
      <sheetName val="130038"/>
      <sheetName val="135001"/>
      <sheetName val="139152"/>
      <sheetName val="140141"/>
      <sheetName val="140173"/>
      <sheetName val="140175"/>
      <sheetName val="142006"/>
      <sheetName val="145001"/>
      <sheetName val="148011"/>
      <sheetName val="148013"/>
      <sheetName val="148023"/>
      <sheetName val="154002"/>
      <sheetName val="154003"/>
      <sheetName val="171100"/>
      <sheetName val="172111"/>
      <sheetName val="222200"/>
      <sheetName val="232200"/>
      <sheetName val="222206"/>
      <sheetName val="222208"/>
      <sheetName val="222500"/>
      <sheetName val="232500"/>
      <sheetName val="232208 hardware"/>
      <sheetName val="232208 Software"/>
      <sheetName val="310137"/>
      <sheetName val="310138"/>
      <sheetName val="320701"/>
      <sheetName val="367101"/>
      <sheetName val="369222"/>
      <sheetName val="369600"/>
      <sheetName val="369605"/>
      <sheetName val="369606"/>
      <sheetName val="378954 SYMBOL TECH INC DIC"/>
      <sheetName val="379012"/>
      <sheetName val="Quote"/>
      <sheetName val="P&amp;L Summary"/>
      <sheetName val="Logging PL"/>
      <sheetName val="License Summary"/>
      <sheetName val="Licensed Software"/>
      <sheetName val="Interface Software"/>
      <sheetName val="NetRMS Software"/>
      <sheetName val="Radio IP"/>
      <sheetName val="Server Hardware"/>
      <sheetName val="Other HW_SW"/>
      <sheetName val="Project Labor"/>
      <sheetName val="3rd Party Partners"/>
      <sheetName val="Product List"/>
      <sheetName val="OPTIONS"/>
      <sheetName val="CIG"/>
      <sheetName val="LF Lists"/>
      <sheetName val="IMS Profiles"/>
      <sheetName val="Asset depreciation"/>
      <sheetName val="100% prices"/>
      <sheetName val="working file"/>
      <sheetName val="EMEA INSS W41"/>
      <sheetName val="378999 Reconciliation"/>
      <sheetName val="Retreive 1"/>
      <sheetName val="FTT Lists"/>
      <sheetName val="CostDrivers"/>
      <sheetName val="Years of support (3)"/>
      <sheetName val="Years of support (5)"/>
      <sheetName val="Years of support (9)"/>
      <sheetName val="Optional Services 1 Year"/>
      <sheetName val="EBR P&amp;L USD - QGC MA"/>
      <sheetName val="EBR CashflowUSD- QGC MA"/>
      <sheetName val="MotCare &amp; Selex (3)"/>
      <sheetName val="MotCare &amp; Selex (5)"/>
      <sheetName val="P&amp;L 3 Years"/>
      <sheetName val="P&amp;L 5 Years"/>
      <sheetName val="P&amp;L 9 Years"/>
      <sheetName val="SparesList"/>
      <sheetName val="AvailabilityCalc"/>
      <sheetName val=" Format "/>
      <sheetName val=" Format  (2)"/>
      <sheetName val=" Format  (3)"/>
      <sheetName val=" Format  (4)"/>
      <sheetName val=" Format  (5)"/>
      <sheetName val=" Format  (6)"/>
      <sheetName val=" Format  (7)"/>
      <sheetName val="Process Flow - Current"/>
      <sheetName val="Process Flow - Potential"/>
      <sheetName val="PRT_VAR Potential"/>
      <sheetName val="Regional"/>
      <sheetName val="Inv Summary"/>
      <sheetName val="Inv by Tech"/>
      <sheetName val="LTB Inv"/>
      <sheetName val="E&amp;O Calculation"/>
      <sheetName val="Root Cause Pareto"/>
      <sheetName val="Scrub Trend"/>
      <sheetName val="Biz Mitigation"/>
      <sheetName val="Reserve Pareto"/>
      <sheetName val="E&amp;O P&amp;L Allo"/>
      <sheetName val="Major Issues"/>
      <sheetName val="PCR  Excess"/>
      <sheetName val="AAD Excess"/>
      <sheetName val="AAD LTB"/>
      <sheetName val="Wavenet "/>
      <sheetName val="R&amp;R LTB"/>
      <sheetName val="R&amp;R Excess"/>
      <sheetName val="Mesh"/>
      <sheetName val="Vertex_radio"/>
      <sheetName val="Vertex_AAD"/>
      <sheetName val="Kani_TSD"/>
      <sheetName val="Resumen draft"/>
      <sheetName val="Capacidad 2001"/>
      <sheetName val="Installed 2001"/>
      <sheetName val="Jerarquia"/>
      <sheetName val="Capacidad FWA"/>
      <sheetName val="TOTAL CAP FWA"/>
      <sheetName val="resumen CAPACIDAD FWA"/>
      <sheetName val="Assump Op"/>
      <sheetName val="New Churn"/>
      <sheetName val="Total Captura"/>
      <sheetName val="Internet"/>
      <sheetName val="INTERNET DED"/>
      <sheetName val="LP"/>
      <sheetName val="Web Net"/>
      <sheetName val="VAS"/>
      <sheetName val="Forecast 2002"/>
      <sheetName val="NAC2000"/>
      <sheetName val="Consumos"/>
      <sheetName val="Dif vs Oct"/>
      <sheetName val="Promo 300"/>
      <sheetName val="+ x -"/>
      <sheetName val="ABCDE"/>
      <sheetName val="Micro-Small"/>
      <sheetName val="Med-LC-Whls"/>
      <sheetName val="Revenue by month"/>
      <sheetName val="STOP BILLING"/>
      <sheetName val="Rev x segmento"/>
      <sheetName val="Assumtions"/>
      <sheetName val="WHLS MXO"/>
      <sheetName val="Rev Adic. UNE"/>
      <sheetName val="Forecast new"/>
      <sheetName val="Forecast Inteligente y rbs"/>
      <sheetName val="Forecast MOUs Calls"/>
      <sheetName val="Razones desconex"/>
      <sheetName val="Questionaire"/>
      <sheetName val="Site Dimensioning"/>
      <sheetName val="BSC Design"/>
      <sheetName val="RXCDR Design"/>
      <sheetName val="BSC FNE"/>
      <sheetName val="RXCDR FNE"/>
      <sheetName val="Spares List"/>
      <sheetName val="DUALRATE.XLM"/>
      <sheetName val="ERLANGB.XLM"/>
      <sheetName val="GETLINK.XLM"/>
      <sheetName val="SPAREM.XLM"/>
      <sheetName val="ORDER6.XLM"/>
      <sheetName val="DETAIL REPORT"/>
      <sheetName val="DO NOT TOUCH"/>
      <sheetName val="Configurator"/>
      <sheetName val="Q209 Roll Forward Report - Dec "/>
      <sheetName val="PO Commitment 813"/>
      <sheetName val="IAC Q205 Component Price List"/>
      <sheetName val="Inventec - 8-Ball - P80730US"/>
      <sheetName val="Inventec - 8-Ball - P80730ML3"/>
      <sheetName val="Inventec - 8-Ball - P80732US"/>
      <sheetName val="Inventec - Cheetah - P80880US"/>
      <sheetName val="Inventec - Cheetah -P80880US-BP"/>
      <sheetName val="Inventec - Cheetah - P80880ML3"/>
      <sheetName val="Inventec Cheetah - P80880ML3-BP"/>
      <sheetName val="Inventec - Cheetah - P80880CN"/>
      <sheetName val="Cheetah - P80880ROW-BP"/>
      <sheetName val="Cheetah - P80880ROW-BP1"/>
      <sheetName val="Cheetah - P80880ROW-BP2"/>
      <sheetName val="Inventec - Bengal - P80708US"/>
      <sheetName val="Inventec - Bengal -P80708US-BP1"/>
      <sheetName val="Inventec - Bengal- P80708ML1"/>
      <sheetName val="Inventec - Bengal - 1041NA"/>
      <sheetName val="Inventec - Bengal -P80708US-BP2"/>
      <sheetName val="A1. 10.03 T.I. Calculation"/>
      <sheetName val="A2. 10.03 Estimated Tax Pmt"/>
      <sheetName val="C2. LT Restr. Res."/>
      <sheetName val="C3. Accd Vac and Bonuses"/>
      <sheetName val="C4. Inventory Reserve"/>
      <sheetName val="C5. Bad Debt Reserve"/>
      <sheetName val="C6. Accd Liab PCS"/>
      <sheetName val="C7. ST and LT Warranty Reserve"/>
      <sheetName val="C8. Accd Prod Ret Res"/>
      <sheetName val="C9. Deferred Income"/>
      <sheetName val="C10. Deferred Income SW"/>
      <sheetName val="C11. Accrued Legal Expenses"/>
      <sheetName val="G1. 10.03 Deferred Inc Balances"/>
      <sheetName val="US_103103"/>
      <sheetName val="Canada_103103"/>
      <sheetName val="Brazil_103103"/>
      <sheetName val="NAsia_103103"/>
      <sheetName val="HKPRC_103103"/>
      <sheetName val="Australia_1031"/>
      <sheetName val="Italy_103103"/>
      <sheetName val="India72_103103"/>
      <sheetName val="Taiwan_103103"/>
      <sheetName val="ELI _10.31.03"/>
      <sheetName val="WP F2.  Inc Tax Payable Rollfwd"/>
      <sheetName val="WP G.  DTL Rollfwd"/>
      <sheetName val="C1. 10.03 New Floor"/>
      <sheetName val="Palm Q402 Price File"/>
      <sheetName val="MSL Combined BOM's"/>
      <sheetName val="Palm Targets"/>
      <sheetName val="Savings Summary"/>
      <sheetName val="Material Cost by Sku"/>
      <sheetName val="PART MASTER DATA"/>
      <sheetName val="Q204 Palm Controlled Pricing"/>
      <sheetName val="Inventec Q204 Pricing File"/>
      <sheetName val="Inventec - Panther 180-4784C-US"/>
      <sheetName val="Inventec - Panther180-4784D-ROW"/>
      <sheetName val="Inventec - Panther - P80720CN"/>
      <sheetName val="Inventec - Panther - P80720ML3"/>
      <sheetName val="Inventec - Zire - P80707US"/>
      <sheetName val="Inventec - Zire - P80707ML3"/>
      <sheetName val="Inventec - 8-Ball - P80731US"/>
      <sheetName val="Inventec - Cheetah - P80881ML"/>
      <sheetName val="Inventec - Cheetah - P80882US"/>
      <sheetName val="Doumen Q204 Pricing File"/>
      <sheetName val="Doumen Q204 Pricing Summary"/>
      <sheetName val="Doumen - M500 - 180-2054D-CN"/>
      <sheetName val="Doumen - M500 - 180-2054-D-US"/>
      <sheetName val="Doumen - M500 -180-2054-D-EFIG1"/>
      <sheetName val="Doumen - Pacific 180-4392D-INTL"/>
      <sheetName val="Doumen - Pacific - 180-6201A-DE"/>
      <sheetName val="Doumen - Pacific 180-6201A-INTL"/>
      <sheetName val="Doumen - Pacific - 180-4392D-DE"/>
      <sheetName val="Doumen - Pacific - 180-4392D-FR"/>
      <sheetName val="Doumen - T2 - 180-4854A-EFIG3"/>
      <sheetName val="Doumen - T2 - 180-4854A-US"/>
      <sheetName val="Asustek Q204 Pricing File"/>
      <sheetName val="Asustek - Arizona - 180-5027A"/>
      <sheetName val="Asustek - Arizona - P80870ML3"/>
      <sheetName val="Asustek - Arizona - P80870CN"/>
      <sheetName val="Asustek - Montana 180-4547C-ROW"/>
      <sheetName val="Asustek - Montana - P80900CN"/>
      <sheetName val="Asustek - Montana - P80900ML3"/>
      <sheetName val="Flex Log Nash Q204 Pricing File"/>
      <sheetName val="Flex Nash Q204 Pricing Summary"/>
      <sheetName val="Flex Nash - M500 - 3C80800U"/>
      <sheetName val="Flex Nash - M500 - P80800ROW"/>
      <sheetName val="Flex Nash - M500 - P80800CN"/>
      <sheetName val="Flex Nash - ArizoP80870ML3Rev A"/>
      <sheetName val="Flex Nash - ArizoP80870ML3Rev B"/>
      <sheetName val="Flex Nash - ArizoP80870US Rev A"/>
      <sheetName val="Flex Nash - ArizP80870US Rev B"/>
      <sheetName val="Flex Nash - Montana - P80900ML3"/>
      <sheetName val="Flex Nash - Montana - P80900US"/>
      <sheetName val="Flex Nash - Pacific -P80505ATUS"/>
      <sheetName val="Flex Nash - Pacfici P80505CLRBR"/>
      <sheetName val="Flex Nash - Pacific - P80505DE"/>
      <sheetName val="Flex Nash - Pacific - P80505FR"/>
      <sheetName val="Flex Nash - Pacific P80505IEEUR"/>
      <sheetName val="Flex Nash - Pacific P80505IEROW"/>
      <sheetName val="Flex Nash - Pacific P80505ORGFR"/>
      <sheetName val="Flex Nash - Pacific -P80505RGRS"/>
      <sheetName val="Flex Nash - Pacific -P80505TLCL"/>
      <sheetName val="Flex Nash - Panther - P50233US"/>
      <sheetName val="Flex Nash - Panther - P50623US"/>
      <sheetName val="Flex Nash - Panther - P80720ML3"/>
      <sheetName val="Flex Nash - Panther - P80720US"/>
      <sheetName val="Flex Nash - T2 - P80860ML3"/>
      <sheetName val="Flex Nash - T2 - P80860US"/>
      <sheetName val="Flex Nash - P50829U"/>
      <sheetName val="Flex Nash - P50830U"/>
      <sheetName val="E&amp;O"/>
      <sheetName val="Non E&amp;O"/>
      <sheetName val="Mat'l PIR"/>
      <sheetName val="Closed EO"/>
      <sheetName val="Closed Non EO"/>
      <sheetName val="Closed Mat'l PIR"/>
      <sheetName val="Cat 1"/>
      <sheetName val="China - M550 - 180-4256A-US (2)"/>
      <sheetName val="China - M550 - 180-4256A-RO (2)"/>
      <sheetName val="China Fargo Bom (2)"/>
      <sheetName val="Palm Q203 Master List (2)"/>
      <sheetName val="Action Plan"/>
      <sheetName val="Q307"/>
      <sheetName val="Finance SOX"/>
      <sheetName val="Product Pricing"/>
      <sheetName val="MVA"/>
      <sheetName val="Discrepancies"/>
      <sheetName val="Cost Review"/>
      <sheetName val="Price book Q3 demand"/>
      <sheetName val="Price book Q3 price"/>
      <sheetName val="Inv-dd-070507-to-VF"/>
      <sheetName val="stock &amp; wip_Finance-140507"/>
      <sheetName val="Component price list"/>
      <sheetName val="Boms - Sample B"/>
      <sheetName val="Wongs"/>
      <sheetName val="Singapore"/>
      <sheetName val="Brasil"/>
      <sheetName val="Mexico"/>
      <sheetName val="Shanghai"/>
      <sheetName val="Kunshan"/>
      <sheetName val="XPLR006"/>
      <sheetName val="XPLR008"/>
      <sheetName val="XPLR119S"/>
      <sheetName val="XPLR125"/>
      <sheetName val="XPLR126"/>
      <sheetName val="XPLR132"/>
      <sheetName val="xpbs016"/>
      <sheetName val="xpbs015"/>
      <sheetName val="xpbs014"/>
      <sheetName val="xpbs011"/>
      <sheetName val="xpbs010"/>
      <sheetName val="xpbs008"/>
      <sheetName val="XLST001"/>
      <sheetName val="XLST003"/>
      <sheetName val="XSYS004"/>
      <sheetName val="XSYS007"/>
      <sheetName val="XSYS111"/>
      <sheetName val="XSYS112"/>
      <sheetName val="XSYS117"/>
      <sheetName val="XSYS118"/>
      <sheetName val="XSYS120"/>
      <sheetName val="XSYS124"/>
      <sheetName val="XSYS125"/>
      <sheetName val="XLBS013"/>
      <sheetName val="XPRS006"/>
      <sheetName val="XPRS007"/>
      <sheetName val="XPRS019"/>
      <sheetName val="XPRS028"/>
      <sheetName val="XPRS034"/>
      <sheetName val="XTHS1XX"/>
      <sheetName val="xpbs003"/>
      <sheetName val="Sheet0"/>
      <sheetName val="BOm checks"/>
      <sheetName val="Pivot VFi"/>
      <sheetName val="BOM_Explosion_Report 2 "/>
      <sheetName val="BOM Matrix"/>
      <sheetName val="Verifone"/>
      <sheetName val="PDL"/>
      <sheetName val="Cost Review-Princy"/>
      <sheetName val="Reserve Summary"/>
      <sheetName val="SummaryTracker - PIR"/>
      <sheetName val="Mth End Report - Jul"/>
      <sheetName val="Mth End Report - Jun"/>
      <sheetName val="Mth End Report - May"/>
      <sheetName val="Inventory Summary"/>
      <sheetName val="Cust Inventory (1)"/>
      <sheetName val="Cust Inventory (2)"/>
      <sheetName val="SRO# 60014088_60014159"/>
      <sheetName val="SRO# 60014211 13th June_"/>
      <sheetName val="SRO- 60014234 12th July"/>
      <sheetName val="SRO-60014278 26th July"/>
      <sheetName val="Guidance"/>
      <sheetName val="Input Screen"/>
      <sheetName val="Subsidiary Summary"/>
      <sheetName val="Revenue per Product"/>
      <sheetName val="Aging Receivables"/>
      <sheetName val="Approvals"/>
      <sheetName val="GL ACCOUNTS"/>
      <sheetName val="SHIPMENT"/>
      <sheetName val="Board Tebrau C"/>
      <sheetName val="TM42XX"/>
      <sheetName val="L4150"/>
      <sheetName val="PWA Ship Plan"/>
      <sheetName val="Sum Sept'11 TL Build Plan"/>
      <sheetName val="HUB-15Sep"/>
      <sheetName val="Ttl issue TL-14Sep"/>
      <sheetName val="RMA-15Sep"/>
      <sheetName val="Combo"/>
      <sheetName val="ESSBASE-Overview"/>
      <sheetName val="ESSBASE-DIV"/>
      <sheetName val="OT"/>
      <sheetName val="GL 0304"/>
      <sheetName val="P&amp;LSEPG (2)"/>
      <sheetName val="P&amp;LSEPG"/>
      <sheetName val="SEPG BY SUPPLIER (2)"/>
      <sheetName val="Sale2003"/>
      <sheetName val="SEPG2004"/>
      <sheetName val="JerryCans"/>
      <sheetName val="Can Parts"/>
      <sheetName val="PrintingOrder"/>
      <sheetName val="TinPlatePrice"/>
      <sheetName val="SquareCans"/>
      <sheetName val="RoundCans"/>
      <sheetName val="APP I (outstanding)"/>
      <sheetName val="App II"/>
      <sheetName val="App III"/>
      <sheetName val="App IV"/>
      <sheetName val="P_LSEPG"/>
      <sheetName val="Sales Analysis (2)"/>
      <sheetName val="GProfit"/>
      <sheetName val="Superelectronics"/>
      <sheetName val="DD1"/>
      <sheetName val="HH1"/>
      <sheetName val="CC7"/>
      <sheetName val="FF1"/>
      <sheetName val="ageing bracket"/>
      <sheetName val="FF2.1 underlying data test"/>
      <sheetName val="FF200"/>
      <sheetName val="GG1"/>
      <sheetName val="GG2"/>
      <sheetName val="GG3"/>
      <sheetName val="Treshold"/>
      <sheetName val="MM1"/>
      <sheetName val="MM2"/>
      <sheetName val="MM2-1"/>
      <sheetName val="MM2-2"/>
      <sheetName val="EE1"/>
      <sheetName val="EE1-1"/>
      <sheetName val="EE1-2"/>
      <sheetName val="EE1-3"/>
      <sheetName val="EE3-1"/>
      <sheetName val="EE3-2"/>
      <sheetName val="EE7"/>
      <sheetName val="(1 A~B)"/>
      <sheetName val="(1C~D)"/>
      <sheetName val="(1E~F)"/>
      <sheetName val="(1G)"/>
      <sheetName val="(1H)"/>
      <sheetName val="(1I)"/>
      <sheetName val="(1J)"/>
      <sheetName val="(1K)"/>
      <sheetName val="(1L)"/>
      <sheetName val="(1M)"/>
      <sheetName val="(1N)"/>
      <sheetName val="(1O)"/>
      <sheetName val="(1P)"/>
      <sheetName val="(1Q)"/>
      <sheetName val="(1R)"/>
      <sheetName val="( 7 )"/>
      <sheetName val="( 1 )"/>
      <sheetName val="( 2 )"/>
      <sheetName val="( 10 )"/>
      <sheetName val="( 11 )"/>
      <sheetName val="( 13 )"/>
      <sheetName val="( 14 )"/>
      <sheetName val="( 15 )"/>
      <sheetName val="( 16 )"/>
      <sheetName val="( 17 )"/>
      <sheetName val="( 18 )"/>
      <sheetName val="( 19 )"/>
      <sheetName val="( 20 )"/>
      <sheetName val="( 21 )"/>
      <sheetName val="( 22 )"/>
      <sheetName val="( 23 )"/>
      <sheetName val="( 24 )"/>
      <sheetName val="( 25 )"/>
      <sheetName val="( 26 )"/>
      <sheetName val="A5-1"/>
      <sheetName val="A13"/>
      <sheetName val="E-TOC"/>
      <sheetName val="B1(a)"/>
      <sheetName val="B1-1(V)"/>
      <sheetName val="B1-1 (Q)"/>
      <sheetName val="E1-1"/>
      <sheetName val="E1-2"/>
      <sheetName val="E1-3"/>
      <sheetName val="E3-1"/>
      <sheetName val="FG listing"/>
      <sheetName val="RM listing"/>
      <sheetName val="PnL commentaries"/>
      <sheetName val="ESTIMATE-P&amp;L-PMV"/>
      <sheetName val="Forecast P&amp;L-PAL"/>
      <sheetName val="ESTIMATE P&amp;L99-GROUP"/>
      <sheetName val="Forecast P&amp;L-PMV"/>
      <sheetName val="Forecast P&amp;L-PMT"/>
      <sheetName val="SCH-GP"/>
      <sheetName val="FORECAST-GP"/>
      <sheetName val="P&amp;L YR99"/>
      <sheetName val="CONSUL-P&amp;L99"/>
      <sheetName val="P&amp;L YR99 (3)"/>
      <sheetName val="NN1(a)"/>
      <sheetName val="NN5-3"/>
      <sheetName val="LL1-1"/>
      <sheetName val="P.T. Daya Manunggal"/>
      <sheetName val="LL1-3"/>
      <sheetName val="LL1-4"/>
      <sheetName val="LL1-5"/>
      <sheetName val="LL1-6"/>
      <sheetName val="LL1-7.1"/>
      <sheetName val="LL1-7.2"/>
      <sheetName val="LL3"/>
      <sheetName val="EE5.1"/>
      <sheetName val="EE5-1"/>
      <sheetName val="EE9.1"/>
      <sheetName val="Inventories Control List"/>
      <sheetName val="LL4"/>
      <sheetName val="Significant OS"/>
      <sheetName val="OS Final"/>
      <sheetName val="OS-Focal"/>
      <sheetName val="OS- KSS"/>
      <sheetName val="Sheet 1 (2)"/>
      <sheetName val="B1-2-1"/>
      <sheetName val="B6-1-2"/>
      <sheetName val="B6-1-3"/>
      <sheetName val="NPS&amp;NFM"/>
      <sheetName val="totmal"/>
      <sheetName val="excp"/>
      <sheetName val="Tax related exp"/>
      <sheetName val="fty-foe"/>
      <sheetName val="22.4-NPS"/>
      <sheetName val="22.4-NFM"/>
      <sheetName val="Nfm sales aff"/>
      <sheetName val="OPL2001TP"/>
      <sheetName val="Opl01cs"/>
      <sheetName val="Bpkitem"/>
      <sheetName val="Validation-co"/>
      <sheetName val="NESMAL (int only)"/>
      <sheetName val="NESMAL"/>
      <sheetName val="Div"/>
      <sheetName val="S6OF"/>
      <sheetName val="Int-sch4"/>
      <sheetName val="Tax N Audit"/>
      <sheetName val="Taxprov"/>
      <sheetName val="14.0 (loc)"/>
      <sheetName val="14.0"/>
      <sheetName val="14.1"/>
      <sheetName val="37.0"/>
      <sheetName val="3410"/>
      <sheetName val="3420"/>
      <sheetName val="3421"/>
      <sheetName val="Validation"/>
      <sheetName val="CONSOL-TAX"/>
      <sheetName val="14.0 con"/>
      <sheetName val="22.4con"/>
      <sheetName val="22.5 con"/>
      <sheetName val="3400-con"/>
      <sheetName val="3410-con"/>
      <sheetName val="3421-con"/>
      <sheetName val="3425-con"/>
      <sheetName val="3426-con"/>
      <sheetName val="3427-con"/>
      <sheetName val="Cash Flow workings"/>
      <sheetName val="M1 "/>
      <sheetName val="BB1"/>
      <sheetName val="BB2-1"/>
      <sheetName val="BB2"/>
      <sheetName val="NOT TO PRINT"/>
      <sheetName val="ADMIN SALARY"/>
      <sheetName val="DIV-Net period"/>
      <sheetName val="B5(BS)_Revise"/>
      <sheetName val="B5(BS)"/>
      <sheetName val="B5_IS"/>
      <sheetName val="BB2.1"/>
      <sheetName val="BB4"/>
      <sheetName val="FF300"/>
      <sheetName val="JJ1"/>
      <sheetName val="MM1-1"/>
      <sheetName val="KK1-1-Tech"/>
      <sheetName val="KK2-tech(revised)"/>
      <sheetName val="KK2-1"/>
      <sheetName val="KK3(m)-Tech"/>
      <sheetName val="KK3(r)-1"/>
      <sheetName val="KK4"/>
      <sheetName val="Tec-dd"/>
      <sheetName val="KK1-Tech"/>
      <sheetName val="FB1 (2)"/>
      <sheetName val="BS (3)"/>
      <sheetName val="D1 (3)"/>
      <sheetName val="E1  (3)"/>
      <sheetName val="F1  (3)"/>
      <sheetName val="G1  (3)"/>
      <sheetName val="J1 (3)"/>
      <sheetName val="J3 (3)"/>
      <sheetName val="M1 (3)"/>
      <sheetName val="M1-1 (3)"/>
      <sheetName val="M1-2 (3)"/>
      <sheetName val="N1 (3)"/>
      <sheetName val="PBSE BS"/>
      <sheetName val="comp of re pack"/>
      <sheetName val="CF Statements"/>
      <sheetName val="Stmt of equity"/>
      <sheetName val="FB1"/>
      <sheetName val="FB2"/>
      <sheetName val="GP analysis"/>
      <sheetName val="FB3"/>
      <sheetName val="PBSE PL"/>
      <sheetName val="FB4 Sch9 Disclosure"/>
      <sheetName val="HCC1"/>
      <sheetName val="HCC4"/>
      <sheetName val="HCC5"/>
      <sheetName val="HHH1"/>
      <sheetName val="D1-1"/>
      <sheetName val="E1 "/>
      <sheetName val="FE3"/>
      <sheetName val="FE3-1"/>
      <sheetName val="HLL1"/>
      <sheetName val="HE1"/>
      <sheetName val="HE2-1"/>
      <sheetName val="HE2"/>
      <sheetName val="F1 "/>
      <sheetName val="G1 "/>
      <sheetName val="M1-2"/>
      <sheetName val="General info (2)"/>
      <sheetName val="CF Statements (2)"/>
      <sheetName val="Stmt of equity (2)"/>
      <sheetName val="D1 (2)"/>
      <sheetName val="D1-1 (2)"/>
      <sheetName val="E1  (2)"/>
      <sheetName val="F1  (2)"/>
      <sheetName val="G1  (2)"/>
      <sheetName val="J1 (2)"/>
      <sheetName val="J3 (2)"/>
      <sheetName val="L1 (2)"/>
      <sheetName val="M1 (2)"/>
      <sheetName val="M1-1 (2)"/>
      <sheetName val="M1-2 (2)"/>
      <sheetName val="N1 (2)"/>
      <sheetName val="B1-4"/>
      <sheetName val="B1-5"/>
      <sheetName val="B1-6"/>
      <sheetName val="B3-1"/>
      <sheetName val="B6-1"/>
      <sheetName val="B6-2"/>
      <sheetName val="B6-3"/>
      <sheetName val="B6-4"/>
      <sheetName val="E2-1.2"/>
      <sheetName val="WIP-Prod"/>
      <sheetName val="E6-1"/>
      <sheetName val="E6-1.1"/>
      <sheetName val="E6-2"/>
      <sheetName val="E6-2.1"/>
      <sheetName val="B2-1"/>
      <sheetName val="BS'09"/>
      <sheetName val="BS (revised)"/>
      <sheetName val="PL (revised)"/>
      <sheetName val="PPE (revised)"/>
      <sheetName val="Journal (revised)"/>
      <sheetName val="PPE(1)"/>
      <sheetName val="CSF (2)"/>
      <sheetName val="CSF"/>
      <sheetName val="INTERCO-nontrade"/>
      <sheetName val="interco(1)"/>
      <sheetName val="INTERCO-TRADE"/>
      <sheetName val="COC"/>
      <sheetName val="Disposal of PPE"/>
      <sheetName val="Hist cost"/>
      <sheetName val="CF Recon"/>
      <sheetName val="Int.Rates"/>
      <sheetName val="MI share"/>
      <sheetName val="Comp of int"/>
      <sheetName val="Cashflow by subsi"/>
      <sheetName val="BB2-3"/>
      <sheetName val="FF4-1"/>
      <sheetName val="NO.0"/>
      <sheetName val="NO.1"/>
      <sheetName val="NO.2-1"/>
      <sheetName val="NO.2-2"/>
      <sheetName val="NO.2-3"/>
      <sheetName val="NO.2-4"/>
      <sheetName val="NO.3-1"/>
      <sheetName val="NO.3-2"/>
      <sheetName val="NO.4"/>
      <sheetName val="NO.5-1"/>
      <sheetName val="NO.5-2"/>
      <sheetName val="NO.5-3"/>
      <sheetName val="NO.6-1"/>
      <sheetName val="NO.6-2"/>
      <sheetName val="NO.7"/>
      <sheetName val="NO.8"/>
      <sheetName val="NO.8-1"/>
      <sheetName val="NO.9"/>
      <sheetName val="NO.9-1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 (1)"/>
      <sheetName val="NO.26 (2)"/>
      <sheetName val="NO.27(1)"/>
      <sheetName val="NO.27(2)"/>
      <sheetName val="NO.28"/>
      <sheetName val="NO.29 "/>
      <sheetName val="NO.30"/>
      <sheetName val="NO.31"/>
      <sheetName val="ATTCH.1"/>
      <sheetName val="ATTCH.2"/>
      <sheetName val="CIF&amp;FOB"/>
      <sheetName val="Consignment"/>
      <sheetName val="DDU term"/>
      <sheetName val="PnL (Details) - May'08"/>
      <sheetName val="BB2-1.1"/>
      <sheetName val="BB2.4"/>
      <sheetName val="BB6"/>
      <sheetName val="BB2-2"/>
      <sheetName val="BB6.1"/>
      <sheetName val="SMT"/>
      <sheetName val="FF2"/>
      <sheetName val="FF6"/>
      <sheetName val="損益分析"/>
      <sheetName val="損益表說明"/>
      <sheetName val="存貨跌價及呆滯損失"/>
      <sheetName val="資產負債表"/>
      <sheetName val="損益表"/>
      <sheetName val="試算表累計"/>
      <sheetName val="試算表當月"/>
      <sheetName val="銷貨成本表-GPP"/>
      <sheetName val="銷貨成本附表"/>
      <sheetName val="R銷貨成本表-GMP"/>
      <sheetName val="製造直接費用明細表"/>
      <sheetName val="管理費用明細表"/>
      <sheetName val="銷售費用明細表--"/>
      <sheetName val="研發費用明細表"/>
      <sheetName val="宿舍費用明細表"/>
      <sheetName val="五力分析"/>
      <sheetName val="背書保證事項記錄"/>
      <sheetName val="內部銷售"/>
      <sheetName val="營運槓桿度"/>
      <sheetName val="ToDo"/>
      <sheetName val="BS,Equity"/>
      <sheetName val="AA13"/>
      <sheetName val="A17"/>
      <sheetName val="BB1(A)"/>
      <sheetName val="BB1-1"/>
      <sheetName val="BB3"/>
      <sheetName val="CC2"/>
      <sheetName val="CC3"/>
      <sheetName val="CC4"/>
      <sheetName val="CC6"/>
      <sheetName val="EE5-5"/>
      <sheetName val="EE6"/>
      <sheetName val="EE6-1"/>
      <sheetName val="FF-TOC"/>
      <sheetName val="FF3"/>
      <sheetName val="LL-TOC"/>
      <sheetName val="MM5"/>
      <sheetName val="KK1"/>
      <sheetName val="KK2"/>
      <sheetName val="KK3"/>
      <sheetName val="KK6"/>
      <sheetName val="KK1 (2)"/>
      <sheetName val="KK2 (2)"/>
      <sheetName val="KK3 (2)"/>
      <sheetName val="KK4 (2)"/>
      <sheetName val="KK6 (2)"/>
      <sheetName val="KK6 (unused)"/>
      <sheetName val="Portrait"/>
      <sheetName val="Portrait (2)"/>
      <sheetName val="CC1"/>
      <sheetName val="CC4a"/>
      <sheetName val="Landscape"/>
      <sheetName val="SiGnS"/>
      <sheetName val="Formulae"/>
      <sheetName val="CIG+OV"/>
      <sheetName val="Scrap"/>
      <sheetName val="PRINTS"/>
      <sheetName val="INC NP-NNP"/>
      <sheetName val="CASH New"/>
      <sheetName val="CASH PRINT"/>
      <sheetName val="BAL"/>
      <sheetName val="Covenants"/>
      <sheetName val="CAL"/>
      <sheetName val="NNP"/>
      <sheetName val=" 2000"/>
      <sheetName val="SAM Upload"/>
      <sheetName val="FIN-YTD"/>
      <sheetName val="Mill´s presentation"/>
      <sheetName val="jnl"/>
      <sheetName val="Buttons"/>
      <sheetName val="Sen-Sub"/>
      <sheetName val="Journal - Sen-Sub"/>
      <sheetName val="Voucher($295)"/>
      <sheetName val="Sub Debt $295"/>
      <sheetName val="Voucher($150)"/>
      <sheetName val="Sub Debt $150"/>
      <sheetName val="Voucher P.A.E"/>
      <sheetName val="PAE May-01"/>
      <sheetName val="PAE Jun-01"/>
      <sheetName val="PAE Jul-01"/>
      <sheetName val="PAE SEPT"/>
      <sheetName val="PAE Aug-01"/>
      <sheetName val="Journal PAE"/>
      <sheetName val="PAE Jul-2001"/>
      <sheetName val="Journal - Sub$295  1-15"/>
      <sheetName val="Journal - Sub$295  16-30"/>
      <sheetName val="Voucher($200)"/>
      <sheetName val="Sub Debt $200"/>
      <sheetName val="Journal - Sub 200"/>
      <sheetName val="Journal - Sub 200 16-30"/>
      <sheetName val="Voucher($445)"/>
      <sheetName val=" Loan 445"/>
      <sheetName val="Journal - Int Paid $445 "/>
      <sheetName val="Voucher($275)"/>
      <sheetName val=" Loan 275"/>
      <sheetName val="Journal - IBJ $275"/>
      <sheetName val="Journal - IBJ $275 16-30"/>
      <sheetName val="IBJ New 275  Interest Paid"/>
      <sheetName val="Sub $295"/>
      <sheetName val="Sub $300"/>
      <sheetName val="Sub $200"/>
      <sheetName val="caratula"/>
      <sheetName val="Rec Interest"/>
      <sheetName val="Rec Principals"/>
      <sheetName val="Journal - Sen-Sub 16-30"/>
      <sheetName val="Journal - Int Acc $445 1-24"/>
      <sheetName val="Journal - New Sub 16-31"/>
      <sheetName val="Sub Sch"/>
      <sheetName val="Sen Sch"/>
      <sheetName val="Sen-Sub (2)"/>
      <sheetName val="Nota 15"/>
      <sheetName val="Reconciliation (2)"/>
      <sheetName val="IBJ 275 Int Acc 1-15"/>
      <sheetName val="Ajustes"/>
      <sheetName val="Loan US$295"/>
      <sheetName val="Journal - Loan US$295"/>
      <sheetName val="Journal - Loan US$200"/>
      <sheetName val="Rec Interest (2)"/>
      <sheetName val="OTROS"/>
      <sheetName val="Mar02"/>
      <sheetName val="April02"/>
      <sheetName val="May02"/>
      <sheetName val="June02"/>
      <sheetName val="July02"/>
      <sheetName val="Efficiency"/>
      <sheetName val="Oxide"/>
      <sheetName val="SCENE"/>
      <sheetName val="Cash Flow - Direct Method"/>
      <sheetName val="Analisa direct"/>
      <sheetName val="Cash Flow - Indirect Method"/>
      <sheetName val="Cash Flow - CY Workings"/>
      <sheetName val="Movement account"/>
      <sheetName val="Cash Flow _ CY Workings"/>
      <sheetName val="MASTERS"/>
      <sheetName val="CF_Rinci"/>
      <sheetName val="RKAP-08"/>
      <sheetName val="Read Me"/>
      <sheetName val="I.4-A"/>
      <sheetName val="H.4-A"/>
      <sheetName val="AJERJE"/>
      <sheetName val="E1-ok"/>
      <sheetName val="G1-ok"/>
      <sheetName val="H1.A-ok"/>
      <sheetName val="H1.B-ok"/>
      <sheetName val="H1.C-ok"/>
      <sheetName val="I1.B-ok"/>
      <sheetName val="K1-ok"/>
      <sheetName val="L1.A-ok"/>
      <sheetName val="L1.B-ok"/>
      <sheetName val="L1.C-OK"/>
      <sheetName val="M1-ok"/>
      <sheetName val="N1-ok"/>
      <sheetName val="P1-ok"/>
      <sheetName val="J1.1-ok"/>
      <sheetName val="J1.2-ok"/>
      <sheetName val="section"/>
      <sheetName val="10.101"/>
      <sheetName val="10.102"/>
      <sheetName val="10.103"/>
      <sheetName val="10.104"/>
      <sheetName val="10.105"/>
      <sheetName val="10.107"/>
      <sheetName val="10.112"/>
      <sheetName val="DES 15"/>
      <sheetName val="JAN 16"/>
      <sheetName val="FEB 16"/>
      <sheetName val="MAR 16"/>
      <sheetName val="APRIL 16"/>
      <sheetName val="MEI 16"/>
      <sheetName val="JUNI 16"/>
      <sheetName val="JULI 16"/>
      <sheetName val="AGUS 16"/>
      <sheetName val="SEPT 16"/>
      <sheetName val="OKT 16"/>
      <sheetName val="NOV 16"/>
      <sheetName val="DES 16"/>
      <sheetName val="TB Inventory"/>
      <sheetName val="Inventory Value"/>
      <sheetName val="111710111"/>
      <sheetName val="111710131"/>
      <sheetName val="111710134"/>
      <sheetName val="111710137"/>
      <sheetName val="111710151"/>
      <sheetName val="111710154"/>
      <sheetName val="111710161"/>
      <sheetName val="111710211"/>
      <sheetName val="111710221"/>
      <sheetName val="111710224"/>
      <sheetName val="111710227"/>
      <sheetName val="111710234"/>
      <sheetName val="111710251"/>
      <sheetName val="111710311"/>
      <sheetName val="111710411"/>
      <sheetName val="111710413"/>
      <sheetName val="Afval"/>
      <sheetName val="data09fib"/>
      <sheetName val="K_6DEPOSIT"/>
      <sheetName val="TB 12 2016"/>
      <sheetName val="TB 10 2017"/>
      <sheetName val="1101-101 Cash on Hand IDR"/>
      <sheetName val="Purchase Advance "/>
      <sheetName val="FA Payable"/>
      <sheetName val="Prepaid Expense 10 2017"/>
      <sheetName val="Prepaid 12 2016"/>
      <sheetName val="Accrued Freight &amp; Inklarin"/>
      <sheetName val="Other Long term"/>
      <sheetName val="1299 Others Deposit"/>
      <sheetName val="2117 Received in Advance"/>
      <sheetName val="Fill"/>
      <sheetName val="NEW INVESMENT"/>
      <sheetName val="740 TGR"/>
      <sheetName val="Jan 2015"/>
      <sheetName val="Feb 2015"/>
      <sheetName val="Maret 2015"/>
      <sheetName val="April 2015"/>
      <sheetName val="Mei 2015"/>
      <sheetName val="Juni 2015"/>
      <sheetName val="Juli 2015"/>
      <sheetName val="Agustus 2015"/>
      <sheetName val="September 2015"/>
      <sheetName val="Oktober 2015"/>
      <sheetName val="Form 2.5"/>
      <sheetName val="Form 3.1"/>
      <sheetName val="Form 4.1"/>
      <sheetName val="Form 4.2"/>
      <sheetName val="PDC"/>
      <sheetName val="CT"/>
      <sheetName val="Form 61"/>
      <sheetName val="EXCOM"/>
      <sheetName val="Alokasi Biaya"/>
      <sheetName val="Target Form 21"/>
      <sheetName val="20-11-03"/>
      <sheetName val="Sales Rekap 03 2016"/>
      <sheetName val="Desember 2016"/>
      <sheetName val="November 2016"/>
      <sheetName val="Oktober 2016"/>
      <sheetName val="September 2016"/>
      <sheetName val="Agustus 2016"/>
      <sheetName val="TB 07 2016"/>
      <sheetName val="Sales Juli 2016"/>
      <sheetName val="TB 06 2016"/>
      <sheetName val="Sales Juni 2016"/>
      <sheetName val="Sales Mei 2016"/>
      <sheetName val="Sales April 2016"/>
      <sheetName val="TB 03 2016"/>
      <sheetName val="Sales Maret 2016"/>
      <sheetName val="Sales Februari 2016"/>
      <sheetName val="Sales Jan 2016"/>
      <sheetName val="FS Presentation"/>
      <sheetName val="Working PL"/>
      <sheetName val="Working BS"/>
      <sheetName val="Working CF"/>
      <sheetName val="3. working PL"/>
      <sheetName val="4. working BS"/>
      <sheetName val="5. working CF"/>
      <sheetName val="6. Operation"/>
      <sheetName val="Planed Disposal FA"/>
      <sheetName val="F21"/>
      <sheetName val="F22"/>
      <sheetName val="F26"/>
      <sheetName val="F25"/>
      <sheetName val="F31"/>
      <sheetName val="F50"/>
      <sheetName val="F61"/>
      <sheetName val="F60"/>
      <sheetName val="Presentase"/>
      <sheetName val="Alokasi SC"/>
      <sheetName val="Template TB"/>
      <sheetName val="TB June"/>
      <sheetName val="sasles"/>
      <sheetName val="Sales Rekap"/>
      <sheetName val="TB Dept"/>
      <sheetName val="Press 3"/>
      <sheetName val="Stock Alokasi Dec"/>
      <sheetName val="TB Maret"/>
      <sheetName val="TB YTD Mar"/>
      <sheetName val="WP Q1-2017"/>
      <sheetName val="TB QTX YTD 2017"/>
      <sheetName val="FA Update"/>
      <sheetName val="Sales Purchase"/>
      <sheetName val="Penjualan Afliasi - tgr to Qtx"/>
      <sheetName val="rekon AR AP QTX BRNA"/>
      <sheetName val="CF - Leasing rekon"/>
      <sheetName val="FA Komersial2"/>
      <sheetName val="FA Fiskal (2)"/>
      <sheetName val="SALES 2005"/>
      <sheetName val="rev 2 "/>
      <sheetName val="rev selas 2005"/>
      <sheetName val="SALES "/>
      <sheetName val="COMP MAT 2004"/>
      <sheetName val="IMP'03 "/>
      <sheetName val="price down2003 OK"/>
      <sheetName val="price down2004"/>
      <sheetName val="ints.2004"/>
      <sheetName val="Tax Cal."/>
      <sheetName val="ints.2003"/>
      <sheetName val="WSDES03"/>
      <sheetName val="WS jan 2004"/>
      <sheetName val="WS feb 2004 "/>
      <sheetName val="WS mar 2004  "/>
      <sheetName val="WS apr2004   "/>
      <sheetName val="WS may2004 "/>
      <sheetName val="WS jun2004 "/>
      <sheetName val="WS jul2004  "/>
      <sheetName val="WS aug2004"/>
      <sheetName val="WS sep2004 "/>
      <sheetName val="WS okt2004  "/>
      <sheetName val="WS nov2004 "/>
      <sheetName val="WS dec2004 "/>
      <sheetName val="WS SETAHUN 2004 "/>
      <sheetName val="WS december2005"/>
      <sheetName val="WS december2006"/>
      <sheetName val="WS december2007"/>
      <sheetName val="WS december2008"/>
      <sheetName val="ints.2005"/>
      <sheetName val="ints.2006"/>
      <sheetName val="ints.2007"/>
      <sheetName val="ints.2008"/>
      <sheetName val=" GN5"/>
      <sheetName val="KEVF"/>
      <sheetName val=" KEVJ "/>
      <sheetName val="AND"/>
      <sheetName val=" ANF"/>
      <sheetName val="ANFD"/>
      <sheetName val="GF6"/>
      <sheetName val="KHKG"/>
      <sheetName val="KEHGBELUM ACTUAL"/>
      <sheetName val="KCJABELUM ACTUAL"/>
      <sheetName val="S355"/>
      <sheetName val="TS125"/>
      <sheetName val="S327"/>
      <sheetName val="K127"/>
      <sheetName val=" K164Db"/>
      <sheetName val=" K164DR"/>
      <sheetName val="AM2W"/>
      <sheetName val="CMV1.7"/>
      <sheetName val=" CMV2.0"/>
      <sheetName val=" CRV"/>
      <sheetName val=" ST100"/>
      <sheetName val=" CJS-CJM"/>
      <sheetName val=" YD2"/>
      <sheetName val="AERIO SALES KOSOING"/>
      <sheetName val=" X473 -X479"/>
      <sheetName val=" X626-X620"/>
      <sheetName val="AM4W"/>
      <sheetName val="Agus'01"/>
      <sheetName val="Sept'01"/>
      <sheetName val="WS 2008"/>
      <sheetName val="WS 2009"/>
      <sheetName val="Depr Okt06"/>
      <sheetName val="GiaVL"/>
      <sheetName val="9E1.3"/>
      <sheetName val="Quantity"/>
      <sheetName val="Names"/>
      <sheetName val="9K (3.1)"/>
      <sheetName val="HEAD"/>
      <sheetName val="F21 HPPP (RMB)"/>
      <sheetName val="F21 HPPP (RP)"/>
      <sheetName val="WP F 21"/>
      <sheetName val="F25 HPPP (RMB)"/>
      <sheetName val="F25 HPPP (RP)"/>
      <sheetName val="WP F 25"/>
      <sheetName val="F50 HPPP (RMB)"/>
      <sheetName val="F50 HPPP (RP)"/>
      <sheetName val="WP F 50"/>
      <sheetName val="N.B.1.3 Forklift"/>
      <sheetName val="N.B.1.4 BMW"/>
      <sheetName val="N.B.1.5 Truck"/>
      <sheetName val="Risk Analysis"/>
      <sheetName val="Risk Analysis Compare"/>
      <sheetName val="Estimate Realignment"/>
      <sheetName val="Phasing by Month"/>
      <sheetName val="CIIL Overheads VOWP"/>
      <sheetName val="TOTAL_MATERIAL"/>
      <sheetName val="DETAIL TOTAL MT'L"/>
      <sheetName val="INSUL&amp;PAINT"/>
      <sheetName val="DIA-INCH_CS&amp;SS"/>
      <sheetName val="WEIGHT"/>
      <sheetName val="Kell_Dind_"/>
      <sheetName val="Pintu Jendela"/>
      <sheetName val="Subkontraktor"/>
      <sheetName val="Upah Kerja"/>
      <sheetName val="Ana. STR"/>
      <sheetName val="PENJ_TOTAL"/>
      <sheetName val="Elek.List"/>
      <sheetName val="BQ_Listrik"/>
      <sheetName val="Daftar Material"/>
      <sheetName val="TOWER D"/>
      <sheetName val="TOWER E"/>
      <sheetName val="RKP FH"/>
      <sheetName val="FH PRELIMINARY"/>
      <sheetName val="BASEMENT"/>
      <sheetName val="TOWER A"/>
      <sheetName val="TOWER B"/>
      <sheetName val="TOWER C"/>
      <sheetName val="hsat"/>
      <sheetName val="Pondasi-Apt"/>
      <sheetName val="STR-APRT-WIKA"/>
      <sheetName val="Pintu"/>
      <sheetName val="Plafon"/>
      <sheetName val="Atap"/>
      <sheetName val="MALL DAN PARKIR"/>
      <sheetName val="AREA MALL DAN PARKIR"/>
      <sheetName val="D 4.2 ( FASILITAS APARTEMENT )"/>
      <sheetName val="DAFTAR 4.3 (TA)"/>
      <sheetName val="DAFTAR 4.4 (TB)"/>
      <sheetName val="DAFTAR 4.5 (TC )"/>
      <sheetName val="5.1"/>
      <sheetName val="5.2"/>
      <sheetName val="D 5.3"/>
      <sheetName val="D 5.4"/>
      <sheetName val="D 5.5"/>
      <sheetName val="D-6.1"/>
      <sheetName val="D-6.2"/>
      <sheetName val="D-6.3"/>
      <sheetName val="D-6.4"/>
      <sheetName val="D-6.5"/>
      <sheetName val="AREA MALL DAN PARKIR (2)"/>
      <sheetName val="D. 7.2(FASILITAS APARTMENT)"/>
      <sheetName val="D. 7.3 (TA)"/>
      <sheetName val="D. 7.4 (TB)"/>
      <sheetName val="D. 7.5 (TC)"/>
      <sheetName val="D-8.1"/>
      <sheetName val="D-8.2"/>
      <sheetName val="D-8.3(TA)"/>
      <sheetName val="D-8.4(TB)"/>
      <sheetName val="D-8.5(TC)"/>
      <sheetName val="D-9.1"/>
      <sheetName val="LANTAI 7"/>
      <sheetName val="D-10.3(TA)"/>
      <sheetName val="D-10.4(TB)"/>
      <sheetName val="D-10.5(TC)"/>
      <sheetName val="Penjumlahan (2)"/>
      <sheetName val="11.1"/>
      <sheetName val="11.2"/>
      <sheetName val="11.3"/>
      <sheetName val="11.4"/>
      <sheetName val="BI.PLN"/>
      <sheetName val="Sub-jml"/>
      <sheetName val="12.1"/>
      <sheetName val="12.2"/>
      <sheetName val="12.3"/>
      <sheetName val="12.4"/>
      <sheetName val="Sub-jml (2)"/>
      <sheetName val="13.1 "/>
      <sheetName val="13.2 "/>
      <sheetName val="Penjumlahan (3)"/>
      <sheetName val="CoverDepan Buku (1)"/>
      <sheetName val="CoverDepan Buku (2)"/>
      <sheetName val="COV 4.2 ( FASILITAS APARTEMENT)"/>
      <sheetName val="COV 4.3 (TA)"/>
      <sheetName val="COV 4.4"/>
      <sheetName val="COV 4.5"/>
      <sheetName val="COV (MALL)"/>
      <sheetName val="COV (FAS)"/>
      <sheetName val="COV(A)"/>
      <sheetName val="COV(B)"/>
      <sheetName val="COV(C)"/>
      <sheetName val="COV (D-6.1)"/>
      <sheetName val="COV (D-6.2"/>
      <sheetName val="COV (D-6.3)"/>
      <sheetName val="COV (D-6.4)"/>
      <sheetName val="COV (D-6.5)"/>
      <sheetName val="MALL DAN PARKIR (2)"/>
      <sheetName val="COV. 7.2 (FASILITAS APARTEMENT)"/>
      <sheetName val="COV. 7.3 (TA)"/>
      <sheetName val="COV. 7.4 (TB)"/>
      <sheetName val="COV. 7.5 (TC)"/>
      <sheetName val="COVER D-8.1"/>
      <sheetName val="COVER D-8.2"/>
      <sheetName val="COVER D-8.3"/>
      <sheetName val="COVER D-8.4"/>
      <sheetName val="COVER D-8.5"/>
      <sheetName val="COV (D-9)"/>
      <sheetName val="COVER D-10.2"/>
      <sheetName val="COVER D-10.3"/>
      <sheetName val="COVER D-10.4"/>
      <sheetName val="COVER D-10.5"/>
      <sheetName val="COVER penjumlahan"/>
      <sheetName val="Cover 11"/>
      <sheetName val="Cover 11.1"/>
      <sheetName val="Cover 11.2"/>
      <sheetName val="Cover 11.3"/>
      <sheetName val="Cover 11.4"/>
      <sheetName val="COV.PLN"/>
      <sheetName val="Cover 12"/>
      <sheetName val="Asumsi budget 2014 - pusat"/>
      <sheetName val="Asumsi budget"/>
      <sheetName val="REKAP ASUMSI"/>
      <sheetName val="SO SCK"/>
      <sheetName val="GL SCK 10.2014"/>
      <sheetName val="GL 1 SCK 12.14"/>
      <sheetName val="GL WIP PRY SCK 12.14"/>
      <sheetName val="GL 2 - 9 SCK 12.14"/>
      <sheetName val="SO KLV"/>
      <sheetName val="GL KLV 10.2014"/>
      <sheetName val="GL 1 KLV 12.14"/>
      <sheetName val="GL WIP PRY KLV 12.14"/>
      <sheetName val="GL 2- 9 KLV 12.14"/>
      <sheetName val="SO KSS"/>
      <sheetName val="GL KSS 10.2014"/>
      <sheetName val="GL 1 KSS 12.14"/>
      <sheetName val="GL WIP PRY KSS 12.14"/>
      <sheetName val="GL 2 - 9 KSS 12.14"/>
      <sheetName val="KSS 7-308-00 TELP"/>
      <sheetName val="KSS 7-302-00 CETAKAN"/>
      <sheetName val="GL FA"/>
      <sheetName val="PEMBELIAN FA 2014"/>
      <sheetName val="PEMBELIAN TANAH 2014"/>
      <sheetName val="cluster"/>
      <sheetName val="LA DARWIN"/>
      <sheetName val="LA GRISEA"/>
      <sheetName val="LA CANARY"/>
      <sheetName val="LA STARLING"/>
      <sheetName val="LA AMETHYS"/>
      <sheetName val="LA ARISTOTELES"/>
      <sheetName val="LA PASCAL COMM"/>
      <sheetName val="LA GRAHA BLV COMM"/>
      <sheetName val="LA CRYTAL COMM 3LT"/>
      <sheetName val="LA GOLDEN 8 EXT COMM"/>
      <sheetName val="LA THE SPRINGS BLV COMM"/>
      <sheetName val="LA DALTON COMM"/>
      <sheetName val="LA NEW JASMINE EXT COMM"/>
      <sheetName val="LA SRS 1"/>
      <sheetName val="TOP (PT)"/>
      <sheetName val="TOP (ACC)"/>
      <sheetName val="LA MT RES"/>
      <sheetName val="MT RES A"/>
      <sheetName val="MT RES B"/>
      <sheetName val="MT RES C"/>
      <sheetName val="MT RES D - BLM LAUNCH"/>
      <sheetName val="MT RES E"/>
      <sheetName val="MT RES F"/>
      <sheetName val="LA MT SIGNATURE"/>
      <sheetName val="MT SIGN G"/>
      <sheetName val="MT SIGN H"/>
      <sheetName val="MT SIGN I - BLM LAUNCH"/>
      <sheetName val="MT SIGN J - BLM LAUNCH"/>
      <sheetName val="MAXWELL"/>
      <sheetName val="LA MAXWELL"/>
      <sheetName val="FARADAY"/>
      <sheetName val="LA FARADAY"/>
      <sheetName val="EDISON"/>
      <sheetName val="LA EDISON"/>
      <sheetName val="VOLTA"/>
      <sheetName val="LA VOLTA"/>
      <sheetName val="DARWIN COMM"/>
      <sheetName val="LA DARWIN COMM"/>
      <sheetName val="GOLDFINCH"/>
      <sheetName val="LA GOLD FINCH"/>
      <sheetName val="PELICAN"/>
      <sheetName val="LA PELICAN"/>
      <sheetName val="FLAMINGO"/>
      <sheetName val="LA FLAMINGO"/>
      <sheetName val="SCIENTIA COMM"/>
      <sheetName val="LA Apt SG (SRS)"/>
      <sheetName val="HPP LAIN2"/>
      <sheetName val="STK 12.2014"/>
      <sheetName val="SUBSIDI CLUSTER 12.2014"/>
      <sheetName val="PENJ &amp; HPP"/>
      <sheetName val="PENJ &amp; HPP (pengajuan b ratna)"/>
      <sheetName val="LA SRS"/>
      <sheetName val="Skedule pembayaran SKKI"/>
      <sheetName val="ASUMSI HJ &amp; HPP"/>
      <sheetName val="SUBSIDI CLS - TUNGGU DR ESTATE"/>
      <sheetName val="PERAWATAN KAWASAN"/>
      <sheetName val="B PENJ"/>
      <sheetName val="CORP IMG"/>
      <sheetName val="GL PROMOSI KLV"/>
      <sheetName val="MONITOR PR KLV"/>
      <sheetName val="GL PROMOSI KSS"/>
      <sheetName val="GL BILL DIBYR DIMUKA"/>
      <sheetName val="MONITOR PR KSS"/>
      <sheetName val="GL PJ KSS"/>
      <sheetName val="GL PROMOSI SCK"/>
      <sheetName val="MONITOR PR SCK"/>
      <sheetName val="DAFTAR PENJUALAN"/>
      <sheetName val="GL KOMISI"/>
      <sheetName val="ADM MARKETING"/>
      <sheetName val="HONOR PROF"/>
      <sheetName val="RT KANTOR"/>
      <sheetName val="FA KSO"/>
      <sheetName val="FA SCK"/>
      <sheetName val="GL GAJI &amp; JAMSOSTEK JBC"/>
      <sheetName val="RECON GAJI JBC"/>
      <sheetName val="GL GAJI SCK"/>
      <sheetName val="RECON GAJI SCK"/>
      <sheetName val="GL PPH 21"/>
      <sheetName val="RENTAL SS"/>
      <sheetName val="GL TK LAIN2 KSS"/>
      <sheetName val="GL TK LAIN2 SCK"/>
      <sheetName val="BUA - PEGAWAI"/>
      <sheetName val="PT SA"/>
      <sheetName val="PT SCK"/>
      <sheetName val="TRAINING QAQC"/>
      <sheetName val="IPK ACADEMY"/>
      <sheetName val="Penambahan Karyawan"/>
      <sheetName val="HR+KARY (ORG)"/>
      <sheetName val="HR+KARY (RP)"/>
      <sheetName val="BUA - ADM"/>
      <sheetName val="BUA - UMUM"/>
      <sheetName val="RMH TANGGA"/>
      <sheetName val="BUA - DEPR"/>
      <sheetName val="DEPR SCK"/>
      <sheetName val="DEPR KSO"/>
      <sheetName val="OTH INC"/>
      <sheetName val="PUSAT ONDERDIL"/>
      <sheetName val="BMS"/>
      <sheetName val="OTH EXP"/>
      <sheetName val="GL BUNGA"/>
      <sheetName val="LEASING (2)"/>
      <sheetName val="SCHEDULE BUNGA"/>
      <sheetName val="Pinjaman Bank"/>
      <sheetName val="Pinjaman KMK"/>
      <sheetName val="CAPEX &amp; INVENTARIS"/>
      <sheetName val="DAFTAR CAMERA"/>
      <sheetName val="HT GPS"/>
      <sheetName val="CAPEX ESTATE"/>
      <sheetName val="AR COLL"/>
      <sheetName val="KETENTUAN CARA BAYAR"/>
      <sheetName val="PROYEKSI PENJ 2013 - 2014"/>
      <sheetName val="Cash in from Sales - KSO LV"/>
      <sheetName val="Cash in from Sales - KSO SS"/>
      <sheetName val="Cash in from Sales - SCK"/>
      <sheetName val="Infra Utama - Kawasan Springs"/>
      <sheetName val="PROJECT COST KSO LV"/>
      <sheetName val="Schedule Proyek KSO LV"/>
      <sheetName val="PROJECT COST KSO SS"/>
      <sheetName val="Schedule Proyek KSO SS"/>
      <sheetName val="PROJECT COST SCK"/>
      <sheetName val="Schedule Proyek SCK"/>
      <sheetName val="Schedule Springs Club &amp; SBP 1-2"/>
      <sheetName val="SBP 1"/>
      <sheetName val="SBP 2"/>
      <sheetName val="Infra Utama KSO SS"/>
      <sheetName val="KSO SS - PROFIT SHARING 2012"/>
      <sheetName val="KSO SS- PROFIT SHARING 2013"/>
      <sheetName val="CF SCK"/>
      <sheetName val="CF KSO SS + SCK"/>
      <sheetName val="CF KSO LV"/>
      <sheetName val="KSO LV - PROFIT SHARING 2012"/>
      <sheetName val="KSO LV - PROFIT SHARING 2013"/>
      <sheetName val="Consolpack June06"/>
      <sheetName val="temporary"/>
      <sheetName val="DIFF ON CONV"/>
      <sheetName val="SPART"/>
      <sheetName val="kursBI_MID"/>
      <sheetName val="kursBI"/>
      <sheetName val="purch S'part"/>
      <sheetName val="purch FFB"/>
      <sheetName val="Def-charge"/>
      <sheetName val="OVERHOUL-COST"/>
      <sheetName val="advance-asset"/>
      <sheetName val="Advance Property"/>
      <sheetName val="Detail_CIP"/>
      <sheetName val="All Expense July10 - May11"/>
      <sheetName val="ONP Parking"/>
      <sheetName val="OTH interest"/>
      <sheetName val="ONP space-rental"/>
      <sheetName val="TB_RSIB"/>
      <sheetName val="U-2-3 bunker"/>
      <sheetName val="J-1 docking"/>
      <sheetName val="Flow of FA"/>
      <sheetName val="Schedule leasing"/>
      <sheetName val="R-1 Perhit. def. tax"/>
      <sheetName val="Cut off Rev"/>
      <sheetName val="U-2-1 attach"/>
      <sheetName val="U-4-2 mgt fee"/>
      <sheetName val="U-2-2 sewa cont"/>
      <sheetName val="U-2-1 Sewa kapal"/>
      <sheetName val="Fafiskal01"/>
      <sheetName val="Fiscal for report"/>
      <sheetName val="Piutang &amp; hutang lain-lain"/>
      <sheetName val="CAJE'02"/>
      <sheetName val="PAJE'02"/>
      <sheetName val="PRJE'02"/>
      <sheetName val="bank - USD"/>
      <sheetName val="List piutang '01"/>
      <sheetName val="Hutang-piutang afiliasi"/>
      <sheetName val=" htg usaha'01"/>
      <sheetName val="CAJE Apr"/>
      <sheetName val="CRJE Apr"/>
      <sheetName val="PRJE Apr"/>
      <sheetName val="PAJE Apr"/>
      <sheetName val="PKF"/>
      <sheetName val="WS vS Detail"/>
      <sheetName val="TB New vS Detail"/>
      <sheetName val="WBS 1-GL"/>
      <sheetName val="WBS 1 (2)-TB"/>
      <sheetName val="WBS 2 -GL"/>
      <sheetName val="WBS 2 (1)-TB"/>
      <sheetName val="A_Cash In Bank"/>
      <sheetName val="A-1.1"/>
      <sheetName val="A-2.1"/>
      <sheetName val="B_Piutang"/>
      <sheetName val="D-2_PPn"/>
      <sheetName val="FA_Test"/>
      <sheetName val="Tanggal"/>
      <sheetName val="Renovasi"/>
      <sheetName val="LIST. MESIN"/>
      <sheetName val="MAST.PROD"/>
      <sheetName val="MANFCOST"/>
      <sheetName val="LIS. PAKAI"/>
      <sheetName val="PART &amp; MAINT."/>
      <sheetName val="tbl1"/>
      <sheetName val="DEP&amp;ASR"/>
      <sheetName val="STD. COST"/>
      <sheetName val="LIst Reklas BDD n UM (3)"/>
      <sheetName val="LIst Reklas BDD n UM (2)"/>
      <sheetName val="LIst Reklas BDD n UM"/>
      <sheetName val="Profil"/>
      <sheetName val="HIGKLIGHT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NATUNG PERMATA"/>
      <sheetName val="VINTAGE PERMATA"/>
      <sheetName val="ANABPKB"/>
      <sheetName val="BI"/>
      <sheetName val="Form1"/>
      <sheetName val="Form2"/>
      <sheetName val="Form3"/>
      <sheetName val="Form4"/>
      <sheetName val="Form5"/>
      <sheetName val="Form6"/>
      <sheetName val="1 Th"/>
      <sheetName val="CIT Audit"/>
      <sheetName val="KAT SALES (TAP)"/>
      <sheetName val="Purchase-xxx (USD)"/>
      <sheetName val="Purchase-xxx (IDR)"/>
      <sheetName val="Sources _ Uses"/>
      <sheetName val="Incom"/>
      <sheetName val="Opera"/>
      <sheetName val="Sourc"/>
      <sheetName val="REVENUE BPT "/>
      <sheetName val="REVENUE DKMK"/>
      <sheetName val="PL Konsolidasi Telkom"/>
      <sheetName val="BADDEBT &amp; DEPRESIASI"/>
      <sheetName val="BEBAN KARYAWAN"/>
      <sheetName val="OPERASI &amp; PEMELIHARAAN"/>
      <sheetName val="UMUM &amp; ADMINISTRASI"/>
      <sheetName val="BEBAN PEMASARAN"/>
      <sheetName val="Breakdown biaya"/>
      <sheetName val="komparasi 2007 VS 2008"/>
      <sheetName val="OPEX ADMIN"/>
      <sheetName val="TOTAL CE"/>
      <sheetName val="PRINTING COST - bpt"/>
      <sheetName val="DISTRIBUTION COST - bpt"/>
      <sheetName val="Printing Cost - DKMK"/>
      <sheetName val="Distribusi Cost - DKMK"/>
      <sheetName val="FA &amp; depresiasi"/>
      <sheetName val="DIP COGS SALES'08"/>
      <sheetName val="DIP COGS PUBLISHING'08"/>
      <sheetName val="Div. Penjualan"/>
      <sheetName val="SSM Barat"/>
      <sheetName val="Jkt Utara"/>
      <sheetName val="Jkt Barat"/>
      <sheetName val="Jkt Pussel"/>
      <sheetName val="Jkt Timur"/>
      <sheetName val="SSM Timur"/>
      <sheetName val="Sby Utara"/>
      <sheetName val="Sby Selatan"/>
      <sheetName val="Kalimantan"/>
      <sheetName val="Bali &amp; NT"/>
      <sheetName val="Supama"/>
      <sheetName val="Penagihan Jkt"/>
      <sheetName val="Penagihan Sby"/>
      <sheetName val="BEBAN KARYAWAN SUPPORT"/>
      <sheetName val="Dir Dty"/>
      <sheetName val="Div Perencanaan &amp; Pemasaran"/>
      <sheetName val="Pengembangan &amp; Perenc Prod"/>
      <sheetName val="Promosi &amp; CS"/>
      <sheetName val="Divisi Operasi"/>
      <sheetName val="Performansi Dty"/>
      <sheetName val="Produksi PIB Jkt"/>
      <sheetName val="Produksi PIB grafis Sby"/>
      <sheetName val="Produksi DKMK (rev 30 Oct'07)"/>
      <sheetName val="Y-1"/>
      <sheetName val="RKM"/>
      <sheetName val="RKM Dty"/>
      <sheetName val="RKM Multimedia"/>
      <sheetName val="RKM Konten"/>
      <sheetName val="FA pilar I (ziordplan-up)"/>
      <sheetName val="FA pilar II"/>
      <sheetName val="IO_CC (08)"/>
      <sheetName val="Perangkat"/>
      <sheetName val="Perangkat (2)"/>
      <sheetName val="Alokasi Biaya Awal=Audit"/>
      <sheetName val="Ekualisasi Biaya&gt;Combain"/>
      <sheetName val="Susust"/>
      <sheetName val="Ws Jul_2004"/>
      <sheetName val="B_1"/>
      <sheetName val="G-L FINAL"/>
      <sheetName val="G-L"/>
      <sheetName val="SPBU"/>
      <sheetName val="G-L (2)"/>
      <sheetName val="G-L (3)"/>
      <sheetName val="G-L (4)"/>
      <sheetName val="G-L (5)"/>
      <sheetName val="Catatan Sistem"/>
      <sheetName val="Mat Aktiva Tetap"/>
      <sheetName val="Mat Aktiva lain-lain"/>
      <sheetName val="AT-1"/>
      <sheetName val="AT-2 "/>
      <sheetName val="Ringkas Aktiva 2006_2007"/>
      <sheetName val="STOT AT &amp; A lainnya"/>
      <sheetName val="Detail Aktiva 2006_2007"/>
      <sheetName val="PROLOSS"/>
      <sheetName val="IT related"/>
      <sheetName val="Work Program"/>
      <sheetName val="N1 List of AP Trade"/>
      <sheetName val="N1.1 AP list"/>
      <sheetName val="N4 SUREL"/>
      <sheetName val="L-R RKAP 2009 GAB FL (2)"/>
      <sheetName val="L-R RKAP 2009 GAB FL"/>
      <sheetName val="L-R RKAP 2009"/>
      <sheetName val="GABEXP-2009 (2)"/>
      <sheetName val="EXP-2009 PGK"/>
      <sheetName val="EXP-2009 DJB"/>
      <sheetName val="EXP-2009 TNJ"/>
      <sheetName val="EXP-2009 BTJ"/>
      <sheetName val="EXP-2009 BDO"/>
      <sheetName val="EXP-2009 PDG"/>
      <sheetName val="EXP-2009 PKU"/>
      <sheetName val="EXP-2009 MES"/>
      <sheetName val="EXP-2009 PNK"/>
      <sheetName val="EXP-2009 SMB"/>
      <sheetName val="EXP 2009 HLP"/>
      <sheetName val="EXP-2009 BSH"/>
      <sheetName val="EXP-2009 KPST"/>
      <sheetName val="GABEXP-2009"/>
      <sheetName val="GABEXP-2009 ATS NON ATS"/>
      <sheetName val="GABEXP-2009 Antara"/>
      <sheetName val="Rat audit PLB realis"/>
      <sheetName val="KAS 12 bdr"/>
      <sheetName val="KAS PGK-08"/>
      <sheetName val="KAS DJB-08"/>
      <sheetName val="KASTNJ-08"/>
      <sheetName val="KASBTJ-08"/>
      <sheetName val="KASBDO-08"/>
      <sheetName val="KASPDG-08"/>
      <sheetName val="KASPKU-08"/>
      <sheetName val="KASMES-08"/>
      <sheetName val="KASPNK-08"/>
      <sheetName val="KASSMB-08"/>
      <sheetName val="KASHLP-08"/>
      <sheetName val="KASCGK-08"/>
      <sheetName val="KASKPST-08"/>
      <sheetName val="KASGAB-08 OK"/>
      <sheetName val="KASGAB-08 Inv"/>
      <sheetName val="L-R 12 BANDARA "/>
      <sheetName val="NERACA 0812 CABANG "/>
      <sheetName val="Rat 07 12 BANDARA"/>
      <sheetName val="REKAP BNDING"/>
      <sheetName val="REKAP (9000)"/>
      <sheetName val="REKAP (9200)"/>
      <sheetName val="NERC 11"/>
      <sheetName val="INV-PGK"/>
      <sheetName val="PROD- PGK 11"/>
      <sheetName val="EXP-PGK"/>
      <sheetName val="ALAT PROD PGK-11"/>
      <sheetName val="SDM PGK 12"/>
      <sheetName val="Surat (2)"/>
      <sheetName val="LAMP I-1"/>
      <sheetName val="LAMP I-2"/>
      <sheetName val="LAMP II"/>
      <sheetName val="Jml CF"/>
      <sheetName val="=&gt;ANGGARAN"/>
      <sheetName val="Kode Angg"/>
      <sheetName val="KODE ANGG KAS"/>
      <sheetName val="KONSEP LR"/>
      <sheetName val="lapkas"/>
      <sheetName val="lapekp"/>
      <sheetName val="BB kode ANGG"/>
      <sheetName val="lapnec"/>
      <sheetName val="MEMO KOREKSI"/>
      <sheetName val="jurgab ANGG"/>
      <sheetName val="kpi 1"/>
      <sheetName val="kpi 2"/>
      <sheetName val="bdtu"/>
      <sheetName val="dvtul"/>
      <sheetName val="dvtut"/>
      <sheetName val="dntubu"/>
      <sheetName val="dntupt"/>
      <sheetName val="dntutl"/>
      <sheetName val="Des I"/>
      <sheetName val="Buku Besar Tahunan"/>
      <sheetName val="RKA Prod"/>
      <sheetName val="RKA Eks"/>
      <sheetName val="Akuntansi"/>
      <sheetName val="Peng Biaya"/>
      <sheetName val="Eksploitasi"/>
      <sheetName val="Alat Produksi"/>
      <sheetName val="HARGA JALAN"/>
      <sheetName val="RAB &amp; Rekap Renov"/>
      <sheetName val="ANALISA Print"/>
      <sheetName val="Hitungan Ruang GM"/>
      <sheetName val="hitungan ADM"/>
      <sheetName val="Hitungan Kargo"/>
      <sheetName val="scedul"/>
      <sheetName val="Kuant dan Harga"/>
      <sheetName val="Anl Teknik"/>
      <sheetName val="Daftar Simak"/>
      <sheetName val="BL PERSONIL"/>
      <sheetName val="Schedule Rev_2"/>
      <sheetName val="BL NON PERSONIL"/>
      <sheetName val="Fas_Personil"/>
      <sheetName val="Prlt_Kerja"/>
      <sheetName val="B Operasi"/>
      <sheetName val="L_Mob Demob"/>
      <sheetName val="L_Koord_Teknis"/>
      <sheetName val="cuti"/>
      <sheetName val="Archchg"/>
      <sheetName val="MEPchg"/>
      <sheetName val="MESpec"/>
      <sheetName val="b1a"/>
      <sheetName val="b1b"/>
      <sheetName val="b1c"/>
      <sheetName val="bl1"/>
      <sheetName val="sp1"/>
      <sheetName val="pa1"/>
      <sheetName val="pw1"/>
      <sheetName val="sp2"/>
      <sheetName val="pa2"/>
      <sheetName val="pw2"/>
      <sheetName val="bp2"/>
      <sheetName val="b3a"/>
      <sheetName val="b3b"/>
      <sheetName val="b3c"/>
      <sheetName val="b3d"/>
      <sheetName val="b3e"/>
      <sheetName val="sp3"/>
      <sheetName val="cd3"/>
      <sheetName val="pa3"/>
      <sheetName val="pw3"/>
      <sheetName val="cf3"/>
      <sheetName val="b4a"/>
      <sheetName val="b4b"/>
      <sheetName val="b4c"/>
      <sheetName val="sp4"/>
      <sheetName val="pa4"/>
      <sheetName val="pw4"/>
      <sheetName val="cf4"/>
      <sheetName val="b5a"/>
      <sheetName val="b5b"/>
      <sheetName val="b5c"/>
      <sheetName val="b5d"/>
      <sheetName val="sp5"/>
      <sheetName val="pa5"/>
      <sheetName val="pw5"/>
      <sheetName val="cf5"/>
      <sheetName val="bt5"/>
      <sheetName val="fp5"/>
      <sheetName val="boh"/>
      <sheetName val="s3"/>
      <sheetName val="bf3"/>
      <sheetName val="s4"/>
      <sheetName val="bale"/>
      <sheetName val="towel"/>
      <sheetName val="pres-suite"/>
      <sheetName val="suite"/>
      <sheetName val="villa"/>
      <sheetName val="Lamp. 10 (2)"/>
      <sheetName val=" anal hrg sat"/>
      <sheetName val="Daft Hrg Sat Dsr"/>
      <sheetName val="Anal. alat"/>
      <sheetName val="lamp. 4,5,6,7,8"/>
      <sheetName val="DTR ISI"/>
      <sheetName val="anal lumpsump"/>
      <sheetName val=" hrg stn"/>
      <sheetName val="Anal. Bhn"/>
      <sheetName val="Daf.Mata.Pemb. Utama"/>
      <sheetName val="Analisa Hrg Ls u mobilisasi"/>
      <sheetName val="flow k3"/>
      <sheetName val="daftar brg lgs"/>
      <sheetName val="Prosedur Penagnanan K3"/>
      <sheetName val="ITP Material"/>
      <sheetName val="ITP Pekerjaan"/>
      <sheetName val="Daft WI"/>
      <sheetName val="daftar gambar"/>
      <sheetName val="qulified personil"/>
      <sheetName val="lingkup pekerjaan"/>
      <sheetName val="hub iso dg prosedure"/>
      <sheetName val="Prosedur Koordinasi BARU"/>
      <sheetName val="Prosedur Koordinasi"/>
      <sheetName val="Identifikasi Barang"/>
      <sheetName val="STR ORGANISASI"/>
      <sheetName val="SO K3"/>
      <sheetName val="pendahuluan"/>
      <sheetName val="Target Mutu"/>
      <sheetName val="ringkasan spek"/>
      <sheetName val="Identifikasi rek. celaka"/>
      <sheetName val="Pokok Perhatian K3"/>
      <sheetName val="Data Instansi Terkait"/>
      <sheetName val="Pek. Persiapan"/>
      <sheetName val="bhn rab"/>
      <sheetName val="subcon"/>
      <sheetName val="REKAP_STRUKTUR_ALL"/>
      <sheetName val="REKAP_STRUKTUR"/>
      <sheetName val="RAB_PENDAHULUAN"/>
      <sheetName val="RAB_REKTORAT (A.)"/>
      <sheetName val="RAB_MASJID (D)"/>
      <sheetName val="LR ONLY ATS"/>
      <sheetName val="EXP CORP COBA2"/>
      <sheetName val="EXP APS"/>
      <sheetName val="EXP PGK"/>
      <sheetName val="EXP DJB"/>
      <sheetName val="EXP RHF"/>
      <sheetName val="EXP SIM"/>
      <sheetName val="EXP BDO"/>
      <sheetName val="EXP PDG"/>
      <sheetName val="EXP PKU"/>
      <sheetName val="EXP MES"/>
      <sheetName val="EXP PNK"/>
      <sheetName val="EXP SMB"/>
      <sheetName val="EXP HLP"/>
      <sheetName val="EXP BSH"/>
      <sheetName val="EXP PST"/>
      <sheetName val="EXP CORP"/>
      <sheetName val="LR CORP"/>
      <sheetName val="EXP CORP + APS"/>
      <sheetName val="REKAPAN DGN IFRS INDUK"/>
      <sheetName val="REKAPAN DGN IFRS KONSOLIDASI"/>
      <sheetName val="LR CORP + APS"/>
      <sheetName val="LR PST"/>
      <sheetName val="LR BSH"/>
      <sheetName val="LR HLP"/>
      <sheetName val="LR SMB II"/>
      <sheetName val="LR PNK"/>
      <sheetName val="LR MES"/>
      <sheetName val="LR PKU"/>
      <sheetName val="LR PDG"/>
      <sheetName val="LR BDO"/>
      <sheetName val="LR SIM"/>
      <sheetName val="LR RHF"/>
      <sheetName val="LR DJB"/>
      <sheetName val="LR PGK"/>
      <sheetName val="LR APS"/>
      <sheetName val="LR CORP COB"/>
      <sheetName val="LR KONS COB"/>
      <sheetName val="LR TREND CORP"/>
      <sheetName val="SewAlat"/>
      <sheetName val="SchA"/>
      <sheetName val="SchB"/>
      <sheetName val="SchC"/>
      <sheetName val="SchD"/>
      <sheetName val="KandLok"/>
      <sheetName val="Schedul"/>
      <sheetName val="daftar personil inti"/>
      <sheetName val="struktur organisasi"/>
      <sheetName val="SCHEDULE MATERIAL"/>
      <sheetName val="labour sched"/>
      <sheetName val="surat  penawaran"/>
      <sheetName val="Basicprice"/>
      <sheetName val="Analisa Others"/>
      <sheetName val="Produk Alat"/>
      <sheetName val="Pontianak3"/>
      <sheetName val="PTK3-Compare"/>
      <sheetName val="Ulin-Bjm"/>
      <sheetName val="DRUP (ASLI)"/>
      <sheetName val="Analis"/>
      <sheetName val="H.bh"/>
      <sheetName val="OVH "/>
      <sheetName val="Pasir Koral"/>
      <sheetName val="OVH.Fab"/>
      <sheetName val="Anal. Pabrikasi"/>
      <sheetName val="Re 5"/>
      <sheetName val="Harga Mat "/>
      <sheetName val="IPA.5"/>
      <sheetName val="List.5"/>
      <sheetName val="Re 10"/>
      <sheetName val="List.10"/>
      <sheetName val="Re 20 "/>
      <sheetName val="Re Rev 20 "/>
      <sheetName val="20 Rev ssi gbr"/>
      <sheetName val="IPA.20"/>
      <sheetName val="List.20"/>
      <sheetName val="Re 30"/>
      <sheetName val="List.30"/>
      <sheetName val="Re 40"/>
      <sheetName val="Re 50"/>
      <sheetName val="Mobile Puslitbang"/>
      <sheetName val="Las"/>
      <sheetName val="Anal.Fbrks"/>
      <sheetName val="HSD Fbrks"/>
      <sheetName val="Ana MK BARU"/>
      <sheetName val="Ana MK"/>
      <sheetName val="Lt1"/>
      <sheetName val="Lt2"/>
      <sheetName val="Lt4"/>
      <sheetName val="Lt3"/>
      <sheetName val="Lt5"/>
      <sheetName val="Lt6"/>
      <sheetName val="Lt7"/>
      <sheetName val="Lt8"/>
      <sheetName val="HBlind"/>
      <sheetName val="REKAP MK"/>
      <sheetName val="h-013211-2"/>
      <sheetName val="작성기준"/>
      <sheetName val="RAB KONS"/>
      <sheetName val="HRG UP.BHN"/>
      <sheetName val="DIV. 3"/>
      <sheetName val="DIV.10"/>
      <sheetName val="Daftar stn qty "/>
      <sheetName val="REKAP BAHAN REALISASI"/>
      <sheetName val="REKAP BAHAN BOW"/>
      <sheetName val="Bahan upah"/>
      <sheetName val="analisaRAB"/>
      <sheetName val="PRELI_CAP"/>
      <sheetName val="BoQA"/>
      <sheetName val="APPEND4"/>
      <sheetName val="APPEND4a"/>
      <sheetName val="sublist"/>
      <sheetName val="onsite"/>
      <sheetName val="APPENDIX7"/>
      <sheetName val="bekisting"/>
      <sheetName val="Tenaga"/>
      <sheetName val="GNL"/>
      <sheetName val="An price"/>
      <sheetName val="Scp"/>
      <sheetName val="ubas"/>
      <sheetName val="Sum of BoQ"/>
      <sheetName val="Bill of Quantities"/>
      <sheetName val="UPA"/>
      <sheetName val="Daywork Rates"/>
      <sheetName val="17.Unit Price Analysis1"/>
      <sheetName val="18.Min Equipment"/>
      <sheetName val="20.Other Materials"/>
      <sheetName val="Renc. Pen Thd HPS"/>
      <sheetName val="Perhitungan Alat Mo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 Alat Inves &amp; Susut"/>
      <sheetName val="General schdl"/>
      <sheetName val="ANRAB1"/>
      <sheetName val="Analisa Crusher"/>
      <sheetName val="sub-kon"/>
      <sheetName val="U-P-A"/>
      <sheetName val="ANALYSIS_U.P"/>
      <sheetName val="An_Gen"/>
      <sheetName val="BASE CAMP"/>
      <sheetName val="An_Sb"/>
      <sheetName val="An_Ag"/>
      <sheetName val="An_Pc"/>
      <sheetName val="An_Cp"/>
      <sheetName val="An_Eq"/>
      <sheetName val="An_Eqn"/>
      <sheetName val="Cecklist"/>
      <sheetName val="BQ-RAB"/>
      <sheetName val="basa"/>
      <sheetName val="an stndr1"/>
      <sheetName val="an stndr2"/>
      <sheetName val="analisa manual"/>
      <sheetName val="C-flow"/>
      <sheetName val="Sec I ML"/>
      <sheetName val="LOKASI RIG Litbang"/>
      <sheetName val="Harga Jadi"/>
      <sheetName val="Analisa Pekerjaan"/>
      <sheetName val="Daywork "/>
      <sheetName val="Bahan Alat"/>
      <sheetName val="Sub Kontraktor"/>
      <sheetName val="CHECK (2)"/>
      <sheetName val="Boq(p'arsad)"/>
      <sheetName val="panduan"/>
      <sheetName val="Daftar Material Import"/>
      <sheetName val="Cover 3"/>
      <sheetName val="Cover 4"/>
      <sheetName val="Cover 5"/>
      <sheetName val="Cover 6"/>
      <sheetName val="Cover 7"/>
      <sheetName val="Cover 8"/>
      <sheetName val="Cover 9"/>
      <sheetName val="Cover 10"/>
      <sheetName val="Daf-12"/>
      <sheetName val="Cover 13"/>
      <sheetName val="Daf-13"/>
      <sheetName val="Cover 14"/>
      <sheetName val="Daf-14"/>
      <sheetName val="Cover 15"/>
      <sheetName val="DAF-15"/>
      <sheetName val="analisac"/>
      <sheetName val="An-List"/>
      <sheetName val="An-Pipa"/>
      <sheetName val="aspal"/>
      <sheetName val="RGaji"/>
      <sheetName val="Unit Price M"/>
      <sheetName val="Performance"/>
      <sheetName val="T.18"/>
      <sheetName val="action"/>
      <sheetName val="On Time"/>
      <sheetName val="Curup"/>
      <sheetName val="Prabu"/>
      <sheetName val="Telkomsel"/>
      <sheetName val="PESANTREN"/>
      <sheetName val="bq-kon"/>
      <sheetName val="Trans Mat"/>
      <sheetName val="Label"/>
      <sheetName val="Ap.4a"/>
      <sheetName val="Ap.4b"/>
      <sheetName val="Ap.5"/>
      <sheetName val="App.6"/>
      <sheetName val="Ap.7"/>
      <sheetName val="Sch.tba"/>
      <sheetName val="Div-1"/>
      <sheetName val="Div-2"/>
      <sheetName val="Div-3"/>
      <sheetName val="Div-4"/>
      <sheetName val="Div-5"/>
      <sheetName val="Div-6a"/>
      <sheetName val="Div-7a"/>
      <sheetName val="An-quarry"/>
      <sheetName val="Anal alt"/>
      <sheetName val="DIVISI-7b"/>
      <sheetName val="DIVISI-9"/>
      <sheetName val="DIVISI-3b"/>
      <sheetName val="Agg Base A"/>
      <sheetName val="Agg Base B"/>
      <sheetName val="Agg Base C"/>
      <sheetName val="DIVISI-2b"/>
      <sheetName val="DIVISI-6b"/>
      <sheetName val="DIVISI-6c"/>
      <sheetName val="DIVISI-6d"/>
      <sheetName val="Anal Agg Hls&amp;Ksr"/>
      <sheetName val="DIVISI-10"/>
      <sheetName val="RAB_PERPUSTAKAAN (E.)"/>
      <sheetName val="RAB_DEKANAT (G.)"/>
      <sheetName val="RAB_KELAS (F.1-4)"/>
      <sheetName val="RAB_POS JAGA (I)"/>
      <sheetName val="RAB_POS JAGA (J)"/>
      <sheetName val="RAB_RUANG M&amp;E (K&amp;L)"/>
      <sheetName val="AN.BETON P.JAGA"/>
      <sheetName val="DFT. HRG. UPAH &amp; MATERIAL"/>
      <sheetName val="ANALISIS BETON REKTORAT"/>
      <sheetName val="ANALISIS BETON DEKANAT"/>
      <sheetName val="ANLS_BETON_PERPUST."/>
      <sheetName val="ANLS_ BETON R. KELAS"/>
      <sheetName val="ANALISIS BETON MASJID."/>
      <sheetName val="ANLS_BETON R. M&amp;E"/>
      <sheetName val="ANALISA STR &amp; ARS.D"/>
      <sheetName val="An.Besi"/>
      <sheetName val="ANALISA-ARS-STR"/>
      <sheetName val="UNIT PRICE ANALISYS"/>
      <sheetName val="UNIT PRICE WAGE and MATERIAL"/>
      <sheetName val="3.1. ARCHITECTURE BUILDING"/>
      <sheetName val="ANLS.CONC.ARC. BUILD. (3.1.)"/>
      <sheetName val="3.3. CLASSROOM BUILDING"/>
      <sheetName val="ANLS.CONC.CLASSROOM BUILD.(3.3)"/>
      <sheetName val="3.2. CIVIL BUILDING"/>
      <sheetName val="SUMMARY COST STRUCTURE"/>
      <sheetName val="ANLS.CONC.CIVIL BUILD (3.2)"/>
      <sheetName val="3.4. BUILDING C.O.T."/>
      <sheetName val="ANL.CONC.C.O.T. BUILD (3.4)"/>
      <sheetName val="3.5. LIBRARY BUILDING"/>
      <sheetName val="ANLS.CONC.LIBRARY BUILD. (3.5)"/>
      <sheetName val="BORED FILLE"/>
      <sheetName val="Upah RAB"/>
      <sheetName val="BQ-ME"/>
      <sheetName val="TD"/>
      <sheetName val="TDG"/>
      <sheetName val="Rkp Prelim"/>
      <sheetName val="Rkp Strk"/>
      <sheetName val="Bsm 3"/>
      <sheetName val="Bsm_2"/>
      <sheetName val="Bsm_1"/>
      <sheetName val="lt_1"/>
      <sheetName val="lt_2"/>
      <sheetName val="lt_3"/>
      <sheetName val="lt_4"/>
      <sheetName val="lt_5"/>
      <sheetName val="lt_6"/>
      <sheetName val="lt_7"/>
      <sheetName val="lt_8"/>
      <sheetName val="lt_9"/>
      <sheetName val="lt_10"/>
      <sheetName val="lt_11"/>
      <sheetName val="lt_12"/>
      <sheetName val="lt_13"/>
      <sheetName val="lt_14"/>
      <sheetName val="lt_15"/>
      <sheetName val="lt_16"/>
      <sheetName val="lt r.mesin"/>
      <sheetName val="lt_atap"/>
      <sheetName val="Mark Up"/>
      <sheetName val="Sat Upah"/>
      <sheetName val="Sat Bahan"/>
      <sheetName val="Sat Alat"/>
      <sheetName val="bq bsm_1"/>
      <sheetName val="bq bsm_2"/>
      <sheetName val="bq bsm_3"/>
      <sheetName val="Harga Material"/>
      <sheetName val="Total Rekapitulasi"/>
      <sheetName val="Pek. Arsitektur"/>
      <sheetName val="Pek. Struktur"/>
      <sheetName val="Pek. ME"/>
      <sheetName val="Pek. Luar Bangunan"/>
      <sheetName val="Pek. Renovasi"/>
      <sheetName val="Pek. Relief"/>
      <sheetName val="An.Ars"/>
      <sheetName val="Material List"/>
      <sheetName val="An Pipa"/>
      <sheetName val="An Duct"/>
      <sheetName val="Bill.1.VAC-Supply-A"/>
      <sheetName val="Bill.2.VAC-Install-A"/>
      <sheetName val="Bill.3.VAC-Supply-B"/>
      <sheetName val="Bill.4.VAC-Install-B "/>
      <sheetName val="Bill.2.add.valve-Supply-A"/>
      <sheetName val="Bill.3.add.valve-Install-A"/>
      <sheetName val="Bill.4.add.valve-Supply-B"/>
      <sheetName val="Bill.5.add.valve-Install-B "/>
      <sheetName val="additional Supply"/>
      <sheetName val="additional Install"/>
      <sheetName val="sendiri"/>
      <sheetName val="Rekap Upah"/>
      <sheetName val="Statement Pengadaan Bahan"/>
      <sheetName val="Proses Pengaadaan Subkon"/>
      <sheetName val="Biaya Pegawai"/>
      <sheetName val="Sqce.Sahid"/>
      <sheetName val="Str org.sahid"/>
      <sheetName val="equip.Sahid.1"/>
      <sheetName val="equip.Sahid.2"/>
      <sheetName val="SPP.Sahid"/>
      <sheetName val="Unit Price Project"/>
      <sheetName val="sub-rekap"/>
      <sheetName val="lokasari-el"/>
      <sheetName val="lis material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Plumb"/>
      <sheetName val="Fire"/>
      <sheetName val="par"/>
      <sheetName val="Plumb (2)"/>
      <sheetName val="CH"/>
      <sheetName val="Ana. PU"/>
      <sheetName val="ANA Mob"/>
      <sheetName val="ANA Rutin"/>
      <sheetName val="Confirm"/>
      <sheetName val="DPU"/>
      <sheetName val="HSD"/>
      <sheetName val="Met-PU-2.2"/>
      <sheetName val="Met-PU-6.3 (5)"/>
      <sheetName val="Met-PU-6.3 (6)"/>
      <sheetName val="Met-PU-6.3 (7)"/>
      <sheetName val="Alamat (bersama)"/>
      <sheetName val="LP-1"/>
      <sheetName val="LP-2"/>
      <sheetName val="Met-PU-2.1"/>
      <sheetName val="Met-PU-3.1 (1)"/>
      <sheetName val="Met-PU-3.2 (1)"/>
      <sheetName val="Met-PU-4.2 (2)"/>
      <sheetName val="COVER VERSI-2"/>
      <sheetName val="COVER VERSI-1"/>
      <sheetName val="JUMLAH BIAYA"/>
      <sheetName val="TRJMH"/>
      <sheetName val="KURVA S R1"/>
      <sheetName val="LAP MINGGUAN"/>
      <sheetName val="MU (3)"/>
      <sheetName val="MU RAP"/>
      <sheetName val="MU sph"/>
      <sheetName val="Rekap Sparated"/>
      <sheetName val="Rekap Sebar"/>
      <sheetName val=" BU"/>
      <sheetName val="Prov &amp; Ass"/>
      <sheetName val="Cash Flow1"/>
      <sheetName val="Cash Flow2"/>
      <sheetName val="Deviasi"/>
      <sheetName val="Penyebaran"/>
      <sheetName val="Item CI"/>
      <sheetName val="Item KADII"/>
      <sheetName val="800 m"/>
      <sheetName val="Expantion Joint"/>
      <sheetName val="MU1"/>
      <sheetName val="BQ gab"/>
      <sheetName val="MEP"/>
      <sheetName val="(Alat)"/>
      <sheetName val="COVER BAB"/>
      <sheetName val="VOLUME (TDK DIPAKAI)"/>
      <sheetName val="DIV10"/>
      <sheetName val="QUARY (TDK DIPAKAI)"/>
      <sheetName val="ALAT1"/>
      <sheetName val="ALAT2 (TDK DIPAKAI)"/>
      <sheetName val="AGGREGAT"/>
      <sheetName val="Klas B0"/>
      <sheetName val="R.Tunai"/>
      <sheetName val="REKAP JULI R2"/>
      <sheetName val="JULI R2"/>
      <sheetName val="REKAP JULI R0"/>
      <sheetName val="29 JULI 2008"/>
      <sheetName val="PENGELUARAN"/>
      <sheetName val="29JULI 2008"/>
      <sheetName val="S-CURVE 1"/>
      <sheetName val="B.Umum"/>
      <sheetName val="B.Bahan"/>
      <sheetName val="B.Alat"/>
      <sheetName val="OE"/>
      <sheetName val="Org"/>
      <sheetName val="CFlow"/>
      <sheetName val="Sched Bahan"/>
      <sheetName val="bahan alat rap"/>
      <sheetName val="anal rap dasar"/>
      <sheetName val="MS INDUK"/>
      <sheetName val="MS KA I"/>
      <sheetName val="Break Down (1)"/>
      <sheetName val="Eskalasi (2)"/>
      <sheetName val="cost faktor"/>
      <sheetName val="BPS"/>
      <sheetName val="Cost Factor"/>
      <sheetName val="BPS (SKET)"/>
      <sheetName val="Rekap Volume Schedule"/>
      <sheetName val="Eskalasi Vol Schedule"/>
      <sheetName val="Rekap Aktual"/>
      <sheetName val="Rekap Volume Aktual"/>
      <sheetName val="Eskalasi Vol Aktual"/>
      <sheetName val="BPS ok"/>
      <sheetName val="BPS 2007"/>
      <sheetName val="Break Down Renc&amp;real2007"/>
      <sheetName val="Break Down 2007"/>
      <sheetName val="Break Down 2006-2007"/>
      <sheetName val="TRJMH (2)"/>
      <sheetName val="Rekap OK 2006-2007 Juni"/>
      <sheetName val="Sertifikat 2006-2007 Juni"/>
      <sheetName val="Eskalasi ok 2006-2007 Juni"/>
      <sheetName val="Eskalasi ok 2006-2007"/>
      <sheetName val="Rekap OK 2006-2007"/>
      <sheetName val="Break Down Baru 2007"/>
      <sheetName val="MS KA BOT baru"/>
      <sheetName val="Break Down2007"/>
      <sheetName val="Eskalasi 2006"/>
      <sheetName val="Break Down 2006"/>
      <sheetName val="Break Down Renc&amp;real 2006"/>
      <sheetName val="Break Down Baru"/>
      <sheetName val="Rekap OK (2)"/>
      <sheetName val="Rekap OK"/>
      <sheetName val="pendanaan"/>
      <sheetName val="Mobilisasi (3)"/>
      <sheetName val="TERJEMAHAN"/>
      <sheetName val="QCDS"/>
      <sheetName val="QCDS (2)"/>
      <sheetName val="Indirect Cost 3 bln"/>
      <sheetName val="harga dasar "/>
      <sheetName val="SUMMARI"/>
      <sheetName val="analisa harga "/>
      <sheetName val="KURVA&quot;S&quot;"/>
      <sheetName val="Met-PU-3.2 (2)"/>
      <sheetName val="Met-PU-5.1 (1)"/>
      <sheetName val="Met-PU-5.1 (2)"/>
      <sheetName val="Met-PU-7.10 (3)"/>
      <sheetName val="LP-3"/>
      <sheetName val="Daftar Upah"/>
      <sheetName val="Rekap Analisa"/>
      <sheetName val="analisa nuansa"/>
      <sheetName val="Tbh-Krg"/>
      <sheetName val="Rek_Total "/>
      <sheetName val="Penunjang"/>
      <sheetName val="rate asli"/>
      <sheetName val="material-upah"/>
      <sheetName val="Rek_Total-alt"/>
      <sheetName val="Str-alt"/>
      <sheetName val="BQ - Mushola"/>
      <sheetName val="Bahan _2_"/>
      <sheetName val="index _2_"/>
      <sheetName val="RAB GENDUT"/>
      <sheetName val="Harga UPAH"/>
      <sheetName val="Harga Material "/>
      <sheetName val="ADD Harga"/>
      <sheetName val="bi-pp"/>
      <sheetName val="Fin-Report (2)"/>
      <sheetName val="faktur"/>
      <sheetName val="Fin-Report"/>
      <sheetName val="Rincian Pek Tambahan"/>
      <sheetName val="Daftar Item Pekerjaan"/>
      <sheetName val="A-PERS"/>
      <sheetName val="A-STR"/>
      <sheetName val="A-FIN"/>
      <sheetName val="A-BAJA"/>
      <sheetName val="A-KUSEN"/>
      <sheetName val="A-SANITAIR"/>
      <sheetName val="Master AHS"/>
      <sheetName val="Rek RAB"/>
      <sheetName val="STRUtm"/>
      <sheetName val="STRPjg"/>
      <sheetName val="ARSUtM "/>
      <sheetName val="Tbh-01"/>
      <sheetName val="Tbh-2"/>
      <sheetName val="Marktng"/>
      <sheetName val="Ev-MU"/>
      <sheetName val="struktur(BQ)"/>
      <sheetName val="Arsitektur ( BQ )"/>
      <sheetName val="RekapBTL"/>
      <sheetName val="Rupa"/>
      <sheetName val="DaftSub"/>
      <sheetName val="Daftmat"/>
      <sheetName val="dash"/>
      <sheetName val="BILL OF QU-ARS"/>
      <sheetName val="BILL OF QU-STR"/>
      <sheetName val="RAP-STR"/>
      <sheetName val="RAP-ARS"/>
      <sheetName val="krifikasi gambar &amp; bq"/>
      <sheetName val="cover nO. 01"/>
      <sheetName val="Bill NO. 1"/>
      <sheetName val="Bill No.04.4 LT-DS (2)"/>
      <sheetName val="cover NO. 02"/>
      <sheetName val="Bill NO. 2 "/>
      <sheetName val="cover NO. 03"/>
      <sheetName val="Bill No. 03"/>
      <sheetName val="cover NO. 04"/>
      <sheetName val="Bill No. 04.1 BSM-3 "/>
      <sheetName val="Bill No.04.2 BSM-2"/>
      <sheetName val="Bill No.04.3 BSM-1"/>
      <sheetName val="Bill No.04.4 LT-DS"/>
      <sheetName val="Bill no 04.5 LT-2"/>
      <sheetName val="Bill no 04.6 LT-3"/>
      <sheetName val="Bill no 04.7 LT-4"/>
      <sheetName val="Bill no 04.8 LT-5"/>
      <sheetName val="Bill no 04.9 LT-6"/>
      <sheetName val="Bill no 4.10LT-7"/>
      <sheetName val="Bill no 4.11LT-8~9"/>
      <sheetName val="Bill no 4.12 LT10 ~15"/>
      <sheetName val="Bill no 4.13lt-16"/>
      <sheetName val="Bill no 4.14 lt-17"/>
      <sheetName val="Bill no 4.15 lt 18"/>
      <sheetName val="REKAP BILL NO 4"/>
      <sheetName val="cover NO. 05"/>
      <sheetName val="Bill No 5 Faqade"/>
      <sheetName val="cover NO. 06"/>
      <sheetName val="Bill No 6"/>
      <sheetName val="REKAP BILL NO 6"/>
      <sheetName val="cover Rekap"/>
      <sheetName val="LT&amp;Plafond"/>
      <sheetName val="ANKusen"/>
      <sheetName val="Sch-Kusen"/>
      <sheetName val="QTY-Kusen"/>
      <sheetName val="Pilecaps"/>
      <sheetName val="ANPrelim"/>
      <sheetName val="Lain-2"/>
      <sheetName val="BOQ KJ-D &amp; KJ-E"/>
      <sheetName val="PL SESUAI GBR"/>
      <sheetName val="VAC"/>
      <sheetName val="TLP "/>
      <sheetName val="FF OPTIMASI"/>
      <sheetName val="FF SESUAI GBR"/>
      <sheetName val="DAYA LISTRIK"/>
      <sheetName val="HSB.interior"/>
      <sheetName val="Interior rsud"/>
      <sheetName val="alat medis"/>
      <sheetName val="REKAP RSUD TOTAL"/>
      <sheetName val="Home"/>
      <sheetName val="Analisa -Baku"/>
      <sheetName val="An-tampil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DAFTAR HARGA MATERIAL PU"/>
      <sheetName val="HARGA SATUAN UPAH PEKERJA"/>
      <sheetName val="ANALISA HARGA TERPASANG"/>
      <sheetName val="FORM ANALISA"/>
      <sheetName val="FORM ANALISA DDG"/>
      <sheetName val="ANALISA VOLUME Lantai"/>
      <sheetName val="ANALISA VOLUME Plafond"/>
      <sheetName val="Man Power-Rev-lam"/>
      <sheetName val="BU-rev-lam"/>
      <sheetName val="kon-final"/>
      <sheetName val="prs"/>
      <sheetName val="ars-vol"/>
      <sheetName val="FH-UNPADSTR2"/>
      <sheetName val="FH-UNPADSTR"/>
      <sheetName val="anl-rc"/>
      <sheetName val="An. Beton"/>
      <sheetName val="FH-konven"/>
      <sheetName val="anl-prelim"/>
      <sheetName val="Cover.1"/>
      <sheetName val="Cover-2"/>
      <sheetName val="Cover-3"/>
      <sheetName val="Cover-4"/>
      <sheetName val="Cover5"/>
      <sheetName val="Cover-6"/>
      <sheetName val="RC-ANL"/>
      <sheetName val="PROPOSAL"/>
      <sheetName val="SUB K"/>
      <sheetName val="STUGAS"/>
      <sheetName val="PROCESSPLAN"/>
      <sheetName val="TELUSUR"/>
      <sheetName val="HSBHN"/>
      <sheetName val="BQ-T-K"/>
      <sheetName val="Telp.Bsmnt"/>
      <sheetName val="Matv.Bsmnt"/>
      <sheetName val="TTS.Bsmnt"/>
      <sheetName val="FA.Bsmnt"/>
      <sheetName val="CCTV.Bsmnt"/>
      <sheetName val="Intcm.Bsmnt"/>
      <sheetName val="Accs.Bsmnt"/>
      <sheetName val="Telp.twr.A"/>
      <sheetName val="Matv.twr.A"/>
      <sheetName val="TTS.twr.A"/>
      <sheetName val="FA.twr.A"/>
      <sheetName val="CCTV.twr.A"/>
      <sheetName val="Intcm.twr.A"/>
      <sheetName val="Accs.twr.A"/>
      <sheetName val="Telp.twr.B"/>
      <sheetName val="Matv.twr.B"/>
      <sheetName val="TTS.twr.B"/>
      <sheetName val="FA.twr.B"/>
      <sheetName val="CCTV.twr.B"/>
      <sheetName val="Intcm.twr.B"/>
      <sheetName val="Accs.twr.B"/>
      <sheetName val="RKP (2)"/>
      <sheetName val="Cover 12.1"/>
      <sheetName val="Cover 12.2"/>
      <sheetName val="Cover 12.3"/>
      <sheetName val="Cover 12.4"/>
      <sheetName val="Cover 13.1 "/>
      <sheetName val="Cover 13.2 "/>
      <sheetName val="Cat Harga"/>
      <sheetName val="Daf 2"/>
      <sheetName val="Daf 3"/>
      <sheetName val="Daf 4"/>
      <sheetName val="KLA"/>
      <sheetName val="LAMP-AO"/>
      <sheetName val="LAM-C"/>
      <sheetName val="LAM-A&amp;B"/>
      <sheetName val="DAF-16"/>
      <sheetName val="PENDAHULUAN (ME)"/>
      <sheetName val="HYD KT"/>
      <sheetName val="SPR KT"/>
      <sheetName val="PL KT"/>
      <sheetName val="valve "/>
      <sheetName val="Fitt"/>
      <sheetName val="CP-2"/>
      <sheetName val="M.E."/>
      <sheetName val="analisa el"/>
      <sheetName val="analisa mek"/>
      <sheetName val="MASTER SCADULLE "/>
      <sheetName val="NSC( KOORDINASI)"/>
      <sheetName val="D4.1"/>
      <sheetName val="D5.1"/>
      <sheetName val="D6.1"/>
      <sheetName val="D7.1"/>
      <sheetName val="D4-2(TA) "/>
      <sheetName val="D5-2(TB)"/>
      <sheetName val="D6-2(TC)"/>
      <sheetName val="D7-2(TD)"/>
      <sheetName val="provisionalsum"/>
      <sheetName val="cover ps"/>
      <sheetName val="cover prelim"/>
      <sheetName val="cover basement"/>
      <sheetName val="cover basement2.2"/>
      <sheetName val="cover Lantai 1,2,3,4&amp;5"/>
      <sheetName val="cover Area TA"/>
      <sheetName val="cover Area TA (2)"/>
      <sheetName val="rabt-bl"/>
      <sheetName val="hrgbhn-mtharyono"/>
      <sheetName val="spec arst"/>
      <sheetName val="spbadhw-roman"/>
      <sheetName val="Matrik BQ "/>
      <sheetName val="Matrik BQ-Original"/>
      <sheetName val="Analisa hrg sat"/>
      <sheetName val="Eva-Pntu Jendela"/>
      <sheetName val="Eva-Steel Door"/>
      <sheetName val="Eva-Pintu kayu"/>
      <sheetName val="Condotel"/>
      <sheetName val="F0"/>
      <sheetName val="SC"/>
      <sheetName val="Upah_Bahan"/>
      <sheetName val="UMM2"/>
      <sheetName val="BASC"/>
      <sheetName val="HSPK DINAS"/>
      <sheetName val="HRG ALT PU"/>
      <sheetName val="ANLS PU "/>
      <sheetName val="DIVI1"/>
      <sheetName val="DIVI2"/>
      <sheetName val="DIVI3"/>
      <sheetName val="DIVI4"/>
      <sheetName val="DIVI5"/>
      <sheetName val="DIVI6"/>
      <sheetName val="DIVI7"/>
      <sheetName val="DIVI8"/>
      <sheetName val="DIVI9"/>
      <sheetName val="DIVI10"/>
      <sheetName val="AGG"/>
      <sheetName val="shearwall GA PAKE"/>
      <sheetName val="T-Ngga GA PAKE"/>
      <sheetName val="P-late GA PAKE"/>
      <sheetName val="K-lom GA PAKE"/>
      <sheetName val="B-lox GA PAKE"/>
      <sheetName val="Sloop GA PAKE"/>
      <sheetName val="PC GA PAKE"/>
      <sheetName val="PC"/>
      <sheetName val="Sloop"/>
      <sheetName val="B-lox"/>
      <sheetName val="K-lom"/>
      <sheetName val="P-late"/>
      <sheetName val="T-Ngga"/>
      <sheetName val="shearwall"/>
      <sheetName val="UPAH RIIL OK"/>
      <sheetName val="Material ALAM OK"/>
      <sheetName val="Material NON ALAM OK"/>
      <sheetName val="Analis Kusen ga pake"/>
      <sheetName val="Analis Kusen RIIL LANGSUNG 58%"/>
      <sheetName val="AnalisaSIPIL RIIL RAP"/>
      <sheetName val="REKAP BAHAN &amp; UPAH RIIL "/>
      <sheetName val="REKAP ALL !!!"/>
      <sheetName val="RKP IRNA"/>
      <sheetName val="RANGKUMAN REKAYASA"/>
      <sheetName val="Rab STR. IRNA.01"/>
      <sheetName val="Rab Arc IRNA.01"/>
      <sheetName val="Rab me IRNA.01"/>
      <sheetName val="Rab PLB IRNA.01"/>
      <sheetName val="Rab STR. IRNA.02"/>
      <sheetName val="Rab Arc IRNA.02"/>
      <sheetName val="Rab me IRNA.02"/>
      <sheetName val="Rab PLB IRNA.02"/>
      <sheetName val="Rab STR. IRNA.03 ga pake"/>
      <sheetName val="Rab Arc IRNA.03 ga pake"/>
      <sheetName val="Rab me IRNA.03 ga pake"/>
      <sheetName val="Rab PLB IRNA.03 ga pake"/>
      <sheetName val="Rab STR. ENTRANCE IRNA"/>
      <sheetName val="Rab Arc Entrance"/>
      <sheetName val="RAB. STR. MRI ga pake"/>
      <sheetName val="Rab Arc MRI ga pake"/>
      <sheetName val="Rab me MRI ga pake"/>
      <sheetName val="RAB MRI PLB ga pake"/>
      <sheetName val="RAB R. Jenazah ga pake"/>
      <sheetName val="RAB Doorloop"/>
      <sheetName val="RAB Inst. Genzet ga pake"/>
      <sheetName val="RAB INST. GAS.01 ga pake"/>
      <sheetName val="RAB INST. GAS.02 ga pake"/>
      <sheetName val="RAB INST. GAS.03 ga pake"/>
      <sheetName val="RAB sumur bor-NON STD ga pake"/>
      <sheetName val="RAB HIDRANT ga pake"/>
      <sheetName val="RAB Lancape"/>
      <sheetName val="RAB Atap Parkir ga pake"/>
      <sheetName val="RAB me Kawasan"/>
      <sheetName val="RAB Plumbing KSW"/>
      <sheetName val="RAB INST. GAS"/>
      <sheetName val="RAB IPAL"/>
      <sheetName val="REKAP TOTAAL"/>
      <sheetName val="RANGKUMAN PERUBAHAN"/>
      <sheetName val="FORM 1 TOTAL 100%"/>
      <sheetName val="FORM 1 TOTAL 65 % "/>
      <sheetName val="FORM 1 TOTAL 35 %"/>
      <sheetName val="Analis Kusen Kosongan"/>
      <sheetName val="Form Back up STR K.UTM"/>
      <sheetName val="Form Back up ARS K.UTM"/>
      <sheetName val="BU_PLB_KANTOR &amp;R. TUNGGU"/>
      <sheetName val="BU_STR_R.TGG KBRNGKTN _ANGDES"/>
      <sheetName val="Harsat Bahan"/>
      <sheetName val="Harsat Upah"/>
      <sheetName val="Mark-up"/>
      <sheetName val="Bill of Qty MEP"/>
      <sheetName val="Analisa Upah &amp; Bahan Plum"/>
      <sheetName val="Daf Harga"/>
      <sheetName val="An_ Harga"/>
      <sheetName val="DPK-ANT"/>
      <sheetName val="PULAU"/>
      <sheetName val="ANSTRUK-1"/>
      <sheetName val="ANSTRUK-2"/>
      <sheetName val="platpracetak"/>
      <sheetName val="sal"/>
      <sheetName val="HS-2"/>
      <sheetName val="UM32"/>
      <sheetName val="Real(1)"/>
      <sheetName val="RKAP 2012 Per Sep R0"/>
      <sheetName val="RKAP 220"/>
      <sheetName val="Prog Per Maret"/>
      <sheetName val="Prog Per Juni"/>
      <sheetName val="Proy Per Sep"/>
      <sheetName val="RKAP 2013"/>
      <sheetName val="Proy Optimis"/>
      <sheetName val="Real(3)"/>
      <sheetName val="Real(4)"/>
      <sheetName val="Rek Renc Sisa"/>
      <sheetName val="Kont&gt;50"/>
      <sheetName val="Prog Per Sep"/>
      <sheetName val="Prog&gt;&lt;Prog"/>
      <sheetName val="LRSep"/>
      <sheetName val="LR2013"/>
      <sheetName val="Growth"/>
      <sheetName val="Renc Bul 2012"/>
      <sheetName val="Renc sd Bul 2012"/>
      <sheetName val="Rek CF Dir 1 Rev"/>
      <sheetName val="Rek CF Dir 2 Rev"/>
      <sheetName val="Rek CF Dir 3 Rev"/>
      <sheetName val="DK1"/>
      <sheetName val="DK2"/>
      <sheetName val="DK3"/>
      <sheetName val="DK4"/>
      <sheetName val="DK5"/>
      <sheetName val="DK6"/>
      <sheetName val="EPC"/>
      <sheetName val="INTL"/>
      <sheetName val="Rek CF Dir 1 Asli"/>
      <sheetName val="Rek CF Dir 2 Asli"/>
      <sheetName val="Rek CF Dir 3 Asli"/>
      <sheetName val="CF Dir 1"/>
      <sheetName val="CF Dir 2"/>
      <sheetName val="CF Dir 3"/>
      <sheetName val="Data Prod"/>
      <sheetName val="Pers umum"/>
      <sheetName val="JP+JU"/>
      <sheetName val="BBU"/>
      <sheetName val="AT Short by Purchase"/>
      <sheetName val="AT Per Short by Location"/>
      <sheetName val="Lamp Biaya HGU"/>
      <sheetName val="Lamp Aktiva Lain-lain"/>
      <sheetName val="Hutang Kontraktor"/>
      <sheetName val="Kewajiban dan Ekuitas"/>
      <sheetName val="Cat Neraca"/>
      <sheetName val="Cat Laba Rugi"/>
      <sheetName val="Hpp TBS Kebun inti"/>
      <sheetName val="BBU+JP"/>
      <sheetName val="spm jan"/>
      <sheetName val="apr05"/>
      <sheetName val="mei05 ok"/>
      <sheetName val="juni05 ok"/>
      <sheetName val="jul05 ok"/>
      <sheetName val="aug05 ok"/>
      <sheetName val="sept 05 dd"/>
      <sheetName val="okt s"/>
      <sheetName val="nop s"/>
      <sheetName val="summ (2)"/>
      <sheetName val="dec f"/>
      <sheetName val="dec rev2"/>
      <sheetName val="not yet 04"/>
      <sheetName val="not yet"/>
      <sheetName val="nonpcs"/>
      <sheetName val="G.1.1 Adv. Sup&amp;Con"/>
      <sheetName val="G.1.2 Adv. Travel"/>
      <sheetName val="G.1.3 Adv. Other"/>
      <sheetName val="G.2.1 Prepaid Insurance"/>
      <sheetName val="G.2.1.1 Prep. Ins.-Factory B&amp;P"/>
      <sheetName val="G.2.1.2 Prep. Ins.-Vehicle B&amp;P"/>
      <sheetName val="G.2.1.3 Prep. Ins. Premix"/>
      <sheetName val="G.2.2 Prepaid Rent"/>
      <sheetName val="G.2.2.1 SUP"/>
      <sheetName val="G.2.2.2 EBS"/>
      <sheetName val="G.2.2.3 DWS"/>
      <sheetName val="G.2.3 Prep Sal.&amp;Emp.Benefit"/>
      <sheetName val="G.2.3.1.1 Prep. THR B&amp;P"/>
      <sheetName val="G.2.3.1.2 Prep. UPT B&amp;P"/>
      <sheetName val="G.2.3.2.1 Prep.THR Premix"/>
      <sheetName val="G.2.3.2.2 Prep. UPT Premix"/>
      <sheetName val="G.2.4.1 Prep. Others B&amp;P"/>
      <sheetName val="G.2.4.1.1 Prep. SAP B&amp;P"/>
      <sheetName val="G.2.4.2.1 Prep.SAP Premix"/>
      <sheetName val="G.2.4.2.2 Prep. Overhaul Premix"/>
      <sheetName val="G.3.1 Rekap PPN B&amp;P"/>
      <sheetName val="G.3.1.1 Rekon PPN B&amp;P"/>
      <sheetName val="G.3.1.2 Rekon Sales B&amp;P"/>
      <sheetName val="G.3.2 Rekap PPN Premix"/>
      <sheetName val="G.3.2.1 Rekon PPN In Premix"/>
      <sheetName val="G.3.2.2 Rekon PPN Out Premix"/>
      <sheetName val="G.3.3 Rekap PPh 22"/>
      <sheetName val="Profit_loss"/>
      <sheetName val="Balance_sheet"/>
      <sheetName val="statistic excl.dsu"/>
      <sheetName val="Statistics"/>
      <sheetName val="Trade Analysis"/>
      <sheetName val="Perf Rep"/>
      <sheetName val="exchange_rate"/>
      <sheetName val="wc excl.dsu"/>
      <sheetName val="working capital"/>
      <sheetName val="SUM_IN"/>
      <sheetName val="I-Lead"/>
      <sheetName val="I Memo"/>
      <sheetName val="I.5"/>
      <sheetName val="I.5.1"/>
      <sheetName val="I.6"/>
      <sheetName val="I.6.1"/>
      <sheetName val="I.7 ICA Conf"/>
      <sheetName val="I.7.1 ICAC (in)"/>
      <sheetName val="I.7.2 ICAS (in)"/>
      <sheetName val="I.7.3 ICAB (in)"/>
      <sheetName val="I.7.4 ICAX (in)"/>
      <sheetName val="I.7.5 ICRJ (in)"/>
      <sheetName val="I.7.6 Total (in)"/>
      <sheetName val="I.8"/>
      <sheetName val="I.9"/>
      <sheetName val="I.9.1"/>
      <sheetName val="Setup Data"/>
      <sheetName val="CALCULATION SHEET"/>
      <sheetName val="PROV RETIREMENT"/>
      <sheetName val="DRILTECH SALARY HISTORY"/>
      <sheetName val="New COA Grouping"/>
      <sheetName val="Budget 2006 V01.4"/>
      <sheetName val="DETAIL Off Serv-6040254"/>
      <sheetName val="DETAIL ATM-6040108"/>
      <sheetName val="DETAIL ATM-6040134"/>
      <sheetName val="DETAIL HW-6040131"/>
      <sheetName val="DETAIL SW-6040131"/>
      <sheetName val="Danamon est."/>
      <sheetName val="Adira est."/>
      <sheetName val="section1"/>
      <sheetName val="Div Discount Model"/>
      <sheetName val="section2"/>
      <sheetName val="Pres"/>
      <sheetName val="Non-Int exp"/>
      <sheetName val="Other P&amp;L"/>
      <sheetName val="section3"/>
      <sheetName val="Deposits"/>
      <sheetName val="Residual Allocation Assumptions"/>
      <sheetName val="Reserve Requirements"/>
      <sheetName val="Other BS"/>
      <sheetName val="Section4"/>
      <sheetName val="ADIRA Forecasts"/>
      <sheetName val="Key Ratios"/>
      <sheetName val="Danamon Quarterly Detail"/>
      <sheetName val="Danamon Quarterly Summary"/>
      <sheetName val="ADIRA Quarterly"/>
      <sheetName val="House Rental"/>
      <sheetName val="Software &amp; Hardware Maintenance"/>
      <sheetName val="Professional Service"/>
      <sheetName val="ATM Location Rental"/>
      <sheetName val="Communication"/>
      <sheetName val="Office &amp; Building Rental"/>
      <sheetName val="_ContractInput"/>
      <sheetName val="_CCName"/>
      <sheetName val="ANnexControl"/>
      <sheetName val="H-1-A"/>
      <sheetName val="H-1-B"/>
      <sheetName val="H-5"/>
      <sheetName val="H-6"/>
      <sheetName val="H-7"/>
      <sheetName val="H-8"/>
      <sheetName val="H-9"/>
      <sheetName val="H-10"/>
      <sheetName val="H-11"/>
      <sheetName val="H-12"/>
      <sheetName val="H-13"/>
      <sheetName val="H-14"/>
      <sheetName val="H-15"/>
      <sheetName val="H-16"/>
      <sheetName val="H-17"/>
      <sheetName val="H-18"/>
      <sheetName val="H-19"/>
      <sheetName val="H-20"/>
      <sheetName val="H-21"/>
      <sheetName val="H-22"/>
      <sheetName val="H-23"/>
      <sheetName val="H-24"/>
      <sheetName val="H-25"/>
      <sheetName val="H-26"/>
      <sheetName val="H-27"/>
      <sheetName val="New"/>
      <sheetName val="New (2)"/>
      <sheetName val="New2"/>
      <sheetName val="Index-A"/>
      <sheetName val="A-13"/>
      <sheetName val="A-14"/>
      <sheetName val="A-15"/>
      <sheetName val="A-16"/>
      <sheetName val="A-17-I"/>
      <sheetName val="A-17-II"/>
      <sheetName val="A-18"/>
      <sheetName val="A-19"/>
      <sheetName val="A-20"/>
      <sheetName val="A-21"/>
      <sheetName val="A-23"/>
      <sheetName val="A-24"/>
      <sheetName val="A-25"/>
      <sheetName val="A-26"/>
      <sheetName val="A-27"/>
      <sheetName val="A-28"/>
      <sheetName val="A-29"/>
      <sheetName val="A-30 "/>
      <sheetName val="A-31"/>
      <sheetName val="A-32"/>
      <sheetName val="A-33"/>
      <sheetName val="A-34"/>
      <sheetName val="A-35"/>
      <sheetName val="A-36"/>
      <sheetName val="A-37"/>
      <sheetName val="A-38"/>
      <sheetName val="A-39"/>
      <sheetName val="A-40"/>
      <sheetName val="A-41"/>
      <sheetName val="A-42"/>
      <sheetName val="A-43"/>
      <sheetName val="A-44"/>
      <sheetName val="A-45"/>
      <sheetName val="A-46"/>
      <sheetName val="A-47"/>
      <sheetName val="A-48-Deleted"/>
      <sheetName val="A-49"/>
      <sheetName val="A-50"/>
      <sheetName val="A-51"/>
      <sheetName val="Appendix 1"/>
      <sheetName val="Appendix 2"/>
      <sheetName val="Appendix 3"/>
      <sheetName val="Index-B"/>
      <sheetName val="Index-C"/>
      <sheetName val="C-6"/>
      <sheetName val="C-7"/>
      <sheetName val="Index-D-J"/>
      <sheetName val="G-7"/>
      <sheetName val="G-8"/>
      <sheetName val="G-9"/>
      <sheetName val="G-10"/>
      <sheetName val="G-11"/>
      <sheetName val="G-12"/>
      <sheetName val="G-13"/>
      <sheetName val="G-14"/>
      <sheetName val="G-15"/>
      <sheetName val="G-16"/>
      <sheetName val="G-17"/>
      <sheetName val="G-18"/>
      <sheetName val="G-19"/>
      <sheetName val="G-20"/>
      <sheetName val="H-8 "/>
      <sheetName val="H-16 "/>
      <sheetName val=" I-2"/>
      <sheetName val="I-3"/>
      <sheetName val="I-4"/>
      <sheetName val="I-5"/>
      <sheetName val="I-6"/>
      <sheetName val="I-7"/>
      <sheetName val="J-4 "/>
      <sheetName val="J-9"/>
      <sheetName val="J-10"/>
      <sheetName val="J-11"/>
      <sheetName val=" J-12"/>
      <sheetName val="L-14"/>
      <sheetName val="L-15"/>
      <sheetName val="L-16"/>
      <sheetName val="L-17"/>
      <sheetName val="L-18"/>
      <sheetName val="M-5"/>
      <sheetName val=" M-7"/>
      <sheetName val="M-16"/>
      <sheetName val="M-17"/>
      <sheetName val="M-18"/>
      <sheetName val="M-19"/>
      <sheetName val="M-20"/>
      <sheetName val="M-21"/>
      <sheetName val="N-5"/>
      <sheetName val="N-7 - I"/>
      <sheetName val="N-7 - II"/>
      <sheetName val="N-8"/>
      <sheetName val="N-9"/>
      <sheetName val="O-7"/>
      <sheetName val="O-8"/>
      <sheetName val="O-9"/>
      <sheetName val="Old Code"/>
      <sheetName val="M-22"/>
      <sheetName val="M-23"/>
      <sheetName val="M-24"/>
      <sheetName val="M-25"/>
      <sheetName val="M-26"/>
      <sheetName val="P-4"/>
      <sheetName val="M-6-Deleted"/>
      <sheetName val="PAGE-3 A"/>
      <sheetName val="Q-4"/>
      <sheetName val="D-5"/>
      <sheetName val="D-6"/>
      <sheetName val="E-5 Del"/>
      <sheetName val="Deposits---&gt;"/>
      <sheetName val="D-7"/>
      <sheetName val="D-8"/>
      <sheetName val="D-9"/>
      <sheetName val="D-10"/>
      <sheetName val="D-11"/>
      <sheetName val="D-12"/>
      <sheetName val="D-13"/>
      <sheetName val="Zakat---&gt;"/>
      <sheetName val="cash---&gt;"/>
      <sheetName val="Efficiency---&gt;"/>
      <sheetName val="E-9"/>
      <sheetName val="E-10"/>
      <sheetName val="E-11"/>
      <sheetName val="E-11(2)"/>
      <sheetName val="E-12"/>
      <sheetName val="witholding tax---&gt;"/>
      <sheetName val="IBR---&gt;"/>
      <sheetName val="Commission---&gt;"/>
      <sheetName val="B-11"/>
      <sheetName val="Queries"/>
      <sheetName val="sl balance"/>
      <sheetName val="OVS. RW. TB. DEC-07"/>
      <sheetName val="sl check FC"/>
      <sheetName val="gl check FC "/>
      <sheetName val="gl check PKR"/>
      <sheetName val="sl check PKR"/>
      <sheetName val="Month End"/>
      <sheetName val="Currency Rates"/>
      <sheetName val="FORM 1A"/>
      <sheetName val="FORM 1 7"/>
      <sheetName val="FORM 2"/>
      <sheetName val="FORM 3"/>
      <sheetName val="Govt. Advances"/>
      <sheetName val="DIFFERENCES SUMMARY"/>
      <sheetName val="FORM 4"/>
      <sheetName val="Advances-Cash Margin"/>
      <sheetName val="Advances-Deposits under lien"/>
      <sheetName val="Advances-Govt-Securities"/>
      <sheetName val="Advances-Res-Comm-Propertie KP"/>
      <sheetName val="FORM 5"/>
      <sheetName val="FORM 7"/>
      <sheetName val="FORM 8"/>
      <sheetName val="FORM 9"/>
      <sheetName val="FORM 10"/>
      <sheetName val="FORM 11"/>
      <sheetName val="FORM 12"/>
      <sheetName val="regionwise gov.parties -deposit"/>
      <sheetName val="depost govt. parites"/>
      <sheetName val="FORM 13"/>
      <sheetName val="FORM 14 TOTAL "/>
      <sheetName val="FORM 14A USD"/>
      <sheetName val="FORM 14B EURO"/>
      <sheetName val="FORM 14C GBP"/>
      <sheetName val="FORM 14D YEN"/>
      <sheetName val="FORM 14E ALL OTHER"/>
      <sheetName val="FORM 16 "/>
      <sheetName val="FORM 15 06-07"/>
      <sheetName val="FORM 18"/>
      <sheetName val="Advances"/>
      <sheetName val="Investments &amp; others "/>
      <sheetName val="FORM 1 9"/>
      <sheetName val="FORM 20"/>
      <sheetName val="FORM 21"/>
      <sheetName val="FORM 22"/>
      <sheetName val="FORM 23"/>
      <sheetName val="FORM 24"/>
      <sheetName val="FORM 25"/>
      <sheetName val="Form 26"/>
      <sheetName val="From 27"/>
      <sheetName val="FORM 18 (revised)"/>
      <sheetName val="Output 1 (299 AE)"/>
      <sheetName val="Output 1 (299 BH)"/>
      <sheetName val="Output 1 (299 YN)"/>
      <sheetName val="Output 1 (299 QT)"/>
      <sheetName val="Output 1 (299 NY)"/>
      <sheetName val="Output 1 (299 EZ)"/>
      <sheetName val="Output 1 (299 AO)"/>
      <sheetName val="A-53"/>
      <sheetName val="A-88"/>
      <sheetName val="N7"/>
      <sheetName val="Def. Tax "/>
      <sheetName val="Inc-JUNE 06"/>
      <sheetName val="Exp June 06"/>
      <sheetName val="p&amp;l-FINAL"/>
      <sheetName val="ASSETS JUNE 06"/>
      <sheetName val="Assets 2005"/>
      <sheetName val="ADJUST"/>
      <sheetName val="Liabiliteis 2005"/>
      <sheetName val="laibi-June 06"/>
      <sheetName val="YOUSUF ADIL ADJUST"/>
      <sheetName val="Defeered Working (2)"/>
      <sheetName val="Tax "/>
      <sheetName val="Cash flow working"/>
      <sheetName val="Equity fin"/>
      <sheetName val="Note 1-4"/>
      <sheetName val="Note5-7"/>
      <sheetName val="Note8-8.1"/>
      <sheetName val="Note 8.2"/>
      <sheetName val="Notes 9-9.3.1"/>
      <sheetName val="9.4-11.1"/>
      <sheetName val="Note12.3-14.1"/>
      <sheetName val="Note15-17"/>
      <sheetName val="Note 18-18.7"/>
      <sheetName val="Notes19-22"/>
      <sheetName val="Notes23-26"/>
      <sheetName val="note 27"/>
      <sheetName val="Cashflow working final"/>
      <sheetName val="Note 9.6-9.9 (2)"/>
      <sheetName val="Note 9.7-9.10"/>
      <sheetName val="Note 12 "/>
      <sheetName val="Notes33-34"/>
      <sheetName val="Notes35-36"/>
      <sheetName val="Notes37"/>
      <sheetName val="Notes38-42.1 (3)"/>
      <sheetName val="note 39"/>
      <sheetName val="currency expo - June 2006"/>
      <sheetName val="Fin Summary"/>
      <sheetName val="Currency-expo (2)"/>
      <sheetName val="Currency-expo"/>
      <sheetName val="Balance Sheet (2)"/>
      <sheetName val="Profit&amp;Loss-Rev"/>
      <sheetName val="form 11 revised"/>
      <sheetName val="TOTAL NPLs"/>
      <sheetName val="NPL, II"/>
      <sheetName val="Part-A"/>
      <sheetName val="Part-B"/>
      <sheetName val="Part-C"/>
      <sheetName val="Part-D"/>
      <sheetName val="Part - D1(a)"/>
      <sheetName val="Part - D 1 (B)"/>
      <sheetName val="Part D - 2"/>
      <sheetName val="Part D-3 (2)"/>
      <sheetName val="part D-4"/>
      <sheetName val="working"/>
      <sheetName val="Annex A"/>
      <sheetName val="Annex B"/>
      <sheetName val="annex b1"/>
      <sheetName val="Annex c"/>
      <sheetName val="Annex d"/>
      <sheetName val="Part - D1(B) tbu"/>
      <sheetName val="CASH LC"/>
      <sheetName val="INLAND LC"/>
      <sheetName val="CREDIT DA"/>
      <sheetName val="AIDS LOANS"/>
      <sheetName val="Annex-1"/>
      <sheetName val="annex a1"/>
      <sheetName val="CON - FINCON"/>
      <sheetName val="Int Yield- Dom- FIN"/>
      <sheetName val="Int Yield -OS"/>
      <sheetName val="DOM IY - TRY"/>
      <sheetName val="Deposits - TRY"/>
      <sheetName val="OFF Bal -TRY"/>
      <sheetName val="Maturity Investments"/>
      <sheetName val="Maturity of sub debt -FINCON"/>
      <sheetName val="Other Assets- Fin con  "/>
      <sheetName val="Other Liabilities -FINCON"/>
      <sheetName val="Rate Input"/>
      <sheetName val="FRA001"/>
      <sheetName val="customer sheet"/>
      <sheetName val="A-17"/>
      <sheetName val="A-29 "/>
      <sheetName val="A-30"/>
      <sheetName val="A-48"/>
      <sheetName val="B-16a"/>
      <sheetName val="balances"/>
      <sheetName val="A-28 "/>
      <sheetName val="A-52"/>
      <sheetName val="A-54"/>
      <sheetName val="A-55"/>
      <sheetName val="A-56"/>
      <sheetName val="A-57"/>
      <sheetName val="A-58"/>
      <sheetName val="A-59"/>
      <sheetName val="A-60"/>
      <sheetName val="A-61"/>
      <sheetName val="A-62"/>
      <sheetName val="A-63"/>
      <sheetName val="A-64"/>
      <sheetName val="Cont with SBP"/>
      <sheetName val="EXP-FBPS"/>
      <sheetName val="I-B"/>
      <sheetName val="I-BR"/>
      <sheetName val="15 Feb 2007"/>
      <sheetName val="Outstanding items"/>
      <sheetName val="SUD "/>
      <sheetName val="ICR"/>
      <sheetName val="a. Cash on hand and in banks"/>
      <sheetName val="b. Accounts receivable"/>
      <sheetName val="c. Other Receivable"/>
      <sheetName val="d. Inventories"/>
      <sheetName val="e. Advance,Prep taxes &amp;Prep Exp"/>
      <sheetName val="A.R Related Parties"/>
      <sheetName val="f. Plasma receivables"/>
      <sheetName val="g. Plantation Assets"/>
      <sheetName val="h. Fixed Assets"/>
      <sheetName val="i. Investment"/>
      <sheetName val="j. Def charges for landrigh"/>
      <sheetName val="k. Other assets"/>
      <sheetName val="Deferred tax asset"/>
      <sheetName val="l. AP trade"/>
      <sheetName val="m. Sales Advance"/>
      <sheetName val="m. Taxes payable"/>
      <sheetName val="n. Accrued expense"/>
      <sheetName val="o. Bank Loan"/>
      <sheetName val="p. Deferred tax liabilities"/>
      <sheetName val="q. Pension Fund"/>
      <sheetName val="r. Sales"/>
      <sheetName val="s. COGS"/>
      <sheetName val="t. Opex"/>
      <sheetName val="u. Other Exp ( income)"/>
      <sheetName val="v. Interest Income"/>
      <sheetName val="w.  Interest &amp; Finance charges"/>
      <sheetName val="i. Def charges for landrigh"/>
      <sheetName val="k. AP trade"/>
      <sheetName val="l. Sales Advance"/>
      <sheetName val="c. Inventories"/>
      <sheetName val="d. Advance,Prep taxes &amp;Prep Exp"/>
      <sheetName val="e. A.R Related Parties"/>
      <sheetName val="j. AP trade"/>
      <sheetName val="k. Sales Advance"/>
      <sheetName val="l. Taxes payable"/>
      <sheetName val="m. Accrued expense"/>
      <sheetName val="n. Bank Loan"/>
      <sheetName val="o. Deferred tax liabilities"/>
      <sheetName val="p. Pension Fund"/>
      <sheetName val="q. Sales"/>
      <sheetName val="r. COGS"/>
      <sheetName val="s. Opex"/>
      <sheetName val="t. Other Exp ( income)"/>
      <sheetName val="u. Interest Income"/>
      <sheetName val="v.  Interest &amp; Finance charges"/>
      <sheetName val="P&amp;L CL"/>
      <sheetName val="Notes &amp; KPIs"/>
      <sheetName val="ASSET TYPE"/>
      <sheetName val="Mvmt. Tables &amp; Notes Attr."/>
      <sheetName val="BS PL Other Attr."/>
      <sheetName val="FUNCTIONS Corporate"/>
      <sheetName val="CALC. KPIs"/>
      <sheetName val="UNITS OF MEASURE"/>
      <sheetName val="ADJ. TYPES"/>
      <sheetName val="FUNCTIONS Corp. Division"/>
      <sheetName val="ALT-HIER A&amp;O"/>
      <sheetName val="RESTRUCTURING INTEGRATION"/>
      <sheetName val="Proposal for notes accounts"/>
      <sheetName val="cc-129-0399"/>
      <sheetName val="PLHALF1X_05_2002"/>
      <sheetName val="summary-final"/>
      <sheetName val="MAX9-P&amp;L"/>
      <sheetName val="summ-est ($)"/>
      <sheetName val="8Mar02"/>
      <sheetName val="pre-flash"/>
      <sheetName val="YEE"/>
      <sheetName val="Mapping Selling"/>
      <sheetName val="prefluc"/>
      <sheetName val="RE07"/>
      <sheetName val="PRODUCTION COST"/>
      <sheetName val="mutasi HPP oct"/>
      <sheetName val="maping"/>
      <sheetName val="S&amp;M"/>
      <sheetName val="Cash flow supp"/>
      <sheetName val="BS Dec"/>
      <sheetName val="Apr2"/>
      <sheetName val="May2"/>
      <sheetName val="Jun2"/>
      <sheetName val="Jul2"/>
      <sheetName val="Aug2"/>
      <sheetName val="Sep2"/>
      <sheetName val="Data Entry"/>
      <sheetName val="Summary of Claim"/>
      <sheetName val="MPAGC"/>
      <sheetName val="Anuitet"/>
      <sheetName val="CALCULATOR"/>
      <sheetName val="Advis Debet"/>
      <sheetName val="Adv.Dbt.BG.Terbit"/>
      <sheetName val="Advis Kredit"/>
      <sheetName val="Adv.Dbt.BG.Terbit (2)"/>
      <sheetName val="Advis Kredit "/>
      <sheetName val="Advis Kredit  (3)"/>
      <sheetName val="Advis Kredit  (2)"/>
      <sheetName val="Nota Intern"/>
      <sheetName val="Nota Intern (2)"/>
      <sheetName val="Nota Intern (3)"/>
      <sheetName val="Nota Intern (4)"/>
      <sheetName val="Advis Kredit B"/>
      <sheetName val="Advis Kredit (2)"/>
      <sheetName val="KonfDebt"/>
      <sheetName val="Konf.Kredit"/>
      <sheetName val="GB-Terbit-Set-Jam"/>
      <sheetName val="Buku-Tambahan"/>
      <sheetName val="Anuitet Mr. Arfani"/>
      <sheetName val="Konfdb"/>
      <sheetName val="Advis Debet (2)"/>
      <sheetName val="Data BG&amp;BGVA Utk. LBU"/>
      <sheetName val="Anuitet Angsuran"/>
      <sheetName val="Anuitet Maks. Kredit"/>
      <sheetName val="TB PT.MOELADI"/>
      <sheetName val="PT. Sparindo Utama"/>
      <sheetName val="Bng. PT. ABB"/>
      <sheetName val="Bng. PT. SOT"/>
      <sheetName val="Bng. PT. Panca Meta"/>
      <sheetName val="Bng. PT. Smart Corp."/>
      <sheetName val="Bng. PT. Smart Corp. (2)"/>
      <sheetName val="Bng. PT. Unitra Adhijaya"/>
      <sheetName val="Bng. PT. Ramacraft"/>
      <sheetName val="Bng. PT. Baramulti SS"/>
      <sheetName val="Bng. Primkopti"/>
      <sheetName val="Bng. PT. Kertas K A "/>
      <sheetName val="KUK-KPR"/>
      <sheetName val="Bng. Staco 3 Berlian"/>
      <sheetName val="HUB BDN THAMRIN"/>
      <sheetName val="Data Prod &amp; Ekspor"/>
      <sheetName val="Vix Far Feb"/>
      <sheetName val="Febb"/>
      <sheetName val="Mret"/>
      <sheetName val="Aprill"/>
      <sheetName val="Meii"/>
      <sheetName val="Junii"/>
      <sheetName val="Prss"/>
      <sheetName val="reore&amp;feni"/>
      <sheetName val="Antar"/>
      <sheetName val="FRN"/>
      <sheetName val="R.2_Actuaries Calc"/>
      <sheetName val="Penjelasan Pos Neraca"/>
      <sheetName val="EXP02SEL"/>
      <sheetName val="EXP01"/>
      <sheetName val="EXP02PRO-DL"/>
      <sheetName val="EXP03PRO-DL"/>
      <sheetName val="EXP02PRO-FOH"/>
      <sheetName val="EXP03PRO-FOH"/>
      <sheetName val="EXP03SEL"/>
      <sheetName val="EXP02ADM"/>
      <sheetName val="EXP03ADM"/>
      <sheetName val="STC Master"/>
      <sheetName val="Updates"/>
      <sheetName val="Opco"/>
      <sheetName val="J_ Penyesuaian"/>
      <sheetName val="Saldo menurun_SIP"/>
      <sheetName val="Biaya Telp"/>
      <sheetName val="Jurnal SIP"/>
      <sheetName val="Kredit Pajak PPh25"/>
      <sheetName val="Kredit Pajak PPh 23"/>
      <sheetName val="Rekon Penjualan"/>
      <sheetName val="Comp_demand"/>
      <sheetName val="QAF-Rest"/>
      <sheetName val="QAF-Guide pipe"/>
      <sheetName val="QAF-Guide Head"/>
      <sheetName val="QAF-Dist Trio"/>
      <sheetName val="QAF-Dist Dual"/>
      <sheetName val="DEA'96"/>
      <sheetName val="Investment Proposal Procedure"/>
      <sheetName val="Basic Info"/>
      <sheetName val="Sales &amp; Direct Expense"/>
      <sheetName val="Financials (A)"/>
      <sheetName val="Amortization Table (A)"/>
      <sheetName val="Financials-Compare A vs B"/>
      <sheetName val="Amortization Table (B)"/>
      <sheetName val="Financials-Compare A vs B (PN)"/>
      <sheetName val="Amortization Table"/>
      <sheetName val="Amortization Table (2)"/>
      <sheetName val="Basic Info (2)"/>
      <sheetName val="Sales &amp; Direct Expense (2)"/>
      <sheetName val="Leasing Calculator"/>
      <sheetName val="Revised Budget 2003 Pkg"/>
      <sheetName val="Ball Tap Valve Seat"/>
      <sheetName val="Ball Tap Body"/>
      <sheetName val="Approval Sheet"/>
      <sheetName val="75 mil"/>
      <sheetName val="85 mil"/>
      <sheetName val="95 mil"/>
      <sheetName val="105 mil"/>
      <sheetName val="TSH Hand Shower"/>
      <sheetName val="Capacity"/>
      <sheetName val="Injection"/>
      <sheetName val="QAF-Hand Shower"/>
      <sheetName val="Import Freight"/>
      <sheetName val="Hand Shower (Inj)"/>
      <sheetName val="Hand Shower (Chrome)"/>
      <sheetName val="MC Rate"/>
      <sheetName val="Area Layout 1"/>
      <sheetName val="Drawing 3 (2)"/>
      <sheetName val="Cost Drawing3 "/>
      <sheetName val="WT_MO"/>
      <sheetName val="Quotation"/>
      <sheetName val="DataInput1"/>
      <sheetName val="Frontend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  <sheetName val="ต้นฉบับ"/>
      <sheetName val="สำเนา1"/>
      <sheetName val="ใหม่"/>
      <sheetName val="AR settle"/>
      <sheetName val="182100"/>
      <sheetName val="pay 19bis"/>
      <sheetName val="Ex.rate"/>
      <sheetName val="Chk AP"/>
      <sheetName val="Total Data 0110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WIP_0107"/>
      <sheetName val="LJ"/>
      <sheetName val="CFT"/>
      <sheetName val="PU-LKL"/>
      <sheetName val="PU-LK"/>
      <sheetName val="PU-LP"/>
      <sheetName val="SED"/>
      <sheetName val="PB-DD"/>
      <sheetName val="PY"/>
      <sheetName val="WB"/>
      <sheetName val="UU"/>
      <sheetName val="UMJ"/>
      <sheetName val="PENYESUAIAN SO.AWAL"/>
      <sheetName val="LR AWAL"/>
      <sheetName val="PR AWAL"/>
      <sheetName val="bdrl_usg"/>
      <sheetName val="PDEX"/>
      <sheetName val="C.01 PNB USD"/>
      <sheetName val="C.02 PNB Peso"/>
      <sheetName val="C.03 BPI USD"/>
      <sheetName val="C.04 BPI Peso"/>
      <sheetName val="C.05 Cash-Other"/>
      <sheetName val="E.01 Misc Rec Others"/>
      <sheetName val="G.01 Other Current Assets"/>
      <sheetName val="G.02 Current Def Costs "/>
      <sheetName val="G.03 Input VAT"/>
      <sheetName val="K.03 FA Clearing"/>
      <sheetName val="K.04 Artwork"/>
      <sheetName val="K.05 F&amp;F"/>
      <sheetName val="K.06 LHI"/>
      <sheetName val="K.07 Transportation Equipment"/>
      <sheetName val="K.01 Rollforward"/>
      <sheetName val=" K.02 TOR"/>
      <sheetName val="K.08 Computer Equipment"/>
      <sheetName val="K.09 Communications Equipment"/>
      <sheetName val="K.10 Technical Equipment"/>
      <sheetName val="K.11 Building"/>
      <sheetName val="K.11.001 Building supported"/>
      <sheetName val="K.12 Land"/>
      <sheetName val="N.01 AP-Suppliers"/>
      <sheetName val="N.02 Misc AP Other"/>
      <sheetName val="N.03 Withholdng Tax"/>
      <sheetName val="N.04 Accrued Office Expense "/>
      <sheetName val="N.05 Special Payment"/>
      <sheetName val="N.06 Allotment"/>
      <sheetName val="N.07 SSS"/>
      <sheetName val="N.08 Philhealth"/>
      <sheetName val="N.09 Union Dues"/>
      <sheetName val="N.10 Pag-ibig"/>
      <sheetName val="N.11 Provident Fund"/>
      <sheetName val="N.12 Search for Unrecorded Liab"/>
      <sheetName val="UA.01"/>
      <sheetName val="VA.01 Salaries"/>
      <sheetName val="VA.01.001 Salaries"/>
      <sheetName val="VA.02 Bonus"/>
      <sheetName val="VA.03 Fringe Benefits Others"/>
      <sheetName val="VA.03.001 EY Random"/>
      <sheetName val="VA.04 SSS-Others"/>
      <sheetName val="VA.05 Travel-Others"/>
      <sheetName val="UB.01 Misc Int Exp96400001"/>
      <sheetName val="UB.02 Miscellaneous Inc-Other"/>
      <sheetName val="UB.03 Interest Income-Other"/>
      <sheetName val="TB 2007"/>
      <sheetName val="C - Cash"/>
      <sheetName val="I .01- OSG Intl."/>
      <sheetName val="I.02 - OSG UK"/>
      <sheetName val="I.03 - OSG NNA"/>
      <sheetName val="J.01"/>
      <sheetName val="J.02"/>
      <sheetName val="K.01 - F&amp;F"/>
      <sheetName val="K.02 - Transpo"/>
      <sheetName val="K.03 - Computer"/>
      <sheetName val="K.04 Land"/>
      <sheetName val="K.05 Building"/>
      <sheetName val="N.01 Accrued Office"/>
      <sheetName val="N.02 Accrued Wages"/>
      <sheetName val="O.01"/>
      <sheetName val="O.01a"/>
      <sheetName val="O.01b"/>
      <sheetName val="VA.01"/>
      <sheetName val="VA.02"/>
      <sheetName val="VA.03"/>
      <sheetName val="VA.04"/>
      <sheetName val="VD.01 "/>
      <sheetName val="VD.02"/>
      <sheetName val="VD.03"/>
      <sheetName val="VD.04"/>
      <sheetName val="VD.05"/>
      <sheetName val="VD.06"/>
      <sheetName val="VD.07"/>
      <sheetName val="VD.08"/>
      <sheetName val="VD.09"/>
      <sheetName val="Input Tax support 2007"/>
      <sheetName val="VD.10"/>
      <sheetName val="VD.11"/>
      <sheetName val="VD.12"/>
      <sheetName val="VD.13"/>
      <sheetName val="VD.14"/>
      <sheetName val="VD.15"/>
      <sheetName val="VD.16"/>
      <sheetName val="VD.17"/>
      <sheetName val="VD.18"/>
      <sheetName val="VD.19"/>
      <sheetName val="VD.20"/>
      <sheetName val="VD.21"/>
      <sheetName val="VD.22"/>
      <sheetName val="VD.23"/>
      <sheetName val="VD.24"/>
      <sheetName val="VD.25"/>
      <sheetName val="VD.26"/>
      <sheetName val="VD.27"/>
      <sheetName val="VD.28 Retirement"/>
      <sheetName val="UB.01"/>
      <sheetName val="UB.02"/>
      <sheetName val="UB.04"/>
      <sheetName val="O.03 Deferred Tax"/>
      <sheetName val="A4.1 BS"/>
      <sheetName val="A8"/>
      <sheetName val="O.02 ITR"/>
      <sheetName val="A4.3 CFSupport"/>
      <sheetName val="A4.3.1"/>
      <sheetName val="A4.3aa"/>
      <sheetName val="A4.3.1.001 (2007)"/>
      <sheetName val="O.04 Unrecorded 2007 VAT"/>
      <sheetName val="PSC Amortization"/>
      <sheetName val="Restatements"/>
      <sheetName val="VD.21 Retirement Rollforward"/>
      <sheetName val="Retirement Rollforward NNA"/>
      <sheetName val="CF_issa"/>
      <sheetName val="CFSupport_issa"/>
      <sheetName val="A4.3 CF-for I"/>
      <sheetName val="VD.22 Retirement Rollforward"/>
      <sheetName val="Movement in RE beginning FS"/>
      <sheetName val="Trial Balance Co640 OSG Manila"/>
      <sheetName val="cashflow-for I"/>
      <sheetName val="N.12 Purchases Cut-Off"/>
      <sheetName val="A4.3.2 (2007)"/>
      <sheetName val="O.01Tax Computation"/>
      <sheetName val="VD.12 Computer Exp Software"/>
      <sheetName val="VA.04.001 EY Random SSS-Others"/>
      <sheetName val="VD.09 Taxes Others"/>
      <sheetName val="G.03 Input VAT "/>
      <sheetName val="VD.19 Rent Other"/>
      <sheetName val="VD.18.001 EY Random"/>
      <sheetName val="VD.18 Miscellaneous - Coffee"/>
      <sheetName val="VD.17.002 EY Random Comm"/>
      <sheetName val="VD.17.001 TOR Communication"/>
      <sheetName val="VD.17 Communication"/>
      <sheetName val="VD.16 Security Expense"/>
      <sheetName val="VD.15 Gifts &amp; Gratuities"/>
      <sheetName val="VD.14 Insurance"/>
      <sheetName val="VD.13 FB Special &amp; Sp Events"/>
      <sheetName val="VD.12 Misc Office Exp Gen&amp;Other"/>
      <sheetName val="VD.11 Charitable"/>
      <sheetName val="VD.10 Maintenance &amp; Cleaning"/>
      <sheetName val="VD.08 Entertainment "/>
      <sheetName val="VD.07 D&amp;S Dues"/>
      <sheetName val="VD.06 Office Supplies"/>
      <sheetName val="VD.05.001 EY Random"/>
      <sheetName val="VD.05 Utilities"/>
      <sheetName val="VD.04 Consultant Fees"/>
      <sheetName val="VD.03 Acctg Fees"/>
      <sheetName val="VD.02 Training"/>
      <sheetName val="VD.01 Legal Fees"/>
      <sheetName val="U1.1 Sales Analysis"/>
      <sheetName val="U1.2.1 Sales per Cust. B&amp;P"/>
      <sheetName val="U1.2.2 Sales per Cust. Premix"/>
      <sheetName val="U1.3.1 TO B&amp;P"/>
      <sheetName val="U1.3.2 TO Premix"/>
      <sheetName val="U1.4.1 Budget Analysis B&amp;P"/>
      <sheetName val="U1.4.2 Budget Analysis Premix"/>
      <sheetName val="Sheet11 (2)"/>
      <sheetName val="dBase (3)"/>
      <sheetName val="REK PPh 21"/>
      <sheetName val="REK PPh 23"/>
      <sheetName val="REK PPh 23 Final"/>
      <sheetName val="REK PPh 22"/>
      <sheetName val="REK PPN IN"/>
      <sheetName val="REK PPN OUT"/>
      <sheetName val="VC_4"/>
      <sheetName val="A Grade Hiten - Local"/>
      <sheetName val="G_3_2_1 Rekon PPN In Premix"/>
      <sheetName val="Jan_07"/>
      <sheetName val="GP per order OK"/>
      <sheetName val="Production_OK"/>
      <sheetName val="AR_OK"/>
      <sheetName val="Loans_OK"/>
      <sheetName val="test 2"/>
      <sheetName val="Data 1-15"/>
      <sheetName val="dBase (2)"/>
      <sheetName val="U2.4 GM Analysis"/>
      <sheetName val="Cost STR20 "/>
      <sheetName val="SK"/>
      <sheetName val="Plastic June"/>
      <sheetName val="Rubber June"/>
      <sheetName val="Summarize"/>
      <sheetName val="RSS9801"/>
      <sheetName val="D_Vol"/>
      <sheetName val="A_01"/>
      <sheetName val="A_02"/>
      <sheetName val="A_03"/>
      <sheetName val="A_04"/>
      <sheetName val="A_05"/>
      <sheetName val="A_06"/>
      <sheetName val="LTX"/>
      <sheetName val="PRSSC2"/>
      <sheetName val="Repair&amp;Maint-PRSSC2"/>
      <sheetName val="4.2 Productivity-PRSSC2"/>
      <sheetName val="Man-Power"/>
      <sheetName val="organize"/>
      <sheetName val="Detail_FA"/>
      <sheetName val="Read This!!"/>
      <sheetName val="9C.1"/>
      <sheetName val="9C.2"/>
      <sheetName val="9C.3"/>
      <sheetName val="9C.4"/>
      <sheetName val="9C.5"/>
      <sheetName val="9C.6"/>
      <sheetName val="9C.7"/>
      <sheetName val="9C.8"/>
      <sheetName val="9C.9"/>
      <sheetName val="9C.10"/>
      <sheetName val="9C.11"/>
      <sheetName val="9A4"/>
      <sheetName val="9M-Lead"/>
      <sheetName val="ID40 12-DEC05"/>
      <sheetName val="Compare COA"/>
      <sheetName val="9AJE"/>
      <sheetName val="9E1-Lead"/>
      <sheetName val="9E1.1"/>
      <sheetName val="9E1.2"/>
      <sheetName val="9E2-Lead"/>
      <sheetName val="9E2.2"/>
      <sheetName val="9F.3"/>
      <sheetName val="9F.4"/>
      <sheetName val="9F4.1"/>
      <sheetName val="9F.5"/>
      <sheetName val="9F.6"/>
      <sheetName val="9F.7"/>
      <sheetName val="9H.1"/>
      <sheetName val="9H.2"/>
      <sheetName val="9K.2"/>
      <sheetName val="9M.1"/>
      <sheetName val="9N1-Lead"/>
      <sheetName val="9N1.1"/>
      <sheetName val="9N2-Lead"/>
      <sheetName val="9N2.1"/>
      <sheetName val="9N2.1.1"/>
      <sheetName val="9N2.1.2"/>
      <sheetName val="9T-Lead"/>
      <sheetName val="9U2.1.1"/>
      <sheetName val="9U2.1.2"/>
      <sheetName val="9U2.2"/>
      <sheetName val="001 (2)"/>
      <sheetName val="9U3-Lead"/>
      <sheetName val="9U3.1"/>
      <sheetName val="9U5-Lead"/>
      <sheetName val="9U5.1"/>
      <sheetName val="9M Lead"/>
      <sheetName val="9MM1"/>
      <sheetName val="9MM2"/>
      <sheetName val="9M.2"/>
      <sheetName val="9M.3"/>
      <sheetName val="9M.4"/>
      <sheetName val="9M.5"/>
      <sheetName val="9M.6"/>
      <sheetName val="9M.7"/>
      <sheetName val="9M.8"/>
      <sheetName val="9M.9"/>
      <sheetName val="9M.10"/>
      <sheetName val="9M.11"/>
      <sheetName val="9MM"/>
      <sheetName val="PSP - G"/>
      <sheetName val="G.1 Lead"/>
      <sheetName val="G.1.2 Art.22"/>
      <sheetName val="G.1.3 Art. 25 "/>
      <sheetName val="G.1.4 Fiskal"/>
      <sheetName val="G.1.5 Prepaid Expense"/>
      <sheetName val="PPN 2005"/>
      <sheetName val="PPN 2004"/>
      <sheetName val="Recon Request 2004"/>
      <sheetName val="P1 Other accrued expense"/>
      <sheetName val="P2 Other accrued S&amp;M"/>
      <sheetName val="24000095 &amp; 24000098"/>
      <sheetName val="DODO"/>
      <sheetName val="Frenki"/>
      <sheetName val="Rizky"/>
      <sheetName val="F.8.1 Details B&amp;P"/>
      <sheetName val="F.8.2 Details Premix"/>
      <sheetName val="F_8_2 Details Premix"/>
      <sheetName val="SALES JAN07"/>
      <sheetName val="SALES FEB07"/>
      <sheetName val="SALES MAR07"/>
      <sheetName val="SALES APR07"/>
      <sheetName val="SALES MEI07"/>
      <sheetName val="SALES JUN07"/>
      <sheetName val="P3.5"/>
      <sheetName val="INPUT 2012"/>
      <sheetName val="INPUT PPH"/>
      <sheetName val="OFF 2012"/>
      <sheetName val="MARIA MBI"/>
      <sheetName val="DANA MBI"/>
      <sheetName val="Rekap Ke P'Yama"/>
      <sheetName val="payment2"/>
      <sheetName val="Batt &amp; Rect PO Union"/>
      <sheetName val="Journal Entries"/>
      <sheetName val="FSC Backup"/>
      <sheetName val="PGCOM"/>
      <sheetName val="TOA GALVA"/>
      <sheetName val="GENTO"/>
      <sheetName val="OTHERS (EXP)"/>
      <sheetName val="MATSUSHITA"/>
      <sheetName val="SFC SPEAKER"/>
      <sheetName val="FOSTER(S)"/>
      <sheetName val="SINCOM"/>
      <sheetName val="SANYO"/>
      <sheetName val="SPS"/>
      <sheetName val="PSSA"/>
      <sheetName val="SQUARE"/>
      <sheetName val="ARC_SEGMENT"/>
      <sheetName val="ARC-DELIVERY"/>
      <sheetName val="Press Vac Test"/>
      <sheetName val="Press Normal"/>
      <sheetName val="Grinding"/>
      <sheetName val="UW"/>
      <sheetName val="CT Press"/>
      <sheetName val="Grind Std"/>
      <sheetName val="wSheet 06"/>
      <sheetName val="WSheet 07"/>
      <sheetName val="Client adj"/>
      <sheetName val="Lead Exp"/>
      <sheetName val="Lead Exp (2)"/>
      <sheetName val="GLassetliab"/>
      <sheetName val="GLP&amp;L"/>
      <sheetName val="Sheet2 PLT"/>
      <sheetName val="preop"/>
      <sheetName val="PENGANTAR"/>
      <sheetName val="LIST VALIDASI"/>
      <sheetName val="kab2"/>
      <sheetName val="Aging Advance analysis"/>
      <sheetName val="GL carry over"/>
      <sheetName val="KAB"/>
      <sheetName val="Buku Harian Maret 2010"/>
      <sheetName val="Buku Harian Februari 2010"/>
      <sheetName val="EXPIRE OF ADV"/>
      <sheetName val="CASH BOOK"/>
      <sheetName val="IDR MANDIRI"/>
      <sheetName val="SUF Rp"/>
      <sheetName val="IDR STANCHART"/>
      <sheetName val="USD STANCHART"/>
      <sheetName val="SUF national"/>
      <sheetName val="COA 10 JUNI"/>
      <sheetName val="USD STANCHART (3)"/>
      <sheetName val="list validation"/>
      <sheetName val="summary of request "/>
      <sheetName val="recap as of actv"/>
      <sheetName val="by detail"/>
      <sheetName val="by detail rev"/>
      <sheetName val="detail sr 3months"/>
      <sheetName val="detail sr 3months rev "/>
      <sheetName val="detail sr 3months for CCM"/>
      <sheetName val="detail sr"/>
      <sheetName val="pusat P3 (2)"/>
      <sheetName val="pusat P4  (2)"/>
      <sheetName val="Province P2 "/>
      <sheetName val="Province P4  (3)"/>
      <sheetName val="&quot;Province P4  (3)"/>
      <sheetName val="Summary budget"/>
      <sheetName val="listVal"/>
      <sheetName val="lr per type"/>
      <sheetName val="volume penjualan"/>
      <sheetName val="GLCF2222"/>
      <sheetName val="ant cab"/>
      <sheetName val="lr cabang"/>
      <sheetName val="komisi dan bonus"/>
      <sheetName val="lr per type  dipake"/>
      <sheetName val="A1. Income Statement Projection"/>
      <sheetName val="lr per type "/>
      <sheetName val="HSO"/>
      <sheetName val="GLCF (juni)"/>
      <sheetName val="ant cab (juni)"/>
      <sheetName val="lr cabang (JUNI)"/>
      <sheetName val="komisi dan bonus (juni)"/>
      <sheetName val="TB MPMA Juni'14"/>
      <sheetName val="LK Juni'14"/>
      <sheetName val="TB COGNOS MPMA "/>
      <sheetName val="TB_HO"/>
      <sheetName val="TB_GSO"/>
      <sheetName val="TB_ALSUT"/>
      <sheetName val="TB_PRIOK"/>
      <sheetName val="TB_PLUIT"/>
      <sheetName val="TB_CILACAP"/>
      <sheetName val="TB_TAMBUN"/>
      <sheetName val="MATCOST-AUG14"/>
      <sheetName val="Laba Rugi Fiskal "/>
      <sheetName val="1771$"/>
      <sheetName val="1771$-I"/>
      <sheetName val="1771$-II"/>
      <sheetName val="1771$-III"/>
      <sheetName val="1771$-IV"/>
      <sheetName val="1771$-V"/>
      <sheetName val="1771$-VI"/>
      <sheetName val="Lamp Khu 1B-Daft Peny $"/>
      <sheetName val="Lamp Khu 2B-Komp Rugi $"/>
      <sheetName val="Lamp Khu 3B-Trans Ist $"/>
      <sheetName val="Lamp Khu 4B-Pnnmn Mdl $"/>
      <sheetName val="Lamp Khu 5B-Daft Cab Utm $"/>
      <sheetName val="Lamp Khu 6B-Psl 26(4) $"/>
      <sheetName val="Lamp Khu 7B-Kred Pjk LN"/>
      <sheetName val="Fiscal Adj FY05"/>
      <sheetName val="Prepaid Tax art.25"/>
      <sheetName val="PPh 28&amp;29"/>
      <sheetName val="PPH 25 FY06"/>
      <sheetName val="Nom List Ent"/>
      <sheetName val="Fluctuation"/>
      <sheetName val="1410.90"/>
      <sheetName val="1433"/>
      <sheetName val="1442"/>
      <sheetName val="1450"/>
      <sheetName val="1491"/>
      <sheetName val="1494"/>
      <sheetName val="1495"/>
      <sheetName val="Aging "/>
      <sheetName val="AR 3rd Parties"/>
      <sheetName val="2_Mesin"/>
      <sheetName val="Khl Panen"/>
      <sheetName val="KHT"/>
      <sheetName val="KHL Perawatan"/>
      <sheetName val="kutib kht"/>
      <sheetName val="Kutip KHL"/>
      <sheetName val="borongan"/>
      <sheetName val="DATA LTW"/>
      <sheetName val="FIXED"/>
      <sheetName val="PKRAWAT"/>
      <sheetName val="PORAWAT"/>
      <sheetName val="PO RM KEBUN"/>
      <sheetName val="TRANSPOR"/>
      <sheetName val="PO OLAH"/>
      <sheetName val="PK RM PAB"/>
      <sheetName val="PO RM PABR"/>
      <sheetName val="PK O"/>
      <sheetName val="PO O"/>
      <sheetName val="PO RM PAB"/>
      <sheetName val="S-1"/>
      <sheetName val="S-2"/>
      <sheetName val="Add-trans"/>
      <sheetName val="Tranponder"/>
      <sheetName val="Add-rev"/>
      <sheetName val="Pro-Base"/>
      <sheetName val="IS-CF-BS"/>
      <sheetName val="Procentage"/>
      <sheetName val="Sensitif"/>
      <sheetName val="Luas &amp; TT"/>
      <sheetName val="Data Harga"/>
      <sheetName val="Yield Sawit"/>
      <sheetName val="Prod Marihat Eks"/>
      <sheetName val="Prod Socfind Eks"/>
      <sheetName val="Panen Eks"/>
      <sheetName val="Harga TBS Eks"/>
      <sheetName val="Penarikan Eks"/>
      <sheetName val="RJP Rekap Eks"/>
      <sheetName val="Keuangan Eks"/>
      <sheetName val="Prod Socfind Plan"/>
      <sheetName val="Panen Plan"/>
      <sheetName val="Harga TBS Plan"/>
      <sheetName val="Penarikan Planning"/>
      <sheetName val="RJP Rekap Plan"/>
      <sheetName val="Keuangan Plan"/>
      <sheetName val="STD_BBM_2011"/>
      <sheetName val="STD_COST11"/>
      <sheetName val="STD FUEL_KM_2011"/>
      <sheetName val="STD FUEL_HM_2011"/>
      <sheetName val="Januari BLC"/>
      <sheetName val="Februari BLC"/>
      <sheetName val="Maret BLC"/>
      <sheetName val="April BLC"/>
      <sheetName val="Radio"/>
      <sheetName val="RP"/>
      <sheetName val="RKP Rp"/>
      <sheetName val="RKP MOP"/>
      <sheetName val="Dol"/>
      <sheetName val="RKP DOL"/>
      <sheetName val="HGFB"/>
      <sheetName val="RKP HGFB"/>
      <sheetName val="NPK 12"/>
      <sheetName val="RKP NPK"/>
      <sheetName val="ZnSo4"/>
      <sheetName val="RKP ZnSO4"/>
      <sheetName val="CuSO4"/>
      <sheetName val="RKP CuSO4"/>
      <sheetName val="Rkp All"/>
      <sheetName val="Rkp Bulan"/>
      <sheetName val="Afd"/>
      <sheetName val="Dosis dan rekap"/>
      <sheetName val="STD_BBM_BP2011"/>
      <sheetName val="PBG_5"/>
      <sheetName val="Areal St"/>
      <sheetName val="Sebaran TB"/>
      <sheetName val="Sebaran TB "/>
      <sheetName val="Produksi (2) BY BLOK"/>
      <sheetName val="Sebaran Produksi"/>
      <sheetName val="Analisa Prod Blok"/>
      <sheetName val="Kapital"/>
      <sheetName val="Field-Rekap"/>
      <sheetName val="kud"/>
      <sheetName val="Peta Areal Statement"/>
      <sheetName val="Data Populasi (2)"/>
      <sheetName val="Status Tahun Tanam"/>
      <sheetName val="Rekap TB"/>
      <sheetName val="Rekap Sisip"/>
      <sheetName val="as (2)"/>
      <sheetName val="as per koprasi"/>
      <sheetName val="grafik CurHuj (2)"/>
      <sheetName val="RKK Peta TNM"/>
      <sheetName val="RKK Peta Inti-Mitra"/>
      <sheetName val="RKK Peta Infrasrk"/>
      <sheetName val="parit cacing"/>
      <sheetName val="peta klaim"/>
      <sheetName val="RKK Peta Infrasrk (2)"/>
      <sheetName val="prod rkk"/>
      <sheetName val="prod.1"/>
      <sheetName val="prod.1 (2)"/>
      <sheetName val="grfk prod"/>
      <sheetName val="grfk prod (2)"/>
      <sheetName val="historis"/>
      <sheetName val="peta rotasi panen"/>
      <sheetName val="By PN"/>
      <sheetName val="Rekap pupuk"/>
      <sheetName val="PEML TM"/>
      <sheetName val="PEML TBM"/>
      <sheetName val="sisip (2)"/>
      <sheetName val="ALAT BRT"/>
      <sheetName val="bangunan 1"/>
      <sheetName val="bgnn"/>
      <sheetName val="banguanan revisi"/>
      <sheetName val="PT mki"/>
      <sheetName val="PT phl"/>
      <sheetName val="cost mng"/>
      <sheetName val="term sheet"/>
      <sheetName val="Advance &amp; prepaid"/>
      <sheetName val="ws consol lama"/>
      <sheetName val="sv net"/>
      <sheetName val="ws consol Baru"/>
      <sheetName val="Analisa Proyek"/>
      <sheetName val="TON  per Jam"/>
      <sheetName val="TAXREAL"/>
      <sheetName val="BREAK DOWN"/>
      <sheetName val="GRD LTW"/>
      <sheetName val="GRD LTT"/>
      <sheetName val="GRD MMG"/>
      <sheetName val="FFA per jam"/>
      <sheetName val="CPO per PT "/>
      <sheetName val="Karung"/>
      <sheetName val="Ton per jam"/>
      <sheetName val="GRAD"/>
      <sheetName val="% OT"/>
      <sheetName val="Grafik loading"/>
      <sheetName val="Ton Jam  kanban"/>
      <sheetName val="Monitor problem"/>
      <sheetName val="Loading"/>
      <sheetName val="RESUME.INTI"/>
      <sheetName val="Penilaian TBM "/>
      <sheetName val="Harga Bibit"/>
      <sheetName val="building REV"/>
      <sheetName val="Kendaraan Dan Alat Berat Rev"/>
      <sheetName val="Master Discount"/>
      <sheetName val="Datar isi"/>
      <sheetName val="Libur"/>
      <sheetName val="Lbr Sched."/>
      <sheetName val="SKU BUL."/>
      <sheetName val="SKU-HAR."/>
      <sheetName val="RATE SKU HAR."/>
      <sheetName val="LBR SLR DTL"/>
      <sheetName val="LEMBUR 2006"/>
      <sheetName val="Prod.smry"/>
      <sheetName val="Prod. Stats"/>
      <sheetName val="Expens&amp;Rnue"/>
      <sheetName val="Expens&amp;Rnue (2)"/>
      <sheetName val="DIRECT SMR"/>
      <sheetName val="DIRECT COST"/>
      <sheetName val="DIRECT DETAIL"/>
      <sheetName val="INDIRECT SMR"/>
      <sheetName val="INDIRECT COST"/>
      <sheetName val="INDIRECT DETAIL"/>
      <sheetName val="TRANS PWR "/>
      <sheetName val="TRANS VEHICL"/>
      <sheetName val="TRANS WATER"/>
      <sheetName val="TRANS WORKM&amp;R"/>
      <sheetName val="TRANS RMH"/>
      <sheetName val="TRANS ALT BERAT"/>
      <sheetName val="SE SMR"/>
      <sheetName val="SE COST"/>
      <sheetName val="SE Detail"/>
      <sheetName val="CAPITAL2006"/>
      <sheetName val="Historical"/>
      <sheetName val="Data Harga TBS &amp; CPO"/>
      <sheetName val="KebunInti"/>
      <sheetName val="KebunPlasmaBTS"/>
      <sheetName val="KebunPlasmaKKSR"/>
      <sheetName val="KebunPlasmaMandiri"/>
      <sheetName val="Depresiasi Aktiva Tetap (PRIN)"/>
      <sheetName val="Depresiasi Aktiva Tetap"/>
      <sheetName val="Biaya "/>
      <sheetName val="Biaya Pemeliharaan TM"/>
      <sheetName val="HargaTBS"/>
      <sheetName val="Renc. Invest"/>
      <sheetName val="Susut Baru"/>
      <sheetName val="Susut Lama"/>
      <sheetName val="Proyeksi Rugi Laba"/>
      <sheetName val="Proyeksi Neraca"/>
      <sheetName val="Proyeksi Arus Kas"/>
      <sheetName val="Penilaian"/>
      <sheetName val="SWK"/>
      <sheetName val="DCF Kebun"/>
      <sheetName val="Biaya Pemeliharaan"/>
      <sheetName val="Biaya Pemeliharaan Lama"/>
      <sheetName val="Curah Hujan (Data)"/>
      <sheetName val="Rekap_Prod"/>
      <sheetName val="Harga cpo"/>
      <sheetName val="Proyeksi Produksi (Data)"/>
      <sheetName val="Areal Statement (Data)"/>
      <sheetName val="Desk Produksi"/>
      <sheetName val="Pemupukan"/>
      <sheetName val="Desk Produksi Rev"/>
      <sheetName val="Proyeksi Produksi"/>
      <sheetName val="Proyeksi Produksi 2009"/>
      <sheetName val="Proyeksi Produksi 2010"/>
      <sheetName val="Proyeksi Produksi 2011"/>
      <sheetName val="Proyeksi Produksi 2012-2026"/>
      <sheetName val="Proyeksi Produksi 2014 - 2026"/>
      <sheetName val="Penarikan KI dan IDC (Re Fin)"/>
      <sheetName val="Penarikan Modal Kerja"/>
      <sheetName val="Re Financing Bank"/>
      <sheetName val="Re Financing Bank no infus"/>
      <sheetName val="Kelayakan"/>
      <sheetName val="input bu dewi"/>
      <sheetName val="RESUME NILAI 28 JULI 09 (JUSME)"/>
      <sheetName val="GDC - SAWITA.PAMUKAN - LDA"/>
      <sheetName val="AS - Sawita"/>
      <sheetName val="AS - Pamukan"/>
      <sheetName val="AS - Penyesuaian"/>
      <sheetName val="panen 4."/>
      <sheetName val="Diskripsi - SAWITA.PAMUKAN"/>
      <sheetName val="PENILAIAN TBM SAWITA - PAMUKAN"/>
      <sheetName val="WACC 31 des 08"/>
      <sheetName val="RESUME NILAI 28 JULI 09"/>
      <sheetName val="Biaya Pengembangan"/>
      <sheetName val="Produksi LDA-Pengembangan"/>
      <sheetName val="GDV LDA - Pengembangan"/>
      <sheetName val="HargaTBS (2)"/>
      <sheetName val="SingkingFund"/>
      <sheetName val="exf"/>
      <sheetName val="KERNEL"/>
      <sheetName val="Sales Graf"/>
      <sheetName val="GRAFIK PRODUKSI"/>
      <sheetName val="Grafik Cost"/>
      <sheetName val="Kata Pengantar (i)"/>
      <sheetName val="ISI(ii)"/>
      <sheetName val="Hawi"/>
      <sheetName val="Daftar Premi"/>
      <sheetName val="SAN-est"/>
      <sheetName val="SAMP"/>
      <sheetName val="GRAND-TTL"/>
      <sheetName val="TUS-02"/>
      <sheetName val="TUS-01"/>
      <sheetName val="TS-01"/>
      <sheetName val="ST-06"/>
      <sheetName val="ST-6"/>
      <sheetName val="ST-5"/>
      <sheetName val="RekaP HLP"/>
      <sheetName val="RekaP OPR"/>
      <sheetName val="Sapadi. Fikir"/>
      <sheetName val="Hawihilono"/>
      <sheetName val="Mudiono"/>
      <sheetName val="Deby"/>
      <sheetName val="Prayit"/>
      <sheetName val="Kadirman"/>
      <sheetName val="Arief Septiono"/>
      <sheetName val="Simin"/>
      <sheetName val="Susanto"/>
      <sheetName val="Wadi"/>
      <sheetName val="JD-15"/>
      <sheetName val="JD-14"/>
      <sheetName val="JD-13"/>
      <sheetName val="JD-12"/>
      <sheetName val="JD-11"/>
      <sheetName val="JD-10"/>
      <sheetName val="JD-09"/>
      <sheetName val="JD-02"/>
      <sheetName val="Rasimin"/>
      <sheetName val="M. Riady A"/>
      <sheetName val="Hawino"/>
      <sheetName val="Saprin"/>
      <sheetName val="Tuwarno12"/>
      <sheetName val="Agus12"/>
      <sheetName val="Unus"/>
      <sheetName val="Deby09"/>
      <sheetName val="Yateman"/>
      <sheetName val="Rasimin10"/>
      <sheetName val="Slamet10"/>
      <sheetName val="Lorensius"/>
      <sheetName val="Andi15"/>
      <sheetName val="Saprin15"/>
      <sheetName val="ToroTUS01"/>
      <sheetName val="TapriTUS02"/>
      <sheetName val="Sheet1 PLT"/>
      <sheetName val="PLT"/>
      <sheetName val="REKAP PLT"/>
      <sheetName val="Slip PLT"/>
      <sheetName val="Amplop PLT"/>
      <sheetName val="Pph MSK"/>
      <sheetName val="Varian"/>
      <sheetName val="PPhRapel"/>
      <sheetName val="AS (2010)"/>
      <sheetName val="Produksi TH 2010"/>
      <sheetName val="Produksi TH 2011"/>
      <sheetName val="Produksi Th 2010-2011"/>
      <sheetName val="Produksi TH 2011 (sebaran)"/>
      <sheetName val="Rekap TM"/>
      <sheetName val="TMB"/>
      <sheetName val="Rekap By Panen"/>
      <sheetName val="BY PANEN - TM"/>
      <sheetName val="BY PANEN - TBM3"/>
      <sheetName val="Pembibitan"/>
      <sheetName val="Emplasment"/>
      <sheetName val="Summary P n L"/>
      <sheetName val="P n L"/>
      <sheetName val="P n L (pegged rate)"/>
      <sheetName val="P n L (2)"/>
      <sheetName val="P n L (pegged rate) (2)"/>
      <sheetName val="Occupancy"/>
      <sheetName val="0220"/>
      <sheetName val="Bank (2)"/>
      <sheetName val="Bank MBS"/>
      <sheetName val="BankSRD"/>
      <sheetName val="BankDI"/>
      <sheetName val="RINCIAN NRC"/>
      <sheetName val="AOP-SK"/>
      <sheetName val="AOP_SK"/>
      <sheetName val="LAPIUT"/>
      <sheetName val="H.109.e-Inti Mitra "/>
      <sheetName val="Blok"/>
      <sheetName val="H.109.d-Lap Kebakaran 140911"/>
      <sheetName val="H.109.f-KBLUKSUMMARYBLOK06.rpt"/>
      <sheetName val="H.109.g-stnD"/>
      <sheetName val="H.109.b-Price TBS 2012"/>
      <sheetName val="H.109.c-PD Report-Biaya"/>
      <sheetName val="ALOKASI 1"/>
      <sheetName val="FS_O2"/>
      <sheetName val="FS_N2"/>
      <sheetName val="FS_AR"/>
      <sheetName val="CO2"/>
      <sheetName val="MIXGAS"/>
      <sheetName val="BPP BJ"/>
      <sheetName val="BPP_PERM3"/>
      <sheetName val="A1234NG"/>
      <sheetName val="aging rental juni"/>
      <sheetName val="A1234NG (2)"/>
      <sheetName val="jop"/>
      <sheetName val="AGING RENTAL (2)"/>
      <sheetName val="BAG_2"/>
      <sheetName val="6111010"/>
      <sheetName val="6111030"/>
      <sheetName val="6111050"/>
      <sheetName val="6112010"/>
      <sheetName val="6112030"/>
      <sheetName val="6113020"/>
      <sheetName val="ORDER"/>
      <sheetName val="MBAR"/>
      <sheetName val="SEX"/>
      <sheetName val="MCSI"/>
      <sheetName val="LR2006-gresik"/>
      <sheetName val="Nilai Penjualan"/>
      <sheetName val="Biaya &amp; Pendpt LL"/>
      <sheetName val="IO Distribusi"/>
      <sheetName val="COPA PER LOG"/>
      <sheetName val="penjualan per produk"/>
      <sheetName val="penjualan per pelanggan"/>
      <sheetName val="penjualan per pelanggan (2)"/>
      <sheetName val="persediaan jual"/>
      <sheetName val="persediaan kanvas"/>
      <sheetName val="persediaan BS"/>
      <sheetName val="Piping"/>
      <sheetName val="Tabulation"/>
      <sheetName val="Valve total"/>
      <sheetName val="Valve total(4units)"/>
      <sheetName val="Control valve"/>
      <sheetName val="Specialty"/>
      <sheetName val="S.Cooler"/>
      <sheetName val="Pivot2"/>
      <sheetName val="Vendor 집계표"/>
      <sheetName val="Project별 집계표"/>
      <sheetName val="Vendor"/>
      <sheetName val="w't table"/>
      <sheetName val="CIT LB 08"/>
      <sheetName val="Mutation 2008"/>
      <sheetName val="BS-PL"/>
      <sheetName val="CLA 2008"/>
      <sheetName val="CLA WIP 2008"/>
      <sheetName val="A3 2007 LB + Starcom "/>
      <sheetName val="A3 2007 Audited"/>
      <sheetName val="Audit Adj 2008"/>
      <sheetName val="2.1 Nostro Reconcilation"/>
      <sheetName val="load"/>
      <sheetName val="RF"/>
      <sheetName val="N.1 Aging AP"/>
      <sheetName val="N.1.1 Detail AP"/>
      <sheetName val="N.2 Accrued WIP"/>
      <sheetName val="N.3 PSI"/>
      <sheetName val="N.4 Cut Off"/>
      <sheetName val="N.4 SURL"/>
      <sheetName val="Supplier info"/>
      <sheetName val="Over 121 days"/>
      <sheetName val="NCL"/>
      <sheetName val="PPAP CALC"/>
      <sheetName val="R11"/>
      <sheetName val="jv19"/>
      <sheetName val="jv18"/>
      <sheetName val="jv17"/>
      <sheetName val="jv1 -1"/>
      <sheetName val="R6-1"/>
      <sheetName val="R11-1"/>
      <sheetName val="jv18-1"/>
      <sheetName val="jv17-1"/>
      <sheetName val="jv16-1"/>
      <sheetName val="jv20-1"/>
      <sheetName val="JV23-1208"/>
      <sheetName val="jv16-1208"/>
      <sheetName val="JV27-1208"/>
      <sheetName val="JV11-0208"/>
      <sheetName val="JV17-1208"/>
      <sheetName val="JV16 Mar"/>
      <sheetName val="JV16 Feb"/>
      <sheetName val="jv02"/>
      <sheetName val="jv20"/>
      <sheetName val="PREPAID EXP 2"/>
      <sheetName val="GL Prepaid Exp feb09-2"/>
      <sheetName val="GL Prepaid Exp feb09-final"/>
      <sheetName val="EMP LIST"/>
      <sheetName val="PSI MEDICAL 2008"/>
      <sheetName val="GL 117010 Jan09"/>
      <sheetName val="GL Office Jan09"/>
      <sheetName val="GL Housing Feb09"/>
      <sheetName val="GL Office Feb09"/>
      <sheetName val="GL Housing 0309"/>
      <sheetName val="GL Office 0309"/>
      <sheetName val="HOUSING 2010"/>
      <sheetName val="JV1 HOUSING"/>
      <sheetName val="square m"/>
      <sheetName val="JV1OFFICE"/>
      <sheetName val="OFFICE 2010"/>
      <sheetName val="JV1 PREPAID EXP 2"/>
      <sheetName val="JV1 PREPAID EXP 3"/>
      <sheetName val="DPKK"/>
      <sheetName val="JV-Goodwill"/>
      <sheetName val="COA NEW"/>
      <sheetName val="JV1PREPAID EXP 2010"/>
      <sheetName val="revisionLB"/>
      <sheetName val="January 2010"/>
      <sheetName val="January 2010a"/>
      <sheetName val="PV PREPAID UTK BCC"/>
      <sheetName val="DATA UTK DIV"/>
      <sheetName val="CIT2009"/>
      <sheetName val="TBMetroSep06"/>
      <sheetName val="TBPMOct07"/>
      <sheetName val="SAD PM"/>
      <sheetName val="SAD IME"/>
      <sheetName val="BS-PM"/>
      <sheetName val="PL-PM"/>
      <sheetName val="Corp Tax Publicis"/>
      <sheetName val="AJE-PM"/>
      <sheetName val="TBIMEOct07"/>
      <sheetName val="TBPM09"/>
      <sheetName val="BS-OP"/>
      <sheetName val="PL-OP"/>
      <sheetName val="Corp Tax OPTI"/>
      <sheetName val="AJE-OPT"/>
      <sheetName val="TB Opti Sep"/>
      <sheetName val="TBSeptDialog06"/>
      <sheetName val="TBIME09"/>
      <sheetName val="BS-PD"/>
      <sheetName val="PL-PD"/>
      <sheetName val="Corp Tax Dialog"/>
      <sheetName val="AJE-PD"/>
      <sheetName val="Rounding"/>
      <sheetName val="MAT USD"/>
      <sheetName val="Report New"/>
      <sheetName val="Combined FS053 &amp; FS156"/>
      <sheetName val="FS053"/>
      <sheetName val="FS156"/>
      <sheetName val="For LLD"/>
      <sheetName val="Orig. Yulius"/>
      <sheetName val="RM1"/>
      <sheetName val="RM2"/>
      <sheetName val="SM3"/>
      <sheetName val="Others Out"/>
      <sheetName val="Accpac1"/>
      <sheetName val="Location_Details (2)"/>
      <sheetName val="Profit &amp; Loss (3)"/>
      <sheetName val="BS-PL Indo 2006"/>
      <sheetName val="L.MAR08"/>
      <sheetName val="L.JAN09"/>
      <sheetName val="L.FEB09"/>
      <sheetName val="L.Mar09"/>
      <sheetName val="PL 2008"/>
      <sheetName val="PL Movement"/>
      <sheetName val="PL RF"/>
      <sheetName val="Memo POL"/>
      <sheetName val="Interest-FR"/>
      <sheetName val="POL-FR"/>
      <sheetName val="UC-POL"/>
      <sheetName val="UC1"/>
      <sheetName val="UC2"/>
      <sheetName val="UC3"/>
      <sheetName val="UC4"/>
      <sheetName val="UC5"/>
      <sheetName val="UC6"/>
      <sheetName val="UC7"/>
      <sheetName val="UC8"/>
      <sheetName val="UC8.1.1"/>
      <sheetName val="BOL-FR"/>
      <sheetName val="VE-BOL"/>
      <sheetName val="VE1"/>
      <sheetName val="VE2"/>
      <sheetName val="VE3"/>
      <sheetName val="VE4"/>
      <sheetName val="VE5"/>
      <sheetName val="VE6"/>
      <sheetName val="VE6.1"/>
      <sheetName val="VE7"/>
      <sheetName val="VE8"/>
      <sheetName val="VE9"/>
      <sheetName val="VE10"/>
      <sheetName val="VE11"/>
      <sheetName val="VE12"/>
      <sheetName val="VE13"/>
      <sheetName val="VE14"/>
      <sheetName val="VE15"/>
      <sheetName val="VE16"/>
      <sheetName val="VE17"/>
      <sheetName val="VE18"/>
      <sheetName val="VE19"/>
      <sheetName val="VE20"/>
      <sheetName val="VE21"/>
      <sheetName val="VE22"/>
      <sheetName val="914134"/>
      <sheetName val="912215"/>
      <sheetName val="914603"/>
      <sheetName val="FR-NOIE"/>
      <sheetName val="UE-NOIE"/>
      <sheetName val="UE1"/>
      <sheetName val="UE2"/>
      <sheetName val="UE4"/>
      <sheetName val="UE3"/>
      <sheetName val="UE5"/>
      <sheetName val="UE6"/>
      <sheetName val="UE7"/>
      <sheetName val="UE8"/>
      <sheetName val="CIT2007"/>
      <sheetName val="Cash flow Consol"/>
      <sheetName val="CorpPM"/>
      <sheetName val="TBPM07"/>
      <sheetName val="CorpOpti"/>
      <sheetName val="TBOP07"/>
      <sheetName val="AJE-OP"/>
      <sheetName val="Corp-PD"/>
      <sheetName val="TBPD07"/>
      <sheetName val="E.7.7.1 Memo"/>
      <sheetName val="E.7.7.1 Summary"/>
      <sheetName val="E.7.7.1"/>
      <sheetName val="1. Batik Danar Hadi"/>
      <sheetName val="2. Kusumahadi Santosa"/>
      <sheetName val="3. Kusumaputra Santosa"/>
      <sheetName val="4. Filamindo"/>
      <sheetName val="5.DuRen 6.MelTim 20.AbaGen "/>
      <sheetName val="7.a PII"/>
      <sheetName val="7.b PII"/>
      <sheetName val="7.c PII"/>
      <sheetName val="7.d PII"/>
      <sheetName val="8.b CAK (KI-1)"/>
      <sheetName val="8.c CAK (KI-3)"/>
      <sheetName val="8.d CAK (KI-1)"/>
      <sheetName val="8.e CAK (KI-IDC)"/>
      <sheetName val="8.f CAK (KMK)"/>
      <sheetName val="9. Manguni Garden Hotel"/>
      <sheetName val="10. Zeus"/>
      <sheetName val="11. RAPP and 12.RAK"/>
      <sheetName val="13. PIM"/>
      <sheetName val="13.PIM not update"/>
      <sheetName val="13.a PIM KMK not update"/>
      <sheetName val="14.d KDI-KI"/>
      <sheetName val="14.f KDI (KI-IDC)"/>
      <sheetName val="14.g KDI (KI-1)"/>
      <sheetName val="15. Indogas Raya Utama"/>
      <sheetName val="16.b Krakatau Wajatama (KI)"/>
      <sheetName val="16.c Krakatau Wajatama (KI IDC)"/>
      <sheetName val="17.a Bhineka Cipta Manunggal"/>
      <sheetName val="17.b Bhineka Cipta Manunggal"/>
      <sheetName val="17.c Bhineka Cipta Manunggal"/>
      <sheetName val="17.d Bhineka Cipta Manunggal"/>
      <sheetName val="17.e Bhineka Cipta Manunggal"/>
      <sheetName val="17.f Bhineka Cipta Manunggal"/>
      <sheetName val="18. a Gunatex-IDR"/>
      <sheetName val="18. b Gunatex - USD"/>
      <sheetName val="19.a World Yamatex"/>
      <sheetName val="19.b World Yamatex"/>
      <sheetName val="19.c World Yamatex"/>
      <sheetName val="19.d World Yamatex"/>
      <sheetName val="19.e World Yamatex"/>
      <sheetName val="21. Sambu Sakti Sawmill"/>
      <sheetName val="22. Surya Bumi Agrolangeng"/>
      <sheetName val="23BuktPalg,24WirBh,30BMF,31BBM"/>
      <sheetName val="25. Jakaranatama"/>
      <sheetName val="26. Hasnur Coal Terminal"/>
      <sheetName val="28.a Griya Pesona Mandiri"/>
      <sheetName val="28.b Griya Pesona Mandiri"/>
      <sheetName val="29. Pandega Citra Niaga"/>
      <sheetName val="32.Star Cosmos"/>
      <sheetName val="33. Shamrock Manufacturing Corp"/>
      <sheetName val="34. Fajar Sun Master"/>
      <sheetName val="35. Semen Bosowa Maros"/>
      <sheetName val="36.Riau Sakti United Pl - IDR"/>
      <sheetName val="36. Riau Sakti United Pl - USD"/>
      <sheetName val="37. Haloni Jane"/>
      <sheetName val="HJ"/>
      <sheetName val="bjd"/>
      <sheetName val="List of Debtor not incld in MAR"/>
      <sheetName val="Middle UMN"/>
      <sheetName val="Summary based on outstanding"/>
      <sheetName val="E.7.7.1 Summary OLD"/>
      <sheetName val="Resume AR"/>
      <sheetName val="Pivot Tabel"/>
      <sheetName val="bs-idr"/>
      <sheetName val="BS-U$"/>
      <sheetName val="PL-U$"/>
      <sheetName val="CF 2006_for_report"/>
      <sheetName val="A3 Jambi + Mandoge"/>
      <sheetName val="SRM-BS"/>
      <sheetName val="SRM - WPL"/>
      <sheetName val="PL-JBI"/>
      <sheetName val="PLN-MDG"/>
      <sheetName val="TB Jambi"/>
      <sheetName val="TB Mandoge"/>
      <sheetName val="A3 Jun06"/>
      <sheetName val="OB'05-PM"/>
      <sheetName val="CKG-TRF04"/>
      <sheetName val="BDG-TRF04"/>
      <sheetName val="Purchase Detail"/>
      <sheetName val="Vol SFR'04(CKG)"/>
      <sheetName val="Vol SRF '04 (BDG)"/>
      <sheetName val="Price OB'04-CKG"/>
      <sheetName val="OB 04RM"/>
      <sheetName val="SRF04"/>
      <sheetName val="TRF04"/>
      <sheetName val="Packmat"/>
      <sheetName val="MRP SRF04 vol"/>
      <sheetName val="E ARPs"/>
      <sheetName val="E.1.1 Subsequent Received AR"/>
      <sheetName val="E.1.2 Unbilled Media"/>
      <sheetName val="E.1.3 Accrued Revenue"/>
      <sheetName val="E.2 Others"/>
      <sheetName val="E.3 AR Related Parties"/>
      <sheetName val="E.4 AR Cut Off"/>
      <sheetName val="E.5 Inv 2010 were inv in 2011"/>
      <sheetName val="EE.3"/>
      <sheetName val="Project Dec tp invoice 2011"/>
      <sheetName val="RECKITT"/>
      <sheetName val="GOODYEAR"/>
      <sheetName val="BNI'46"/>
      <sheetName val="BRI SYARIAH"/>
      <sheetName val="PASEO"/>
      <sheetName val="WYETH"/>
      <sheetName val="HYUNDAI"/>
      <sheetName val="PANASONIC"/>
      <sheetName val="URC"/>
      <sheetName val="DOPOD"/>
      <sheetName val="APPLE RESELLER"/>
      <sheetName val="PERTAMINA-PASTI PAS"/>
      <sheetName val="PERTAMINA-CORPORATE"/>
      <sheetName val="PERTAMINA-PELUMAS"/>
      <sheetName val="ESIA"/>
      <sheetName val="TNT"/>
      <sheetName val="Standard Chartered"/>
      <sheetName val="HP-IPG"/>
      <sheetName val="HP-PSG"/>
      <sheetName val="HP-TSG"/>
      <sheetName val="HBO ASIA"/>
      <sheetName val="PUMA"/>
      <sheetName val="GAGA MIE"/>
      <sheetName val="MACRO KIOS"/>
      <sheetName val="HOLCIM"/>
      <sheetName val="ACTAVIS"/>
      <sheetName val="SONY"/>
      <sheetName val="VITACIMIN"/>
      <sheetName val="TOYOTA (AVANZA)"/>
      <sheetName val="TOYOTA (LEXUS)"/>
      <sheetName val="PSB"/>
      <sheetName val="MSIG"/>
      <sheetName val="BioCalci-72"/>
      <sheetName val="AXIS"/>
      <sheetName val="CBD BSD"/>
      <sheetName val="X MILD"/>
      <sheetName val="STARMILD"/>
      <sheetName val="SEJATI"/>
      <sheetName val="BIRU"/>
      <sheetName val="RAWIT"/>
      <sheetName val="NEO MILD"/>
      <sheetName val="TIKI"/>
      <sheetName val="TV MART"/>
      <sheetName val="VELVET"/>
      <sheetName val="Nature"/>
      <sheetName val="Lead Consol FA"/>
      <sheetName val="cost-biijkt"/>
      <sheetName val="accum-biijkt"/>
      <sheetName val="COST-BIIFCJKT"/>
      <sheetName val="ACC-BIIFCJKT"/>
      <sheetName val="Cost-WOM"/>
      <sheetName val="Accum-WOM"/>
      <sheetName val="Consol Movement FA"/>
      <sheetName val="Map WP"/>
      <sheetName val="ACC.DEPR"/>
      <sheetName val="COST-BIIFCHK"/>
      <sheetName val="ACC-BIIFCHK"/>
      <sheetName val="Ass Dec2007"/>
      <sheetName val="FCJ"/>
      <sheetName val="WOM"/>
      <sheetName val="AK.TTP"/>
      <sheetName val="AK.TTP2"/>
      <sheetName val="Premi 2009-2010"/>
      <sheetName val="Exch_rate"/>
      <sheetName val="I_BS"/>
      <sheetName val="1_Cash"/>
      <sheetName val="2_Current accounts with BI"/>
      <sheetName val="3_Current accounts w other bank"/>
      <sheetName val="4_Placement"/>
      <sheetName val="4_cont_d"/>
      <sheetName val="5_Marketable securities"/>
      <sheetName val="5_MS_maturity date _cont_d_"/>
      <sheetName val="6_Government bonds"/>
      <sheetName val="6_Gov bonds _cont_d_"/>
      <sheetName val="7_Reverse repo"/>
      <sheetName val="8_derivatives"/>
      <sheetName val="9_Loan"/>
      <sheetName val="9_1_loan detail"/>
      <sheetName val="10_Consumer Finance"/>
      <sheetName val="10_1_ _ Cons Fin Details"/>
      <sheetName val="11_acceptance receivable"/>
      <sheetName val="12_Investments in Share"/>
      <sheetName val="13_Deferred tax"/>
      <sheetName val="14_Fixed assets"/>
      <sheetName val="15_Accrued Income"/>
      <sheetName val="16_Prepayments"/>
      <sheetName val="17_Other assets"/>
      <sheetName val="18_Corp_inc_tax rec__payable"/>
      <sheetName val="19_ Obligations due immediately"/>
      <sheetName val="20_Deposits from customers"/>
      <sheetName val="21_Deposits from Other Banks"/>
      <sheetName val="22_Repo"/>
      <sheetName val="23_acceptance liabilities"/>
      <sheetName val="24_Securities Issued"/>
      <sheetName val="25_Fund borrowing"/>
      <sheetName val="26_Est_Comm__Cont"/>
      <sheetName val="27_Accrued exp"/>
      <sheetName val="28_Lease Payable"/>
      <sheetName val="29_Other liabilities"/>
      <sheetName val="30_Subordinated loans"/>
      <sheetName val="II_IS"/>
      <sheetName val="II_1_IS_Support"/>
      <sheetName val="III_SoC in Equity"/>
      <sheetName val="IV_Cash Flows"/>
      <sheetName val="V_a_Com__ Con"/>
      <sheetName val="V_c_NOP"/>
      <sheetName val="V_b_Employee Benefits"/>
      <sheetName val="V_d_Foreign Ccy Transaction"/>
      <sheetName val="V_e_Related Parties"/>
      <sheetName val="V_f_Maturity Profile"/>
      <sheetName val="V_g_ Add Info_Avg i rate"/>
      <sheetName val="VI_a_Loan _By type_"/>
      <sheetName val="VI_b_Loans by Int _ Profit rate"/>
      <sheetName val="VI_c_NPL Movement"/>
      <sheetName val="VI_d_Derivatives"/>
      <sheetName val="VI_e_FA Movement"/>
      <sheetName val="VI_g_Prepaid lease movt"/>
      <sheetName val="VI_h_Inv Property movt"/>
      <sheetName val="VI_i_1_Deferred tax 1"/>
      <sheetName val="VI_i_2_Deferred tax 2"/>
      <sheetName val="VI_j_ All on loan and fin"/>
      <sheetName val="VI_k_ Key mgmt personnel comp"/>
      <sheetName val="VI_l_1_ Directors remuneration1"/>
      <sheetName val="VI_l_2_ Directors remuneration2"/>
      <sheetName val="VI_m_ Taxation"/>
      <sheetName val="VI.n. Interest rate risks"/>
      <sheetName val="VI_o_1_ FX Risk 1"/>
      <sheetName val="VI_o_2_ FX Risk 2"/>
      <sheetName val="VI.p. PRR"/>
      <sheetName val="VI.q. Fair value BS"/>
      <sheetName val="2-Current accounts with BI"/>
      <sheetName val="3-Current accounts w other bank"/>
      <sheetName val="4-Placement"/>
      <sheetName val="4-cont'd"/>
      <sheetName val="5-Marketable securities"/>
      <sheetName val="5-MS-maturity date (cont'd)"/>
      <sheetName val="6-Government bonds"/>
      <sheetName val="6-Gov bonds (cont'd)"/>
      <sheetName val="7-Reverse repo"/>
      <sheetName val="8-derivatives"/>
      <sheetName val="9-Loan"/>
      <sheetName val="9.1-loan detail"/>
      <sheetName val="10-Consumer Finance"/>
      <sheetName val="10.1. - Cons Fin Details"/>
      <sheetName val="11-acceptance receivable"/>
      <sheetName val="12-Investments in Share"/>
      <sheetName val="13-Deferred tax"/>
      <sheetName val="14-Fixed assets"/>
      <sheetName val="15-Accrued Income"/>
      <sheetName val="16-Prepayments"/>
      <sheetName val="17-Other assets"/>
      <sheetName val="18-Corp.inc.tax rec.-payable"/>
      <sheetName val="19- Obligations due immediately"/>
      <sheetName val="20-Deposits from customers"/>
      <sheetName val="21-Deposits from Other Banks"/>
      <sheetName val="22-Repo"/>
      <sheetName val="23-acceptance liabilities"/>
      <sheetName val="24-Securities Issued"/>
      <sheetName val="25-Fund borrowing"/>
      <sheetName val="26-Est.Comm.&amp;Cont"/>
      <sheetName val="27-Accrued exp"/>
      <sheetName val="28-Lease Payable"/>
      <sheetName val="29-Other liabilities"/>
      <sheetName val="30-Subordinated loans"/>
      <sheetName val="II.IS"/>
      <sheetName val="II.1.IS_Support"/>
      <sheetName val="III.SoC in Equity"/>
      <sheetName val="IV.Cash Flows"/>
      <sheetName val="V.a.Com.&amp; Con"/>
      <sheetName val="V.b.Employee Benefits"/>
      <sheetName val="V.c.NOP"/>
      <sheetName val="V.d.Foreign Ccy Transaction"/>
      <sheetName val="V.e.Related Parties"/>
      <sheetName val="V.g. Add Info-Avg i rate"/>
      <sheetName val="VI.a.Loan (By type)"/>
      <sheetName val="VI.b.Loans by Int &amp; Profit rate"/>
      <sheetName val="I.BS"/>
      <sheetName val="BII &amp; Bapepam"/>
      <sheetName val="V.f.Maturity Profile"/>
      <sheetName val="VI.c.NPL Movement"/>
      <sheetName val="VI.d.Derivatives"/>
      <sheetName val="VI.e.FA Movement"/>
      <sheetName val="VI.f.Computer software movt"/>
      <sheetName val="VI.g.Prepaid lease movt"/>
      <sheetName val="VI.h.Inv Property movt"/>
      <sheetName val="VI.i.1.Deferred tax 1"/>
      <sheetName val="VI.i.2.Deferred tax 2"/>
      <sheetName val="Sale of Fixed Assets"/>
      <sheetName val="VI.j. All on loan and fin"/>
      <sheetName val="VI.k. Key mgmt personnel comp"/>
      <sheetName val="VI.l.1. Directors remuneration1"/>
      <sheetName val="VI.l.2. Directors remuneration2"/>
      <sheetName val="VI.m. Taxation"/>
      <sheetName val="VI.o.1. FX Risk 1"/>
      <sheetName val="VI.o.2. FX Risk 2"/>
      <sheetName val="Flow rate1(start Okt07)"/>
      <sheetName val="Flow rate 2 (incl data error)"/>
      <sheetName val=" WO jan 09 Backdated"/>
      <sheetName val="recovery"/>
      <sheetName val=" WO Sept 09"/>
      <sheetName val="Penambahan AYDA"/>
      <sheetName val="Pengurangan AYDA"/>
      <sheetName val="ROLLRATE SD SEP09 ORI"/>
      <sheetName val="WP- Reporting"/>
      <sheetName val="WP5"/>
      <sheetName val="Repo - Reverse repo"/>
      <sheetName val="PwC"/>
      <sheetName val="SBI"/>
      <sheetName val="Syariah"/>
      <sheetName val="Other Approved Sec"/>
      <sheetName val="Securities-Nonbank"/>
      <sheetName val="REPO"/>
      <sheetName val="REPO 2"/>
      <sheetName val="status all docs (Sept)"/>
      <sheetName val="Sampel Konfirmasi"/>
      <sheetName val="Sheet5 (2)"/>
      <sheetName val="SAMPLE FINAL"/>
      <sheetName val="LOAN REVIEW DATA"/>
      <sheetName val="LOAN CONFIRMATION"/>
      <sheetName val="Pending "/>
      <sheetName val="GL --&gt; Interim"/>
      <sheetName val="Top Summary"/>
      <sheetName val="GL Input Validations"/>
      <sheetName val="Scratchpad"/>
      <sheetName val="P&amp;L1 "/>
      <sheetName val="P&amp;L GHD"/>
      <sheetName val="OPEX1"/>
      <sheetName val="Cashflow1"/>
      <sheetName val="BSheet"/>
      <sheetName val="BSheet1"/>
      <sheetName val="p&amp;l 0304"/>
      <sheetName val="p&amp;l 0405"/>
      <sheetName val="p&amp;l 0506"/>
      <sheetName val="   Contents"/>
      <sheetName val="1 LeadSchedule"/>
      <sheetName val="2 Sec108"/>
      <sheetName val="3 P&amp;L - 3A Op.Exp"/>
      <sheetName val="4 Analysis"/>
      <sheetName val="   Directors"/>
      <sheetName val="Dividend"/>
      <sheetName val="ITA-RA"/>
      <sheetName val="Int-rest"/>
      <sheetName val="OTHER (2)"/>
      <sheetName val="F-1l F-2"/>
      <sheetName val="U-2_Sales Analysis"/>
      <sheetName val="U-1l2_Overall AR"/>
      <sheetName val="AppA1-1"/>
      <sheetName val="AppA1-2"/>
      <sheetName val="AppA2-1"/>
      <sheetName val="AppA2-2"/>
      <sheetName val="AppA3"/>
      <sheetName val="AppA4"/>
      <sheetName val="ES1"/>
      <sheetName val="ES2"/>
      <sheetName val="ES3"/>
      <sheetName val="ES4"/>
      <sheetName val="Contents (2)"/>
      <sheetName val="ES1 (2)"/>
      <sheetName val="ES3 (2)"/>
      <sheetName val="ES5"/>
      <sheetName val="ES6"/>
      <sheetName val="ES7"/>
      <sheetName val="Cost centre expenditure"/>
      <sheetName val="k-Discl"/>
      <sheetName val="LABOUR,SUB-CON,LEASE"/>
      <sheetName val="ADM&amp; OHH INCOME"/>
      <sheetName val="S.OH"/>
      <sheetName val="BPR-Bloom"/>
      <sheetName val="F-4l5"/>
      <sheetName val="auditors' report"/>
      <sheetName val="5 Analysis"/>
      <sheetName val="3 P&amp;L - 4 Op.Exp"/>
      <sheetName val="3A Turnover 3B COS"/>
      <sheetName val="FSC"/>
      <sheetName val="WS BS"/>
      <sheetName val="WS PL"/>
      <sheetName val="TB SEP'14"/>
      <sheetName val="TB AUG'14"/>
      <sheetName val="TB JUNE'14"/>
      <sheetName val="Control for AD14"/>
      <sheetName val="KONSOL SUBS"/>
      <sheetName val="Print AR"/>
      <sheetName val="Consolidated Valuation"/>
      <sheetName val="P_L"/>
      <sheetName val="Apexindo"/>
      <sheetName val="CURRENCY C.O.A."/>
      <sheetName val="xtsCustAging.PrecisionDesign1"/>
      <sheetName val="bs FLUX"/>
      <sheetName val="PL FLUX"/>
      <sheetName val="UNFOREX"/>
      <sheetName val="DL &amp; FOH"/>
      <sheetName val="SUAD "/>
      <sheetName val="bs_FLUX"/>
      <sheetName val="PL_FLUX"/>
      <sheetName val="WP_CF"/>
      <sheetName val="DL_&amp;_FOH"/>
      <sheetName val="SUAD_"/>
      <sheetName val="Main comptn"/>
      <sheetName val="Detailed P&amp;L"/>
      <sheetName val="Sch 1-Underwriting P&amp;L"/>
      <sheetName val="Sch1A-Pre Acs"/>
      <sheetName val="Sch1B-Claims Acs"/>
      <sheetName val="Sch2-Com Allow Exp"/>
      <sheetName val="Sch3-All of Com Exp"/>
      <sheetName val="Sch4-Net Invest Inc"/>
      <sheetName val="Sch4A-Tax Invest Inc"/>
      <sheetName val="Sch5-Int fr FD&amp;CA"/>
      <sheetName val="Sch6-Int fr Gov Secur"/>
      <sheetName val="Sch7-Int Bonds"/>
      <sheetName val="Sch8A-Div Inc"/>
      <sheetName val="Sch9-Write Back of Prov"/>
      <sheetName val="Sch10-Gain&amp;Loss on Invest"/>
      <sheetName val="Sch11-Mgmt Exp"/>
      <sheetName val="Sch12-Exc Gain&amp;Loss"/>
      <sheetName val="Sch13&amp;14"/>
      <sheetName val="Sch15 TO 17"/>
      <sheetName val="Sch18-Bad debts wo"/>
      <sheetName val="Sch 19A-offshore bad debts"/>
      <sheetName val="Sch19B-Onshore bad debts"/>
      <sheetName val="Sch20-Prov for d debts"/>
      <sheetName val="Sch 21-Add to FA"/>
      <sheetName val="Sch 22-Add to FA (SEC 24)"/>
      <sheetName val="Sch22-Disp of FA"/>
      <sheetName val="Sch23-Comptn of BA&amp;BC"/>
      <sheetName val="Sch24-W&amp;T"/>
      <sheetName val="Sch25-Expt-Sec 13B"/>
      <sheetName val="Sch 26-Expt Sec 13E"/>
      <sheetName val="SAP Cash Mgt"/>
      <sheetName val="Pivot Interest and Principle"/>
      <sheetName val="Principle and Interest"/>
      <sheetName val="TRANSLATION PROCESS"/>
      <sheetName val="Equity reconcilation "/>
      <sheetName val="API Equity -Historical"/>
      <sheetName val="502000"/>
      <sheetName val="511000"/>
      <sheetName val="521000"/>
      <sheetName val="521100"/>
      <sheetName val="522000"/>
      <sheetName val="431000GL"/>
      <sheetName val="431000"/>
      <sheetName val="424100"/>
      <sheetName val="351000"/>
      <sheetName val="343200"/>
      <sheetName val="343200 apendix"/>
      <sheetName val="343000new"/>
      <sheetName val="343000"/>
      <sheetName val="342100"/>
      <sheetName val="gl 342050"/>
      <sheetName val="342050"/>
      <sheetName val="333000"/>
      <sheetName val="326500"/>
      <sheetName val="326400"/>
      <sheetName val="326100"/>
      <sheetName val="325000"/>
      <sheetName val="VAT 324900&amp;145900"/>
      <sheetName val="313000"/>
      <sheetName val="241000"/>
      <sheetName val="169000"/>
      <sheetName val="167000"/>
      <sheetName val="166000"/>
      <sheetName val="163900"/>
      <sheetName val="163000"/>
      <sheetName val="162000"/>
      <sheetName val="147100"/>
      <sheetName val="145900"/>
      <sheetName val="143100"/>
      <sheetName val="125000"/>
      <sheetName val="123100"/>
      <sheetName val="101000"/>
      <sheetName val="IRT(Q)"/>
      <sheetName val="iwt"/>
      <sheetName val="XLS Avg Rev"/>
      <sheetName val="_REF"/>
      <sheetName val="RM Analysis (per value)2005"/>
      <sheetName val="RM Analysis (per value)2004"/>
      <sheetName val="Sch 1"/>
      <sheetName val="Sch 2"/>
      <sheetName val="gm before VSDE"/>
      <sheetName val="Sch 3"/>
      <sheetName val="Sch 4 (TL 0)"/>
      <sheetName val="Sch 4 (TL 1)"/>
      <sheetName val="Sch 4 (TL 2)"/>
      <sheetName val="fc -5% lv"/>
      <sheetName val="fc -5% bud"/>
      <sheetName val="Sch 5"/>
      <sheetName val="Supp 5.1"/>
      <sheetName val="Sch 6"/>
      <sheetName val="Supp 6.1"/>
      <sheetName val="RM Price Analysis"/>
      <sheetName val="Sch 4 (TL 0)-OLD"/>
      <sheetName val="Sch 4 (TL 1)-OLD"/>
      <sheetName val="Sch 4 (TL 2)-OLD"/>
      <sheetName val="Sch 4 (TL 3)-OLD"/>
      <sheetName val="RM Price Increase"/>
      <sheetName val="ASP Analysis"/>
      <sheetName val="RM Analysis"/>
      <sheetName val="GM Analysis"/>
      <sheetName val="Price vs Cost Incr Analysis"/>
      <sheetName val="rm-pack"/>
      <sheetName val="sales qtr"/>
      <sheetName val="sls summary qtr"/>
      <sheetName val=" deco "/>
      <sheetName val=" technical"/>
      <sheetName val="expenses 2004"/>
      <sheetName val="deco exp analysis"/>
      <sheetName val="Important Notes"/>
      <sheetName val="DC"/>
      <sheetName val="DC-ASE"/>
      <sheetName val="Hal Wajib"/>
      <sheetName val="Journal Code"/>
      <sheetName val="Advance A-Z"/>
      <sheetName val="DC Account"/>
      <sheetName val="Cash Advance"/>
      <sheetName val="FE-1771$.P1(E)"/>
      <sheetName val="FE-1771$.P2(E)"/>
      <sheetName val="FE-1771-I$(E)"/>
      <sheetName val="FE-1771-II$(E)"/>
      <sheetName val="FE-1771-III$(E)"/>
      <sheetName val="FI-1771-IV$"/>
      <sheetName val="FE-1771-IV(E)"/>
      <sheetName val="FI-1771-V$"/>
      <sheetName val="FE-1771-V(E)"/>
      <sheetName val="FI-1771-VI$"/>
      <sheetName val="FE-1771-VI$(E)"/>
      <sheetName val="UK MGMT FEES"/>
      <sheetName val="uk allocation"/>
      <sheetName val="INVOICES"/>
      <sheetName val="misc inv"/>
      <sheetName val="CAI"/>
      <sheetName val="uk cr memo"/>
      <sheetName val="AUS"/>
      <sheetName val="JAPAN"/>
      <sheetName val="CAN SOL"/>
      <sheetName val="CANADA"/>
      <sheetName val="Can Mgmt Alloc"/>
      <sheetName val="data_benefit(1)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output2"/>
      <sheetName val="schedule_restate"/>
      <sheetName val="disc_e"/>
      <sheetName val="disc_i"/>
      <sheetName val="input_report"/>
      <sheetName val="report_A"/>
      <sheetName val="Provision summary"/>
      <sheetName val="CREDIT GRANTED BI 3"/>
      <sheetName val="CREDIT GRANTED BI 4"/>
      <sheetName val="CREDIT GRANTED BI 5"/>
      <sheetName val="Depreciation (2)"/>
      <sheetName val="Asset 98"/>
      <sheetName val="Entetr-Eng"/>
      <sheetName val="Entetr-Ind"/>
      <sheetName val="Loss"/>
      <sheetName val="Entetr-01 (2)"/>
      <sheetName val="Prov from client"/>
      <sheetName val="Prov from client (2)"/>
      <sheetName val="sblm edit rb"/>
      <sheetName val="for e01"/>
      <sheetName val="members"/>
      <sheetName val="TANPA RB"/>
      <sheetName val="E23"/>
      <sheetName val="E22"/>
      <sheetName val="E21"/>
      <sheetName val="E20"/>
      <sheetName val="E19"/>
      <sheetName val="E18"/>
      <sheetName val="E17"/>
      <sheetName val="E16"/>
      <sheetName val="E27"/>
      <sheetName val="E26"/>
      <sheetName val="E25"/>
      <sheetName val="E24"/>
      <sheetName val="E30"/>
      <sheetName val="E29"/>
      <sheetName val="E28"/>
      <sheetName val="E32"/>
      <sheetName val="E31"/>
      <sheetName val="E34"/>
      <sheetName val="E33"/>
      <sheetName val="E39"/>
      <sheetName val="E38"/>
      <sheetName val="E37"/>
      <sheetName val="E36"/>
      <sheetName val="E35"/>
      <sheetName val="E41"/>
      <sheetName val="E40"/>
      <sheetName val="E48"/>
      <sheetName val="E47"/>
      <sheetName val="E46"/>
      <sheetName val="E45"/>
      <sheetName val="E44"/>
      <sheetName val="E43"/>
      <sheetName val="E42"/>
      <sheetName val="Other Exp "/>
      <sheetName val="Classification Rev Prov Bonus"/>
      <sheetName val="Classification of prov bonus"/>
      <sheetName val="P&amp;L FCT 8.1"/>
      <sheetName val="BS FCT 8.1"/>
      <sheetName val="Bal.Sheet"/>
      <sheetName val="P &amp; L Report"/>
      <sheetName val="Exp.detail"/>
      <sheetName val="A&amp;G"/>
      <sheetName val="AR AI"/>
      <sheetName val="Bank Chg"/>
      <sheetName val="Interest Exp"/>
      <sheetName val="Interest Income"/>
      <sheetName val="Forex Asset"/>
      <sheetName val="Oth Income"/>
      <sheetName val="Adj.Fixed Asset"/>
      <sheetName val="Exp.Log"/>
      <sheetName val="Summary Finding"/>
      <sheetName val="Summary SKP"/>
      <sheetName val="Tax Audit Status"/>
      <sheetName val="Tax Loss"/>
      <sheetName val="Summary TB"/>
      <sheetName val="KF 2003"/>
      <sheetName val="KF 2004"/>
      <sheetName val="KF 2005"/>
      <sheetName val="REC 2003"/>
      <sheetName val="REC 2004"/>
      <sheetName val="REC 2005"/>
      <sheetName val="COGS 2003"/>
      <sheetName val="COGS 2004"/>
      <sheetName val="COGS 2005"/>
      <sheetName val="REC 2006"/>
      <sheetName val="Movement ProvisionAccrued"/>
      <sheetName val="SE-46"/>
      <sheetName val="Note for Next engagement"/>
      <sheetName val="Rekonsiliasi RE BEg"/>
      <sheetName val="Analytical IBS Jkt "/>
      <sheetName val="Monetary assets"/>
      <sheetName val="LiabilitiesEquity"/>
      <sheetName val="Elimination2002"/>
      <sheetName val="Repleter"/>
      <sheetName val="C-Cash"/>
      <sheetName val="D-Short Term Investment"/>
      <sheetName val="F-InventoriesFeb03"/>
      <sheetName val="F-Inventories"/>
      <sheetName val="G-Prepaid Expense"/>
      <sheetName val="I-Dueto ISM"/>
      <sheetName val="J - 3 Project Adv"/>
      <sheetName val="J-4 Def Loss"/>
      <sheetName val="K(incl elim)"/>
      <sheetName val="K-PPE1"/>
      <sheetName val="M-STL"/>
      <sheetName val="O-Fiscal"/>
      <sheetName val="P-Def Charges"/>
      <sheetName val="Q1-OUCL"/>
      <sheetName val="T-Shareholders"/>
      <sheetName val="Combine Jkt Sby"/>
      <sheetName val="U1-Sales"/>
      <sheetName val="U3-Opex"/>
      <sheetName val="U4-2 Interest expense"/>
      <sheetName val="V-Related Party Transactions"/>
      <sheetName val="X-Tax Return"/>
      <sheetName val="List HGB Jkt Sby"/>
      <sheetName val="Note for 2004 Engagement"/>
      <sheetName val="Standard Tickmark"/>
      <sheetName val="Analytical-Comb"/>
      <sheetName val="Analytical IBSJkt"/>
      <sheetName val="Cashflow-Jkt"/>
      <sheetName val="U-3 OPEX"/>
      <sheetName val="V-Related Party Trans"/>
      <sheetName val="Reclassification account2002"/>
      <sheetName val="Combine Jkt-Sby"/>
      <sheetName val="Naturenotes"/>
      <sheetName val="E-Receivables"/>
      <sheetName val="Subsequent AR"/>
      <sheetName val="AR Non-Trade"/>
      <sheetName val="F-Test Pricing"/>
      <sheetName val="G-PrepaidExp"/>
      <sheetName val="G-Prepaid Taxes"/>
      <sheetName val="J-ProjectAdv"/>
      <sheetName val="K-Pred"/>
      <sheetName val="N-Payables"/>
      <sheetName val="O-Tax payable PPh 21"/>
      <sheetName val="O-Tax payable PPh23,26"/>
      <sheetName val="Fiscal - DIT"/>
      <sheetName val="Q-OUCL"/>
      <sheetName val="T-Capstock"/>
      <sheetName val="Salescut"/>
      <sheetName val="U-1 SalesAnalytical"/>
      <sheetName val="Monthly-Sales"/>
      <sheetName val="Productivity"/>
      <sheetName val="U.2-Purchase"/>
      <sheetName val="Purcutoff"/>
      <sheetName val="OpexAnalytic"/>
      <sheetName val="X-Claim for Income Tax"/>
      <sheetName val="List HGB Jkt - Sby"/>
      <sheetName val="PM, TE  &amp; SAD"/>
      <sheetName val="Request Data"/>
      <sheetName val="Herlina"/>
      <sheetName val="Miscell-details"/>
      <sheetName val="Rent Inc"/>
      <sheetName val="Provision bank"/>
      <sheetName val="F-PricingTest"/>
      <sheetName val="G-Prepaid Tax"/>
      <sheetName val="I-Due from related"/>
      <sheetName val="K-PPE Vouch"/>
      <sheetName val="O-1 Tax Pay. art 21"/>
      <sheetName val="O-2 Tax Pay, 23&amp;26"/>
      <sheetName val="List Vouch"/>
      <sheetName val="U-5-Int Inc"/>
      <sheetName val="AR Subledger"/>
      <sheetName val="Sales+Tooling"/>
      <sheetName val="U-2 Puchase"/>
      <sheetName val="Rekon fiskal dgn klien"/>
      <sheetName val="Analy IBS-Jkt Dec05Oct05"/>
      <sheetName val="Analy-Combine (Des05-04)"/>
      <sheetName val="Cash-flow - Jakarta"/>
      <sheetName val="Analytical IBSJkt-Dec05-04"/>
      <sheetName val="Combine Jkt, Sby &amp; Mdn"/>
      <sheetName val="Recon RE Journal"/>
      <sheetName val="BS IBS"/>
      <sheetName val="PL IBS"/>
      <sheetName val="I-Due From RP"/>
      <sheetName val="Consolpack"/>
      <sheetName val="T-Cap-stock"/>
      <sheetName val="Analy-RM purchase"/>
      <sheetName val="E-Receivables combined"/>
      <sheetName val="F-Inventories combined"/>
      <sheetName val="Q1 - OUCL"/>
      <sheetName val="U-3&amp;4 Procedures"/>
      <sheetName val="Inventory Analysis"/>
      <sheetName val="Penjualan Bimoli"/>
      <sheetName val="Sales Cutoff - Export"/>
      <sheetName val="Sales Cutoff (Product) - Local "/>
      <sheetName val="Sales Cutoff (Customer)-Local "/>
      <sheetName val="Recap - Franco Sales IBS 2006"/>
      <sheetName val="IBSRC200606"/>
      <sheetName val="RC Jun 06 - Per Product"/>
      <sheetName val="RC Jun 06 - Per Customer"/>
      <sheetName val="Reversal Journal RC 2005"/>
      <sheetName val="Journal RC 2006"/>
      <sheetName val="Flow RC - PBC Client"/>
      <sheetName val="RC IBS 2005 JK01-Customer"/>
      <sheetName val="RC IBS - SB04 Product"/>
      <sheetName val="IBSCN2006"/>
      <sheetName val="Barang Titipan to RP"/>
      <sheetName val="Tukar Barang"/>
      <sheetName val="Sales Packaging"/>
      <sheetName val="Gross profit analysis"/>
      <sheetName val="Point to Do - Dec'06"/>
      <sheetName val="Analytical IBSSby"/>
      <sheetName val="PAJE-Dec 31, 2006"/>
      <sheetName val="PAJE-Oct 31, 2006"/>
      <sheetName val="PRJE-Oct 31, 2006"/>
      <sheetName val="PRJE-Dec 31, 2006"/>
      <sheetName val="CARJE-Dec 31, 2006"/>
      <sheetName val="Reconciliastion RE beg"/>
      <sheetName val="A - Building"/>
      <sheetName val="B - Non Building"/>
      <sheetName val="B (FA fiscal - sold)"/>
      <sheetName val="Laba rugi fiscal"/>
      <sheetName val="Laba rugi komersial"/>
      <sheetName val="RUCC - FA from SOG"/>
      <sheetName val="Reasonable Test audit"/>
      <sheetName val="FA Mutation audited"/>
      <sheetName val="O7.1 - Penyusutan Fiskal 2006"/>
      <sheetName val="FA fiskal truck"/>
      <sheetName val="Listing FA from SOG-PBC"/>
      <sheetName val="Assets Not used in operation"/>
      <sheetName val="Listing FA Truk"/>
      <sheetName val="Impairment Value"/>
      <sheetName val="Penyusutan Fiskal 2005"/>
      <sheetName val="Penyusutan Fiskal"/>
      <sheetName val="Gain(Loss)"/>
      <sheetName val="Listing FA BLW(ex SOG)"/>
      <sheetName val="Listing PRIOK(ex SOG)"/>
      <sheetName val="FA Commercial vs Fiscal"/>
      <sheetName val="Inventory Turnover - Jkt"/>
      <sheetName val="Inventory Turnover - Medan"/>
      <sheetName val="Idle - Cooking - Jkt"/>
      <sheetName val="Idle - Cooking - Sby"/>
      <sheetName val="Ref, Frac &amp; Marg - Idle-Jakarta"/>
      <sheetName val="Ref, Frac &amp; Marg - Idle-Mdn"/>
      <sheetName val="Ref, Frac &amp; Marg. Idle Cap - Sb"/>
      <sheetName val="Ref, Frac &amp; Marg - Idle-Medan"/>
      <sheetName val="Des'08"/>
      <sheetName val="Dismantling"/>
      <sheetName val="Discount Rate"/>
      <sheetName val="PM Calculation"/>
      <sheetName val="recon RE Beg"/>
      <sheetName val="Analytical Sby"/>
      <sheetName val="Analytical Jkt"/>
      <sheetName val="Analytical Combine"/>
      <sheetName val="Elimination(update)"/>
      <sheetName val="Provision for income tax"/>
      <sheetName val="Purchase RM"/>
      <sheetName val="recon plantation"/>
      <sheetName val="AP Turnover"/>
      <sheetName val="BS SIMP"/>
      <sheetName val="PL SIMP"/>
      <sheetName val="Notes-B"/>
      <sheetName val="K.1 - Mutasi FA"/>
      <sheetName val="K.2 - Pred-Depre"/>
      <sheetName val="K.3 - Construction In Progress"/>
      <sheetName val="K.3.2 - Project advances"/>
      <sheetName val="List of HGB"/>
      <sheetName val="PSAK 47 - Definisi"/>
      <sheetName val="J-project adv"/>
      <sheetName val="K.4-impairment issue - PSAK 48"/>
      <sheetName val="List HGB - JKT &amp; SBY (cek)"/>
      <sheetName val="Def Charges - HGB On HPL(cek)"/>
      <sheetName val="Sales Return to RP"/>
      <sheetName val="Elimination MBP"/>
      <sheetName val="C2H4"/>
      <sheetName val="REKAPSP"/>
      <sheetName val="summary komersial"/>
      <sheetName val="Elim June 30, 2006"/>
      <sheetName val="YTD June 30, 2006"/>
      <sheetName val="SFRS June06"/>
      <sheetName val="Restatement"/>
      <sheetName val="Other Income(Charges)"/>
      <sheetName val="2003 Cash Flow"/>
      <sheetName val="Before Elim"/>
      <sheetName val="New SIMP Cash Flow"/>
      <sheetName val="New SIMP"/>
      <sheetName val="PSAK 24 SIMP"/>
      <sheetName val="PSAK 24 SIMP rev"/>
      <sheetName val="PSAK 24 Bimoli"/>
      <sheetName val="summary ytd"/>
      <sheetName val="summary-cm"/>
      <sheetName val="diluar bangunan"/>
      <sheetName val="6&amp;7"/>
      <sheetName val="11&amp;12"/>
      <sheetName val="14&amp;15"/>
      <sheetName val="Rekon RE"/>
      <sheetName val="18&amp;19"/>
      <sheetName val="20&amp;21"/>
      <sheetName val="InvoiceList"/>
      <sheetName val="A201"/>
      <sheetName val="A601"/>
      <sheetName val="A602"/>
      <sheetName val="H101"/>
      <sheetName val="I102"/>
      <sheetName val="T101"/>
      <sheetName val="T201"/>
      <sheetName val="A6.100"/>
      <sheetName val="A801"/>
      <sheetName val="C101"/>
      <sheetName val="C202"/>
      <sheetName val="G101"/>
      <sheetName val="I201"/>
      <sheetName val="N101"/>
      <sheetName val="O101"/>
      <sheetName val="U101"/>
      <sheetName val="U201"/>
      <sheetName val="U301"/>
      <sheetName val="A6.4"/>
      <sheetName val="F4 "/>
      <sheetName val="F51"/>
      <sheetName val="H "/>
      <sheetName val="N "/>
      <sheetName val="P3.2"/>
      <sheetName val="U200"/>
      <sheetName val="U202"/>
      <sheetName val="U2.2a"/>
      <sheetName val="U2.3 "/>
      <sheetName val="U3 "/>
      <sheetName val="U400cutofp"/>
      <sheetName val="U401cutofs"/>
      <sheetName val="C101-Cash"/>
      <sheetName val="C201-cashbook review"/>
      <sheetName val="C301-bank recon review"/>
      <sheetName val="W &amp; T"/>
      <sheetName val="Draft bill"/>
      <sheetName val="CAF Index"/>
      <sheetName val="Audit Plan"/>
      <sheetName val="Risk Asses"/>
      <sheetName val="D1-MBB"/>
      <sheetName val="D2-ICB"/>
      <sheetName val="O2 - Cir1"/>
      <sheetName val="O2 - Cir2"/>
      <sheetName val="O2-3"/>
      <sheetName val="W3"/>
      <sheetName val="W4,5,6,8,9"/>
      <sheetName val="Y"/>
      <sheetName val="Y1-1"/>
      <sheetName val="Y1-2"/>
      <sheetName val="X8"/>
      <sheetName val="X9"/>
      <sheetName val="X10"/>
      <sheetName val="PAF &amp; CAF Index"/>
      <sheetName val="Sampling-AR"/>
      <sheetName val="TAX SCHEDULE"/>
      <sheetName val="APM"/>
      <sheetName val="Materiality &amp; Sampling"/>
      <sheetName val="ES Taxation"/>
      <sheetName val="TAXCOMP"/>
      <sheetName val="SCH 1-4"/>
      <sheetName val="SCH 5-6"/>
      <sheetName val="MISC SCH"/>
      <sheetName val="Open"/>
      <sheetName val="JA"/>
      <sheetName val="Fs (2)"/>
      <sheetName val="Gs (2)"/>
      <sheetName val="Js (2)"/>
      <sheetName val="Os (2)"/>
      <sheetName val="Qs (2)"/>
      <sheetName val="Final notes"/>
      <sheetName val="DPL"/>
      <sheetName val="Effect"/>
      <sheetName val="Q "/>
      <sheetName val="W6"/>
      <sheetName val="Sampling-TC"/>
      <sheetName val="Sampling-TD"/>
      <sheetName val="F (2)"/>
      <sheetName val="1.1"/>
      <sheetName val="G - Cir2"/>
      <sheetName val="N0"/>
      <sheetName val="G - Cir1"/>
      <sheetName val="O - Cir1"/>
      <sheetName val="O - Cir2"/>
      <sheetName val="Cap allw"/>
      <sheetName val="I1-1"/>
      <sheetName val="I1-2"/>
      <sheetName val="I2-1"/>
      <sheetName val="A2.4 RJE"/>
      <sheetName val="A3 Accounts Distri "/>
      <sheetName val="A6-1"/>
      <sheetName val="A6.2"/>
      <sheetName val="A6-3"/>
      <sheetName val="A6-4"/>
      <sheetName val="A7 memo"/>
      <sheetName val="C2-Cashbk"/>
      <sheetName val="C3-Bank rec"/>
      <sheetName val="E2 AR Aging"/>
      <sheetName val="E4-1"/>
      <sheetName val="EE memo"/>
      <sheetName val="M3-1"/>
      <sheetName val="MM memo"/>
      <sheetName val="NN Memo"/>
      <sheetName val="A2.1 AJE"/>
      <sheetName val="T1-FYI"/>
      <sheetName val="U memo"/>
      <sheetName val="Imemo"/>
      <sheetName val="I1-2 ARPS"/>
      <sheetName val="I2 Interco review"/>
      <sheetName val="I1 (2)"/>
      <sheetName val="Oo1"/>
      <sheetName val="Oo2"/>
      <sheetName val="ORC-AR"/>
      <sheetName val="ORC-TB"/>
      <sheetName val="Disclosure P&amp;L"/>
      <sheetName val="Arthur1- JE"/>
      <sheetName val="Arthur2- opening bal"/>
      <sheetName val="ON"/>
      <sheetName val="Draft bill &amp; Audit Ticks"/>
      <sheetName val="Shldg history"/>
      <sheetName val=" Charges"/>
      <sheetName val="Perm Index"/>
      <sheetName val="Master Sch"/>
      <sheetName val="G-Cir"/>
      <sheetName val="G-Cir1"/>
      <sheetName val="G-Cir2"/>
      <sheetName val="O-Cir"/>
      <sheetName val="O-Cir1"/>
      <sheetName val="O-Cir2"/>
      <sheetName val="Qs1.4"/>
      <sheetName val="X,Y"/>
      <sheetName val="A6.401"/>
      <sheetName val="E300"/>
      <sheetName val="E301"/>
      <sheetName val="F501"/>
      <sheetName val="K300"/>
      <sheetName val="M100"/>
      <sheetName val="M400"/>
      <sheetName val="Scope"/>
      <sheetName val="A2.201 AJE"/>
      <sheetName val="A2.202. RJE"/>
      <sheetName val="A2.203 CLA"/>
      <sheetName val="A2.204 SAD"/>
      <sheetName val="A6.301"/>
      <sheetName val="B101"/>
      <sheetName val="B201"/>
      <sheetName val="E101"/>
      <sheetName val="E201"/>
      <sheetName val="EE101"/>
      <sheetName val="K101"/>
      <sheetName val="K201"/>
      <sheetName val="K301"/>
      <sheetName val="K401"/>
      <sheetName val="M101"/>
      <sheetName val="M301"/>
      <sheetName val="M302"/>
      <sheetName val="MM100"/>
      <sheetName val="N201"/>
      <sheetName val="N301"/>
      <sheetName val="S101"/>
      <sheetName val="S201"/>
      <sheetName val="TTmemo"/>
      <sheetName val="O101 (revised)"/>
      <sheetName val="E401"/>
      <sheetName val="E402"/>
      <sheetName val="E403"/>
      <sheetName val="Prepayment1"/>
      <sheetName val="G201 Prepayment"/>
      <sheetName val="G301 GST"/>
      <sheetName val="G401 Rental Deposit"/>
      <sheetName val="G501 Deposit"/>
      <sheetName val="F-1(KL)"/>
      <sheetName val="F-2(KL)"/>
      <sheetName val="F-3(KL)"/>
      <sheetName val="F-4(KL)"/>
      <sheetName val="F-5(KL)"/>
      <sheetName val="F-22(KL)"/>
      <sheetName val="A(KL)"/>
      <sheetName val="L(KL)"/>
      <sheetName val="M-MM(KL)"/>
      <sheetName val="N(KL)"/>
      <sheetName val="U(KL)"/>
      <sheetName val="U-1(KL)"/>
      <sheetName val="U-disclosure(KL)"/>
      <sheetName val="CC(KL)"/>
      <sheetName val="30(KL)"/>
      <sheetName val="P.CTN"/>
      <sheetName val="Total PL"/>
      <sheetName val="Company Info"/>
      <sheetName val="Summary of Fixed Assets"/>
      <sheetName val="Hire Purchase"/>
      <sheetName val="Controlled Transfer"/>
      <sheetName val="CA Comp"/>
      <sheetName val="IBA Comp "/>
      <sheetName val="14 Column"/>
      <sheetName val="7 Column"/>
      <sheetName val="Index "/>
      <sheetName val="Direct Report"/>
      <sheetName val="Dtr Rpt - 1 - 3"/>
      <sheetName val="Dtrs stmt - 4"/>
      <sheetName val="Aud Rpt - 5"/>
      <sheetName val="P&amp;L - 6"/>
      <sheetName val="BS - 7"/>
      <sheetName val="Equity - 8"/>
      <sheetName val="CF - 9"/>
      <sheetName val="Notes - 10 - 12"/>
      <sheetName val="P&amp;L "/>
      <sheetName val="Sch A"/>
      <sheetName val="Notes 2"/>
      <sheetName val="cashflowcomp"/>
      <sheetName val="cashflowcomp (2)"/>
      <sheetName val="Consol adjustments"/>
      <sheetName val="Financial stats"/>
      <sheetName val="Segment - 2002 (new)"/>
      <sheetName val="Segment - 2002"/>
      <sheetName val="Changes in equity"/>
      <sheetName val="Inter-co"/>
      <sheetName val="Inter-co(subsidiary)"/>
      <sheetName val="FA-detailed"/>
      <sheetName val="P&amp;L-disclosure(2002)"/>
      <sheetName val="P&amp;L disclosure(2001)"/>
      <sheetName val="Cash flow -2001"/>
      <sheetName val="Consol cashflow"/>
      <sheetName val="URP"/>
      <sheetName val="Dev Expenditure"/>
      <sheetName val="CF-1 2-unused"/>
      <sheetName val="Associate"/>
      <sheetName val="FA movement "/>
      <sheetName val="FA-summary"/>
      <sheetName val="CF-13"/>
      <sheetName val="CF-10-unused"/>
      <sheetName val="CF-11- unused"/>
      <sheetName val="FACON- unused"/>
      <sheetName val="CF-3 1999 - unused"/>
      <sheetName val="CF-22- unused"/>
      <sheetName val="Sheet1- unused"/>
      <sheetName val="bhb0603"/>
      <sheetName val="BPR-PL "/>
      <sheetName val="BPR-BS"/>
      <sheetName val="F-1,2"/>
      <sheetName val="F-99"/>
      <sheetName val="M MM "/>
      <sheetName val="U dis"/>
      <sheetName val="BB-17"/>
      <sheetName val="FIN297"/>
      <sheetName val="FF-4(a)"/>
      <sheetName val="10,20"/>
      <sheetName val="Bank Rec review"/>
      <sheetName val="auditor"/>
      <sheetName val="F-2 (2)"/>
      <sheetName val="CF-IS"/>
      <sheetName val="CF-SCE"/>
      <sheetName val="DIVIDENDS"/>
      <sheetName val="Statement of Equity"/>
      <sheetName val="F-7B"/>
      <sheetName val="B-1."/>
      <sheetName val="30(old)"/>
      <sheetName val="F-8-20-1"/>
      <sheetName val="OSM"/>
      <sheetName val="AWPs Template"/>
      <sheetName val="A2-1 CLA"/>
      <sheetName val="A2-2 RJE"/>
      <sheetName val="A2-3 SAD"/>
      <sheetName val="Review Recon"/>
      <sheetName val="Review Cash book"/>
      <sheetName val="E3 Recoverability"/>
      <sheetName val="E-1_Recoverability"/>
      <sheetName val="J-1 OSM"/>
      <sheetName val="J1 Devt costs breakdown"/>
      <sheetName val="J2 Budget &amp; Att profit"/>
      <sheetName val="J3 Actual 04"/>
      <sheetName val="J4  Lots sold report CHD"/>
      <sheetName val="J-1-1_Commission"/>
      <sheetName val="Recog Prof"/>
      <sheetName val="J-consol sv11"/>
      <sheetName val="J 1-1(2)"/>
      <sheetName val="Unrecorded"/>
      <sheetName val="O-1_Prov.Tax-2004"/>
      <sheetName val="Capital allowance"/>
      <sheetName val="P2A"/>
      <sheetName val="P2B"/>
      <sheetName val="P3A"/>
      <sheetName val="P3B"/>
      <sheetName val="P3C"/>
      <sheetName val="U-6"/>
      <sheetName val="U1 Salary resonableness"/>
      <sheetName val="U1_Rental"/>
      <sheetName val="U2_Total Salary"/>
      <sheetName val="CHSB Salary Allocation Summary"/>
      <sheetName val="MegaPalm salary Allocation"/>
      <sheetName val="U4_RCSLS Interest"/>
      <sheetName val="E-2_Recognition of sales 03 "/>
      <sheetName val="J-5_Pre-acq dev cost alloc 03"/>
      <sheetName val="J-3_Bgt 03"/>
      <sheetName val="J-2_% of compl_Final 03"/>
      <sheetName val="J-3_Puan Sri Comm 03"/>
      <sheetName val="J-4_Rebate reasona03"/>
      <sheetName val="Listing of CNs 03"/>
      <sheetName val="Fees 03"/>
      <sheetName val="F-1 F-2"/>
      <sheetName val="B "/>
      <sheetName val="U-disc"/>
      <sheetName val="BB-5"/>
      <sheetName val="20 30"/>
      <sheetName val="70 "/>
      <sheetName val="MCMD95"/>
      <sheetName val="A2l2"/>
      <sheetName val="OS list"/>
      <sheetName val="A3l1"/>
      <sheetName val="A3l1-1"/>
      <sheetName val="A2l1-RJE"/>
      <sheetName val="A2l2-CLA"/>
      <sheetName val="A2l3-SAD"/>
      <sheetName val="EA"/>
      <sheetName val="EC"/>
      <sheetName val="E1l1"/>
      <sheetName val="K3l1"/>
      <sheetName val="N8"/>
      <sheetName val="N9"/>
      <sheetName val="O2-CA"/>
      <sheetName val="O3-Disposal"/>
      <sheetName val="P1l2"/>
      <sheetName val="R1-Sch I"/>
      <sheetName val="R2-Sch IIa"/>
      <sheetName val="R3-Sch IIb"/>
      <sheetName val="R4-Sch III"/>
      <sheetName val="R5-NQA04"/>
      <sheetName val="R6-NQA03"/>
      <sheetName val="R1l1"/>
      <sheetName val="R1l2"/>
      <sheetName val="Issues"/>
      <sheetName val="SRM(final)"/>
      <sheetName val="SAD(not used)"/>
      <sheetName val="RJE(not used)"/>
      <sheetName val="A3-1l2"/>
      <sheetName val="A3|3"/>
      <sheetName val="E-2(not used)"/>
      <sheetName val="K(disclosure)"/>
      <sheetName val="K (2)"/>
      <sheetName val="K1-DepnReasonablenessTest"/>
      <sheetName val="N2 Prov for bonus(final)"/>
      <sheetName val="N3 Prov for audit fee(final)"/>
      <sheetName val="N5(final)"/>
      <sheetName val="O(final)"/>
      <sheetName val="O1(final)"/>
      <sheetName val="O2(final)"/>
      <sheetName val="R(final)"/>
      <sheetName val="R1(final)"/>
      <sheetName val="R2(final)"/>
      <sheetName val="UA-Disclosure items(final)"/>
      <sheetName val="U10|20"/>
      <sheetName val="U10|1"/>
      <sheetName val="U20|1"/>
      <sheetName val="Purchases cut off"/>
      <sheetName val="Payroll analysis(final)"/>
      <sheetName val="EPF(final)"/>
      <sheetName val="U-70"/>
      <sheetName val="PreM'sia(info)"/>
      <sheetName val="PreBrunei(info) (2)"/>
      <sheetName val="PreBrunei(info)"/>
      <sheetName val="F.G6-1 "/>
      <sheetName val="F.G6-2"/>
      <sheetName val="F.G7-1"/>
      <sheetName val="F.G7-2"/>
      <sheetName val="F.G8-1 "/>
      <sheetName val="F.G8-2"/>
      <sheetName val="Com(Brunei)"/>
      <sheetName val="Com(M'sia)"/>
      <sheetName val="H-lead"/>
      <sheetName val="H1_MGS"/>
      <sheetName val="H2_Cagamas"/>
      <sheetName val="H3_Debentures"/>
      <sheetName val="H4_Quoted Shares"/>
      <sheetName val="revised high demand"/>
      <sheetName val="Provision DD"/>
      <sheetName val="A8-2"/>
      <sheetName val="A8-5"/>
      <sheetName val="Form EYP 1"/>
      <sheetName val="FS - 1"/>
      <sheetName val="FS - 2"/>
      <sheetName val="FS - 3"/>
      <sheetName val="C2 FD"/>
      <sheetName val="G2-1 "/>
      <sheetName val="K1-2 Policy"/>
      <sheetName val="N7Accrual"/>
      <sheetName val="Q1-1"/>
      <sheetName val="U1income statm"/>
      <sheetName val="u1ar"/>
      <sheetName val="U2direct cost"/>
      <sheetName val="U3 fees reasonable"/>
      <sheetName val="U4 EPF &amp;staff"/>
      <sheetName val="U1 (2)"/>
      <sheetName val="U3 fees reasonable (2)"/>
      <sheetName val="U4 EPF &amp;staff (2)"/>
      <sheetName val="Capital Allowances"/>
      <sheetName val="PL Mapping"/>
      <sheetName val="download 06022002"/>
      <sheetName val="Tabelle3"/>
      <sheetName val="MV INS &amp; R.TAX EXP LIST"/>
      <sheetName val="EQMT INS EXP LIST"/>
      <sheetName val="PREPAID-INS,RTAX"/>
      <sheetName val="M, MM"/>
      <sheetName val=" BB-2"/>
      <sheetName val="CC-3-1"/>
      <sheetName val="PP-2"/>
      <sheetName val="RCD 5- (APPENDIX 1)"/>
      <sheetName val="VA101 COS"/>
      <sheetName val="VA102 Review of COS exp"/>
      <sheetName val="VC101"/>
      <sheetName val="VC102 Bonus reasonableness"/>
      <sheetName val="VD101"/>
      <sheetName val="VD102 Review of admin exp"/>
      <sheetName val="VE101"/>
      <sheetName val="Datastream"/>
      <sheetName val="AA Hanson"/>
      <sheetName val="Base data Bidder"/>
      <sheetName val="AA Heidelberg"/>
      <sheetName val="Base data Target"/>
      <sheetName val="Base data Target CALENDAR"/>
      <sheetName val="TH slide1"/>
      <sheetName val="TH slide2"/>
      <sheetName val="TH slide3"/>
      <sheetName val="TH slide4"/>
      <sheetName val="Synergies"/>
      <sheetName val="Market data"/>
      <sheetName val="P&amp;L1"/>
      <sheetName val="P&amp;L2"/>
      <sheetName val="P&amp;L3"/>
      <sheetName val="P&amp;L overview"/>
      <sheetName val="Proforma BS"/>
      <sheetName val="Forecasts"/>
      <sheetName val="Impacts"/>
      <sheetName val="PresOffer"/>
      <sheetName val="PresImpacts"/>
      <sheetName val="Dialog5"/>
      <sheetName val="PresMerger1"/>
      <sheetName val="PresMerger2"/>
      <sheetName val="Graph contribution analysis"/>
      <sheetName val="Standard page"/>
      <sheetName val="Guidelines"/>
      <sheetName val="Rights issue"/>
      <sheetName val="OLD"/>
      <sheetName val="JUNI10"/>
      <sheetName val="JobDetails"/>
      <sheetName val="05_2003-compute"/>
      <sheetName val="O1 radit"/>
      <sheetName val="O2 radit"/>
      <sheetName val="SarullaFinancing"/>
      <sheetName val="AdvProj_MGS"/>
      <sheetName val="AdvProj_MPI"/>
      <sheetName val="AdvProjMPI_6Nov"/>
      <sheetName val="PPN_6Nov"/>
      <sheetName val="Cash Out Proj"/>
      <sheetName val="Sarulla 2008 Budget_USD_REV"/>
      <sheetName val="Sarulla 2008 Budget_IDR_REV"/>
      <sheetName val="Sarulla 2008 BudgetApprovedORI"/>
      <sheetName val="Sarulla 2008 BudgetORI"/>
      <sheetName val="WO_Budget"/>
      <sheetName val="PWT_Budget"/>
      <sheetName val="For LetterDetailApprv"/>
      <sheetName val="For LEtterSumm"/>
      <sheetName val="Travelling detail"/>
      <sheetName val="Kewajiban Lainnya"/>
      <sheetName val="N-2-1_rollforward"/>
      <sheetName val="N-2-1_final"/>
      <sheetName val="G-030 PAS 19"/>
      <sheetName val="(c) Lapsing of pension"/>
      <sheetName val="TOR PAS19 Discount rate"/>
      <sheetName val="N-2-2"/>
      <sheetName val="SUMM_CURR_YR"/>
      <sheetName val="TB_SUMM"/>
      <sheetName val="LY"/>
      <sheetName val="LY2"/>
      <sheetName val="BS_asset"/>
      <sheetName val="BS_Liabilities"/>
      <sheetName val="General_1d"/>
      <sheetName val="3 Cash and Bank"/>
      <sheetName val="4 Invest Jngk Pdk"/>
      <sheetName val="5 Acc Reiv"/>
      <sheetName val="6 Inventories"/>
      <sheetName val="7 Advance"/>
      <sheetName val="8 Prepaid Exp"/>
      <sheetName val="9 Advance Puchased Fixed Asset"/>
      <sheetName val="10 Fixed asset"/>
      <sheetName val="10 Fixed Asset 2"/>
      <sheetName val="11 Asset derivative"/>
      <sheetName val="14 Payable"/>
      <sheetName val="15 Other payable"/>
      <sheetName val="17 accrued exp"/>
      <sheetName val="18 Long term bank loan"/>
      <sheetName val="18 Long Term bank_2"/>
      <sheetName val="19 Obligation under leases"/>
      <sheetName val="21 Equity"/>
      <sheetName val="22 addtional paid-in capital"/>
      <sheetName val="23 Tresury stock"/>
      <sheetName val="24 Operating Revenue"/>
      <sheetName val="25 Operting and Maintenance exp"/>
      <sheetName val="26 General &amp; Adm exp"/>
      <sheetName val="27 Personal Exp"/>
      <sheetName val="28 Sales &amp; Marketing exp"/>
      <sheetName val="29 Other income (exp)"/>
      <sheetName val="30 Prepaid tax_a"/>
      <sheetName val="30 Estim claim f tax refund_b"/>
      <sheetName val="30 tax payable_c"/>
      <sheetName val="30 Current Tax_d"/>
      <sheetName val="30 deferred tax_e"/>
      <sheetName val="30 Tax assesment letter_f"/>
      <sheetName val="31 trans with Rlated Party"/>
      <sheetName val="31 trans with Rlated Party 2"/>
      <sheetName val="32 Employee benefit obligation"/>
      <sheetName val="33 Monetary ast&amp;lia forgn curr"/>
      <sheetName val="34 Financial Instrusmnt_1"/>
      <sheetName val="34 Financial Instrmnt_2"/>
      <sheetName val="35 Earning per share"/>
      <sheetName val="36 telecom tariff"/>
      <sheetName val="37 Interconnection"/>
      <sheetName val="44 Reclassification of accounts"/>
      <sheetName val="J-4 (2)"/>
      <sheetName val="Control_Vendor"/>
      <sheetName val="BS-deftax (ITA)"/>
      <sheetName val="PROGRAM "/>
      <sheetName val="JIS-01SUM"/>
      <sheetName val="JIS-01"/>
      <sheetName val="TRAINSUM"/>
      <sheetName val="JIS-01DATA"/>
      <sheetName val="USD Months"/>
      <sheetName val="notes_non restated "/>
      <sheetName val="Adj - WB"/>
      <sheetName val="Adj - Trading"/>
      <sheetName val="Adj - HOLDING"/>
      <sheetName val="DITeh"/>
      <sheetName val="Fiscal - PCO"/>
      <sheetName val="invest 2002"/>
      <sheetName val="invest 2003"/>
      <sheetName val="invest adj"/>
      <sheetName val="gue"/>
      <sheetName val="FA Holding"/>
      <sheetName val="idCF"/>
      <sheetName val="GAAP"/>
      <sheetName val="dda"/>
      <sheetName val="dda-1"/>
      <sheetName val="IJV-ARJE"/>
      <sheetName val="fa-1"/>
      <sheetName val="T-Acct"/>
      <sheetName val="WS-des"/>
      <sheetName val="DDA-1205"/>
      <sheetName val="OG PROPERTY-1205"/>
      <sheetName val="AJE-EJE-1205"/>
      <sheetName val="T-Acc-IJV-ARJE-1205"/>
      <sheetName val="IJV-ARJE-1205"/>
      <sheetName val="IJV-GAAP-1205"/>
      <sheetName val="USTAX-1205"/>
      <sheetName val="DTAL-BS-1205"/>
      <sheetName val="DTAL-IS-1205"/>
      <sheetName val="deftax PL"/>
      <sheetName val="REKONFISKAL-1205"/>
      <sheetName val="RPM COST"/>
      <sheetName val="PACKREQ"/>
      <sheetName val="MATREQ CHEESE"/>
      <sheetName val="MATREQ-VISCOUS"/>
      <sheetName val="RECEIPTS"/>
      <sheetName val="PENDING PO &amp; LC"/>
      <sheetName val="RM2 as of feb 04"/>
      <sheetName val="REtail Vol"/>
      <sheetName val="FS vol"/>
      <sheetName val="New sku"/>
      <sheetName val="Existing"/>
      <sheetName val="VAR ANALYSIS"/>
      <sheetName val="TPP"/>
      <sheetName val="Rule"/>
      <sheetName val="Pay"/>
      <sheetName val="Slip"/>
      <sheetName val="Sum (3)"/>
      <sheetName val="E. Lead Schedule"/>
      <sheetName val="E.1 AR-Trade"/>
      <sheetName val="E.2 CRAM"/>
      <sheetName val="E.2 Sub'q. Coll."/>
      <sheetName val="G. Lead Schedule (2)"/>
      <sheetName val="G. Lead Schedule"/>
      <sheetName val="G.1 Deposit"/>
      <sheetName val="G.2 Dep. to MQD"/>
      <sheetName val="G.3 Prepaid Rent-Nov."/>
      <sheetName val="G.3.1 Prepaid Rent - Dec."/>
      <sheetName val="Prepaid Rent-Dec."/>
      <sheetName val="G.4 Adv. to Suppliers"/>
      <sheetName val="Adv. to Supp.-Dec."/>
      <sheetName val="G.6 Prepaid Expenses-Nov"/>
      <sheetName val="G.6.1 Prepaid Exp. Dec."/>
      <sheetName val="G.6.1 Prepaid-Exp.-Dec."/>
      <sheetName val="G.7 Prepaid Tax"/>
      <sheetName val="Pretax-Dec."/>
      <sheetName val="Dep. to MQD-Dec."/>
      <sheetName val="Deposit - Dec."/>
      <sheetName val="E1. AR-Trade"/>
      <sheetName val="Debtors_Rollforward_Details"/>
      <sheetName val="E1. AR-Trade (2)"/>
      <sheetName val="E1. AR-Trade (3)"/>
      <sheetName val="E2. Export Sub'qt"/>
      <sheetName val="E3. Local Sub'qt"/>
      <sheetName val="E4. Export Samples"/>
      <sheetName val="E5. Local Samples"/>
      <sheetName val="E.6 Polyester"/>
      <sheetName val="E.7  OPM"/>
      <sheetName val="E.7  OPM (2)"/>
      <sheetName val="E.6 Polyester (3)"/>
      <sheetName val="E.8 Net Sales (Amount)"/>
      <sheetName val="E.9 Sales (Quantity)"/>
      <sheetName val="STOCKHAM TAX DATA_RAW"/>
      <sheetName val="AJE-CAJE"/>
      <sheetName val="Employee Loan"/>
      <sheetName val="Non Opex"/>
      <sheetName val="Mapping COGS opex"/>
      <sheetName val="RE  Recon"/>
      <sheetName val="TB_31Dec09"/>
      <sheetName val="TB_31Oct09"/>
      <sheetName val="TB_31Aug09"/>
      <sheetName val="TB_SAP07"/>
      <sheetName val="TB_31Dec06"/>
      <sheetName val="Detail IS 07"/>
      <sheetName val="Detail FOH 06"/>
      <sheetName val="Mapping Opex 06"/>
      <sheetName val="Sales Deduction"/>
      <sheetName val="GL Sales"/>
      <sheetName val="GL COGS"/>
      <sheetName val="COGS Reval"/>
      <sheetName val="COGS Reval Summ"/>
      <sheetName val="Be4 Adj"/>
      <sheetName val="After Adj"/>
      <sheetName val="GL2"/>
      <sheetName val="INK"/>
      <sheetName val="B4 Adjustment"/>
      <sheetName val="Units_of_Measure"/>
      <sheetName val="C3 RM Detail"/>
      <sheetName val="C3 FG Detail"/>
      <sheetName val="RM &amp; Slow"/>
      <sheetName val="STO Report"/>
      <sheetName val="FG Obsolete"/>
      <sheetName val="RM Exception"/>
      <sheetName val="RM Plate"/>
      <sheetName val="SC Sum"/>
      <sheetName val="Summary Individual Juli"/>
      <sheetName val="Summary Individual"/>
      <sheetName val="Pivod Juli"/>
      <sheetName val="Adj IA"/>
      <sheetName val="A1.1 Memo"/>
      <sheetName val="A1.1.1"/>
      <sheetName val="A1.1.2"/>
      <sheetName val="A1.1.3"/>
      <sheetName val="A.1.1.8"/>
      <sheetName val="A1.2 Memo"/>
      <sheetName val="A1.2.1"/>
      <sheetName val="A1.2.2"/>
      <sheetName val="A1.2.3"/>
      <sheetName val="A1.2.7"/>
      <sheetName val="A1.2.8"/>
      <sheetName val="A1.2.9"/>
      <sheetName val="A1.2.10"/>
      <sheetName val="A.1.2.11"/>
      <sheetName val="A1.2.15"/>
      <sheetName val="A1.2.16"/>
      <sheetName val="A12.17"/>
      <sheetName val="A1.2.18"/>
      <sheetName val="A1.2.19"/>
      <sheetName val="A1.2.20"/>
      <sheetName val="A1.2.21"/>
      <sheetName val="A1.2.22"/>
      <sheetName val="A1.2.23"/>
      <sheetName val="A1.2.24"/>
      <sheetName val="A1.2.25"/>
      <sheetName val="A1.2.26"/>
      <sheetName val="A1.2.27"/>
      <sheetName val="A1.2.28"/>
      <sheetName val="A1.2.29"/>
      <sheetName val="A1.2.30"/>
      <sheetName val="A1.2.31"/>
      <sheetName val="A1.2.32"/>
      <sheetName val="A1.2.33"/>
      <sheetName val="T2.1.34"/>
      <sheetName val="T1.2.35"/>
      <sheetName val="A2.1.36"/>
      <sheetName val="A1.2.37"/>
      <sheetName val="A1.2.38"/>
      <sheetName val="A1.2.39"/>
      <sheetName val="A1.2.42"/>
      <sheetName val="A1.2.43"/>
      <sheetName val="A1.2.44"/>
      <sheetName val="A1.2.45"/>
      <sheetName val="A1.2.46"/>
      <sheetName val="A1.2.47"/>
      <sheetName val="A1.2.48"/>
      <sheetName val="A1.2.49"/>
      <sheetName val="A.1.2.50"/>
      <sheetName val="A.1.2.51"/>
      <sheetName val="List Prd tp 240"/>
      <sheetName val="Umum khusus"/>
      <sheetName val="Draf Kontrol"/>
      <sheetName val="SL vs SL"/>
      <sheetName val="All Jurnal Details"/>
      <sheetName val="All Jurnal Summary"/>
      <sheetName val="CRSF"/>
      <sheetName val="Rekon SL CRSF"/>
      <sheetName val="List Sp Debitur"/>
      <sheetName val="Deb Details"/>
      <sheetName val="Dep All Details"/>
      <sheetName val="Form Adj per Fasilitas"/>
      <sheetName val="Reklas ADJ"/>
      <sheetName val="List COA"/>
      <sheetName val="Master Prod Type"/>
      <sheetName val="PPAWD_Bank"/>
      <sheetName val="Summary Konsol_loan"/>
      <sheetName val="10.a Report_JP"/>
      <sheetName val="10.b Sector ekonomi"/>
      <sheetName val="Summmary Kap"/>
      <sheetName val="Restru&amp;Property_pub"/>
      <sheetName val="Kredit Restru_pub"/>
      <sheetName val="KUK_Kol_pub"/>
      <sheetName val="KUK_Pub"/>
      <sheetName val="KYD_koreksi"/>
      <sheetName val="Terkait_fm061208"/>
      <sheetName val="Restru"/>
      <sheetName val="10.e Kredit bermasalah"/>
      <sheetName val="Kredit Restrukturisasi"/>
      <sheetName val="Report PPAP telah dibentuk"/>
      <sheetName val="10f. pembiayaan syariah"/>
      <sheetName val="10.i Report Terkait"/>
      <sheetName val="10.k Kredit restru_2008"/>
      <sheetName val="38.Nama pihak terkait"/>
      <sheetName val="Report PPAP Syriah_Bank"/>
      <sheetName val="Olahan_2"/>
      <sheetName val="Debitur Restrukturisasi_CIB"/>
      <sheetName val="Loan downgraded"/>
      <sheetName val="PPAP telah dibentuk"/>
      <sheetName val="Olahan_JP"/>
      <sheetName val="Olahan_syariah"/>
      <sheetName val="Terkait_update"/>
      <sheetName val="BPI_JP"/>
      <sheetName val="BPI_sector economi"/>
      <sheetName val="BPI_LBU"/>
      <sheetName val="BPI_rincian klient"/>
      <sheetName val="Simulasi Pemisahan BPI"/>
      <sheetName val="Movement PPAP (2)"/>
      <sheetName val="PPAP _Bank RP"/>
      <sheetName val="PPAP_ VLS"/>
      <sheetName val="Movement PPAP"/>
      <sheetName val="PPAP_PL"/>
      <sheetName val="U dis (3)"/>
      <sheetName val="U dis (2)"/>
      <sheetName val="F-1,2 (2)"/>
      <sheetName val="F-3 (2)"/>
      <sheetName val="F-22 (2)"/>
      <sheetName val="F-1,2 (3)"/>
      <sheetName val="F-3 (3)"/>
      <sheetName val="F-22 (3)"/>
      <sheetName val="CF-4 "/>
      <sheetName val="CF-1,2"/>
      <sheetName val="CF-3"/>
      <sheetName val="ccf"/>
      <sheetName val="A5l1"/>
      <sheetName val="(U3-2) Realised forex loss"/>
      <sheetName val="(U3) Unrealised forex gain-loss"/>
      <sheetName val="(U3-1) Realised forex gain"/>
      <sheetName val="U3-1"/>
      <sheetName val="BPR - Conclusion"/>
      <sheetName val="F-1l2"/>
      <sheetName val="F-8(FSA)"/>
      <sheetName val="F-9b"/>
      <sheetName val="F-9c"/>
      <sheetName val="F-21"/>
      <sheetName val="RCD-1-1"/>
      <sheetName val="C-6a"/>
      <sheetName val="M MM"/>
      <sheetName val="Pnl-10"/>
      <sheetName val="10-2"/>
      <sheetName val="CF workings"/>
      <sheetName val="Pg7"/>
      <sheetName val="Turnover"/>
      <sheetName val="SumV2"/>
      <sheetName val="WRAP"/>
      <sheetName val="Pg8"/>
      <sheetName val="Actvs Bud"/>
      <sheetName val="Pg15"/>
      <sheetName val="Current Year"/>
      <sheetName val="Pg11"/>
      <sheetName val="OHDcom"/>
      <sheetName val="A6-1l1"/>
      <sheetName val="A6-1l2"/>
      <sheetName val="A3-1"/>
      <sheetName val="A3-3"/>
      <sheetName val="A3-7"/>
      <sheetName val="E "/>
      <sheetName val="F "/>
      <sheetName val="K-1 "/>
      <sheetName val="31072001"/>
      <sheetName val="31082001"/>
      <sheetName val="30092001"/>
      <sheetName val="31102001"/>
      <sheetName val="30112001"/>
      <sheetName val="A8 PM"/>
      <sheetName val="AP110 (supp)"/>
      <sheetName val="Reminder-IR"/>
      <sheetName val="G-50 -1-IR"/>
      <sheetName val="G-50 -2-IR"/>
      <sheetName val="UB-20-IR"/>
      <sheetName val="UB-21-IR"/>
      <sheetName val="RCD -401-IR"/>
      <sheetName val="RCD-402-IR"/>
      <sheetName val="Materiality-IR"/>
      <sheetName val="Cashflow-IR"/>
      <sheetName val="BPR balance sheet-IR"/>
      <sheetName val="BPR profit &amp; loss-IR"/>
      <sheetName val="BPR BS analysis-IR"/>
      <sheetName val="BPR PL analysis-IR"/>
      <sheetName val="B-1-IR"/>
      <sheetName val="BB-1-IR"/>
      <sheetName val="A8-IR"/>
      <sheetName val="F-4-IR"/>
      <sheetName val="OSM-Prefinal"/>
      <sheetName val="OSM-Feb05"/>
      <sheetName val="B7|1"/>
      <sheetName val="B7|2"/>
      <sheetName val="B10|1"/>
      <sheetName val="B10|2"/>
      <sheetName val="B11|1"/>
      <sheetName val="B11|2"/>
      <sheetName val="A3-2"/>
      <sheetName val="F-8(na)"/>
      <sheetName val="E-6|1"/>
      <sheetName val="E - APS Debt"/>
      <sheetName val="I-1|1"/>
      <sheetName val="N (IR)"/>
      <sheetName val="N-Note"/>
      <sheetName val="Sum-Proll"/>
      <sheetName val="&lt;F&gt;"/>
      <sheetName val="WHT"/>
      <sheetName val="BBA"/>
      <sheetName val="Words"/>
      <sheetName val="HP-03"/>
      <sheetName val="bond 2"/>
      <sheetName val="bond"/>
      <sheetName val="Stks"/>
      <sheetName val="Aircft"/>
      <sheetName val="FA_Rec"/>
      <sheetName val="SCH B"/>
      <sheetName val="SCH 4 - 7"/>
      <sheetName val="AP110(SUP)"/>
      <sheetName val="APP110"/>
      <sheetName val="APP(4)"/>
      <sheetName val="RCD(2)"/>
      <sheetName val="APP(3)"/>
      <sheetName val="C-50"/>
      <sheetName val="C-51"/>
      <sheetName val="L-100"/>
      <sheetName val="APP-2"/>
      <sheetName val="BB-100"/>
      <sheetName val="CC-20"/>
      <sheetName val="CC-21"/>
      <sheetName val="FF-1b"/>
      <sheetName val="kk-20"/>
      <sheetName val="PP "/>
      <sheetName val="PP-10"/>
      <sheetName val="APP(5)"/>
      <sheetName val="***00"/>
      <sheetName val="TAworkings"/>
      <sheetName val="CF-7"/>
      <sheetName val="interbal"/>
      <sheetName val="segmental"/>
      <sheetName val="NTA"/>
      <sheetName val="seg-turnover"/>
      <sheetName val="dato-turnover"/>
      <sheetName val="dato-pbt"/>
      <sheetName val="Assoc_byco"/>
      <sheetName val="highlights"/>
      <sheetName val="consolpl"/>
      <sheetName val="GKTJV"/>
      <sheetName val="protover"/>
      <sheetName val="GESB"/>
      <sheetName val="GMMJV"/>
      <sheetName val="protoMP"/>
      <sheetName val="presegmental"/>
      <sheetName val="Proof of Associate"/>
      <sheetName val="BPR1"/>
      <sheetName val="BPR2"/>
      <sheetName val="OS 1(FOR CLIENT DISTRIBUTION)"/>
      <sheetName val="A3-1-1"/>
      <sheetName val="A3-1-2"/>
      <sheetName val="A3-1-3"/>
      <sheetName val="A2 - 5"/>
      <sheetName val="A2 - 6"/>
      <sheetName val="Inter- Company Reconciliation"/>
      <sheetName val="Outstanding Matters (2)"/>
      <sheetName val="A2 - 5 (2)"/>
      <sheetName val="A8-6 (1)"/>
      <sheetName val="A8-2(1)"/>
      <sheetName val="A3-1-4"/>
      <sheetName val="A3 - 3"/>
      <sheetName val="A3 - 4"/>
      <sheetName val="10-3"/>
      <sheetName val="BPR summary"/>
      <sheetName val="os client"/>
      <sheetName val="RCD 300"/>
      <sheetName val="FEM(NA)"/>
      <sheetName val="Matters for discussion(NA)"/>
      <sheetName val="FEM APPENDIX 1"/>
      <sheetName val="FEM APPENDIX 2"/>
      <sheetName val="F-1&amp;2 adj"/>
      <sheetName val="F-3 adj"/>
      <sheetName val="10-20"/>
      <sheetName val="F-9-1"/>
      <sheetName val="F-9 SS"/>
      <sheetName val="F-14"/>
      <sheetName val="M|MM"/>
      <sheetName val="U Disclosure"/>
      <sheetName val="U-8"/>
      <sheetName val="U-9"/>
      <sheetName val="U-7"/>
      <sheetName val="DD-5"/>
      <sheetName val="FF-1 Tax Comp"/>
      <sheetName val="FF-2 DT"/>
      <sheetName val="FF-3 CA"/>
      <sheetName val="FF-4 Proof"/>
      <sheetName val="FF-6 (2)"/>
      <sheetName val="30-4"/>
      <sheetName val="FSA-Bloom"/>
      <sheetName val="F -4"/>
      <sheetName val="F-25"/>
      <sheetName val="J-70"/>
      <sheetName val="M|MM "/>
      <sheetName val="U-Dis"/>
      <sheetName val="BB-3"/>
      <sheetName val="BB - 7"/>
      <sheetName val="FF - 6"/>
      <sheetName val="AF-Notes"/>
      <sheetName val="Adm97"/>
      <sheetName val="A2|1"/>
      <sheetName val="A3|1"/>
      <sheetName val="F3|1"/>
      <sheetName val="K1-K9"/>
      <sheetName val="P&amp;L-Co"/>
      <sheetName val="P&amp;L-Gr"/>
      <sheetName val="ConF-1"/>
      <sheetName val="ConF-2"/>
      <sheetName val="ConF-3"/>
      <sheetName val="CPAJE"/>
      <sheetName val="WRK"/>
      <sheetName val="A-MEMO"/>
      <sheetName val="U-Gr"/>
      <sheetName val="U-Sh"/>
      <sheetName val="U-ShG"/>
      <sheetName val="U-Aril"/>
      <sheetName val="U-Gen"/>
      <sheetName val="U-Fam"/>
      <sheetName val="OS "/>
      <sheetName val="G-4-2"/>
      <sheetName val="J-71"/>
      <sheetName val="J-72"/>
      <sheetName val="J-73"/>
      <sheetName val="F-8 (FSL)"/>
      <sheetName val="F-8 (MASB)-Recon"/>
      <sheetName val="G-35"/>
      <sheetName val="G-35-1"/>
      <sheetName val="G-35-2"/>
      <sheetName val="G-35-3"/>
      <sheetName val="Std Tickmarks"/>
      <sheetName val="AP (110)"/>
      <sheetName val="F-1|2"/>
      <sheetName val="Udisc"/>
      <sheetName val="FSA (Attach)"/>
      <sheetName val="BPR."/>
      <sheetName val="UTB"/>
      <sheetName val="BIS LIST-C1 21 (2)"/>
      <sheetName val="BIS LIST-C1 20 (2)"/>
      <sheetName val="BIS LIST-C2 18"/>
      <sheetName val="BIS LIST-C2 19"/>
      <sheetName val="BIS LIST-C2 20"/>
      <sheetName val="BIS LIST-C2 21"/>
      <sheetName val="BIS LIST-NTH 18"/>
      <sheetName val="BIS LIST-NTH 19"/>
      <sheetName val="BIS LIST-NTH 20"/>
      <sheetName val="BIS LIST-NTH 21"/>
      <sheetName val="BIS LIST-NTH 19 (2)"/>
      <sheetName val="BIS LIST-NTH 18 (2)"/>
      <sheetName val="BIS LIST-STH 20 (2)"/>
      <sheetName val="BIS LIST-STH 21 (2)"/>
      <sheetName val="BIS LIST-C1 18 (2)"/>
      <sheetName val="BIS LIST-C1 19 (2)"/>
      <sheetName val="BIS LIST-C1 19 (3)"/>
      <sheetName val="BIS LIST-EC 18 (2)"/>
      <sheetName val="BIS LIST-EC 19 (2)"/>
      <sheetName val="BIS LIST-STH 18 (2)"/>
      <sheetName val="BIS LIST-EC 20 (2)"/>
      <sheetName val="BIS LIST-EC 21 (2)"/>
      <sheetName val="GVF"/>
      <sheetName val=" IB-PL-GROUP"/>
      <sheetName val=" IB-PL-YTD VS BGT"/>
      <sheetName val="DCA"/>
      <sheetName val="GFS"/>
      <sheetName val=" IB-PL-MONTH"/>
      <sheetName val=" IB-PL-YTD"/>
      <sheetName val="IBBS"/>
      <sheetName val="inter-co Calculation"/>
      <sheetName val=" IB-PL-4CAST"/>
      <sheetName val="IBBS-4CAST"/>
      <sheetName val="GOPEX"/>
      <sheetName val="GMVF "/>
      <sheetName val="CONSOLFULL"/>
      <sheetName val="inter-co full"/>
      <sheetName val="ITSB"/>
      <sheetName val="ADTRANTZ"/>
      <sheetName val="SPSSB"/>
      <sheetName val="GCF"/>
      <sheetName val="CF BY CO"/>
      <sheetName val="GCF BY CO"/>
      <sheetName val=" IB-PL-YTD IND"/>
      <sheetName val="271101"/>
      <sheetName val="281101"/>
      <sheetName val="A3-1&amp;2"/>
      <sheetName val="A3-5"/>
      <sheetName val="A3-71"/>
      <sheetName val="A20"/>
      <sheetName val="K Disclosure"/>
      <sheetName val="U10&amp;20"/>
      <sheetName val="U10-1"/>
      <sheetName val="U30"/>
      <sheetName val="U30-1"/>
      <sheetName val="MV of 2001"/>
      <sheetName val="MV of 2002"/>
      <sheetName val="MV of 2003"/>
      <sheetName val="A3-7A"/>
      <sheetName val="BPR (2)"/>
      <sheetName val="F-1 (2)"/>
      <sheetName val="payroll - to insert 20.11.01"/>
      <sheetName val="4th cos"/>
      <sheetName val="F_Stock Lead Schedule "/>
      <sheetName val="F1_Purchased FG"/>
      <sheetName val="F1 _1Purchased FG "/>
      <sheetName val="F2_1_Purchased FG"/>
      <sheetName val="F1_Manufactured FG &amp; GIP"/>
      <sheetName val="F3_1Raw Material  "/>
      <sheetName val="F1_1Manufactured FG &amp; GIP"/>
      <sheetName val="F1-1 Double Entries"/>
      <sheetName val="F1_2_Direct Labour Cost"/>
      <sheetName val="F1_3_Production Overhead"/>
      <sheetName val="F1_4_Energy Cost"/>
      <sheetName val="F3_Raw Material"/>
      <sheetName val="F3_2Prov for Raw Mat stock loss"/>
      <sheetName val="F4_Packing Material"/>
      <sheetName val="F4_1 Packing Material"/>
      <sheetName val="F5_ Good In Transit"/>
      <sheetName val="F5-1_GIT Purchased FG"/>
      <sheetName val="F5-2_GIT Raw Material"/>
      <sheetName val="F6_Engineering , A&amp; Promotion"/>
      <sheetName val="F7-1_Sales CUt-Off"/>
      <sheetName val="F8-1_Purchase Cut Off"/>
      <sheetName val="F9-1_RawMat"/>
      <sheetName val="F9-2_PurchasedFinGoods"/>
      <sheetName val="F9-3_Prod FG &amp; GIP"/>
      <sheetName val="F9-3~1_Soiled"/>
      <sheetName val=" Diskonto Juli 31, 05"/>
      <sheetName val="Notes 6i"/>
      <sheetName val="Notes 6a"/>
      <sheetName val="Notes 6a.1"/>
      <sheetName val="Notes 6f"/>
      <sheetName val="Notes 6g"/>
      <sheetName val="Notes 6d"/>
      <sheetName val="Notes 6e"/>
      <sheetName val="Notes 6e 2004"/>
      <sheetName val="Notes 6.g.1 detail"/>
      <sheetName val="6.g.2"/>
      <sheetName val="Notes 6h"/>
      <sheetName val="6h. MatDetail 2004"/>
      <sheetName val="6h. MatDetail IDR"/>
      <sheetName val="6h Mat Detail Forex"/>
      <sheetName val="Mat Detail Checking"/>
      <sheetName val="Mat Detail Mauritius"/>
      <sheetName val="Mat Detail Mumbai"/>
      <sheetName val="MATPROF2"/>
      <sheetName val="QANTAS"/>
      <sheetName val="ISPI"/>
      <sheetName val="MADINA"/>
      <sheetName val="EE.5"/>
      <sheetName val="BSM"/>
      <sheetName val="PIM"/>
      <sheetName val="Coll.&amp;Coll."/>
      <sheetName val="AkPro"/>
      <sheetName val="AkPro-for BI Report "/>
      <sheetName val="On-BS"/>
      <sheetName val="On-BS for BI Report"/>
      <sheetName val="Of-BS"/>
      <sheetName val="Acceptance"/>
      <sheetName val="PROV.&amp;NPL"/>
      <sheetName val="PROV.&amp;NPL for BI Report"/>
      <sheetName val="CollByInd"/>
      <sheetName val="SUMMARY REKON"/>
      <sheetName val="Sum Object"/>
      <sheetName val="Rekon 01"/>
      <sheetName val="Rekon 02"/>
      <sheetName val="Rekon 03"/>
      <sheetName val="Rekon 04"/>
      <sheetName val="Rekon 05"/>
      <sheetName val="Rekon 06"/>
      <sheetName val="Rekon 07"/>
      <sheetName val="Rekon 08"/>
      <sheetName val="Rekon 09"/>
      <sheetName val="Rekon 10"/>
      <sheetName val="Rekon 11"/>
      <sheetName val="Rekon 12"/>
      <sheetName val="Sum.TaxObject"/>
      <sheetName val="TB NOV_DEC"/>
      <sheetName val="TB-LNK"/>
      <sheetName val="TB JUL_AUG"/>
      <sheetName val="TB OKT"/>
      <sheetName val="REKON JAMSOSTEK"/>
      <sheetName val="ID3"/>
      <sheetName val="Sum Salary Recon"/>
      <sheetName val="Depreciation-Ind"/>
      <sheetName val="Depreciation-Eng"/>
      <sheetName val="Disposal-after 95"/>
      <sheetName val="Disposal-before 1995"/>
      <sheetName val="Art. 21"/>
      <sheetName val="PO Database@3101"/>
      <sheetName val="VAt LN"/>
      <sheetName val="Wh 23"/>
      <sheetName val="Out ok"/>
      <sheetName val="Ar Others"/>
      <sheetName val="Othe Curr ok"/>
      <sheetName val="UA &amp; VA Memo"/>
      <sheetName val="UA &amp; VA Lead"/>
      <sheetName val="UA.1.A Rekon Billing&amp;GL"/>
      <sheetName val="UA.1.B Rekon Billing&amp;GL"/>
      <sheetName val="UA.2"/>
      <sheetName val="UA.2.1"/>
      <sheetName val="UA.3"/>
      <sheetName val="UA.4_Cut off Billing&amp;COB"/>
      <sheetName val="VA.1"/>
      <sheetName val="OSFX"/>
      <sheetName val="FX 004"/>
      <sheetName val="FX 007"/>
      <sheetName val="FX 017"/>
      <sheetName val="FX 020"/>
      <sheetName val="FX 035"/>
      <sheetName val="OSMM"/>
      <sheetName val="MM004"/>
      <sheetName val="MM017"/>
      <sheetName val="MM019"/>
      <sheetName val="MM024"/>
      <sheetName val="OSFI"/>
      <sheetName val="FI004"/>
      <sheetName val="FI005"/>
      <sheetName val="SPN 05"/>
      <sheetName val="REVERSE REPO"/>
      <sheetName val="OTC"/>
      <sheetName val="OTC 004"/>
      <sheetName val="OTC 007"/>
      <sheetName val="OTC 017"/>
      <sheetName val="OTC 020"/>
      <sheetName val="OTC 035"/>
      <sheetName val="MTMCDS 04-35"/>
      <sheetName val="MTMCDS 017-35"/>
      <sheetName val="CDS 04"/>
      <sheetName val="CDS 17"/>
      <sheetName val="BUMJ"/>
      <sheetName val="Demand"/>
      <sheetName val="Utilization"/>
      <sheetName val="Utlz (Act)"/>
      <sheetName val="Chart-L1"/>
      <sheetName val="Chart-L2"/>
      <sheetName val="Phil"/>
      <sheetName val="Mal"/>
      <sheetName val="Bru"/>
      <sheetName val="TH"/>
      <sheetName val="AU"/>
      <sheetName val="NZ"/>
      <sheetName val="TW"/>
      <sheetName val="NPD"/>
      <sheetName val="GESD"/>
      <sheetName val="EXCEPTION RPT"/>
      <sheetName val="BII-FORM"/>
      <sheetName val="BII-DETAIL"/>
      <sheetName val="ATJ-FORM"/>
      <sheetName val="ATJ-DETAIL"/>
      <sheetName val="KL-TR-08"/>
      <sheetName val="Sending record"/>
      <sheetName val="FS _2_"/>
      <sheetName val="id wp "/>
      <sheetName val="1771(1)"/>
      <sheetName val="1771-II_ 2"/>
      <sheetName val="FC2"/>
      <sheetName val="Adminitrative expense"/>
      <sheetName val="kkpangsuran25"/>
      <sheetName val="IS Summary (2)"/>
      <sheetName val="alasan"/>
      <sheetName val="listkorfis"/>
      <sheetName val="4.1"/>
      <sheetName val="Scenarios_Sensitivities"/>
      <sheetName val="Scenarios&amp;Sensitivities"/>
      <sheetName val="Option Input"/>
      <sheetName val="Coal flow"/>
      <sheetName val="Blending"/>
      <sheetName val="Control assumption"/>
      <sheetName val="Feed to slide"/>
      <sheetName val="Stage 1"/>
      <sheetName val="ledger02"/>
      <sheetName val="1771-II (2)"/>
      <sheetName val="angsuran 25"/>
      <sheetName val="IS Summary"/>
      <sheetName val="administrasi"/>
      <sheetName val="4.2"/>
      <sheetName val="induk1"/>
      <sheetName val="Ex.B"/>
      <sheetName val="objek_GL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Gm"/>
      <sheetName val="Gie"/>
      <sheetName val="Gp var"/>
      <sheetName val="Gp vardet"/>
      <sheetName val="GP"/>
      <sheetName val="Domestic claim(4a)"/>
      <sheetName val="NAV PLUS"/>
      <sheetName val="cek-nav-blok"/>
      <sheetName val="NAV-BLOCK"/>
      <sheetName val="Cek Nav-GR"/>
      <sheetName val="Cek Nav-SO"/>
      <sheetName val="Add-GR"/>
      <sheetName val="Add-SO"/>
      <sheetName val="Blocked"/>
      <sheetName val="GR"/>
      <sheetName val="Kecamatan"/>
      <sheetName val="Keterangan"/>
      <sheetName val="NSTD - RFF"/>
      <sheetName val="rekons"/>
      <sheetName val="int inc."/>
      <sheetName val="No Mbl"/>
      <sheetName val="ND-1"/>
      <sheetName val="ND-2"/>
      <sheetName val="AT (1)"/>
      <sheetName val="AT1"/>
      <sheetName val="AT3"/>
      <sheetName val="AT3-1"/>
      <sheetName val="AT4"/>
      <sheetName val="AT5"/>
      <sheetName val="AT6"/>
      <sheetName val="53040001"/>
      <sheetName val="53040002"/>
      <sheetName val="53040003"/>
      <sheetName val="53040004"/>
      <sheetName val="53040005,10"/>
      <sheetName val="53040006"/>
      <sheetName val="PPh23 (2)"/>
      <sheetName val="Rekons 21"/>
      <sheetName val="AT 04"/>
      <sheetName val="Komp rugi"/>
      <sheetName val="PPh Ps 25"/>
      <sheetName val="Positif Lainnya"/>
      <sheetName val="Negatif Lainnya"/>
      <sheetName val="Benchmark"/>
      <sheetName val="coding var cost"/>
      <sheetName val="coding fix cost BFC"/>
      <sheetName val="total cost check"/>
      <sheetName val="ABP2009"/>
      <sheetName val="Distribution"/>
      <sheetName val="P&amp;L Total"/>
      <sheetName val="Finance Total"/>
      <sheetName val="P&amp;L LFSA"/>
      <sheetName val="Finance LFSA"/>
      <sheetName val="Working cap 02"/>
      <sheetName val="Equity LFSA"/>
      <sheetName val="P&amp;L Indo"/>
      <sheetName val="Taxes 6%"/>
      <sheetName val="Finance Indo"/>
      <sheetName val="Equity Indo"/>
      <sheetName val="Tx de change"/>
      <sheetName val="Promotion"/>
      <sheetName val="Ventes"/>
      <sheetName val="CIF actuel"/>
      <sheetName val="PRU France"/>
      <sheetName val="Cout employes"/>
      <sheetName val="employes"/>
      <sheetName val="Depenses Euros-Dollars"/>
      <sheetName val="Couts locaux structure (Rp)"/>
      <sheetName val="Fin structure actuelle"/>
      <sheetName val="ACPN"/>
      <sheetName val="Informatique"/>
      <sheetName val="Rachats contrats"/>
      <sheetName val="Immo-vehi en cours"/>
      <sheetName val="Fixed assets en cours"/>
      <sheetName val="TRADE CREDITOR"/>
      <sheetName val="int co JN"/>
      <sheetName val="SalesAR JN"/>
      <sheetName val="AP JN"/>
      <sheetName val="GL Journal"/>
      <sheetName val="Standing JN"/>
      <sheetName val="stk val"/>
      <sheetName val="Amortitation"/>
      <sheetName val="T Balance"/>
      <sheetName val="Manuf"/>
      <sheetName val="pnl "/>
      <sheetName val="b sheet"/>
      <sheetName val="SGD Financials"/>
      <sheetName val="Bal Sheet Summary"/>
      <sheetName val="30 Jun 95"/>
      <sheetName val="30 Jun 96"/>
      <sheetName val="30 Jun 97"/>
      <sheetName val="30 Jun 98"/>
      <sheetName val="30 Jun 99"/>
      <sheetName val="30 Jun 2000"/>
      <sheetName val="30 Jun 2000 (after adj)"/>
      <sheetName val="TB - Jun 2000"/>
      <sheetName val="Ex. Rate"/>
      <sheetName val="FA Summary"/>
      <sheetName val="Building Imp"/>
      <sheetName val="F &amp; F"/>
      <sheetName val="Machinery &amp; Equipt"/>
      <sheetName val="EDP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 xml:space="preserve">GCM020004                    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/>
      <sheetData sheetId="33">
        <row r="2">
          <cell r="A2" t="str">
            <v xml:space="preserve">GCM020004                     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>
        <row r="4">
          <cell r="B4" t="str">
            <v xml:space="preserve">GCM020004                     </v>
          </cell>
        </row>
      </sheetData>
      <sheetData sheetId="42">
        <row r="1">
          <cell r="F1" t="str">
            <v>Prelim, Dec 31 '02</v>
          </cell>
        </row>
      </sheetData>
      <sheetData sheetId="43">
        <row r="1">
          <cell r="D1" t="str">
            <v>Date on :</v>
          </cell>
        </row>
      </sheetData>
      <sheetData sheetId="44">
        <row r="1">
          <cell r="A1">
            <v>255612</v>
          </cell>
        </row>
      </sheetData>
      <sheetData sheetId="45">
        <row r="1">
          <cell r="A1">
            <v>255612</v>
          </cell>
        </row>
      </sheetData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>
        <row r="2">
          <cell r="A2" t="str">
            <v xml:space="preserve">GCM020004                     </v>
          </cell>
        </row>
      </sheetData>
      <sheetData sheetId="60">
        <row r="2">
          <cell r="A2" t="str">
            <v xml:space="preserve">GCM020004                     </v>
          </cell>
        </row>
      </sheetData>
      <sheetData sheetId="61">
        <row r="1">
          <cell r="B1">
            <v>1</v>
          </cell>
        </row>
      </sheetData>
      <sheetData sheetId="62">
        <row r="2">
          <cell r="B2" t="str">
            <v>PT KOMATSU UNDERCARRIAGE INDONESIA</v>
          </cell>
        </row>
      </sheetData>
      <sheetData sheetId="63">
        <row r="6">
          <cell r="D6">
            <v>1052065650</v>
          </cell>
        </row>
      </sheetData>
      <sheetData sheetId="64">
        <row r="2">
          <cell r="A2" t="str">
            <v xml:space="preserve">GCM020004                     </v>
          </cell>
        </row>
      </sheetData>
      <sheetData sheetId="65">
        <row r="2">
          <cell r="A2" t="str">
            <v xml:space="preserve">GCM020004                     </v>
          </cell>
        </row>
      </sheetData>
      <sheetData sheetId="66"/>
      <sheetData sheetId="67">
        <row r="2">
          <cell r="A2" t="str">
            <v xml:space="preserve">GCM020004                     </v>
          </cell>
        </row>
      </sheetData>
      <sheetData sheetId="68">
        <row r="6">
          <cell r="D6">
            <v>1052065650</v>
          </cell>
        </row>
      </sheetData>
      <sheetData sheetId="69">
        <row r="2">
          <cell r="A2" t="str">
            <v xml:space="preserve">GCM020004                     </v>
          </cell>
        </row>
      </sheetData>
      <sheetData sheetId="70">
        <row r="2">
          <cell r="A2" t="str">
            <v xml:space="preserve">GCM020004                     </v>
          </cell>
        </row>
      </sheetData>
      <sheetData sheetId="71">
        <row r="4">
          <cell r="B4">
            <v>1013000</v>
          </cell>
        </row>
      </sheetData>
      <sheetData sheetId="72">
        <row r="4">
          <cell r="B4" t="str">
            <v xml:space="preserve">GCM020004                     </v>
          </cell>
        </row>
      </sheetData>
      <sheetData sheetId="73">
        <row r="1">
          <cell r="F1" t="str">
            <v>Prelim, Dec 31 '02</v>
          </cell>
        </row>
      </sheetData>
      <sheetData sheetId="74">
        <row r="1">
          <cell r="D1" t="str">
            <v>Date on :</v>
          </cell>
        </row>
      </sheetData>
      <sheetData sheetId="75">
        <row r="1">
          <cell r="A1">
            <v>255612</v>
          </cell>
        </row>
      </sheetData>
      <sheetData sheetId="76">
        <row r="1">
          <cell r="A1">
            <v>255612</v>
          </cell>
        </row>
      </sheetData>
      <sheetData sheetId="77">
        <row r="2">
          <cell r="A2" t="str">
            <v xml:space="preserve">GCM020004                     </v>
          </cell>
        </row>
      </sheetData>
      <sheetData sheetId="78">
        <row r="2">
          <cell r="A2" t="str">
            <v xml:space="preserve">GCM020004                     </v>
          </cell>
        </row>
      </sheetData>
      <sheetData sheetId="79">
        <row r="6">
          <cell r="D6">
            <v>1052065650</v>
          </cell>
        </row>
      </sheetData>
      <sheetData sheetId="80">
        <row r="2">
          <cell r="A2" t="str">
            <v xml:space="preserve">GCM020004                     </v>
          </cell>
        </row>
      </sheetData>
      <sheetData sheetId="81">
        <row r="6">
          <cell r="D6">
            <v>1052065650</v>
          </cell>
        </row>
      </sheetData>
      <sheetData sheetId="82">
        <row r="2">
          <cell r="B2" t="str">
            <v>Harga_Product</v>
          </cell>
        </row>
      </sheetData>
      <sheetData sheetId="83">
        <row r="1">
          <cell r="D1" t="str">
            <v>Date on :</v>
          </cell>
        </row>
      </sheetData>
      <sheetData sheetId="84">
        <row r="5">
          <cell r="A5">
            <v>1</v>
          </cell>
        </row>
      </sheetData>
      <sheetData sheetId="85">
        <row r="2">
          <cell r="A2" t="str">
            <v xml:space="preserve">GCM020004                     </v>
          </cell>
        </row>
      </sheetData>
      <sheetData sheetId="86">
        <row r="2">
          <cell r="B2">
            <v>101021</v>
          </cell>
        </row>
      </sheetData>
      <sheetData sheetId="87">
        <row r="6">
          <cell r="D6">
            <v>1052065650</v>
          </cell>
        </row>
      </sheetData>
      <sheetData sheetId="88" refreshError="1">
        <row r="1">
          <cell r="A1" t="str">
            <v>DAFTAR STOCK MATERIAL &amp; SPARE PART</v>
          </cell>
        </row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89">
        <row r="8">
          <cell r="A8" t="str">
            <v>1011-000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4">
          <cell r="A4" t="str">
            <v>00A0</v>
          </cell>
        </row>
      </sheetData>
      <sheetData sheetId="183" refreshError="1"/>
      <sheetData sheetId="184">
        <row r="6">
          <cell r="D6">
            <v>1052065650</v>
          </cell>
        </row>
      </sheetData>
      <sheetData sheetId="185">
        <row r="7">
          <cell r="A7">
            <v>1</v>
          </cell>
        </row>
      </sheetData>
      <sheetData sheetId="186">
        <row r="31">
          <cell r="N31">
            <v>906186608.62700033</v>
          </cell>
        </row>
      </sheetData>
      <sheetData sheetId="187">
        <row r="2">
          <cell r="A2" t="str">
            <v xml:space="preserve">GCM020004                     </v>
          </cell>
        </row>
      </sheetData>
      <sheetData sheetId="188">
        <row r="6">
          <cell r="D6">
            <v>1052065650</v>
          </cell>
        </row>
      </sheetData>
      <sheetData sheetId="189">
        <row r="491">
          <cell r="J491">
            <v>0</v>
          </cell>
        </row>
      </sheetData>
      <sheetData sheetId="190">
        <row r="4">
          <cell r="A4" t="str">
            <v>00A0</v>
          </cell>
        </row>
      </sheetData>
      <sheetData sheetId="191">
        <row r="1">
          <cell r="A1" t="str">
            <v>PT Samudera Shipping Services (PT SSS)</v>
          </cell>
        </row>
      </sheetData>
      <sheetData sheetId="192">
        <row r="22">
          <cell r="G22" t="str">
            <v>Credit Card #1</v>
          </cell>
        </row>
      </sheetData>
      <sheetData sheetId="193">
        <row r="8">
          <cell r="A8" t="str">
            <v>1011-000</v>
          </cell>
        </row>
      </sheetData>
      <sheetData sheetId="194">
        <row r="1">
          <cell r="D1" t="str">
            <v>Date on :</v>
          </cell>
        </row>
      </sheetData>
      <sheetData sheetId="195">
        <row r="31">
          <cell r="N31">
            <v>906186608.62700033</v>
          </cell>
        </row>
      </sheetData>
      <sheetData sheetId="196">
        <row r="6">
          <cell r="D6">
            <v>1052065650</v>
          </cell>
        </row>
      </sheetData>
      <sheetData sheetId="197">
        <row r="6">
          <cell r="D6">
            <v>1052065650</v>
          </cell>
        </row>
      </sheetData>
      <sheetData sheetId="198">
        <row r="6">
          <cell r="D6">
            <v>1052065650</v>
          </cell>
        </row>
      </sheetData>
      <sheetData sheetId="199">
        <row r="6">
          <cell r="D6">
            <v>1052065650</v>
          </cell>
        </row>
      </sheetData>
      <sheetData sheetId="200">
        <row r="6">
          <cell r="D6">
            <v>1052065650</v>
          </cell>
        </row>
      </sheetData>
      <sheetData sheetId="201"/>
      <sheetData sheetId="202">
        <row r="31">
          <cell r="N31">
            <v>906186608.62700033</v>
          </cell>
        </row>
      </sheetData>
      <sheetData sheetId="203">
        <row r="2">
          <cell r="A2" t="str">
            <v xml:space="preserve">GCM020004                     </v>
          </cell>
        </row>
      </sheetData>
      <sheetData sheetId="204">
        <row r="6">
          <cell r="D6">
            <v>1052065650</v>
          </cell>
        </row>
      </sheetData>
      <sheetData sheetId="205"/>
      <sheetData sheetId="206">
        <row r="8">
          <cell r="A8" t="str">
            <v>1011-000</v>
          </cell>
        </row>
      </sheetData>
      <sheetData sheetId="207">
        <row r="6">
          <cell r="D6">
            <v>1052065650</v>
          </cell>
        </row>
      </sheetData>
      <sheetData sheetId="208">
        <row r="6">
          <cell r="D6">
            <v>1052065650</v>
          </cell>
        </row>
      </sheetData>
      <sheetData sheetId="209">
        <row r="8">
          <cell r="A8" t="str">
            <v>1011-000</v>
          </cell>
        </row>
      </sheetData>
      <sheetData sheetId="210">
        <row r="1">
          <cell r="D1" t="str">
            <v>Date on :</v>
          </cell>
        </row>
      </sheetData>
      <sheetData sheetId="211">
        <row r="31">
          <cell r="N31">
            <v>906186608.62700033</v>
          </cell>
        </row>
      </sheetData>
      <sheetData sheetId="212">
        <row r="31">
          <cell r="N31">
            <v>906186608.62700033</v>
          </cell>
        </row>
      </sheetData>
      <sheetData sheetId="213">
        <row r="6">
          <cell r="D6">
            <v>1052065650</v>
          </cell>
        </row>
      </sheetData>
      <sheetData sheetId="214">
        <row r="6">
          <cell r="D6">
            <v>1052065650</v>
          </cell>
        </row>
      </sheetData>
      <sheetData sheetId="215"/>
      <sheetData sheetId="216">
        <row r="6">
          <cell r="D6">
            <v>1052065650</v>
          </cell>
        </row>
      </sheetData>
      <sheetData sheetId="217"/>
      <sheetData sheetId="218"/>
      <sheetData sheetId="219">
        <row r="767">
          <cell r="B767">
            <v>739</v>
          </cell>
        </row>
      </sheetData>
      <sheetData sheetId="220">
        <row r="6">
          <cell r="D6">
            <v>1052065650</v>
          </cell>
        </row>
      </sheetData>
      <sheetData sheetId="221">
        <row r="6">
          <cell r="D6">
            <v>1052065650</v>
          </cell>
        </row>
      </sheetData>
      <sheetData sheetId="222">
        <row r="31">
          <cell r="N31">
            <v>906186608.62700033</v>
          </cell>
        </row>
      </sheetData>
      <sheetData sheetId="223">
        <row r="8">
          <cell r="B8">
            <v>1</v>
          </cell>
        </row>
      </sheetData>
      <sheetData sheetId="224">
        <row r="23">
          <cell r="H23">
            <v>10175</v>
          </cell>
        </row>
      </sheetData>
      <sheetData sheetId="225">
        <row r="23">
          <cell r="H23">
            <v>10175</v>
          </cell>
        </row>
      </sheetData>
      <sheetData sheetId="226"/>
      <sheetData sheetId="227"/>
      <sheetData sheetId="228"/>
      <sheetData sheetId="229"/>
      <sheetData sheetId="230"/>
      <sheetData sheetId="231">
        <row r="31">
          <cell r="N31">
            <v>906186608.62700033</v>
          </cell>
        </row>
      </sheetData>
      <sheetData sheetId="232">
        <row r="2">
          <cell r="A2" t="str">
            <v xml:space="preserve">GCM020004                     </v>
          </cell>
        </row>
      </sheetData>
      <sheetData sheetId="233">
        <row r="6">
          <cell r="D6">
            <v>1052065650</v>
          </cell>
        </row>
      </sheetData>
      <sheetData sheetId="234">
        <row r="6">
          <cell r="D6">
            <v>1052065650</v>
          </cell>
        </row>
      </sheetData>
      <sheetData sheetId="235">
        <row r="2">
          <cell r="A2" t="str">
            <v xml:space="preserve">GCM020004                     </v>
          </cell>
        </row>
      </sheetData>
      <sheetData sheetId="236">
        <row r="6">
          <cell r="D6">
            <v>1052065650</v>
          </cell>
        </row>
      </sheetData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6">
          <cell r="D6">
            <v>1052065650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>
        <row r="2">
          <cell r="A2" t="str">
            <v xml:space="preserve">GCM020004                     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>
        <row r="6">
          <cell r="D6">
            <v>1052065650</v>
          </cell>
        </row>
      </sheetData>
      <sheetData sheetId="349"/>
      <sheetData sheetId="350">
        <row r="6">
          <cell r="D6">
            <v>1052065650</v>
          </cell>
        </row>
      </sheetData>
      <sheetData sheetId="351">
        <row r="6">
          <cell r="D6">
            <v>1052065650</v>
          </cell>
        </row>
      </sheetData>
      <sheetData sheetId="352">
        <row r="2">
          <cell r="A2" t="str">
            <v xml:space="preserve">GCM020004                     </v>
          </cell>
        </row>
      </sheetData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>
        <row r="5">
          <cell r="B5" t="str">
            <v>MAKASSAR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 refreshError="1"/>
      <sheetData sheetId="489"/>
      <sheetData sheetId="490">
        <row r="6">
          <cell r="D6">
            <v>1052065650</v>
          </cell>
        </row>
      </sheetData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 refreshError="1"/>
      <sheetData sheetId="531">
        <row r="2">
          <cell r="A2" t="str">
            <v xml:space="preserve">GCM020004                     </v>
          </cell>
        </row>
      </sheetData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D1" t="str">
            <v>Date on :</v>
          </cell>
        </row>
      </sheetData>
      <sheetData sheetId="563"/>
      <sheetData sheetId="564">
        <row r="2">
          <cell r="A2" t="str">
            <v xml:space="preserve">GCM020004                     </v>
          </cell>
        </row>
      </sheetData>
      <sheetData sheetId="565">
        <row r="2">
          <cell r="A2" t="str">
            <v xml:space="preserve">GCM020004                     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>
        <row r="4">
          <cell r="O4">
            <v>37929</v>
          </cell>
        </row>
      </sheetData>
      <sheetData sheetId="723"/>
      <sheetData sheetId="724"/>
      <sheetData sheetId="725"/>
      <sheetData sheetId="726">
        <row r="2">
          <cell r="A2" t="str">
            <v xml:space="preserve">GCM020004                     </v>
          </cell>
        </row>
      </sheetData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 refreshError="1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>
        <row r="6">
          <cell r="D6">
            <v>1052065650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>
        <row r="2">
          <cell r="A2" t="str">
            <v xml:space="preserve">GCM020004                     </v>
          </cell>
        </row>
      </sheetData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>
        <row r="6">
          <cell r="D6">
            <v>1052065650</v>
          </cell>
        </row>
      </sheetData>
      <sheetData sheetId="1125"/>
      <sheetData sheetId="1126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>
        <row r="7">
          <cell r="B7">
            <v>8867</v>
          </cell>
        </row>
      </sheetData>
      <sheetData sheetId="1311">
        <row r="1">
          <cell r="D1" t="str">
            <v>Date on :</v>
          </cell>
        </row>
      </sheetData>
      <sheetData sheetId="1312">
        <row r="1">
          <cell r="D1">
            <v>1127</v>
          </cell>
        </row>
      </sheetData>
      <sheetData sheetId="1313">
        <row r="2">
          <cell r="AH2">
            <v>38</v>
          </cell>
        </row>
      </sheetData>
      <sheetData sheetId="1314">
        <row r="8">
          <cell r="A8" t="str">
            <v>1011-000</v>
          </cell>
        </row>
      </sheetData>
      <sheetData sheetId="1315">
        <row r="5">
          <cell r="B5" t="str">
            <v>IDR</v>
          </cell>
        </row>
      </sheetData>
      <sheetData sheetId="1316">
        <row r="8">
          <cell r="A8" t="str">
            <v>1011-000</v>
          </cell>
        </row>
      </sheetData>
      <sheetData sheetId="1317">
        <row r="5">
          <cell r="B5" t="str">
            <v>IDR</v>
          </cell>
        </row>
      </sheetData>
      <sheetData sheetId="1318">
        <row r="6">
          <cell r="D6">
            <v>1052065650</v>
          </cell>
        </row>
      </sheetData>
      <sheetData sheetId="1319">
        <row r="2">
          <cell r="A2" t="str">
            <v xml:space="preserve">GCM020004                     </v>
          </cell>
        </row>
      </sheetData>
      <sheetData sheetId="1320">
        <row r="6">
          <cell r="D6">
            <v>1052065650</v>
          </cell>
        </row>
      </sheetData>
      <sheetData sheetId="1321">
        <row r="6">
          <cell r="D6">
            <v>1052065650</v>
          </cell>
        </row>
      </sheetData>
      <sheetData sheetId="1322">
        <row r="6">
          <cell r="D6">
            <v>1052065650</v>
          </cell>
        </row>
      </sheetData>
      <sheetData sheetId="1323">
        <row r="2">
          <cell r="E2">
            <v>38559</v>
          </cell>
        </row>
      </sheetData>
      <sheetData sheetId="1324">
        <row r="6">
          <cell r="D6">
            <v>1052065650</v>
          </cell>
        </row>
      </sheetData>
      <sheetData sheetId="1325">
        <row r="6">
          <cell r="D6">
            <v>1052065650</v>
          </cell>
        </row>
      </sheetData>
      <sheetData sheetId="1326" refreshError="1"/>
      <sheetData sheetId="1327" refreshError="1"/>
      <sheetData sheetId="1328" refreshError="1"/>
      <sheetData sheetId="1329" refreshError="1"/>
      <sheetData sheetId="1330">
        <row r="2">
          <cell r="A2" t="str">
            <v xml:space="preserve">GCM020004                     </v>
          </cell>
        </row>
      </sheetData>
      <sheetData sheetId="1331">
        <row r="2">
          <cell r="A2" t="str">
            <v xml:space="preserve">GCM020004                     </v>
          </cell>
        </row>
      </sheetData>
      <sheetData sheetId="1332" refreshError="1"/>
      <sheetData sheetId="1333" refreshError="1"/>
      <sheetData sheetId="1334">
        <row r="2">
          <cell r="A2" t="str">
            <v xml:space="preserve">GCM020004                     </v>
          </cell>
        </row>
      </sheetData>
      <sheetData sheetId="1335" refreshError="1"/>
      <sheetData sheetId="1336" refreshError="1"/>
      <sheetData sheetId="1337">
        <row r="1">
          <cell r="D1" t="str">
            <v>Date on :</v>
          </cell>
        </row>
      </sheetData>
      <sheetData sheetId="1338">
        <row r="6">
          <cell r="D6">
            <v>1052065650</v>
          </cell>
        </row>
      </sheetData>
      <sheetData sheetId="1339">
        <row r="6">
          <cell r="D6">
            <v>1052065650</v>
          </cell>
        </row>
      </sheetData>
      <sheetData sheetId="1340">
        <row r="2">
          <cell r="A2" t="str">
            <v xml:space="preserve">GCM020004                     </v>
          </cell>
        </row>
      </sheetData>
      <sheetData sheetId="1341">
        <row r="2">
          <cell r="A2" t="str">
            <v xml:space="preserve">GCM020004                     </v>
          </cell>
        </row>
      </sheetData>
      <sheetData sheetId="1342">
        <row r="2">
          <cell r="A2" t="str">
            <v xml:space="preserve">GCM020004                     </v>
          </cell>
        </row>
      </sheetData>
      <sheetData sheetId="1343">
        <row r="6">
          <cell r="D6">
            <v>1052065650</v>
          </cell>
        </row>
      </sheetData>
      <sheetData sheetId="1344">
        <row r="6">
          <cell r="D6">
            <v>1052065650</v>
          </cell>
        </row>
      </sheetData>
      <sheetData sheetId="1345">
        <row r="6">
          <cell r="D6">
            <v>1052065650</v>
          </cell>
        </row>
      </sheetData>
      <sheetData sheetId="1346">
        <row r="2">
          <cell r="A2" t="str">
            <v xml:space="preserve">GCM020004                     </v>
          </cell>
        </row>
      </sheetData>
      <sheetData sheetId="1347">
        <row r="2">
          <cell r="A2" t="str">
            <v xml:space="preserve">GCM020004                     </v>
          </cell>
        </row>
      </sheetData>
      <sheetData sheetId="1348">
        <row r="2">
          <cell r="A2" t="str">
            <v xml:space="preserve">GCM020004                     </v>
          </cell>
        </row>
      </sheetData>
      <sheetData sheetId="1349">
        <row r="2">
          <cell r="A2" t="str">
            <v xml:space="preserve">GCM020004                     </v>
          </cell>
        </row>
      </sheetData>
      <sheetData sheetId="1350">
        <row r="2">
          <cell r="A2" t="str">
            <v xml:space="preserve">GCM020004                     </v>
          </cell>
        </row>
      </sheetData>
      <sheetData sheetId="1351">
        <row r="2">
          <cell r="A2" t="str">
            <v xml:space="preserve">GCM020004                     </v>
          </cell>
        </row>
      </sheetData>
      <sheetData sheetId="1352">
        <row r="2">
          <cell r="A2" t="str">
            <v xml:space="preserve">GCM020004                     </v>
          </cell>
        </row>
      </sheetData>
      <sheetData sheetId="1353">
        <row r="6">
          <cell r="D6">
            <v>1052065650</v>
          </cell>
        </row>
      </sheetData>
      <sheetData sheetId="1354">
        <row r="6">
          <cell r="D6">
            <v>1052065650</v>
          </cell>
        </row>
      </sheetData>
      <sheetData sheetId="1355">
        <row r="1">
          <cell r="D1" t="str">
            <v>Date on :</v>
          </cell>
        </row>
      </sheetData>
      <sheetData sheetId="1356">
        <row r="4">
          <cell r="B4">
            <v>1013000</v>
          </cell>
        </row>
      </sheetData>
      <sheetData sheetId="1357">
        <row r="6">
          <cell r="D6">
            <v>1052065650</v>
          </cell>
        </row>
      </sheetData>
      <sheetData sheetId="1358">
        <row r="2">
          <cell r="A2" t="str">
            <v xml:space="preserve">GCM020004                     </v>
          </cell>
        </row>
      </sheetData>
      <sheetData sheetId="1359">
        <row r="2">
          <cell r="P2">
            <v>256603240</v>
          </cell>
        </row>
      </sheetData>
      <sheetData sheetId="1360">
        <row r="6">
          <cell r="D6">
            <v>1052065650</v>
          </cell>
        </row>
      </sheetData>
      <sheetData sheetId="1361">
        <row r="2">
          <cell r="A2" t="str">
            <v xml:space="preserve">GCM020004                     </v>
          </cell>
        </row>
      </sheetData>
      <sheetData sheetId="1362">
        <row r="2">
          <cell r="A2" t="str">
            <v xml:space="preserve">GCM020004                     </v>
          </cell>
        </row>
      </sheetData>
      <sheetData sheetId="1363">
        <row r="6">
          <cell r="D6">
            <v>1052065650</v>
          </cell>
        </row>
      </sheetData>
      <sheetData sheetId="1364">
        <row r="2">
          <cell r="A2" t="str">
            <v xml:space="preserve">GCM020004                     </v>
          </cell>
        </row>
      </sheetData>
      <sheetData sheetId="1365">
        <row r="6">
          <cell r="D6">
            <v>1052065650</v>
          </cell>
        </row>
      </sheetData>
      <sheetData sheetId="1366">
        <row r="2">
          <cell r="A2" t="str">
            <v xml:space="preserve">GCM020004                     </v>
          </cell>
        </row>
      </sheetData>
      <sheetData sheetId="1367">
        <row r="1">
          <cell r="D1" t="str">
            <v>Date on :</v>
          </cell>
        </row>
      </sheetData>
      <sheetData sheetId="1368">
        <row r="6">
          <cell r="D6">
            <v>1052065650</v>
          </cell>
        </row>
      </sheetData>
      <sheetData sheetId="1369">
        <row r="2">
          <cell r="A2" t="str">
            <v xml:space="preserve">GCM020004                     </v>
          </cell>
        </row>
      </sheetData>
      <sheetData sheetId="1370">
        <row r="6">
          <cell r="D6">
            <v>1052065650</v>
          </cell>
        </row>
      </sheetData>
      <sheetData sheetId="1371">
        <row r="6">
          <cell r="D6">
            <v>1052065650</v>
          </cell>
        </row>
      </sheetData>
      <sheetData sheetId="1372">
        <row r="2">
          <cell r="A2" t="str">
            <v xml:space="preserve">GCM020004                     </v>
          </cell>
        </row>
      </sheetData>
      <sheetData sheetId="1373">
        <row r="2">
          <cell r="A2" t="str">
            <v xml:space="preserve">GCM020004                     </v>
          </cell>
        </row>
      </sheetData>
      <sheetData sheetId="1374">
        <row r="2">
          <cell r="A2" t="str">
            <v xml:space="preserve">GCM020004                     </v>
          </cell>
        </row>
      </sheetData>
      <sheetData sheetId="1375">
        <row r="2">
          <cell r="A2" t="str">
            <v xml:space="preserve">GCM020004                     </v>
          </cell>
        </row>
      </sheetData>
      <sheetData sheetId="1376">
        <row r="2">
          <cell r="A2" t="str">
            <v xml:space="preserve">GCM020004                     </v>
          </cell>
        </row>
      </sheetData>
      <sheetData sheetId="1377">
        <row r="6">
          <cell r="D6">
            <v>1052065650</v>
          </cell>
        </row>
      </sheetData>
      <sheetData sheetId="1378">
        <row r="6">
          <cell r="D6">
            <v>1052065650</v>
          </cell>
        </row>
      </sheetData>
      <sheetData sheetId="1379">
        <row r="248">
          <cell r="F248">
            <v>1.1059322033898304</v>
          </cell>
        </row>
      </sheetData>
      <sheetData sheetId="1380">
        <row r="6">
          <cell r="D6">
            <v>1052065650</v>
          </cell>
        </row>
      </sheetData>
      <sheetData sheetId="1381">
        <row r="6">
          <cell r="D6">
            <v>1052065650</v>
          </cell>
        </row>
      </sheetData>
      <sheetData sheetId="1382">
        <row r="6">
          <cell r="D6">
            <v>1052065650</v>
          </cell>
        </row>
      </sheetData>
      <sheetData sheetId="1383">
        <row r="2">
          <cell r="A2" t="str">
            <v xml:space="preserve">GCM020004                     </v>
          </cell>
        </row>
      </sheetData>
      <sheetData sheetId="1384">
        <row r="2">
          <cell r="A2" t="str">
            <v xml:space="preserve">GCM020004                     </v>
          </cell>
        </row>
      </sheetData>
      <sheetData sheetId="1385">
        <row r="6">
          <cell r="D6">
            <v>1052065650</v>
          </cell>
        </row>
      </sheetData>
      <sheetData sheetId="1386">
        <row r="2">
          <cell r="A2" t="str">
            <v xml:space="preserve">GCM020004                     </v>
          </cell>
        </row>
      </sheetData>
      <sheetData sheetId="1387">
        <row r="6">
          <cell r="D6">
            <v>1052065650</v>
          </cell>
        </row>
      </sheetData>
      <sheetData sheetId="1388">
        <row r="2">
          <cell r="A2" t="str">
            <v xml:space="preserve">GCM020004                     </v>
          </cell>
        </row>
      </sheetData>
      <sheetData sheetId="1389">
        <row r="2">
          <cell r="A2" t="str">
            <v xml:space="preserve">GCM020004                     </v>
          </cell>
        </row>
      </sheetData>
      <sheetData sheetId="1390">
        <row r="23">
          <cell r="H23">
            <v>10175</v>
          </cell>
        </row>
      </sheetData>
      <sheetData sheetId="1391">
        <row r="23">
          <cell r="H23">
            <v>10175</v>
          </cell>
        </row>
      </sheetData>
      <sheetData sheetId="1392">
        <row r="1">
          <cell r="D1" t="str">
            <v>Date on :</v>
          </cell>
        </row>
      </sheetData>
      <sheetData sheetId="1393">
        <row r="6">
          <cell r="D6">
            <v>1052065650</v>
          </cell>
        </row>
      </sheetData>
      <sheetData sheetId="1394">
        <row r="2">
          <cell r="A2" t="str">
            <v xml:space="preserve">GCM020004                     </v>
          </cell>
        </row>
      </sheetData>
      <sheetData sheetId="1395">
        <row r="6">
          <cell r="D6">
            <v>1052065650</v>
          </cell>
        </row>
      </sheetData>
      <sheetData sheetId="1396">
        <row r="6">
          <cell r="D6">
            <v>1052065650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>
        <row r="2">
          <cell r="A2" t="str">
            <v xml:space="preserve">GCM020004                     </v>
          </cell>
        </row>
      </sheetData>
      <sheetData sheetId="1929">
        <row r="2">
          <cell r="A2" t="str">
            <v xml:space="preserve">GCM020004                     </v>
          </cell>
        </row>
      </sheetData>
      <sheetData sheetId="1930">
        <row r="2">
          <cell r="A2" t="str">
            <v xml:space="preserve">GCM020004                     </v>
          </cell>
        </row>
      </sheetData>
      <sheetData sheetId="1931">
        <row r="6">
          <cell r="D6">
            <v>1052065650</v>
          </cell>
        </row>
      </sheetData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>
        <row r="6">
          <cell r="D6">
            <v>1052065650</v>
          </cell>
        </row>
      </sheetData>
      <sheetData sheetId="1955">
        <row r="6">
          <cell r="D6">
            <v>1052065650</v>
          </cell>
        </row>
      </sheetData>
      <sheetData sheetId="1956">
        <row r="6">
          <cell r="D6">
            <v>1052065650</v>
          </cell>
        </row>
      </sheetData>
      <sheetData sheetId="1957">
        <row r="6">
          <cell r="D6">
            <v>1052065650</v>
          </cell>
        </row>
      </sheetData>
      <sheetData sheetId="1958">
        <row r="31">
          <cell r="N31">
            <v>906186608.62700033</v>
          </cell>
        </row>
      </sheetData>
      <sheetData sheetId="1959">
        <row r="6">
          <cell r="D6">
            <v>1052065650</v>
          </cell>
        </row>
      </sheetData>
      <sheetData sheetId="1960">
        <row r="6">
          <cell r="D6">
            <v>1052065650</v>
          </cell>
        </row>
      </sheetData>
      <sheetData sheetId="1961">
        <row r="2">
          <cell r="A2" t="str">
            <v xml:space="preserve">GCM020004                     </v>
          </cell>
        </row>
      </sheetData>
      <sheetData sheetId="1962">
        <row r="2">
          <cell r="A2" t="str">
            <v xml:space="preserve">GCM020004                     </v>
          </cell>
        </row>
      </sheetData>
      <sheetData sheetId="1963">
        <row r="2">
          <cell r="A2" t="str">
            <v xml:space="preserve">GCM020004                     </v>
          </cell>
        </row>
      </sheetData>
      <sheetData sheetId="1964">
        <row r="2">
          <cell r="A2" t="str">
            <v xml:space="preserve">GCM020004                     </v>
          </cell>
        </row>
      </sheetData>
      <sheetData sheetId="1965">
        <row r="2">
          <cell r="A2" t="str">
            <v xml:space="preserve">GCM020004                     </v>
          </cell>
        </row>
      </sheetData>
      <sheetData sheetId="1966">
        <row r="6">
          <cell r="D6">
            <v>1052065650</v>
          </cell>
        </row>
      </sheetData>
      <sheetData sheetId="1967">
        <row r="6">
          <cell r="D6">
            <v>1052065650</v>
          </cell>
        </row>
      </sheetData>
      <sheetData sheetId="1968">
        <row r="6">
          <cell r="D6">
            <v>1052065650</v>
          </cell>
        </row>
      </sheetData>
      <sheetData sheetId="1969">
        <row r="2">
          <cell r="A2" t="str">
            <v xml:space="preserve">GCM020004                     </v>
          </cell>
        </row>
      </sheetData>
      <sheetData sheetId="1970">
        <row r="2">
          <cell r="A2" t="str">
            <v xml:space="preserve">GCM020004                     </v>
          </cell>
        </row>
      </sheetData>
      <sheetData sheetId="1971">
        <row r="2">
          <cell r="A2" t="str">
            <v xml:space="preserve">GCM020004                     </v>
          </cell>
        </row>
      </sheetData>
      <sheetData sheetId="1972">
        <row r="6">
          <cell r="D6">
            <v>1052065650</v>
          </cell>
        </row>
      </sheetData>
      <sheetData sheetId="1973">
        <row r="6">
          <cell r="D6">
            <v>1052065650</v>
          </cell>
        </row>
      </sheetData>
      <sheetData sheetId="1974">
        <row r="6">
          <cell r="D6">
            <v>1052065650</v>
          </cell>
        </row>
      </sheetData>
      <sheetData sheetId="1975">
        <row r="6">
          <cell r="D6">
            <v>1052065650</v>
          </cell>
        </row>
      </sheetData>
      <sheetData sheetId="1976">
        <row r="6">
          <cell r="D6">
            <v>1052065650</v>
          </cell>
        </row>
      </sheetData>
      <sheetData sheetId="1977">
        <row r="6">
          <cell r="D6">
            <v>1052065650</v>
          </cell>
        </row>
      </sheetData>
      <sheetData sheetId="1978">
        <row r="6">
          <cell r="D6">
            <v>1052065650</v>
          </cell>
        </row>
      </sheetData>
      <sheetData sheetId="1979">
        <row r="6">
          <cell r="D6">
            <v>1052065650</v>
          </cell>
        </row>
      </sheetData>
      <sheetData sheetId="1980">
        <row r="6">
          <cell r="D6">
            <v>1052065650</v>
          </cell>
        </row>
      </sheetData>
      <sheetData sheetId="1981">
        <row r="6">
          <cell r="D6">
            <v>1052065650</v>
          </cell>
        </row>
      </sheetData>
      <sheetData sheetId="1982">
        <row r="2">
          <cell r="A2" t="str">
            <v xml:space="preserve">GCM020004                     </v>
          </cell>
        </row>
      </sheetData>
      <sheetData sheetId="1983">
        <row r="2">
          <cell r="A2" t="str">
            <v xml:space="preserve">GCM020004                     </v>
          </cell>
        </row>
      </sheetData>
      <sheetData sheetId="1984">
        <row r="2">
          <cell r="A2" t="str">
            <v xml:space="preserve">GCM020004                     </v>
          </cell>
        </row>
      </sheetData>
      <sheetData sheetId="1985">
        <row r="2">
          <cell r="A2" t="str">
            <v xml:space="preserve">GCM020004                     </v>
          </cell>
        </row>
      </sheetData>
      <sheetData sheetId="1986">
        <row r="2">
          <cell r="A2" t="str">
            <v xml:space="preserve">GCM020004                     </v>
          </cell>
        </row>
      </sheetData>
      <sheetData sheetId="1987">
        <row r="2">
          <cell r="A2" t="str">
            <v xml:space="preserve">GCM020004                     </v>
          </cell>
        </row>
      </sheetData>
      <sheetData sheetId="1988">
        <row r="2">
          <cell r="A2" t="str">
            <v xml:space="preserve">GCM020004                     </v>
          </cell>
        </row>
      </sheetData>
      <sheetData sheetId="1989">
        <row r="2">
          <cell r="A2" t="str">
            <v xml:space="preserve">GCM020004                     </v>
          </cell>
        </row>
      </sheetData>
      <sheetData sheetId="1990">
        <row r="2">
          <cell r="A2" t="str">
            <v xml:space="preserve">GCM020004                     </v>
          </cell>
        </row>
      </sheetData>
      <sheetData sheetId="1991">
        <row r="6">
          <cell r="D6">
            <v>1052065650</v>
          </cell>
        </row>
      </sheetData>
      <sheetData sheetId="1992">
        <row r="6">
          <cell r="D6">
            <v>1052065650</v>
          </cell>
        </row>
      </sheetData>
      <sheetData sheetId="1993">
        <row r="6">
          <cell r="D6">
            <v>1052065650</v>
          </cell>
        </row>
      </sheetData>
      <sheetData sheetId="1994">
        <row r="2">
          <cell r="A2" t="str">
            <v xml:space="preserve">GCM020004                     </v>
          </cell>
        </row>
      </sheetData>
      <sheetData sheetId="1995">
        <row r="6">
          <cell r="D6">
            <v>1052065650</v>
          </cell>
        </row>
      </sheetData>
      <sheetData sheetId="1996">
        <row r="6">
          <cell r="D6">
            <v>1052065650</v>
          </cell>
        </row>
      </sheetData>
      <sheetData sheetId="1997">
        <row r="6">
          <cell r="D6">
            <v>1052065650</v>
          </cell>
        </row>
      </sheetData>
      <sheetData sheetId="1998">
        <row r="6">
          <cell r="D6">
            <v>1052065650</v>
          </cell>
        </row>
      </sheetData>
      <sheetData sheetId="1999">
        <row r="6">
          <cell r="D6">
            <v>1052065650</v>
          </cell>
        </row>
      </sheetData>
      <sheetData sheetId="2000">
        <row r="6">
          <cell r="D6">
            <v>1052065650</v>
          </cell>
        </row>
      </sheetData>
      <sheetData sheetId="2001">
        <row r="6">
          <cell r="D6">
            <v>1052065650</v>
          </cell>
        </row>
      </sheetData>
      <sheetData sheetId="2002">
        <row r="2">
          <cell r="A2" t="str">
            <v xml:space="preserve">GCM020004                     </v>
          </cell>
        </row>
      </sheetData>
      <sheetData sheetId="2003">
        <row r="2">
          <cell r="A2" t="str">
            <v xml:space="preserve">GCM020004                     </v>
          </cell>
        </row>
      </sheetData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2">
          <cell r="A2" t="str">
            <v xml:space="preserve">GCM020004                     </v>
          </cell>
        </row>
      </sheetData>
      <sheetData sheetId="2010" refreshError="1"/>
      <sheetData sheetId="2011">
        <row r="2">
          <cell r="A2" t="str">
            <v xml:space="preserve">GCM020004                     </v>
          </cell>
        </row>
      </sheetData>
      <sheetData sheetId="2012" refreshError="1"/>
      <sheetData sheetId="2013" refreshError="1"/>
      <sheetData sheetId="2014">
        <row r="6">
          <cell r="D6">
            <v>1052065650</v>
          </cell>
        </row>
      </sheetData>
      <sheetData sheetId="2015" refreshError="1"/>
      <sheetData sheetId="2016" refreshError="1"/>
      <sheetData sheetId="2017">
        <row r="2">
          <cell r="A2" t="str">
            <v xml:space="preserve">GCM020004                     </v>
          </cell>
        </row>
      </sheetData>
      <sheetData sheetId="2018">
        <row r="2">
          <cell r="A2" t="str">
            <v xml:space="preserve">GCM020004                     </v>
          </cell>
        </row>
      </sheetData>
      <sheetData sheetId="2019">
        <row r="2">
          <cell r="A2" t="str">
            <v xml:space="preserve">GCM020004                     </v>
          </cell>
        </row>
      </sheetData>
      <sheetData sheetId="2020">
        <row r="2">
          <cell r="A2" t="str">
            <v xml:space="preserve">GCM020004                     </v>
          </cell>
        </row>
      </sheetData>
      <sheetData sheetId="2021">
        <row r="6">
          <cell r="D6">
            <v>1052065650</v>
          </cell>
        </row>
      </sheetData>
      <sheetData sheetId="2022">
        <row r="6">
          <cell r="D6">
            <v>1052065650</v>
          </cell>
        </row>
      </sheetData>
      <sheetData sheetId="2023">
        <row r="2">
          <cell r="A2" t="str">
            <v xml:space="preserve">GCM020004                     </v>
          </cell>
        </row>
      </sheetData>
      <sheetData sheetId="2024">
        <row r="2">
          <cell r="A2" t="str">
            <v xml:space="preserve">GCM020004                     </v>
          </cell>
        </row>
      </sheetData>
      <sheetData sheetId="2025">
        <row r="2">
          <cell r="A2" t="str">
            <v xml:space="preserve">GCM020004                     </v>
          </cell>
        </row>
      </sheetData>
      <sheetData sheetId="2026">
        <row r="6">
          <cell r="D6">
            <v>1052065650</v>
          </cell>
        </row>
      </sheetData>
      <sheetData sheetId="2027">
        <row r="6">
          <cell r="D6">
            <v>1052065650</v>
          </cell>
        </row>
      </sheetData>
      <sheetData sheetId="2028">
        <row r="6">
          <cell r="D6">
            <v>1052065650</v>
          </cell>
        </row>
      </sheetData>
      <sheetData sheetId="2029">
        <row r="6">
          <cell r="D6">
            <v>1052065650</v>
          </cell>
        </row>
      </sheetData>
      <sheetData sheetId="2030">
        <row r="6">
          <cell r="D6">
            <v>1052065650</v>
          </cell>
        </row>
      </sheetData>
      <sheetData sheetId="2031">
        <row r="6">
          <cell r="D6">
            <v>1052065650</v>
          </cell>
        </row>
      </sheetData>
      <sheetData sheetId="2032">
        <row r="6">
          <cell r="D6">
            <v>1052065650</v>
          </cell>
        </row>
      </sheetData>
      <sheetData sheetId="2033">
        <row r="6">
          <cell r="D6">
            <v>1052065650</v>
          </cell>
        </row>
      </sheetData>
      <sheetData sheetId="2034">
        <row r="6">
          <cell r="D6">
            <v>1052065650</v>
          </cell>
        </row>
      </sheetData>
      <sheetData sheetId="2035">
        <row r="6">
          <cell r="D6">
            <v>1052065650</v>
          </cell>
        </row>
      </sheetData>
      <sheetData sheetId="2036">
        <row r="2">
          <cell r="A2" t="str">
            <v xml:space="preserve">GCM020004                     </v>
          </cell>
        </row>
      </sheetData>
      <sheetData sheetId="2037">
        <row r="6">
          <cell r="D6">
            <v>1052065650</v>
          </cell>
        </row>
      </sheetData>
      <sheetData sheetId="2038">
        <row r="2">
          <cell r="A2" t="str">
            <v xml:space="preserve">GCM020004                     </v>
          </cell>
        </row>
      </sheetData>
      <sheetData sheetId="2039">
        <row r="2">
          <cell r="A2" t="str">
            <v xml:space="preserve">GCM020004                     </v>
          </cell>
        </row>
      </sheetData>
      <sheetData sheetId="2040">
        <row r="2">
          <cell r="A2" t="str">
            <v xml:space="preserve">GCM020004                     </v>
          </cell>
        </row>
      </sheetData>
      <sheetData sheetId="2041">
        <row r="2">
          <cell r="A2" t="str">
            <v xml:space="preserve">GCM020004                     </v>
          </cell>
        </row>
      </sheetData>
      <sheetData sheetId="2042">
        <row r="2">
          <cell r="A2" t="str">
            <v xml:space="preserve">GCM020004                     </v>
          </cell>
        </row>
      </sheetData>
      <sheetData sheetId="2043">
        <row r="2">
          <cell r="A2" t="str">
            <v xml:space="preserve">GCM020004                     </v>
          </cell>
        </row>
      </sheetData>
      <sheetData sheetId="2044">
        <row r="2">
          <cell r="A2" t="str">
            <v xml:space="preserve">GCM020004                     </v>
          </cell>
        </row>
      </sheetData>
      <sheetData sheetId="2045">
        <row r="2">
          <cell r="A2" t="str">
            <v xml:space="preserve">GCM020004                     </v>
          </cell>
        </row>
      </sheetData>
      <sheetData sheetId="2046">
        <row r="2">
          <cell r="A2" t="str">
            <v xml:space="preserve">GCM020004                     </v>
          </cell>
        </row>
      </sheetData>
      <sheetData sheetId="2047">
        <row r="2">
          <cell r="A2" t="str">
            <v xml:space="preserve">GCM020004                     </v>
          </cell>
        </row>
      </sheetData>
      <sheetData sheetId="2048">
        <row r="6">
          <cell r="D6">
            <v>1052065650</v>
          </cell>
        </row>
      </sheetData>
      <sheetData sheetId="2049">
        <row r="6">
          <cell r="D6">
            <v>1052065650</v>
          </cell>
        </row>
      </sheetData>
      <sheetData sheetId="2050">
        <row r="6">
          <cell r="D6">
            <v>1052065650</v>
          </cell>
        </row>
      </sheetData>
      <sheetData sheetId="2051">
        <row r="2">
          <cell r="A2" t="str">
            <v xml:space="preserve">GCM020004                     </v>
          </cell>
        </row>
      </sheetData>
      <sheetData sheetId="2052">
        <row r="2">
          <cell r="A2" t="str">
            <v xml:space="preserve">GCM020004                     </v>
          </cell>
        </row>
      </sheetData>
      <sheetData sheetId="2053">
        <row r="2">
          <cell r="A2" t="str">
            <v xml:space="preserve">GCM020004                     </v>
          </cell>
        </row>
      </sheetData>
      <sheetData sheetId="2054">
        <row r="2">
          <cell r="A2" t="str">
            <v xml:space="preserve">GCM020004                     </v>
          </cell>
        </row>
      </sheetData>
      <sheetData sheetId="2055">
        <row r="2">
          <cell r="A2" t="str">
            <v xml:space="preserve">GCM020004                     </v>
          </cell>
        </row>
      </sheetData>
      <sheetData sheetId="2056">
        <row r="31">
          <cell r="N31">
            <v>906186608.62700033</v>
          </cell>
        </row>
      </sheetData>
      <sheetData sheetId="2057"/>
      <sheetData sheetId="2058"/>
      <sheetData sheetId="2059"/>
      <sheetData sheetId="2060"/>
      <sheetData sheetId="2061">
        <row r="767">
          <cell r="B767">
            <v>739</v>
          </cell>
        </row>
      </sheetData>
      <sheetData sheetId="2062">
        <row r="6">
          <cell r="D6">
            <v>1052065650</v>
          </cell>
        </row>
      </sheetData>
      <sheetData sheetId="2063"/>
      <sheetData sheetId="2064">
        <row r="6">
          <cell r="D6">
            <v>1052065650</v>
          </cell>
        </row>
      </sheetData>
      <sheetData sheetId="2065"/>
      <sheetData sheetId="2066">
        <row r="31">
          <cell r="N31">
            <v>906186608.62700033</v>
          </cell>
        </row>
      </sheetData>
      <sheetData sheetId="2067">
        <row r="6">
          <cell r="D6">
            <v>1052065650</v>
          </cell>
        </row>
      </sheetData>
      <sheetData sheetId="2068">
        <row r="31">
          <cell r="N31">
            <v>906186608.62700033</v>
          </cell>
        </row>
      </sheetData>
      <sheetData sheetId="2069">
        <row r="31">
          <cell r="N31">
            <v>906186608.62700033</v>
          </cell>
        </row>
      </sheetData>
      <sheetData sheetId="2070">
        <row r="2">
          <cell r="A2" t="str">
            <v xml:space="preserve">GCM020004                     </v>
          </cell>
        </row>
      </sheetData>
      <sheetData sheetId="2071">
        <row r="2">
          <cell r="A2" t="str">
            <v xml:space="preserve">GCM020004                     </v>
          </cell>
        </row>
      </sheetData>
      <sheetData sheetId="2072">
        <row r="2">
          <cell r="A2" t="str">
            <v xml:space="preserve">GCM020004                     </v>
          </cell>
        </row>
      </sheetData>
      <sheetData sheetId="2073">
        <row r="6">
          <cell r="D6">
            <v>1052065650</v>
          </cell>
        </row>
      </sheetData>
      <sheetData sheetId="2074">
        <row r="6">
          <cell r="D6">
            <v>1052065650</v>
          </cell>
        </row>
      </sheetData>
      <sheetData sheetId="2075">
        <row r="6">
          <cell r="D6">
            <v>1052065650</v>
          </cell>
        </row>
      </sheetData>
      <sheetData sheetId="2076">
        <row r="2">
          <cell r="A2" t="str">
            <v xml:space="preserve">GCM020004                     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>
        <row r="2">
          <cell r="A2" t="str">
            <v xml:space="preserve">GCM020004                     </v>
          </cell>
        </row>
      </sheetData>
      <sheetData sheetId="2272">
        <row r="6">
          <cell r="D6">
            <v>1052065650</v>
          </cell>
        </row>
      </sheetData>
      <sheetData sheetId="2273">
        <row r="2">
          <cell r="A2" t="str">
            <v xml:space="preserve">GCM020004                     </v>
          </cell>
        </row>
      </sheetData>
      <sheetData sheetId="2274">
        <row r="6">
          <cell r="D6">
            <v>1052065650</v>
          </cell>
        </row>
      </sheetData>
      <sheetData sheetId="2275">
        <row r="6">
          <cell r="D6">
            <v>1052065650</v>
          </cell>
        </row>
      </sheetData>
      <sheetData sheetId="2276">
        <row r="6">
          <cell r="D6">
            <v>1052065650</v>
          </cell>
        </row>
      </sheetData>
      <sheetData sheetId="2277" refreshError="1"/>
      <sheetData sheetId="2278" refreshError="1"/>
      <sheetData sheetId="2279">
        <row r="1">
          <cell r="D1">
            <v>1127</v>
          </cell>
        </row>
      </sheetData>
      <sheetData sheetId="2280">
        <row r="1">
          <cell r="A1">
            <v>255612</v>
          </cell>
        </row>
      </sheetData>
      <sheetData sheetId="2281">
        <row r="4">
          <cell r="C4">
            <v>39599</v>
          </cell>
        </row>
      </sheetData>
      <sheetData sheetId="2282">
        <row r="6">
          <cell r="D6">
            <v>1052065650</v>
          </cell>
        </row>
      </sheetData>
      <sheetData sheetId="2283">
        <row r="6">
          <cell r="D6">
            <v>1052065650</v>
          </cell>
        </row>
      </sheetData>
      <sheetData sheetId="2284">
        <row r="6">
          <cell r="D6">
            <v>1052065650</v>
          </cell>
        </row>
      </sheetData>
      <sheetData sheetId="2285">
        <row r="6">
          <cell r="D6">
            <v>1052065650</v>
          </cell>
        </row>
      </sheetData>
      <sheetData sheetId="2286">
        <row r="6">
          <cell r="D6">
            <v>1052065650</v>
          </cell>
        </row>
      </sheetData>
      <sheetData sheetId="2287">
        <row r="6">
          <cell r="D6">
            <v>1052065650</v>
          </cell>
        </row>
      </sheetData>
      <sheetData sheetId="2288">
        <row r="6">
          <cell r="D6">
            <v>1052065650</v>
          </cell>
        </row>
      </sheetData>
      <sheetData sheetId="2289">
        <row r="6">
          <cell r="D6">
            <v>1052065650</v>
          </cell>
        </row>
      </sheetData>
      <sheetData sheetId="2290">
        <row r="6">
          <cell r="D6">
            <v>1052065650</v>
          </cell>
        </row>
      </sheetData>
      <sheetData sheetId="2291">
        <row r="6">
          <cell r="D6">
            <v>1052065650</v>
          </cell>
        </row>
      </sheetData>
      <sheetData sheetId="2292">
        <row r="6">
          <cell r="D6">
            <v>1052065650</v>
          </cell>
        </row>
      </sheetData>
      <sheetData sheetId="2293">
        <row r="2">
          <cell r="A2" t="str">
            <v xml:space="preserve">GCM020004                     </v>
          </cell>
        </row>
      </sheetData>
      <sheetData sheetId="2294">
        <row r="2">
          <cell r="A2" t="str">
            <v xml:space="preserve">GCM020004                     </v>
          </cell>
        </row>
      </sheetData>
      <sheetData sheetId="2295">
        <row r="2">
          <cell r="A2" t="str">
            <v xml:space="preserve">GCM020004                     </v>
          </cell>
        </row>
      </sheetData>
      <sheetData sheetId="2296">
        <row r="2">
          <cell r="A2" t="str">
            <v xml:space="preserve">GCM020004                     </v>
          </cell>
        </row>
      </sheetData>
      <sheetData sheetId="2297">
        <row r="2">
          <cell r="A2" t="str">
            <v xml:space="preserve">GCM020004                     </v>
          </cell>
        </row>
      </sheetData>
      <sheetData sheetId="2298">
        <row r="2">
          <cell r="A2" t="str">
            <v xml:space="preserve">GCM020004                     </v>
          </cell>
        </row>
      </sheetData>
      <sheetData sheetId="2299">
        <row r="2">
          <cell r="A2" t="str">
            <v xml:space="preserve">GCM020004                     </v>
          </cell>
        </row>
      </sheetData>
      <sheetData sheetId="2300">
        <row r="6">
          <cell r="D6">
            <v>1052065650</v>
          </cell>
        </row>
      </sheetData>
      <sheetData sheetId="2301">
        <row r="6">
          <cell r="D6">
            <v>1052065650</v>
          </cell>
        </row>
      </sheetData>
      <sheetData sheetId="2302">
        <row r="6">
          <cell r="D6">
            <v>1052065650</v>
          </cell>
        </row>
      </sheetData>
      <sheetData sheetId="2303">
        <row r="6">
          <cell r="D6">
            <v>1052065650</v>
          </cell>
        </row>
      </sheetData>
      <sheetData sheetId="2304">
        <row r="6">
          <cell r="D6">
            <v>1052065650</v>
          </cell>
        </row>
      </sheetData>
      <sheetData sheetId="2305">
        <row r="6">
          <cell r="D6">
            <v>1052065650</v>
          </cell>
        </row>
      </sheetData>
      <sheetData sheetId="2306">
        <row r="6">
          <cell r="D6">
            <v>1052065650</v>
          </cell>
        </row>
      </sheetData>
      <sheetData sheetId="2307">
        <row r="2">
          <cell r="A2" t="str">
            <v xml:space="preserve">GCM020004                     </v>
          </cell>
        </row>
      </sheetData>
      <sheetData sheetId="2308">
        <row r="2">
          <cell r="A2" t="str">
            <v xml:space="preserve">GCM020004                     </v>
          </cell>
        </row>
      </sheetData>
      <sheetData sheetId="2309">
        <row r="6">
          <cell r="D6">
            <v>1052065650</v>
          </cell>
        </row>
      </sheetData>
      <sheetData sheetId="2310">
        <row r="6">
          <cell r="D6">
            <v>1052065650</v>
          </cell>
        </row>
      </sheetData>
      <sheetData sheetId="2311">
        <row r="2">
          <cell r="A2" t="str">
            <v xml:space="preserve">GCM020004                     </v>
          </cell>
        </row>
      </sheetData>
      <sheetData sheetId="2312">
        <row r="6">
          <cell r="D6">
            <v>1052065650</v>
          </cell>
        </row>
      </sheetData>
      <sheetData sheetId="2313">
        <row r="6">
          <cell r="D6">
            <v>1052065650</v>
          </cell>
        </row>
      </sheetData>
      <sheetData sheetId="2314">
        <row r="6">
          <cell r="D6">
            <v>1052065650</v>
          </cell>
        </row>
      </sheetData>
      <sheetData sheetId="2315">
        <row r="6">
          <cell r="D6">
            <v>1052065650</v>
          </cell>
        </row>
      </sheetData>
      <sheetData sheetId="2316">
        <row r="6">
          <cell r="D6">
            <v>1052065650</v>
          </cell>
        </row>
      </sheetData>
      <sheetData sheetId="2317">
        <row r="6">
          <cell r="D6">
            <v>1052065650</v>
          </cell>
        </row>
      </sheetData>
      <sheetData sheetId="2318">
        <row r="2">
          <cell r="A2" t="str">
            <v xml:space="preserve">GCM020004                     </v>
          </cell>
        </row>
      </sheetData>
      <sheetData sheetId="2319">
        <row r="2">
          <cell r="A2" t="str">
            <v xml:space="preserve">GCM020004                     </v>
          </cell>
        </row>
      </sheetData>
      <sheetData sheetId="2320">
        <row r="2">
          <cell r="A2" t="str">
            <v xml:space="preserve">GCM020004                     </v>
          </cell>
        </row>
      </sheetData>
      <sheetData sheetId="2321">
        <row r="2">
          <cell r="A2" t="str">
            <v xml:space="preserve">GCM020004                     </v>
          </cell>
        </row>
      </sheetData>
      <sheetData sheetId="2322">
        <row r="6">
          <cell r="D6">
            <v>1052065650</v>
          </cell>
        </row>
      </sheetData>
      <sheetData sheetId="2323">
        <row r="6">
          <cell r="D6">
            <v>1052065650</v>
          </cell>
        </row>
      </sheetData>
      <sheetData sheetId="2324">
        <row r="6">
          <cell r="D6">
            <v>1052065650</v>
          </cell>
        </row>
      </sheetData>
      <sheetData sheetId="2325">
        <row r="6">
          <cell r="D6">
            <v>1052065650</v>
          </cell>
        </row>
      </sheetData>
      <sheetData sheetId="2326">
        <row r="6">
          <cell r="D6">
            <v>1052065650</v>
          </cell>
        </row>
      </sheetData>
      <sheetData sheetId="2327">
        <row r="1">
          <cell r="D1" t="str">
            <v>Date on :</v>
          </cell>
        </row>
      </sheetData>
      <sheetData sheetId="2328">
        <row r="2">
          <cell r="A2" t="str">
            <v xml:space="preserve">GCM020004                     </v>
          </cell>
        </row>
      </sheetData>
      <sheetData sheetId="2329">
        <row r="2">
          <cell r="A2" t="str">
            <v xml:space="preserve">GCM020004                     </v>
          </cell>
        </row>
      </sheetData>
      <sheetData sheetId="2330">
        <row r="6">
          <cell r="D6">
            <v>1052065650</v>
          </cell>
        </row>
      </sheetData>
      <sheetData sheetId="2331">
        <row r="2">
          <cell r="A2" t="str">
            <v xml:space="preserve">GCM020004                     </v>
          </cell>
        </row>
      </sheetData>
      <sheetData sheetId="2332">
        <row r="6">
          <cell r="D6">
            <v>1052065650</v>
          </cell>
        </row>
      </sheetData>
      <sheetData sheetId="2333">
        <row r="6">
          <cell r="D6">
            <v>1052065650</v>
          </cell>
        </row>
      </sheetData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>
        <row r="767">
          <cell r="B767">
            <v>739</v>
          </cell>
        </row>
      </sheetData>
      <sheetData sheetId="2605">
        <row r="31">
          <cell r="N31">
            <v>906186608.62700033</v>
          </cell>
        </row>
      </sheetData>
      <sheetData sheetId="2606">
        <row r="6">
          <cell r="D6">
            <v>1052065650</v>
          </cell>
        </row>
      </sheetData>
      <sheetData sheetId="2607"/>
      <sheetData sheetId="2608"/>
      <sheetData sheetId="2609">
        <row r="767">
          <cell r="B767">
            <v>739</v>
          </cell>
        </row>
      </sheetData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>
        <row r="6">
          <cell r="D6">
            <v>1052065650</v>
          </cell>
        </row>
      </sheetData>
      <sheetData sheetId="2618" refreshError="1"/>
      <sheetData sheetId="2619">
        <row r="6">
          <cell r="D6">
            <v>1052065650</v>
          </cell>
        </row>
      </sheetData>
      <sheetData sheetId="2620">
        <row r="2">
          <cell r="A2" t="str">
            <v xml:space="preserve">GCM020004                     </v>
          </cell>
        </row>
      </sheetData>
      <sheetData sheetId="2621">
        <row r="6">
          <cell r="D6">
            <v>1052065650</v>
          </cell>
        </row>
      </sheetData>
      <sheetData sheetId="2622"/>
      <sheetData sheetId="2623">
        <row r="8">
          <cell r="A8" t="str">
            <v>1011-000</v>
          </cell>
        </row>
      </sheetData>
      <sheetData sheetId="2624">
        <row r="767">
          <cell r="B767">
            <v>739</v>
          </cell>
        </row>
      </sheetData>
      <sheetData sheetId="2625"/>
      <sheetData sheetId="2626">
        <row r="8">
          <cell r="A8" t="str">
            <v>1011-000</v>
          </cell>
        </row>
      </sheetData>
      <sheetData sheetId="2627">
        <row r="1">
          <cell r="D1" t="str">
            <v>Date on :</v>
          </cell>
        </row>
      </sheetData>
      <sheetData sheetId="2628">
        <row r="31">
          <cell r="N31">
            <v>906186608.62700033</v>
          </cell>
        </row>
      </sheetData>
      <sheetData sheetId="2629">
        <row r="31">
          <cell r="N31">
            <v>906186608.62700033</v>
          </cell>
        </row>
      </sheetData>
      <sheetData sheetId="2630">
        <row r="6">
          <cell r="D6">
            <v>1052065650</v>
          </cell>
        </row>
      </sheetData>
      <sheetData sheetId="2631">
        <row r="31">
          <cell r="N31">
            <v>906186608.62700033</v>
          </cell>
        </row>
      </sheetData>
      <sheetData sheetId="2632">
        <row r="6">
          <cell r="D6">
            <v>1052065650</v>
          </cell>
        </row>
      </sheetData>
      <sheetData sheetId="2633"/>
      <sheetData sheetId="2634"/>
      <sheetData sheetId="2635">
        <row r="8">
          <cell r="A8" t="str">
            <v>1012-000</v>
          </cell>
        </row>
      </sheetData>
      <sheetData sheetId="2636"/>
      <sheetData sheetId="2637">
        <row r="6">
          <cell r="D6">
            <v>1052065650</v>
          </cell>
        </row>
      </sheetData>
      <sheetData sheetId="2638">
        <row r="6">
          <cell r="D6">
            <v>1052065650</v>
          </cell>
        </row>
      </sheetData>
      <sheetData sheetId="2639"/>
      <sheetData sheetId="2640">
        <row r="31">
          <cell r="N31">
            <v>906186608.62700033</v>
          </cell>
        </row>
      </sheetData>
      <sheetData sheetId="2641">
        <row r="2">
          <cell r="A2" t="str">
            <v xml:space="preserve">GCM020004                     </v>
          </cell>
        </row>
      </sheetData>
      <sheetData sheetId="2642">
        <row r="6">
          <cell r="D6">
            <v>1052065650</v>
          </cell>
        </row>
      </sheetData>
      <sheetData sheetId="2643"/>
      <sheetData sheetId="2644">
        <row r="8">
          <cell r="A8" t="str">
            <v>1011-000</v>
          </cell>
        </row>
      </sheetData>
      <sheetData sheetId="2645">
        <row r="767">
          <cell r="B767">
            <v>739</v>
          </cell>
        </row>
      </sheetData>
      <sheetData sheetId="2646"/>
      <sheetData sheetId="2647">
        <row r="8">
          <cell r="A8" t="str">
            <v>1011-000</v>
          </cell>
        </row>
      </sheetData>
      <sheetData sheetId="2648">
        <row r="1">
          <cell r="D1" t="str">
            <v>Date on :</v>
          </cell>
        </row>
      </sheetData>
      <sheetData sheetId="2649">
        <row r="31">
          <cell r="N31">
            <v>906186608.62700033</v>
          </cell>
        </row>
      </sheetData>
      <sheetData sheetId="2650">
        <row r="31">
          <cell r="N31">
            <v>906186608.62700033</v>
          </cell>
        </row>
      </sheetData>
      <sheetData sheetId="2651">
        <row r="6">
          <cell r="D6">
            <v>1052065650</v>
          </cell>
        </row>
      </sheetData>
      <sheetData sheetId="2652">
        <row r="31">
          <cell r="N31">
            <v>906186608.62700033</v>
          </cell>
        </row>
      </sheetData>
      <sheetData sheetId="2653"/>
      <sheetData sheetId="2654"/>
      <sheetData sheetId="2655"/>
      <sheetData sheetId="2656">
        <row r="8">
          <cell r="A8" t="str">
            <v>1011-000</v>
          </cell>
        </row>
      </sheetData>
      <sheetData sheetId="2657">
        <row r="767">
          <cell r="B767">
            <v>739</v>
          </cell>
        </row>
      </sheetData>
      <sheetData sheetId="2658">
        <row r="31">
          <cell r="N31">
            <v>906186608.62700033</v>
          </cell>
        </row>
      </sheetData>
      <sheetData sheetId="2659">
        <row r="2">
          <cell r="A2" t="str">
            <v xml:space="preserve">GCM020004                     </v>
          </cell>
        </row>
      </sheetData>
      <sheetData sheetId="2660">
        <row r="6">
          <cell r="D6">
            <v>1052065650</v>
          </cell>
        </row>
      </sheetData>
      <sheetData sheetId="2661"/>
      <sheetData sheetId="2662">
        <row r="6">
          <cell r="D6">
            <v>1052065650</v>
          </cell>
        </row>
      </sheetData>
      <sheetData sheetId="2663">
        <row r="767">
          <cell r="B767">
            <v>739</v>
          </cell>
        </row>
      </sheetData>
      <sheetData sheetId="2664"/>
      <sheetData sheetId="2665"/>
      <sheetData sheetId="2666"/>
      <sheetData sheetId="2667"/>
      <sheetData sheetId="2668"/>
      <sheetData sheetId="2669">
        <row r="31">
          <cell r="N31">
            <v>906186608.62700033</v>
          </cell>
        </row>
      </sheetData>
      <sheetData sheetId="2670">
        <row r="6">
          <cell r="D6">
            <v>1052065650</v>
          </cell>
        </row>
      </sheetData>
      <sheetData sheetId="2671"/>
      <sheetData sheetId="2672">
        <row r="6">
          <cell r="D6">
            <v>1052065650</v>
          </cell>
        </row>
      </sheetData>
      <sheetData sheetId="2673">
        <row r="2">
          <cell r="A2" t="str">
            <v xml:space="preserve">GCM020004                     </v>
          </cell>
        </row>
      </sheetData>
      <sheetData sheetId="2674">
        <row r="6">
          <cell r="D6">
            <v>1052065650</v>
          </cell>
        </row>
      </sheetData>
      <sheetData sheetId="2675"/>
      <sheetData sheetId="2676">
        <row r="8">
          <cell r="A8" t="str">
            <v>1011-000</v>
          </cell>
        </row>
      </sheetData>
      <sheetData sheetId="2677">
        <row r="2">
          <cell r="A2" t="str">
            <v xml:space="preserve">GCM020004                     </v>
          </cell>
        </row>
      </sheetData>
      <sheetData sheetId="2678"/>
      <sheetData sheetId="2679">
        <row r="8">
          <cell r="A8" t="str">
            <v>1011-000</v>
          </cell>
        </row>
      </sheetData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>
        <row r="138">
          <cell r="J138">
            <v>1587.68</v>
          </cell>
        </row>
      </sheetData>
      <sheetData sheetId="3874">
        <row r="31">
          <cell r="N31">
            <v>906186608.62700033</v>
          </cell>
        </row>
      </sheetData>
      <sheetData sheetId="3875">
        <row r="31">
          <cell r="N31">
            <v>906186608.62700033</v>
          </cell>
        </row>
      </sheetData>
      <sheetData sheetId="3876">
        <row r="31">
          <cell r="N31">
            <v>906186608.62700033</v>
          </cell>
        </row>
      </sheetData>
      <sheetData sheetId="3877">
        <row r="1">
          <cell r="D1" t="str">
            <v>Date on :</v>
          </cell>
        </row>
      </sheetData>
      <sheetData sheetId="3878">
        <row r="23">
          <cell r="H23">
            <v>10175</v>
          </cell>
        </row>
      </sheetData>
      <sheetData sheetId="3879">
        <row r="2">
          <cell r="A2" t="str">
            <v xml:space="preserve">GCM020004                     </v>
          </cell>
        </row>
      </sheetData>
      <sheetData sheetId="3880">
        <row r="6">
          <cell r="D6">
            <v>1052065650</v>
          </cell>
        </row>
      </sheetData>
      <sheetData sheetId="3881">
        <row r="31">
          <cell r="N31">
            <v>906186608.62700033</v>
          </cell>
        </row>
      </sheetData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>
        <row r="2">
          <cell r="A2" t="str">
            <v xml:space="preserve">GCM020004                     </v>
          </cell>
        </row>
      </sheetData>
      <sheetData sheetId="3898">
        <row r="2">
          <cell r="A2" t="str">
            <v xml:space="preserve">GCM020004                     </v>
          </cell>
        </row>
      </sheetData>
      <sheetData sheetId="3899">
        <row r="2">
          <cell r="A2" t="str">
            <v xml:space="preserve">GCM020004                     </v>
          </cell>
        </row>
      </sheetData>
      <sheetData sheetId="3900">
        <row r="6">
          <cell r="D6">
            <v>1052065650</v>
          </cell>
        </row>
      </sheetData>
      <sheetData sheetId="3901">
        <row r="6">
          <cell r="D6">
            <v>1052065650</v>
          </cell>
        </row>
      </sheetData>
      <sheetData sheetId="3902">
        <row r="6">
          <cell r="D6">
            <v>1052065650</v>
          </cell>
        </row>
      </sheetData>
      <sheetData sheetId="3903">
        <row r="6">
          <cell r="D6">
            <v>1052065650</v>
          </cell>
        </row>
      </sheetData>
      <sheetData sheetId="3904">
        <row r="6">
          <cell r="D6">
            <v>1052065650</v>
          </cell>
        </row>
      </sheetData>
      <sheetData sheetId="3905">
        <row r="6">
          <cell r="D6">
            <v>1052065650</v>
          </cell>
        </row>
      </sheetData>
      <sheetData sheetId="3906">
        <row r="6">
          <cell r="D6">
            <v>1052065650</v>
          </cell>
        </row>
      </sheetData>
      <sheetData sheetId="3907">
        <row r="6">
          <cell r="D6">
            <v>1052065650</v>
          </cell>
        </row>
      </sheetData>
      <sheetData sheetId="3908">
        <row r="6">
          <cell r="D6">
            <v>1052065650</v>
          </cell>
        </row>
      </sheetData>
      <sheetData sheetId="3909">
        <row r="6">
          <cell r="D6">
            <v>1052065650</v>
          </cell>
        </row>
      </sheetData>
      <sheetData sheetId="3910">
        <row r="6">
          <cell r="D6">
            <v>1052065650</v>
          </cell>
        </row>
      </sheetData>
      <sheetData sheetId="3911">
        <row r="6">
          <cell r="D6">
            <v>1052065650</v>
          </cell>
        </row>
      </sheetData>
      <sheetData sheetId="3912">
        <row r="2">
          <cell r="A2" t="str">
            <v xml:space="preserve">GCM020004                     </v>
          </cell>
        </row>
      </sheetData>
      <sheetData sheetId="3913">
        <row r="6">
          <cell r="D6">
            <v>1052065650</v>
          </cell>
        </row>
      </sheetData>
      <sheetData sheetId="3914">
        <row r="6">
          <cell r="D6">
            <v>1052065650</v>
          </cell>
        </row>
      </sheetData>
      <sheetData sheetId="3915">
        <row r="6">
          <cell r="D6">
            <v>1052065650</v>
          </cell>
        </row>
      </sheetData>
      <sheetData sheetId="3916">
        <row r="6">
          <cell r="D6">
            <v>1052065650</v>
          </cell>
        </row>
      </sheetData>
      <sheetData sheetId="3917">
        <row r="2">
          <cell r="A2" t="str">
            <v xml:space="preserve">GCM020004                     </v>
          </cell>
        </row>
      </sheetData>
      <sheetData sheetId="3918">
        <row r="6">
          <cell r="D6">
            <v>1052065650</v>
          </cell>
        </row>
      </sheetData>
      <sheetData sheetId="3919">
        <row r="6">
          <cell r="D6">
            <v>1052065650</v>
          </cell>
        </row>
      </sheetData>
      <sheetData sheetId="3920">
        <row r="6">
          <cell r="D6">
            <v>1052065650</v>
          </cell>
        </row>
      </sheetData>
      <sheetData sheetId="3921">
        <row r="6">
          <cell r="D6">
            <v>1052065650</v>
          </cell>
        </row>
      </sheetData>
      <sheetData sheetId="3922">
        <row r="2">
          <cell r="A2" t="str">
            <v xml:space="preserve">GCM020004                     </v>
          </cell>
        </row>
      </sheetData>
      <sheetData sheetId="3923">
        <row r="2">
          <cell r="A2" t="str">
            <v xml:space="preserve">GCM020004                     </v>
          </cell>
        </row>
      </sheetData>
      <sheetData sheetId="3924">
        <row r="2">
          <cell r="A2" t="str">
            <v xml:space="preserve">GCM020004                     </v>
          </cell>
        </row>
      </sheetData>
      <sheetData sheetId="3925" refreshError="1"/>
      <sheetData sheetId="3926">
        <row r="1">
          <cell r="D1" t="str">
            <v>Date on :</v>
          </cell>
        </row>
      </sheetData>
      <sheetData sheetId="3927">
        <row r="2">
          <cell r="A2" t="str">
            <v xml:space="preserve">GCM020004                     </v>
          </cell>
        </row>
      </sheetData>
      <sheetData sheetId="3928">
        <row r="2">
          <cell r="A2" t="str">
            <v xml:space="preserve">GCM020004                     </v>
          </cell>
        </row>
      </sheetData>
      <sheetData sheetId="3929">
        <row r="2">
          <cell r="A2" t="str">
            <v xml:space="preserve">GCM020004                     </v>
          </cell>
        </row>
      </sheetData>
      <sheetData sheetId="3930">
        <row r="2">
          <cell r="A2" t="str">
            <v xml:space="preserve">GCM020004                     </v>
          </cell>
        </row>
      </sheetData>
      <sheetData sheetId="3931">
        <row r="6">
          <cell r="D6">
            <v>1052065650</v>
          </cell>
        </row>
      </sheetData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>
        <row r="767">
          <cell r="B767">
            <v>739</v>
          </cell>
        </row>
      </sheetData>
      <sheetData sheetId="4322"/>
      <sheetData sheetId="4323">
        <row r="6">
          <cell r="D6">
            <v>1052065650</v>
          </cell>
        </row>
      </sheetData>
      <sheetData sheetId="4324">
        <row r="767">
          <cell r="B767">
            <v>739</v>
          </cell>
        </row>
      </sheetData>
      <sheetData sheetId="4325">
        <row r="31">
          <cell r="N31">
            <v>906186608.62700033</v>
          </cell>
        </row>
      </sheetData>
      <sheetData sheetId="4326">
        <row r="767">
          <cell r="B767">
            <v>739</v>
          </cell>
        </row>
      </sheetData>
      <sheetData sheetId="4327">
        <row r="23">
          <cell r="H23">
            <v>10175</v>
          </cell>
        </row>
      </sheetData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>
        <row r="31">
          <cell r="N31">
            <v>906186608.62700033</v>
          </cell>
        </row>
      </sheetData>
      <sheetData sheetId="4335" refreshError="1"/>
      <sheetData sheetId="4336">
        <row r="6">
          <cell r="D6">
            <v>1052065650</v>
          </cell>
        </row>
      </sheetData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>
        <row r="2">
          <cell r="A2" t="str">
            <v xml:space="preserve">GCM020004                     </v>
          </cell>
        </row>
      </sheetData>
      <sheetData sheetId="5517">
        <row r="2">
          <cell r="A2" t="str">
            <v xml:space="preserve">GCM020004                     </v>
          </cell>
        </row>
      </sheetData>
      <sheetData sheetId="5518">
        <row r="2">
          <cell r="A2" t="str">
            <v xml:space="preserve">GCM020004                     </v>
          </cell>
        </row>
      </sheetData>
      <sheetData sheetId="5519">
        <row r="6">
          <cell r="D6">
            <v>1052065650</v>
          </cell>
        </row>
      </sheetData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/>
      <sheetData sheetId="5543">
        <row r="31">
          <cell r="N31">
            <v>906186608.62700033</v>
          </cell>
        </row>
      </sheetData>
      <sheetData sheetId="5544">
        <row r="31">
          <cell r="N31">
            <v>906186608.62700033</v>
          </cell>
        </row>
      </sheetData>
      <sheetData sheetId="5545">
        <row r="767">
          <cell r="B767">
            <v>739</v>
          </cell>
        </row>
      </sheetData>
      <sheetData sheetId="5546">
        <row r="767">
          <cell r="B767">
            <v>739</v>
          </cell>
        </row>
      </sheetData>
      <sheetData sheetId="5547">
        <row r="31">
          <cell r="N31">
            <v>906186608.62700033</v>
          </cell>
        </row>
      </sheetData>
      <sheetData sheetId="5548">
        <row r="31">
          <cell r="N31">
            <v>906186608.62700033</v>
          </cell>
        </row>
      </sheetData>
      <sheetData sheetId="5549">
        <row r="31">
          <cell r="N31">
            <v>906186608.62700033</v>
          </cell>
        </row>
      </sheetData>
      <sheetData sheetId="5550">
        <row r="31">
          <cell r="N31">
            <v>906186608.62700033</v>
          </cell>
        </row>
      </sheetData>
      <sheetData sheetId="5551">
        <row r="767">
          <cell r="B767">
            <v>739</v>
          </cell>
        </row>
      </sheetData>
      <sheetData sheetId="5552">
        <row r="31">
          <cell r="N31">
            <v>906186608.62700033</v>
          </cell>
        </row>
      </sheetData>
      <sheetData sheetId="5553">
        <row r="31">
          <cell r="N31">
            <v>906186608.62700033</v>
          </cell>
        </row>
      </sheetData>
      <sheetData sheetId="5554">
        <row r="2">
          <cell r="A2" t="str">
            <v xml:space="preserve">GCM020004                     </v>
          </cell>
        </row>
      </sheetData>
      <sheetData sheetId="5555">
        <row r="2">
          <cell r="A2" t="str">
            <v xml:space="preserve">GCM020004                     </v>
          </cell>
        </row>
      </sheetData>
      <sheetData sheetId="5556">
        <row r="2">
          <cell r="A2" t="str">
            <v xml:space="preserve">GCM020004                     </v>
          </cell>
        </row>
      </sheetData>
      <sheetData sheetId="5557">
        <row r="23">
          <cell r="H23">
            <v>10175</v>
          </cell>
        </row>
      </sheetData>
      <sheetData sheetId="5558">
        <row r="6">
          <cell r="D6">
            <v>1052065650</v>
          </cell>
        </row>
      </sheetData>
      <sheetData sheetId="5559">
        <row r="31">
          <cell r="N31">
            <v>906186608.62700033</v>
          </cell>
        </row>
      </sheetData>
      <sheetData sheetId="5560">
        <row r="138">
          <cell r="J138">
            <v>1587.68</v>
          </cell>
        </row>
      </sheetData>
      <sheetData sheetId="5561">
        <row r="31">
          <cell r="N31">
            <v>906186608.62700033</v>
          </cell>
        </row>
      </sheetData>
      <sheetData sheetId="5562">
        <row r="31">
          <cell r="N31">
            <v>906186608.62700033</v>
          </cell>
        </row>
      </sheetData>
      <sheetData sheetId="5563">
        <row r="31">
          <cell r="N31">
            <v>906186608.62700033</v>
          </cell>
        </row>
      </sheetData>
      <sheetData sheetId="5564">
        <row r="31">
          <cell r="N31">
            <v>906186608.62700033</v>
          </cell>
        </row>
      </sheetData>
      <sheetData sheetId="5565">
        <row r="31">
          <cell r="N31">
            <v>906186608.62700033</v>
          </cell>
        </row>
      </sheetData>
      <sheetData sheetId="5566">
        <row r="6">
          <cell r="D6">
            <v>1052065650</v>
          </cell>
        </row>
      </sheetData>
      <sheetData sheetId="5567">
        <row r="2">
          <cell r="A2" t="str">
            <v xml:space="preserve">GCM020004                     </v>
          </cell>
        </row>
      </sheetData>
      <sheetData sheetId="5568">
        <row r="2">
          <cell r="A2" t="str">
            <v xml:space="preserve">GCM020004                     </v>
          </cell>
        </row>
      </sheetData>
      <sheetData sheetId="5569">
        <row r="2">
          <cell r="A2" t="str">
            <v xml:space="preserve">GCM020004                     </v>
          </cell>
        </row>
      </sheetData>
      <sheetData sheetId="5570">
        <row r="6">
          <cell r="D6">
            <v>1052065650</v>
          </cell>
        </row>
      </sheetData>
      <sheetData sheetId="5571">
        <row r="6">
          <cell r="D6">
            <v>1052065650</v>
          </cell>
        </row>
      </sheetData>
      <sheetData sheetId="5572">
        <row r="31">
          <cell r="N31">
            <v>906186608.62700033</v>
          </cell>
        </row>
      </sheetData>
      <sheetData sheetId="5573">
        <row r="6">
          <cell r="D6">
            <v>1052065650</v>
          </cell>
        </row>
      </sheetData>
      <sheetData sheetId="5574">
        <row r="6">
          <cell r="D6">
            <v>1052065650</v>
          </cell>
        </row>
      </sheetData>
      <sheetData sheetId="5575">
        <row r="6">
          <cell r="D6">
            <v>1052065650</v>
          </cell>
        </row>
      </sheetData>
      <sheetData sheetId="5576">
        <row r="2">
          <cell r="A2" t="str">
            <v xml:space="preserve">GCM020004                     </v>
          </cell>
        </row>
      </sheetData>
      <sheetData sheetId="5577">
        <row r="2">
          <cell r="A2" t="str">
            <v xml:space="preserve">GCM020004                     </v>
          </cell>
        </row>
      </sheetData>
      <sheetData sheetId="5578">
        <row r="2">
          <cell r="A2" t="str">
            <v xml:space="preserve">GCM020004                     </v>
          </cell>
        </row>
      </sheetData>
      <sheetData sheetId="5579">
        <row r="2">
          <cell r="A2" t="str">
            <v xml:space="preserve">GCM020004                     </v>
          </cell>
        </row>
      </sheetData>
      <sheetData sheetId="5580">
        <row r="2">
          <cell r="A2" t="str">
            <v xml:space="preserve">GCM020004                     </v>
          </cell>
        </row>
      </sheetData>
      <sheetData sheetId="5581">
        <row r="6">
          <cell r="D6">
            <v>1052065650</v>
          </cell>
        </row>
      </sheetData>
      <sheetData sheetId="5582">
        <row r="6">
          <cell r="D6">
            <v>1052065650</v>
          </cell>
        </row>
      </sheetData>
      <sheetData sheetId="5583">
        <row r="6">
          <cell r="D6">
            <v>1052065650</v>
          </cell>
        </row>
      </sheetData>
      <sheetData sheetId="5584">
        <row r="6">
          <cell r="D6">
            <v>1052065650</v>
          </cell>
        </row>
      </sheetData>
      <sheetData sheetId="5585">
        <row r="6">
          <cell r="D6">
            <v>1052065650</v>
          </cell>
        </row>
      </sheetData>
      <sheetData sheetId="5586">
        <row r="6">
          <cell r="D6">
            <v>1052065650</v>
          </cell>
        </row>
      </sheetData>
      <sheetData sheetId="5587">
        <row r="6">
          <cell r="D6">
            <v>1052065650</v>
          </cell>
        </row>
      </sheetData>
      <sheetData sheetId="5588">
        <row r="6">
          <cell r="D6">
            <v>1052065650</v>
          </cell>
        </row>
      </sheetData>
      <sheetData sheetId="5589">
        <row r="6">
          <cell r="D6">
            <v>1052065650</v>
          </cell>
        </row>
      </sheetData>
      <sheetData sheetId="5590">
        <row r="6">
          <cell r="D6">
            <v>1052065650</v>
          </cell>
        </row>
      </sheetData>
      <sheetData sheetId="5591">
        <row r="6">
          <cell r="D6">
            <v>1052065650</v>
          </cell>
        </row>
      </sheetData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>
        <row r="6">
          <cell r="D6">
            <v>1052065650</v>
          </cell>
        </row>
      </sheetData>
      <sheetData sheetId="5599" refreshError="1"/>
      <sheetData sheetId="5600">
        <row r="6">
          <cell r="D6">
            <v>1052065650</v>
          </cell>
        </row>
      </sheetData>
      <sheetData sheetId="5601" refreshError="1"/>
      <sheetData sheetId="5602" refreshError="1"/>
      <sheetData sheetId="5603">
        <row r="6">
          <cell r="D6">
            <v>1052065650</v>
          </cell>
        </row>
      </sheetData>
      <sheetData sheetId="5604" refreshError="1"/>
      <sheetData sheetId="5605" refreshError="1"/>
      <sheetData sheetId="5606">
        <row r="2">
          <cell r="A2" t="str">
            <v xml:space="preserve">GCM020004                     </v>
          </cell>
        </row>
      </sheetData>
      <sheetData sheetId="5607">
        <row r="2">
          <cell r="A2" t="str">
            <v xml:space="preserve">GCM020004                     </v>
          </cell>
        </row>
      </sheetData>
      <sheetData sheetId="5608">
        <row r="23">
          <cell r="H23">
            <v>10175</v>
          </cell>
        </row>
      </sheetData>
      <sheetData sheetId="5609">
        <row r="6">
          <cell r="D6">
            <v>1052065650</v>
          </cell>
        </row>
      </sheetData>
      <sheetData sheetId="5610">
        <row r="31">
          <cell r="N31">
            <v>906186608.62700033</v>
          </cell>
        </row>
      </sheetData>
      <sheetData sheetId="5611">
        <row r="31">
          <cell r="N31">
            <v>906186608.62700033</v>
          </cell>
        </row>
      </sheetData>
      <sheetData sheetId="5612">
        <row r="31">
          <cell r="N31">
            <v>906186608.62700033</v>
          </cell>
        </row>
      </sheetData>
      <sheetData sheetId="5613">
        <row r="2">
          <cell r="A2" t="str">
            <v xml:space="preserve">GCM020004                     </v>
          </cell>
        </row>
      </sheetData>
      <sheetData sheetId="5614">
        <row r="23">
          <cell r="H23">
            <v>10175</v>
          </cell>
        </row>
      </sheetData>
      <sheetData sheetId="5615">
        <row r="23">
          <cell r="H23">
            <v>10175</v>
          </cell>
        </row>
      </sheetData>
      <sheetData sheetId="5616">
        <row r="31">
          <cell r="N31">
            <v>906186608.62700033</v>
          </cell>
        </row>
      </sheetData>
      <sheetData sheetId="5617">
        <row r="6">
          <cell r="D6">
            <v>1052065650</v>
          </cell>
        </row>
      </sheetData>
      <sheetData sheetId="5618">
        <row r="6">
          <cell r="D6">
            <v>1052065650</v>
          </cell>
        </row>
      </sheetData>
      <sheetData sheetId="5619">
        <row r="6">
          <cell r="D6">
            <v>1052065650</v>
          </cell>
        </row>
      </sheetData>
      <sheetData sheetId="5620">
        <row r="6">
          <cell r="D6">
            <v>1052065650</v>
          </cell>
        </row>
      </sheetData>
      <sheetData sheetId="5621">
        <row r="6">
          <cell r="D6">
            <v>1052065650</v>
          </cell>
        </row>
      </sheetData>
      <sheetData sheetId="5622">
        <row r="6">
          <cell r="D6">
            <v>1052065650</v>
          </cell>
        </row>
      </sheetData>
      <sheetData sheetId="5623">
        <row r="31">
          <cell r="N31">
            <v>906186608.62700033</v>
          </cell>
        </row>
      </sheetData>
      <sheetData sheetId="5624">
        <row r="6">
          <cell r="D6">
            <v>1052065650</v>
          </cell>
        </row>
      </sheetData>
      <sheetData sheetId="5625">
        <row r="6">
          <cell r="D6">
            <v>1052065650</v>
          </cell>
        </row>
      </sheetData>
      <sheetData sheetId="5626">
        <row r="6">
          <cell r="D6">
            <v>1052065650</v>
          </cell>
        </row>
      </sheetData>
      <sheetData sheetId="5627">
        <row r="2">
          <cell r="A2" t="str">
            <v xml:space="preserve">GCM020004                     </v>
          </cell>
        </row>
      </sheetData>
      <sheetData sheetId="5628">
        <row r="2">
          <cell r="A2" t="str">
            <v xml:space="preserve">GCM020004                     </v>
          </cell>
        </row>
      </sheetData>
      <sheetData sheetId="5629">
        <row r="2">
          <cell r="A2" t="str">
            <v xml:space="preserve">GCM020004                     </v>
          </cell>
        </row>
      </sheetData>
      <sheetData sheetId="5630">
        <row r="2">
          <cell r="A2" t="str">
            <v xml:space="preserve">GCM020004                     </v>
          </cell>
        </row>
      </sheetData>
      <sheetData sheetId="5631">
        <row r="2">
          <cell r="A2" t="str">
            <v xml:space="preserve">GCM020004                     </v>
          </cell>
        </row>
      </sheetData>
      <sheetData sheetId="5632">
        <row r="6">
          <cell r="D6">
            <v>1052065650</v>
          </cell>
        </row>
      </sheetData>
      <sheetData sheetId="5633">
        <row r="6">
          <cell r="D6">
            <v>1052065650</v>
          </cell>
        </row>
      </sheetData>
      <sheetData sheetId="5634">
        <row r="6">
          <cell r="D6">
            <v>1052065650</v>
          </cell>
        </row>
      </sheetData>
      <sheetData sheetId="5635">
        <row r="6">
          <cell r="D6">
            <v>1052065650</v>
          </cell>
        </row>
      </sheetData>
      <sheetData sheetId="5636">
        <row r="6">
          <cell r="D6">
            <v>1052065650</v>
          </cell>
        </row>
      </sheetData>
      <sheetData sheetId="5637">
        <row r="6">
          <cell r="D6">
            <v>1052065650</v>
          </cell>
        </row>
      </sheetData>
      <sheetData sheetId="5638">
        <row r="6">
          <cell r="D6">
            <v>1052065650</v>
          </cell>
        </row>
      </sheetData>
      <sheetData sheetId="5639">
        <row r="6">
          <cell r="D6">
            <v>1052065650</v>
          </cell>
        </row>
      </sheetData>
      <sheetData sheetId="5640">
        <row r="6">
          <cell r="D6">
            <v>1052065650</v>
          </cell>
        </row>
      </sheetData>
      <sheetData sheetId="5641">
        <row r="6">
          <cell r="D6">
            <v>1052065650</v>
          </cell>
        </row>
      </sheetData>
      <sheetData sheetId="5642">
        <row r="6">
          <cell r="D6">
            <v>1052065650</v>
          </cell>
        </row>
      </sheetData>
      <sheetData sheetId="5643">
        <row r="31">
          <cell r="N31">
            <v>906186608.62700033</v>
          </cell>
        </row>
      </sheetData>
      <sheetData sheetId="5644">
        <row r="31">
          <cell r="N31">
            <v>906186608.62700033</v>
          </cell>
        </row>
      </sheetData>
      <sheetData sheetId="5645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>
        <row r="767">
          <cell r="B767">
            <v>739</v>
          </cell>
        </row>
      </sheetData>
      <sheetData sheetId="5882"/>
      <sheetData sheetId="5883">
        <row r="6">
          <cell r="D6">
            <v>1052065650</v>
          </cell>
        </row>
      </sheetData>
      <sheetData sheetId="5884"/>
      <sheetData sheetId="5885"/>
      <sheetData sheetId="5886">
        <row r="767">
          <cell r="B767">
            <v>739</v>
          </cell>
        </row>
      </sheetData>
      <sheetData sheetId="5887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>
        <row r="10">
          <cell r="G10">
            <v>1537500000</v>
          </cell>
        </row>
      </sheetData>
      <sheetData sheetId="5894" refreshError="1"/>
      <sheetData sheetId="5895">
        <row r="6">
          <cell r="D6">
            <v>1052065650</v>
          </cell>
        </row>
      </sheetData>
      <sheetData sheetId="5896"/>
      <sheetData sheetId="5897">
        <row r="767">
          <cell r="B767">
            <v>739</v>
          </cell>
        </row>
      </sheetData>
      <sheetData sheetId="5898">
        <row r="8">
          <cell r="A8" t="str">
            <v>1012-000</v>
          </cell>
        </row>
      </sheetData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>
        <row r="8">
          <cell r="A8" t="str">
            <v>1012-000</v>
          </cell>
        </row>
      </sheetData>
      <sheetData sheetId="5909"/>
      <sheetData sheetId="5910">
        <row r="6">
          <cell r="D6">
            <v>1052065650</v>
          </cell>
        </row>
      </sheetData>
      <sheetData sheetId="5911">
        <row r="2">
          <cell r="K2">
            <v>1550000</v>
          </cell>
        </row>
      </sheetData>
      <sheetData sheetId="5912"/>
      <sheetData sheetId="5913">
        <row r="31">
          <cell r="N31">
            <v>906186608.62700033</v>
          </cell>
        </row>
      </sheetData>
      <sheetData sheetId="5914">
        <row r="2">
          <cell r="A2" t="str">
            <v xml:space="preserve">GCM020004                     </v>
          </cell>
        </row>
      </sheetData>
      <sheetData sheetId="5915">
        <row r="6">
          <cell r="D6">
            <v>1052065650</v>
          </cell>
        </row>
      </sheetData>
      <sheetData sheetId="5916"/>
      <sheetData sheetId="5917">
        <row r="8">
          <cell r="A8" t="str">
            <v>1011-000</v>
          </cell>
        </row>
      </sheetData>
      <sheetData sheetId="5918">
        <row r="767">
          <cell r="B767">
            <v>739</v>
          </cell>
        </row>
      </sheetData>
      <sheetData sheetId="5919"/>
      <sheetData sheetId="5920">
        <row r="8">
          <cell r="A8" t="str">
            <v>1011-000</v>
          </cell>
        </row>
      </sheetData>
      <sheetData sheetId="5921">
        <row r="1">
          <cell r="D1" t="str">
            <v>Date on :</v>
          </cell>
        </row>
      </sheetData>
      <sheetData sheetId="5922">
        <row r="31">
          <cell r="N31">
            <v>906186608.62700033</v>
          </cell>
        </row>
      </sheetData>
      <sheetData sheetId="5923">
        <row r="31">
          <cell r="N31">
            <v>906186608.62700033</v>
          </cell>
        </row>
      </sheetData>
      <sheetData sheetId="5924">
        <row r="6">
          <cell r="D6">
            <v>1052065650</v>
          </cell>
        </row>
      </sheetData>
      <sheetData sheetId="5925">
        <row r="31">
          <cell r="N31">
            <v>906186608.62700033</v>
          </cell>
        </row>
      </sheetData>
      <sheetData sheetId="5926">
        <row r="6">
          <cell r="D6">
            <v>1052065650</v>
          </cell>
        </row>
      </sheetData>
      <sheetData sheetId="5927"/>
      <sheetData sheetId="5928"/>
      <sheetData sheetId="5929"/>
      <sheetData sheetId="5930"/>
      <sheetData sheetId="5931">
        <row r="767">
          <cell r="B767">
            <v>739</v>
          </cell>
        </row>
      </sheetData>
      <sheetData sheetId="5932">
        <row r="3">
          <cell r="B3">
            <v>1</v>
          </cell>
        </row>
      </sheetData>
      <sheetData sheetId="5933">
        <row r="6">
          <cell r="D6">
            <v>1052065650</v>
          </cell>
        </row>
      </sheetData>
      <sheetData sheetId="5934"/>
      <sheetData sheetId="5935"/>
      <sheetData sheetId="5936">
        <row r="767">
          <cell r="B767">
            <v>739</v>
          </cell>
        </row>
      </sheetData>
      <sheetData sheetId="5937"/>
      <sheetData sheetId="5938">
        <row r="31">
          <cell r="N31">
            <v>906186608.62700033</v>
          </cell>
        </row>
      </sheetData>
      <sheetData sheetId="5939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/>
      <sheetData sheetId="6029"/>
      <sheetData sheetId="6030">
        <row r="6">
          <cell r="D6">
            <v>1052065650</v>
          </cell>
        </row>
      </sheetData>
      <sheetData sheetId="6031"/>
      <sheetData sheetId="6032"/>
      <sheetData sheetId="6033"/>
      <sheetData sheetId="6034">
        <row r="4">
          <cell r="B4" t="str">
            <v xml:space="preserve">GCM020004                     </v>
          </cell>
        </row>
      </sheetData>
      <sheetData sheetId="6035">
        <row r="767">
          <cell r="B767">
            <v>739</v>
          </cell>
        </row>
      </sheetData>
      <sheetData sheetId="6036">
        <row r="767">
          <cell r="B767">
            <v>739</v>
          </cell>
        </row>
      </sheetData>
      <sheetData sheetId="6037">
        <row r="6">
          <cell r="D6">
            <v>1052065650</v>
          </cell>
        </row>
      </sheetData>
      <sheetData sheetId="6038">
        <row r="8">
          <cell r="A8" t="str">
            <v>1012-000</v>
          </cell>
        </row>
      </sheetData>
      <sheetData sheetId="6039">
        <row r="8">
          <cell r="A8" t="str">
            <v>1012-000</v>
          </cell>
        </row>
      </sheetData>
      <sheetData sheetId="6040">
        <row r="6">
          <cell r="D6">
            <v>1052065650</v>
          </cell>
        </row>
      </sheetData>
      <sheetData sheetId="6041">
        <row r="8">
          <cell r="A8" t="str">
            <v>1012-000</v>
          </cell>
        </row>
      </sheetData>
      <sheetData sheetId="6042">
        <row r="8">
          <cell r="A8" t="str">
            <v>1011-000</v>
          </cell>
        </row>
      </sheetData>
      <sheetData sheetId="6043" refreshError="1"/>
      <sheetData sheetId="6044">
        <row r="6">
          <cell r="D6">
            <v>1052065650</v>
          </cell>
        </row>
      </sheetData>
      <sheetData sheetId="6045">
        <row r="31">
          <cell r="N31">
            <v>906186608.62700033</v>
          </cell>
        </row>
      </sheetData>
      <sheetData sheetId="6046">
        <row r="4">
          <cell r="B4">
            <v>1013000</v>
          </cell>
        </row>
      </sheetData>
      <sheetData sheetId="6047" refreshError="1"/>
      <sheetData sheetId="6048" refreshError="1"/>
      <sheetData sheetId="6049" refreshError="1"/>
      <sheetData sheetId="6050">
        <row r="6">
          <cell r="D6">
            <v>1052065650</v>
          </cell>
        </row>
      </sheetData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>
        <row r="97">
          <cell r="M97">
            <v>1</v>
          </cell>
        </row>
      </sheetData>
      <sheetData sheetId="6993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/>
      <sheetData sheetId="7498"/>
      <sheetData sheetId="7499"/>
      <sheetData sheetId="7500"/>
      <sheetData sheetId="7501"/>
      <sheetData sheetId="7502" refreshError="1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 refreshError="1"/>
      <sheetData sheetId="12844" refreshError="1"/>
      <sheetData sheetId="12845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 refreshError="1"/>
      <sheetData sheetId="12954" refreshError="1"/>
      <sheetData sheetId="12955" refreshError="1"/>
      <sheetData sheetId="12956" refreshError="1"/>
      <sheetData sheetId="12957"/>
      <sheetData sheetId="12958"/>
      <sheetData sheetId="12959"/>
      <sheetData sheetId="12960"/>
      <sheetData sheetId="12961"/>
      <sheetData sheetId="12962" refreshError="1"/>
      <sheetData sheetId="12963"/>
      <sheetData sheetId="12964"/>
      <sheetData sheetId="12965"/>
      <sheetData sheetId="12966"/>
      <sheetData sheetId="12967"/>
      <sheetData sheetId="12968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/>
      <sheetData sheetId="12975" refreshError="1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 refreshError="1"/>
      <sheetData sheetId="13067" refreshError="1"/>
      <sheetData sheetId="13068"/>
      <sheetData sheetId="13069"/>
      <sheetData sheetId="13070"/>
      <sheetData sheetId="13071" refreshError="1"/>
      <sheetData sheetId="13072" refreshError="1"/>
      <sheetData sheetId="13073"/>
      <sheetData sheetId="13074" refreshError="1"/>
      <sheetData sheetId="13075" refreshError="1"/>
      <sheetData sheetId="13076" refreshError="1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/>
      <sheetData sheetId="13113" refreshError="1"/>
      <sheetData sheetId="13114"/>
      <sheetData sheetId="13115" refreshError="1"/>
      <sheetData sheetId="13116" refreshError="1"/>
      <sheetData sheetId="13117" refreshError="1"/>
      <sheetData sheetId="13118" refreshError="1"/>
      <sheetData sheetId="13119"/>
      <sheetData sheetId="13120" refreshError="1"/>
      <sheetData sheetId="13121" refreshError="1"/>
      <sheetData sheetId="13122" refreshError="1"/>
      <sheetData sheetId="13123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 refreshError="1"/>
      <sheetData sheetId="13144"/>
      <sheetData sheetId="13145" refreshError="1"/>
      <sheetData sheetId="13146" refreshError="1"/>
      <sheetData sheetId="13147"/>
      <sheetData sheetId="13148"/>
      <sheetData sheetId="13149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/>
      <sheetData sheetId="13159" refreshError="1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/>
      <sheetData sheetId="13183" refreshError="1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/>
      <sheetData sheetId="13276"/>
      <sheetData sheetId="13277"/>
      <sheetData sheetId="13278" refreshError="1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/>
      <sheetData sheetId="13328" refreshError="1"/>
      <sheetData sheetId="13329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/>
      <sheetData sheetId="15539"/>
      <sheetData sheetId="15540"/>
      <sheetData sheetId="15541"/>
      <sheetData sheetId="15542"/>
      <sheetData sheetId="15543" refreshError="1"/>
      <sheetData sheetId="15544" refreshError="1"/>
      <sheetData sheetId="15545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/>
      <sheetData sheetId="15574" refreshError="1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 refreshError="1"/>
      <sheetData sheetId="15613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/>
      <sheetData sheetId="15621">
        <row r="3">
          <cell r="C3" t="str">
            <v>01.371.491.0-054.000</v>
          </cell>
        </row>
      </sheetData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 refreshError="1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 refreshError="1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>
        <row r="1">
          <cell r="A1" t="str">
            <v>KARTU PERSEDIAAN SAHAM</v>
          </cell>
        </row>
      </sheetData>
      <sheetData sheetId="15656">
        <row r="8">
          <cell r="G8">
            <v>585000000</v>
          </cell>
        </row>
      </sheetData>
      <sheetData sheetId="15657">
        <row r="10">
          <cell r="G10">
            <v>48740.655773260543</v>
          </cell>
        </row>
      </sheetData>
      <sheetData sheetId="15658">
        <row r="10">
          <cell r="G10">
            <v>48407.587688761399</v>
          </cell>
        </row>
      </sheetData>
      <sheetData sheetId="15659">
        <row r="8">
          <cell r="C8">
            <v>110100100</v>
          </cell>
        </row>
      </sheetData>
      <sheetData sheetId="15660">
        <row r="1">
          <cell r="A1" t="str">
            <v xml:space="preserve">KARTU PERSEDIAAN SAHAM </v>
          </cell>
        </row>
      </sheetData>
      <sheetData sheetId="15661">
        <row r="8">
          <cell r="G8">
            <v>1150000000</v>
          </cell>
        </row>
      </sheetData>
      <sheetData sheetId="15662">
        <row r="42">
          <cell r="O42">
            <v>3000000</v>
          </cell>
        </row>
      </sheetData>
      <sheetData sheetId="15663">
        <row r="10">
          <cell r="G10">
            <v>1640000000</v>
          </cell>
        </row>
      </sheetData>
      <sheetData sheetId="15664">
        <row r="12">
          <cell r="G12">
            <v>1062456474.8566109</v>
          </cell>
        </row>
      </sheetData>
      <sheetData sheetId="15665">
        <row r="9">
          <cell r="G9">
            <v>1589564963.5036495</v>
          </cell>
        </row>
      </sheetData>
      <sheetData sheetId="15666">
        <row r="9">
          <cell r="G9">
            <v>637106480</v>
          </cell>
        </row>
      </sheetData>
      <sheetData sheetId="15667">
        <row r="8">
          <cell r="G8">
            <v>787500000</v>
          </cell>
        </row>
      </sheetData>
      <sheetData sheetId="15668">
        <row r="8">
          <cell r="G8">
            <v>1096650000</v>
          </cell>
        </row>
      </sheetData>
      <sheetData sheetId="15669">
        <row r="8">
          <cell r="G8">
            <v>160000000</v>
          </cell>
        </row>
      </sheetData>
      <sheetData sheetId="15670">
        <row r="10">
          <cell r="G10">
            <v>1958369751.5180733</v>
          </cell>
        </row>
      </sheetData>
      <sheetData sheetId="15671">
        <row r="1">
          <cell r="A1" t="str">
            <v>PT Samudera Shipping Services (PT SSS)</v>
          </cell>
        </row>
      </sheetData>
      <sheetData sheetId="15672">
        <row r="8">
          <cell r="G8">
            <v>118750000</v>
          </cell>
        </row>
      </sheetData>
      <sheetData sheetId="15673">
        <row r="10">
          <cell r="G10">
            <v>61100000</v>
          </cell>
        </row>
      </sheetData>
      <sheetData sheetId="15674"/>
      <sheetData sheetId="15675">
        <row r="11">
          <cell r="T11">
            <v>120</v>
          </cell>
        </row>
      </sheetData>
      <sheetData sheetId="15676">
        <row r="8">
          <cell r="G8">
            <v>64530000</v>
          </cell>
        </row>
      </sheetData>
      <sheetData sheetId="15677">
        <row r="7">
          <cell r="H7">
            <v>50000000</v>
          </cell>
        </row>
      </sheetData>
      <sheetData sheetId="15678">
        <row r="54">
          <cell r="Q54">
            <v>0</v>
          </cell>
        </row>
      </sheetData>
      <sheetData sheetId="15679"/>
      <sheetData sheetId="15680">
        <row r="45">
          <cell r="Q45">
            <v>0</v>
          </cell>
        </row>
      </sheetData>
      <sheetData sheetId="15681"/>
      <sheetData sheetId="15682">
        <row r="46">
          <cell r="Q46">
            <v>0</v>
          </cell>
        </row>
      </sheetData>
      <sheetData sheetId="15683">
        <row r="30">
          <cell r="Q30">
            <v>0</v>
          </cell>
        </row>
      </sheetData>
      <sheetData sheetId="15684">
        <row r="7">
          <cell r="H7">
            <v>183423000</v>
          </cell>
        </row>
      </sheetData>
      <sheetData sheetId="15685">
        <row r="65">
          <cell r="N65">
            <v>22500000</v>
          </cell>
        </row>
      </sheetData>
      <sheetData sheetId="15686">
        <row r="44">
          <cell r="H44">
            <v>0</v>
          </cell>
        </row>
      </sheetData>
      <sheetData sheetId="15687">
        <row r="10">
          <cell r="G10">
            <v>1893750000</v>
          </cell>
        </row>
      </sheetData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>
        <row r="67">
          <cell r="Q67">
            <v>0</v>
          </cell>
        </row>
      </sheetData>
      <sheetData sheetId="15699" refreshError="1"/>
      <sheetData sheetId="15700" refreshError="1"/>
      <sheetData sheetId="15701" refreshError="1"/>
      <sheetData sheetId="15702">
        <row r="1335">
          <cell r="D1335">
            <v>0</v>
          </cell>
        </row>
      </sheetData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/>
      <sheetData sheetId="15730" refreshError="1"/>
      <sheetData sheetId="15731" refreshError="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 refreshError="1"/>
      <sheetData sheetId="15751">
        <row r="2">
          <cell r="F2" t="str">
            <v>Preliminary Dec 31, 04</v>
          </cell>
        </row>
      </sheetData>
      <sheetData sheetId="15752">
        <row r="1">
          <cell r="F1" t="str">
            <v>Preliminary Dec 31, 04</v>
          </cell>
        </row>
      </sheetData>
      <sheetData sheetId="15753"/>
      <sheetData sheetId="15754"/>
      <sheetData sheetId="15755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/>
      <sheetData sheetId="15764" refreshError="1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 refreshError="1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 refreshError="1"/>
      <sheetData sheetId="15797" refreshError="1"/>
      <sheetData sheetId="15798" refreshError="1"/>
      <sheetData sheetId="15799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/>
      <sheetData sheetId="15823"/>
      <sheetData sheetId="15824"/>
      <sheetData sheetId="15825"/>
      <sheetData sheetId="15826">
        <row r="38">
          <cell r="Q38">
            <v>345500</v>
          </cell>
        </row>
      </sheetData>
      <sheetData sheetId="15827">
        <row r="4">
          <cell r="A4" t="str">
            <v>NAMA SAHAM :</v>
          </cell>
        </row>
      </sheetData>
      <sheetData sheetId="15828">
        <row r="64">
          <cell r="N64">
            <v>595080</v>
          </cell>
        </row>
      </sheetData>
      <sheetData sheetId="15829">
        <row r="40">
          <cell r="Q40">
            <v>30000</v>
          </cell>
        </row>
      </sheetData>
      <sheetData sheetId="15830">
        <row r="34">
          <cell r="Q34">
            <v>1200000</v>
          </cell>
        </row>
      </sheetData>
      <sheetData sheetId="15831">
        <row r="34">
          <cell r="Q34">
            <v>2800000</v>
          </cell>
        </row>
      </sheetData>
      <sheetData sheetId="15832">
        <row r="45">
          <cell r="Q45">
            <v>7100000</v>
          </cell>
        </row>
      </sheetData>
      <sheetData sheetId="15833">
        <row r="14">
          <cell r="A14" t="str">
            <v>TOTAL --&gt;</v>
          </cell>
        </row>
      </sheetData>
      <sheetData sheetId="15834">
        <row r="35">
          <cell r="Q35">
            <v>1050000</v>
          </cell>
        </row>
      </sheetData>
      <sheetData sheetId="15835">
        <row r="37">
          <cell r="Q37">
            <v>20000</v>
          </cell>
        </row>
      </sheetData>
      <sheetData sheetId="15836">
        <row r="12">
          <cell r="A12" t="str">
            <v>TOTAL --&gt;</v>
          </cell>
        </row>
      </sheetData>
      <sheetData sheetId="15837">
        <row r="6">
          <cell r="I6" t="str">
            <v>Dec 31, 09</v>
          </cell>
        </row>
      </sheetData>
      <sheetData sheetId="15838">
        <row r="1">
          <cell r="A1" t="str">
            <v>PT Samudera Shipping Services (PT SSS)</v>
          </cell>
        </row>
      </sheetData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>
        <row r="8">
          <cell r="G8">
            <v>1096650000</v>
          </cell>
        </row>
      </sheetData>
      <sheetData sheetId="15853"/>
      <sheetData sheetId="15854"/>
      <sheetData sheetId="15855" refreshError="1"/>
      <sheetData sheetId="15856" refreshError="1"/>
      <sheetData sheetId="15857">
        <row r="3">
          <cell r="A3" t="str">
            <v>Completed</v>
          </cell>
        </row>
      </sheetData>
      <sheetData sheetId="15858" refreshError="1"/>
      <sheetData sheetId="15859">
        <row r="1">
          <cell r="A1" t="str">
            <v>A-0020</v>
          </cell>
        </row>
      </sheetData>
      <sheetData sheetId="15860"/>
      <sheetData sheetId="15861"/>
      <sheetData sheetId="15862"/>
      <sheetData sheetId="15863"/>
      <sheetData sheetId="15864">
        <row r="8">
          <cell r="F8">
            <v>526124.52500000002</v>
          </cell>
        </row>
      </sheetData>
      <sheetData sheetId="15865"/>
      <sheetData sheetId="15866"/>
      <sheetData sheetId="15867"/>
      <sheetData sheetId="15868" refreshError="1"/>
      <sheetData sheetId="15869" refreshError="1"/>
      <sheetData sheetId="15870"/>
      <sheetData sheetId="15871"/>
      <sheetData sheetId="15872"/>
      <sheetData sheetId="15873">
        <row r="8">
          <cell r="B8" t="str">
            <v>1.01.01</v>
          </cell>
        </row>
      </sheetData>
      <sheetData sheetId="15874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>
        <row r="1">
          <cell r="A1" t="str">
            <v>acc code</v>
          </cell>
        </row>
      </sheetData>
      <sheetData sheetId="15896" refreshError="1"/>
      <sheetData sheetId="15897">
        <row r="12">
          <cell r="J12" t="str">
            <v>PT WIDATRA BHAKTI</v>
          </cell>
        </row>
      </sheetData>
      <sheetData sheetId="15898"/>
      <sheetData sheetId="15899">
        <row r="26">
          <cell r="O26">
            <v>27778320000</v>
          </cell>
        </row>
      </sheetData>
      <sheetData sheetId="15900"/>
      <sheetData sheetId="15901"/>
      <sheetData sheetId="15902"/>
      <sheetData sheetId="15903"/>
      <sheetData sheetId="15904" refreshError="1"/>
      <sheetData sheetId="15905" refreshError="1"/>
      <sheetData sheetId="15906" refreshError="1"/>
      <sheetData sheetId="15907" refreshError="1"/>
      <sheetData sheetId="15908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>
        <row r="2">
          <cell r="A2" t="str">
            <v>Business Development</v>
          </cell>
        </row>
      </sheetData>
      <sheetData sheetId="15929">
        <row r="2">
          <cell r="A2" t="str">
            <v>LF11 - Cibitung</v>
          </cell>
        </row>
      </sheetData>
      <sheetData sheetId="15930">
        <row r="2">
          <cell r="A2" t="str">
            <v>IDR</v>
          </cell>
        </row>
      </sheetData>
      <sheetData sheetId="15931">
        <row r="2">
          <cell r="A2" t="str">
            <v>Cash</v>
          </cell>
        </row>
      </sheetData>
      <sheetData sheetId="15932"/>
      <sheetData sheetId="15933"/>
      <sheetData sheetId="15934"/>
      <sheetData sheetId="15935"/>
      <sheetData sheetId="15936"/>
      <sheetData sheetId="15937"/>
      <sheetData sheetId="15938"/>
      <sheetData sheetId="15939">
        <row r="239">
          <cell r="I239">
            <v>0</v>
          </cell>
        </row>
      </sheetData>
      <sheetData sheetId="15940"/>
      <sheetData sheetId="15941">
        <row r="241">
          <cell r="I241">
            <v>0</v>
          </cell>
        </row>
      </sheetData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>
        <row r="22">
          <cell r="E22">
            <v>0</v>
          </cell>
        </row>
      </sheetData>
      <sheetData sheetId="15999"/>
      <sheetData sheetId="16000"/>
      <sheetData sheetId="16001"/>
      <sheetData sheetId="16002"/>
      <sheetData sheetId="16003"/>
      <sheetData sheetId="16004" refreshError="1"/>
      <sheetData sheetId="16005" refreshError="1"/>
      <sheetData sheetId="16006" refreshError="1"/>
      <sheetData sheetId="16007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>
        <row r="9">
          <cell r="C9" t="str">
            <v>1.002.726.6-026</v>
          </cell>
        </row>
      </sheetData>
      <sheetData sheetId="16148">
        <row r="1">
          <cell r="F1" t="str">
            <v>Prelim, Dec 31 '02</v>
          </cell>
        </row>
      </sheetData>
      <sheetData sheetId="16149">
        <row r="2">
          <cell r="A2" t="str">
            <v>Acc</v>
          </cell>
        </row>
      </sheetData>
      <sheetData sheetId="16150">
        <row r="11">
          <cell r="C11" t="str">
            <v>01.957.310.4-026.000</v>
          </cell>
        </row>
      </sheetData>
      <sheetData sheetId="16151">
        <row r="12">
          <cell r="C12" t="str">
            <v>01.002.726.6-026.000</v>
          </cell>
        </row>
      </sheetData>
      <sheetData sheetId="16152">
        <row r="8">
          <cell r="G8">
            <v>1690000000</v>
          </cell>
        </row>
      </sheetData>
      <sheetData sheetId="16153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/>
      <sheetData sheetId="16396" refreshError="1"/>
      <sheetData sheetId="16397" refreshError="1"/>
      <sheetData sheetId="16398" refreshError="1"/>
      <sheetData sheetId="16399" refreshError="1"/>
      <sheetData sheetId="16400"/>
      <sheetData sheetId="16401" refreshError="1"/>
      <sheetData sheetId="16402"/>
      <sheetData sheetId="16403"/>
      <sheetData sheetId="16404"/>
      <sheetData sheetId="16405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/>
      <sheetData sheetId="17126" refreshError="1"/>
      <sheetData sheetId="17127" refreshError="1"/>
      <sheetData sheetId="17128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/>
      <sheetData sheetId="17135" refreshError="1"/>
      <sheetData sheetId="17136" refreshError="1"/>
      <sheetData sheetId="17137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 refreshError="1"/>
      <sheetData sheetId="17177" refreshError="1"/>
      <sheetData sheetId="17178" refreshError="1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 refreshError="1"/>
      <sheetData sheetId="17188" refreshError="1"/>
      <sheetData sheetId="17189" refreshError="1"/>
      <sheetData sheetId="17190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 refreshError="1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 refreshError="1"/>
      <sheetData sheetId="17403" refreshError="1"/>
      <sheetData sheetId="17404" refreshError="1"/>
      <sheetData sheetId="17405" refreshError="1"/>
      <sheetData sheetId="17406" refreshError="1"/>
      <sheetData sheetId="17407" refreshError="1"/>
      <sheetData sheetId="17408" refreshError="1"/>
      <sheetData sheetId="17409" refreshError="1"/>
      <sheetData sheetId="17410" refreshError="1"/>
      <sheetData sheetId="17411" refreshError="1"/>
      <sheetData sheetId="17412" refreshError="1"/>
      <sheetData sheetId="17413" refreshError="1"/>
      <sheetData sheetId="17414" refreshError="1"/>
      <sheetData sheetId="17415" refreshError="1"/>
      <sheetData sheetId="17416" refreshError="1"/>
      <sheetData sheetId="17417" refreshError="1"/>
      <sheetData sheetId="17418" refreshError="1"/>
      <sheetData sheetId="17419" refreshError="1"/>
      <sheetData sheetId="17420" refreshError="1"/>
      <sheetData sheetId="17421" refreshError="1"/>
      <sheetData sheetId="17422" refreshError="1"/>
      <sheetData sheetId="17423" refreshError="1"/>
      <sheetData sheetId="17424" refreshError="1"/>
      <sheetData sheetId="17425" refreshError="1"/>
      <sheetData sheetId="17426" refreshError="1"/>
      <sheetData sheetId="17427" refreshError="1"/>
      <sheetData sheetId="17428" refreshError="1"/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 refreshError="1"/>
      <sheetData sheetId="17446" refreshError="1"/>
      <sheetData sheetId="17447" refreshError="1"/>
      <sheetData sheetId="17448" refreshError="1"/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/>
      <sheetData sheetId="17558"/>
      <sheetData sheetId="17559"/>
      <sheetData sheetId="17560"/>
      <sheetData sheetId="17561"/>
      <sheetData sheetId="17562" refreshError="1"/>
      <sheetData sheetId="17563"/>
      <sheetData sheetId="17564"/>
      <sheetData sheetId="17565"/>
      <sheetData sheetId="17566"/>
      <sheetData sheetId="17567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/>
      <sheetData sheetId="17576"/>
      <sheetData sheetId="17577"/>
      <sheetData sheetId="17578"/>
      <sheetData sheetId="17579"/>
      <sheetData sheetId="17580"/>
      <sheetData sheetId="17581"/>
      <sheetData sheetId="17582"/>
      <sheetData sheetId="17583"/>
      <sheetData sheetId="17584"/>
      <sheetData sheetId="17585"/>
      <sheetData sheetId="17586"/>
      <sheetData sheetId="17587"/>
      <sheetData sheetId="17588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/>
      <sheetData sheetId="17683"/>
      <sheetData sheetId="17684"/>
      <sheetData sheetId="17685"/>
      <sheetData sheetId="17686"/>
      <sheetData sheetId="17687"/>
      <sheetData sheetId="17688"/>
      <sheetData sheetId="17689"/>
      <sheetData sheetId="17690"/>
      <sheetData sheetId="17691"/>
      <sheetData sheetId="17692"/>
      <sheetData sheetId="17693"/>
      <sheetData sheetId="17694"/>
      <sheetData sheetId="17695"/>
      <sheetData sheetId="17696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 refreshError="1"/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 refreshError="1"/>
      <sheetData sheetId="18111" refreshError="1"/>
      <sheetData sheetId="18112" refreshError="1"/>
      <sheetData sheetId="18113" refreshError="1"/>
      <sheetData sheetId="18114" refreshError="1"/>
      <sheetData sheetId="18115" refreshError="1"/>
      <sheetData sheetId="18116" refreshError="1"/>
      <sheetData sheetId="18117" refreshError="1"/>
      <sheetData sheetId="18118" refreshError="1"/>
      <sheetData sheetId="18119" refreshError="1"/>
      <sheetData sheetId="18120" refreshError="1"/>
      <sheetData sheetId="18121" refreshError="1"/>
      <sheetData sheetId="18122" refreshError="1"/>
      <sheetData sheetId="18123" refreshError="1"/>
      <sheetData sheetId="18124" refreshError="1"/>
      <sheetData sheetId="18125" refreshError="1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 refreshError="1"/>
      <sheetData sheetId="18199" refreshError="1"/>
      <sheetData sheetId="18200" refreshError="1"/>
      <sheetData sheetId="18201" refreshError="1"/>
      <sheetData sheetId="18202" refreshError="1"/>
      <sheetData sheetId="18203" refreshError="1"/>
      <sheetData sheetId="18204" refreshError="1"/>
      <sheetData sheetId="18205" refreshError="1"/>
      <sheetData sheetId="18206" refreshError="1"/>
      <sheetData sheetId="18207" refreshError="1"/>
      <sheetData sheetId="18208" refreshError="1"/>
      <sheetData sheetId="18209" refreshError="1"/>
      <sheetData sheetId="18210" refreshError="1"/>
      <sheetData sheetId="18211" refreshError="1"/>
      <sheetData sheetId="18212" refreshError="1"/>
      <sheetData sheetId="18213" refreshError="1"/>
      <sheetData sheetId="18214" refreshError="1"/>
      <sheetData sheetId="18215" refreshError="1"/>
      <sheetData sheetId="18216" refreshError="1"/>
      <sheetData sheetId="18217" refreshError="1"/>
      <sheetData sheetId="18218" refreshError="1"/>
      <sheetData sheetId="18219" refreshError="1"/>
      <sheetData sheetId="18220" refreshError="1"/>
      <sheetData sheetId="18221" refreshError="1"/>
      <sheetData sheetId="18222" refreshError="1"/>
      <sheetData sheetId="18223" refreshError="1"/>
      <sheetData sheetId="18224" refreshError="1"/>
      <sheetData sheetId="18225" refreshError="1"/>
      <sheetData sheetId="18226" refreshError="1"/>
      <sheetData sheetId="18227" refreshError="1"/>
      <sheetData sheetId="18228" refreshError="1"/>
      <sheetData sheetId="18229" refreshError="1"/>
      <sheetData sheetId="18230" refreshError="1"/>
      <sheetData sheetId="18231" refreshError="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 refreshError="1"/>
      <sheetData sheetId="18362" refreshError="1"/>
      <sheetData sheetId="18363" refreshError="1"/>
      <sheetData sheetId="18364" refreshError="1"/>
      <sheetData sheetId="18365" refreshError="1"/>
      <sheetData sheetId="18366" refreshError="1"/>
      <sheetData sheetId="18367" refreshError="1"/>
      <sheetData sheetId="18368" refreshError="1"/>
      <sheetData sheetId="18369" refreshError="1"/>
      <sheetData sheetId="18370" refreshError="1"/>
      <sheetData sheetId="18371" refreshError="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 refreshError="1"/>
      <sheetData sheetId="18568" refreshError="1"/>
      <sheetData sheetId="18569" refreshError="1"/>
      <sheetData sheetId="18570" refreshError="1"/>
      <sheetData sheetId="18571" refreshError="1"/>
      <sheetData sheetId="18572" refreshError="1"/>
      <sheetData sheetId="18573" refreshError="1"/>
      <sheetData sheetId="18574" refreshError="1"/>
      <sheetData sheetId="18575" refreshError="1"/>
      <sheetData sheetId="18576" refreshError="1"/>
      <sheetData sheetId="18577" refreshError="1"/>
      <sheetData sheetId="18578" refreshError="1"/>
      <sheetData sheetId="18579" refreshError="1"/>
      <sheetData sheetId="18580" refreshError="1"/>
      <sheetData sheetId="18581" refreshError="1"/>
      <sheetData sheetId="18582" refreshError="1"/>
      <sheetData sheetId="18583" refreshError="1"/>
      <sheetData sheetId="18584" refreshError="1"/>
      <sheetData sheetId="18585" refreshError="1"/>
      <sheetData sheetId="18586" refreshError="1"/>
      <sheetData sheetId="18587" refreshError="1"/>
      <sheetData sheetId="18588" refreshError="1"/>
      <sheetData sheetId="18589" refreshError="1"/>
      <sheetData sheetId="18590" refreshError="1"/>
      <sheetData sheetId="18591" refreshError="1"/>
      <sheetData sheetId="18592" refreshError="1"/>
      <sheetData sheetId="18593" refreshError="1"/>
      <sheetData sheetId="18594" refreshError="1"/>
      <sheetData sheetId="18595" refreshError="1"/>
      <sheetData sheetId="18596" refreshError="1"/>
      <sheetData sheetId="18597" refreshError="1"/>
      <sheetData sheetId="18598" refreshError="1"/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 refreshError="1"/>
      <sheetData sheetId="18605" refreshError="1"/>
      <sheetData sheetId="18606" refreshError="1"/>
      <sheetData sheetId="18607" refreshError="1"/>
      <sheetData sheetId="18608" refreshError="1"/>
      <sheetData sheetId="18609" refreshError="1"/>
      <sheetData sheetId="18610" refreshError="1"/>
      <sheetData sheetId="18611" refreshError="1"/>
      <sheetData sheetId="18612" refreshError="1"/>
      <sheetData sheetId="18613" refreshError="1"/>
      <sheetData sheetId="18614" refreshError="1"/>
      <sheetData sheetId="18615" refreshError="1"/>
      <sheetData sheetId="18616" refreshError="1"/>
      <sheetData sheetId="18617" refreshError="1"/>
      <sheetData sheetId="18618" refreshError="1"/>
      <sheetData sheetId="18619" refreshError="1"/>
      <sheetData sheetId="18620" refreshError="1"/>
      <sheetData sheetId="18621" refreshError="1"/>
      <sheetData sheetId="18622" refreshError="1"/>
      <sheetData sheetId="18623" refreshError="1"/>
      <sheetData sheetId="18624" refreshError="1"/>
      <sheetData sheetId="18625" refreshError="1"/>
      <sheetData sheetId="18626" refreshError="1"/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 refreshError="1"/>
      <sheetData sheetId="18636" refreshError="1"/>
      <sheetData sheetId="18637" refreshError="1"/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 refreshError="1"/>
      <sheetData sheetId="18808" refreshError="1"/>
      <sheetData sheetId="18809" refreshError="1"/>
      <sheetData sheetId="18810" refreshError="1"/>
      <sheetData sheetId="18811" refreshError="1"/>
      <sheetData sheetId="18812" refreshError="1"/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 refreshError="1"/>
      <sheetData sheetId="18889" refreshError="1"/>
      <sheetData sheetId="18890" refreshError="1"/>
      <sheetData sheetId="18891" refreshError="1"/>
      <sheetData sheetId="18892" refreshError="1"/>
      <sheetData sheetId="18893" refreshError="1"/>
      <sheetData sheetId="18894" refreshError="1"/>
      <sheetData sheetId="18895" refreshError="1"/>
      <sheetData sheetId="18896" refreshError="1"/>
      <sheetData sheetId="18897" refreshError="1"/>
      <sheetData sheetId="18898" refreshError="1"/>
      <sheetData sheetId="18899" refreshError="1"/>
      <sheetData sheetId="18900" refreshError="1"/>
      <sheetData sheetId="18901" refreshError="1"/>
      <sheetData sheetId="18902" refreshError="1"/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 refreshError="1"/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 refreshError="1"/>
      <sheetData sheetId="18967" refreshError="1"/>
      <sheetData sheetId="18968" refreshError="1"/>
      <sheetData sheetId="18969" refreshError="1"/>
      <sheetData sheetId="18970" refreshError="1"/>
      <sheetData sheetId="18971" refreshError="1"/>
      <sheetData sheetId="18972" refreshError="1"/>
      <sheetData sheetId="18973" refreshError="1"/>
      <sheetData sheetId="18974" refreshError="1"/>
      <sheetData sheetId="18975" refreshError="1"/>
      <sheetData sheetId="18976" refreshError="1"/>
      <sheetData sheetId="18977" refreshError="1"/>
      <sheetData sheetId="18978" refreshError="1"/>
      <sheetData sheetId="18979" refreshError="1"/>
      <sheetData sheetId="18980" refreshError="1"/>
      <sheetData sheetId="18981" refreshError="1"/>
      <sheetData sheetId="18982" refreshError="1"/>
      <sheetData sheetId="18983" refreshError="1"/>
      <sheetData sheetId="18984" refreshError="1"/>
      <sheetData sheetId="18985" refreshError="1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 refreshError="1"/>
      <sheetData sheetId="18992" refreshError="1"/>
      <sheetData sheetId="18993" refreshError="1"/>
      <sheetData sheetId="18994" refreshError="1"/>
      <sheetData sheetId="18995" refreshError="1"/>
      <sheetData sheetId="18996" refreshError="1"/>
      <sheetData sheetId="18997" refreshError="1"/>
      <sheetData sheetId="18998" refreshError="1"/>
      <sheetData sheetId="18999" refreshError="1"/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 refreshError="1"/>
      <sheetData sheetId="19032" refreshError="1"/>
      <sheetData sheetId="19033" refreshError="1"/>
      <sheetData sheetId="19034" refreshError="1"/>
      <sheetData sheetId="19035" refreshError="1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 refreshError="1"/>
      <sheetData sheetId="19043" refreshError="1"/>
      <sheetData sheetId="19044" refreshError="1"/>
      <sheetData sheetId="19045" refreshError="1"/>
      <sheetData sheetId="19046" refreshError="1"/>
      <sheetData sheetId="19047" refreshError="1"/>
      <sheetData sheetId="19048" refreshError="1"/>
      <sheetData sheetId="19049" refreshError="1"/>
      <sheetData sheetId="19050" refreshError="1"/>
      <sheetData sheetId="19051" refreshError="1"/>
      <sheetData sheetId="19052" refreshError="1"/>
      <sheetData sheetId="19053" refreshError="1"/>
      <sheetData sheetId="19054" refreshError="1"/>
      <sheetData sheetId="19055" refreshError="1"/>
      <sheetData sheetId="19056" refreshError="1"/>
      <sheetData sheetId="19057" refreshError="1"/>
      <sheetData sheetId="19058" refreshError="1"/>
      <sheetData sheetId="19059" refreshError="1"/>
      <sheetData sheetId="19060" refreshError="1"/>
      <sheetData sheetId="19061" refreshError="1"/>
      <sheetData sheetId="19062" refreshError="1"/>
      <sheetData sheetId="19063" refreshError="1"/>
      <sheetData sheetId="19064" refreshError="1"/>
      <sheetData sheetId="19065" refreshError="1"/>
      <sheetData sheetId="19066" refreshError="1"/>
      <sheetData sheetId="19067" refreshError="1"/>
      <sheetData sheetId="19068" refreshError="1"/>
      <sheetData sheetId="19069" refreshError="1"/>
      <sheetData sheetId="19070" refreshError="1"/>
      <sheetData sheetId="19071" refreshError="1"/>
      <sheetData sheetId="19072" refreshError="1"/>
      <sheetData sheetId="19073" refreshError="1"/>
      <sheetData sheetId="19074" refreshError="1"/>
      <sheetData sheetId="19075" refreshError="1"/>
      <sheetData sheetId="19076" refreshError="1"/>
      <sheetData sheetId="19077" refreshError="1"/>
      <sheetData sheetId="19078" refreshError="1"/>
      <sheetData sheetId="19079" refreshError="1"/>
      <sheetData sheetId="19080" refreshError="1"/>
      <sheetData sheetId="19081" refreshError="1"/>
      <sheetData sheetId="19082" refreshError="1"/>
      <sheetData sheetId="19083" refreshError="1"/>
      <sheetData sheetId="19084" refreshError="1"/>
      <sheetData sheetId="19085" refreshError="1"/>
      <sheetData sheetId="19086" refreshError="1"/>
      <sheetData sheetId="19087" refreshError="1"/>
      <sheetData sheetId="19088" refreshError="1"/>
      <sheetData sheetId="19089" refreshError="1"/>
      <sheetData sheetId="19090" refreshError="1"/>
      <sheetData sheetId="19091" refreshError="1"/>
      <sheetData sheetId="19092" refreshError="1"/>
      <sheetData sheetId="19093" refreshError="1"/>
      <sheetData sheetId="19094" refreshError="1"/>
      <sheetData sheetId="19095" refreshError="1"/>
      <sheetData sheetId="19096" refreshError="1"/>
      <sheetData sheetId="19097" refreshError="1"/>
      <sheetData sheetId="19098" refreshError="1"/>
      <sheetData sheetId="19099" refreshError="1"/>
      <sheetData sheetId="19100" refreshError="1"/>
      <sheetData sheetId="19101" refreshError="1"/>
      <sheetData sheetId="19102" refreshError="1"/>
      <sheetData sheetId="19103" refreshError="1"/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 refreshError="1"/>
      <sheetData sheetId="19232" refreshError="1"/>
      <sheetData sheetId="19233" refreshError="1"/>
      <sheetData sheetId="19234" refreshError="1"/>
      <sheetData sheetId="19235" refreshError="1"/>
      <sheetData sheetId="19236" refreshError="1"/>
      <sheetData sheetId="19237" refreshError="1"/>
      <sheetData sheetId="19238" refreshError="1"/>
      <sheetData sheetId="19239" refreshError="1"/>
      <sheetData sheetId="19240" refreshError="1"/>
      <sheetData sheetId="19241" refreshError="1"/>
      <sheetData sheetId="19242" refreshError="1"/>
      <sheetData sheetId="19243" refreshError="1"/>
      <sheetData sheetId="19244" refreshError="1"/>
      <sheetData sheetId="19245" refreshError="1"/>
      <sheetData sheetId="19246" refreshError="1"/>
      <sheetData sheetId="19247" refreshError="1"/>
      <sheetData sheetId="19248" refreshError="1"/>
      <sheetData sheetId="19249" refreshError="1"/>
      <sheetData sheetId="19250" refreshError="1"/>
      <sheetData sheetId="19251" refreshError="1"/>
      <sheetData sheetId="19252" refreshError="1"/>
      <sheetData sheetId="19253" refreshError="1"/>
      <sheetData sheetId="19254" refreshError="1"/>
      <sheetData sheetId="19255" refreshError="1"/>
      <sheetData sheetId="19256" refreshError="1"/>
      <sheetData sheetId="19257" refreshError="1"/>
      <sheetData sheetId="19258" refreshError="1"/>
      <sheetData sheetId="19259" refreshError="1"/>
      <sheetData sheetId="19260" refreshError="1"/>
      <sheetData sheetId="19261" refreshError="1"/>
      <sheetData sheetId="19262" refreshError="1"/>
      <sheetData sheetId="19263" refreshError="1"/>
      <sheetData sheetId="19264" refreshError="1"/>
      <sheetData sheetId="19265" refreshError="1"/>
      <sheetData sheetId="19266" refreshError="1"/>
      <sheetData sheetId="19267" refreshError="1"/>
      <sheetData sheetId="19268" refreshError="1"/>
      <sheetData sheetId="19269" refreshError="1"/>
      <sheetData sheetId="19270" refreshError="1"/>
      <sheetData sheetId="19271" refreshError="1"/>
      <sheetData sheetId="19272" refreshError="1"/>
      <sheetData sheetId="19273" refreshError="1"/>
      <sheetData sheetId="19274" refreshError="1"/>
      <sheetData sheetId="19275" refreshError="1"/>
      <sheetData sheetId="19276" refreshError="1"/>
      <sheetData sheetId="19277" refreshError="1"/>
      <sheetData sheetId="19278" refreshError="1"/>
      <sheetData sheetId="19279" refreshError="1"/>
      <sheetData sheetId="19280" refreshError="1"/>
      <sheetData sheetId="19281" refreshError="1"/>
      <sheetData sheetId="19282" refreshError="1"/>
      <sheetData sheetId="19283" refreshError="1"/>
      <sheetData sheetId="19284" refreshError="1"/>
      <sheetData sheetId="19285" refreshError="1"/>
      <sheetData sheetId="19286" refreshError="1"/>
      <sheetData sheetId="19287" refreshError="1"/>
      <sheetData sheetId="19288" refreshError="1"/>
      <sheetData sheetId="19289" refreshError="1"/>
      <sheetData sheetId="19290" refreshError="1"/>
      <sheetData sheetId="19291" refreshError="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 refreshError="1"/>
      <sheetData sheetId="19307" refreshError="1"/>
      <sheetData sheetId="19308" refreshError="1"/>
      <sheetData sheetId="19309" refreshError="1"/>
      <sheetData sheetId="19310" refreshError="1"/>
      <sheetData sheetId="19311" refreshError="1"/>
      <sheetData sheetId="19312" refreshError="1"/>
      <sheetData sheetId="19313" refreshError="1"/>
      <sheetData sheetId="19314" refreshError="1"/>
      <sheetData sheetId="19315" refreshError="1"/>
      <sheetData sheetId="19316" refreshError="1"/>
      <sheetData sheetId="19317" refreshError="1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 refreshError="1"/>
      <sheetData sheetId="19360" refreshError="1"/>
      <sheetData sheetId="19361" refreshError="1"/>
      <sheetData sheetId="19362" refreshError="1"/>
      <sheetData sheetId="19363" refreshError="1"/>
      <sheetData sheetId="19364" refreshError="1"/>
      <sheetData sheetId="19365" refreshError="1"/>
      <sheetData sheetId="19366" refreshError="1"/>
      <sheetData sheetId="19367" refreshError="1"/>
      <sheetData sheetId="19368" refreshError="1"/>
      <sheetData sheetId="19369" refreshError="1"/>
      <sheetData sheetId="19370" refreshError="1"/>
      <sheetData sheetId="19371" refreshError="1"/>
      <sheetData sheetId="19372" refreshError="1"/>
      <sheetData sheetId="19373" refreshError="1"/>
      <sheetData sheetId="19374" refreshError="1"/>
      <sheetData sheetId="19375" refreshError="1"/>
      <sheetData sheetId="19376" refreshError="1"/>
      <sheetData sheetId="19377" refreshError="1"/>
      <sheetData sheetId="19378" refreshError="1"/>
      <sheetData sheetId="19379" refreshError="1"/>
      <sheetData sheetId="19380" refreshError="1"/>
      <sheetData sheetId="19381" refreshError="1"/>
      <sheetData sheetId="19382" refreshError="1"/>
      <sheetData sheetId="19383" refreshError="1"/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 refreshError="1"/>
      <sheetData sheetId="19397" refreshError="1"/>
      <sheetData sheetId="19398" refreshError="1"/>
      <sheetData sheetId="19399" refreshError="1"/>
      <sheetData sheetId="19400" refreshError="1"/>
      <sheetData sheetId="19401" refreshError="1"/>
      <sheetData sheetId="19402" refreshError="1"/>
      <sheetData sheetId="19403" refreshError="1"/>
      <sheetData sheetId="19404" refreshError="1"/>
      <sheetData sheetId="19405" refreshError="1"/>
      <sheetData sheetId="19406" refreshError="1"/>
      <sheetData sheetId="19407" refreshError="1"/>
      <sheetData sheetId="19408" refreshError="1"/>
      <sheetData sheetId="19409" refreshError="1"/>
      <sheetData sheetId="19410" refreshError="1"/>
      <sheetData sheetId="19411" refreshError="1"/>
      <sheetData sheetId="19412" refreshError="1"/>
      <sheetData sheetId="19413" refreshError="1"/>
      <sheetData sheetId="19414" refreshError="1"/>
      <sheetData sheetId="19415" refreshError="1"/>
      <sheetData sheetId="19416" refreshError="1"/>
      <sheetData sheetId="19417" refreshError="1"/>
      <sheetData sheetId="19418" refreshError="1"/>
      <sheetData sheetId="19419" refreshError="1"/>
      <sheetData sheetId="19420" refreshError="1"/>
      <sheetData sheetId="19421" refreshError="1"/>
      <sheetData sheetId="19422" refreshError="1"/>
      <sheetData sheetId="19423" refreshError="1"/>
      <sheetData sheetId="19424" refreshError="1"/>
      <sheetData sheetId="19425" refreshError="1"/>
      <sheetData sheetId="19426" refreshError="1"/>
      <sheetData sheetId="19427" refreshError="1"/>
      <sheetData sheetId="19428" refreshError="1"/>
      <sheetData sheetId="19429" refreshError="1"/>
      <sheetData sheetId="19430" refreshError="1"/>
      <sheetData sheetId="19431" refreshError="1"/>
      <sheetData sheetId="19432" refreshError="1"/>
      <sheetData sheetId="19433" refreshError="1"/>
      <sheetData sheetId="19434" refreshError="1"/>
      <sheetData sheetId="19435" refreshError="1"/>
      <sheetData sheetId="19436" refreshError="1"/>
      <sheetData sheetId="19437" refreshError="1"/>
      <sheetData sheetId="19438" refreshError="1"/>
      <sheetData sheetId="19439" refreshError="1"/>
      <sheetData sheetId="19440" refreshError="1"/>
      <sheetData sheetId="19441" refreshError="1"/>
      <sheetData sheetId="19442" refreshError="1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 refreshError="1"/>
      <sheetData sheetId="19526" refreshError="1"/>
      <sheetData sheetId="19527" refreshError="1"/>
      <sheetData sheetId="19528" refreshError="1"/>
      <sheetData sheetId="19529" refreshError="1"/>
      <sheetData sheetId="19530" refreshError="1"/>
      <sheetData sheetId="19531" refreshError="1"/>
      <sheetData sheetId="19532" refreshError="1"/>
      <sheetData sheetId="19533" refreshError="1"/>
      <sheetData sheetId="19534" refreshError="1"/>
      <sheetData sheetId="19535" refreshError="1"/>
      <sheetData sheetId="19536" refreshError="1"/>
      <sheetData sheetId="19537" refreshError="1"/>
      <sheetData sheetId="19538" refreshError="1"/>
      <sheetData sheetId="19539" refreshError="1"/>
      <sheetData sheetId="19540" refreshError="1"/>
      <sheetData sheetId="19541" refreshError="1"/>
      <sheetData sheetId="19542" refreshError="1"/>
      <sheetData sheetId="19543" refreshError="1"/>
      <sheetData sheetId="19544" refreshError="1"/>
      <sheetData sheetId="19545" refreshError="1"/>
      <sheetData sheetId="19546" refreshError="1"/>
      <sheetData sheetId="19547" refreshError="1"/>
      <sheetData sheetId="19548" refreshError="1"/>
      <sheetData sheetId="19549" refreshError="1"/>
      <sheetData sheetId="19550" refreshError="1"/>
      <sheetData sheetId="19551" refreshError="1"/>
      <sheetData sheetId="19552" refreshError="1"/>
      <sheetData sheetId="19553" refreshError="1"/>
      <sheetData sheetId="19554" refreshError="1"/>
      <sheetData sheetId="19555" refreshError="1"/>
      <sheetData sheetId="19556" refreshError="1"/>
      <sheetData sheetId="19557" refreshError="1"/>
      <sheetData sheetId="19558" refreshError="1"/>
      <sheetData sheetId="19559" refreshError="1"/>
      <sheetData sheetId="19560" refreshError="1"/>
      <sheetData sheetId="19561" refreshError="1"/>
      <sheetData sheetId="19562" refreshError="1"/>
      <sheetData sheetId="19563" refreshError="1"/>
      <sheetData sheetId="19564" refreshError="1"/>
      <sheetData sheetId="19565" refreshError="1"/>
      <sheetData sheetId="19566" refreshError="1"/>
      <sheetData sheetId="19567" refreshError="1"/>
      <sheetData sheetId="19568" refreshError="1"/>
      <sheetData sheetId="19569" refreshError="1"/>
      <sheetData sheetId="19570" refreshError="1"/>
      <sheetData sheetId="19571" refreshError="1"/>
      <sheetData sheetId="19572" refreshError="1"/>
      <sheetData sheetId="19573" refreshError="1"/>
      <sheetData sheetId="19574" refreshError="1"/>
      <sheetData sheetId="19575" refreshError="1"/>
      <sheetData sheetId="19576" refreshError="1"/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 refreshError="1"/>
      <sheetData sheetId="19583" refreshError="1"/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 refreshError="1"/>
      <sheetData sheetId="19590" refreshError="1"/>
      <sheetData sheetId="19591" refreshError="1"/>
      <sheetData sheetId="19592" refreshError="1"/>
      <sheetData sheetId="19593" refreshError="1"/>
      <sheetData sheetId="19594" refreshError="1"/>
      <sheetData sheetId="19595" refreshError="1"/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 refreshError="1"/>
      <sheetData sheetId="19677" refreshError="1"/>
      <sheetData sheetId="19678" refreshError="1"/>
      <sheetData sheetId="19679" refreshError="1"/>
      <sheetData sheetId="19680" refreshError="1"/>
      <sheetData sheetId="19681" refreshError="1"/>
      <sheetData sheetId="19682" refreshError="1"/>
      <sheetData sheetId="19683" refreshError="1"/>
      <sheetData sheetId="19684" refreshError="1"/>
      <sheetData sheetId="19685" refreshError="1"/>
      <sheetData sheetId="19686" refreshError="1"/>
      <sheetData sheetId="19687" refreshError="1"/>
      <sheetData sheetId="19688" refreshError="1"/>
      <sheetData sheetId="19689" refreshError="1"/>
      <sheetData sheetId="19690" refreshError="1"/>
      <sheetData sheetId="19691" refreshError="1"/>
      <sheetData sheetId="19692" refreshError="1"/>
      <sheetData sheetId="19693" refreshError="1"/>
      <sheetData sheetId="19694" refreshError="1"/>
      <sheetData sheetId="19695" refreshError="1"/>
      <sheetData sheetId="19696" refreshError="1"/>
      <sheetData sheetId="19697" refreshError="1"/>
      <sheetData sheetId="19698" refreshError="1"/>
      <sheetData sheetId="19699" refreshError="1"/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 refreshError="1"/>
      <sheetData sheetId="19791" refreshError="1"/>
      <sheetData sheetId="19792" refreshError="1"/>
      <sheetData sheetId="19793" refreshError="1"/>
      <sheetData sheetId="19794" refreshError="1"/>
      <sheetData sheetId="19795" refreshError="1"/>
      <sheetData sheetId="19796" refreshError="1"/>
      <sheetData sheetId="19797" refreshError="1"/>
      <sheetData sheetId="19798" refreshError="1"/>
      <sheetData sheetId="19799" refreshError="1"/>
      <sheetData sheetId="19800" refreshError="1"/>
      <sheetData sheetId="19801" refreshError="1"/>
      <sheetData sheetId="19802" refreshError="1"/>
      <sheetData sheetId="19803" refreshError="1"/>
      <sheetData sheetId="19804" refreshError="1"/>
      <sheetData sheetId="19805" refreshError="1"/>
      <sheetData sheetId="19806" refreshError="1"/>
      <sheetData sheetId="19807" refreshError="1"/>
      <sheetData sheetId="19808" refreshError="1"/>
      <sheetData sheetId="19809" refreshError="1"/>
      <sheetData sheetId="19810" refreshError="1"/>
      <sheetData sheetId="19811" refreshError="1"/>
      <sheetData sheetId="19812" refreshError="1"/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 refreshError="1"/>
      <sheetData sheetId="20068" refreshError="1"/>
      <sheetData sheetId="20069" refreshError="1"/>
      <sheetData sheetId="20070" refreshError="1"/>
      <sheetData sheetId="20071" refreshError="1"/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 refreshError="1"/>
      <sheetData sheetId="20172" refreshError="1"/>
      <sheetData sheetId="20173" refreshError="1"/>
      <sheetData sheetId="20174" refreshError="1"/>
      <sheetData sheetId="20175" refreshError="1"/>
      <sheetData sheetId="20176" refreshError="1"/>
      <sheetData sheetId="20177" refreshError="1"/>
      <sheetData sheetId="20178" refreshError="1"/>
      <sheetData sheetId="20179" refreshError="1"/>
      <sheetData sheetId="20180" refreshError="1"/>
      <sheetData sheetId="20181" refreshError="1"/>
      <sheetData sheetId="20182" refreshError="1"/>
      <sheetData sheetId="20183" refreshError="1"/>
      <sheetData sheetId="20184" refreshError="1"/>
      <sheetData sheetId="20185" refreshError="1"/>
      <sheetData sheetId="20186" refreshError="1"/>
      <sheetData sheetId="20187" refreshError="1"/>
      <sheetData sheetId="20188" refreshError="1"/>
      <sheetData sheetId="20189" refreshError="1"/>
      <sheetData sheetId="20190" refreshError="1"/>
      <sheetData sheetId="20191" refreshError="1"/>
      <sheetData sheetId="20192" refreshError="1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 refreshError="1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 refreshError="1"/>
      <sheetData sheetId="20546" refreshError="1"/>
      <sheetData sheetId="20547" refreshError="1"/>
      <sheetData sheetId="20548" refreshError="1"/>
      <sheetData sheetId="20549" refreshError="1"/>
      <sheetData sheetId="20550" refreshError="1"/>
      <sheetData sheetId="20551" refreshError="1"/>
      <sheetData sheetId="20552" refreshError="1"/>
      <sheetData sheetId="20553" refreshError="1"/>
      <sheetData sheetId="20554" refreshError="1"/>
      <sheetData sheetId="20555" refreshError="1"/>
      <sheetData sheetId="20556" refreshError="1"/>
      <sheetData sheetId="20557" refreshError="1"/>
      <sheetData sheetId="20558" refreshError="1"/>
      <sheetData sheetId="20559" refreshError="1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 refreshError="1"/>
      <sheetData sheetId="20568" refreshError="1"/>
      <sheetData sheetId="20569" refreshError="1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 refreshError="1"/>
      <sheetData sheetId="20649" refreshError="1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 refreshError="1"/>
      <sheetData sheetId="20657" refreshError="1"/>
      <sheetData sheetId="20658" refreshError="1"/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 refreshError="1"/>
      <sheetData sheetId="20757" refreshError="1"/>
      <sheetData sheetId="20758" refreshError="1"/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 refreshError="1"/>
      <sheetData sheetId="20769" refreshError="1"/>
      <sheetData sheetId="20770" refreshError="1"/>
      <sheetData sheetId="20771" refreshError="1"/>
      <sheetData sheetId="20772" refreshError="1"/>
      <sheetData sheetId="20773" refreshError="1"/>
      <sheetData sheetId="20774" refreshError="1"/>
      <sheetData sheetId="20775" refreshError="1"/>
      <sheetData sheetId="20776" refreshError="1"/>
      <sheetData sheetId="20777" refreshError="1"/>
      <sheetData sheetId="20778" refreshError="1"/>
      <sheetData sheetId="20779" refreshError="1"/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 refreshError="1"/>
      <sheetData sheetId="20792" refreshError="1"/>
      <sheetData sheetId="20793" refreshError="1"/>
      <sheetData sheetId="20794" refreshError="1"/>
      <sheetData sheetId="20795" refreshError="1"/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 refreshError="1"/>
      <sheetData sheetId="20812" refreshError="1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 refreshError="1"/>
      <sheetData sheetId="20887" refreshError="1"/>
      <sheetData sheetId="20888" refreshError="1"/>
      <sheetData sheetId="20889" refreshError="1"/>
      <sheetData sheetId="20890" refreshError="1"/>
      <sheetData sheetId="20891" refreshError="1"/>
      <sheetData sheetId="20892" refreshError="1"/>
      <sheetData sheetId="20893" refreshError="1"/>
      <sheetData sheetId="20894" refreshError="1"/>
      <sheetData sheetId="20895" refreshError="1"/>
      <sheetData sheetId="20896" refreshError="1"/>
      <sheetData sheetId="20897" refreshError="1"/>
      <sheetData sheetId="20898" refreshError="1"/>
      <sheetData sheetId="20899" refreshError="1"/>
      <sheetData sheetId="20900" refreshError="1"/>
      <sheetData sheetId="20901" refreshError="1"/>
      <sheetData sheetId="20902" refreshError="1"/>
      <sheetData sheetId="20903" refreshError="1"/>
      <sheetData sheetId="20904" refreshError="1"/>
      <sheetData sheetId="20905" refreshError="1"/>
      <sheetData sheetId="20906" refreshError="1"/>
      <sheetData sheetId="20907" refreshError="1"/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 refreshError="1"/>
      <sheetData sheetId="20915" refreshError="1"/>
      <sheetData sheetId="20916" refreshError="1"/>
      <sheetData sheetId="20917" refreshError="1"/>
      <sheetData sheetId="20918" refreshError="1"/>
      <sheetData sheetId="20919" refreshError="1"/>
      <sheetData sheetId="20920" refreshError="1"/>
      <sheetData sheetId="20921" refreshError="1"/>
      <sheetData sheetId="20922" refreshError="1"/>
      <sheetData sheetId="20923" refreshError="1"/>
      <sheetData sheetId="20924" refreshError="1"/>
      <sheetData sheetId="20925" refreshError="1"/>
      <sheetData sheetId="20926" refreshError="1"/>
      <sheetData sheetId="20927" refreshError="1"/>
      <sheetData sheetId="20928" refreshError="1"/>
      <sheetData sheetId="20929" refreshError="1"/>
      <sheetData sheetId="20930" refreshError="1"/>
      <sheetData sheetId="20931" refreshError="1"/>
      <sheetData sheetId="20932" refreshError="1"/>
      <sheetData sheetId="20933" refreshError="1"/>
      <sheetData sheetId="20934" refreshError="1"/>
      <sheetData sheetId="20935" refreshError="1"/>
      <sheetData sheetId="20936" refreshError="1"/>
      <sheetData sheetId="20937" refreshError="1"/>
      <sheetData sheetId="20938" refreshError="1"/>
      <sheetData sheetId="20939" refreshError="1"/>
      <sheetData sheetId="20940" refreshError="1"/>
      <sheetData sheetId="20941" refreshError="1"/>
      <sheetData sheetId="20942" refreshError="1"/>
      <sheetData sheetId="20943" refreshError="1"/>
      <sheetData sheetId="20944" refreshError="1"/>
      <sheetData sheetId="20945" refreshError="1"/>
      <sheetData sheetId="20946" refreshError="1"/>
      <sheetData sheetId="20947" refreshError="1"/>
      <sheetData sheetId="20948" refreshError="1"/>
      <sheetData sheetId="20949" refreshError="1"/>
      <sheetData sheetId="20950" refreshError="1"/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 refreshError="1"/>
      <sheetData sheetId="21061" refreshError="1"/>
      <sheetData sheetId="21062" refreshError="1"/>
      <sheetData sheetId="21063" refreshError="1"/>
      <sheetData sheetId="21064" refreshError="1"/>
      <sheetData sheetId="21065" refreshError="1"/>
      <sheetData sheetId="21066" refreshError="1"/>
      <sheetData sheetId="21067" refreshError="1"/>
      <sheetData sheetId="21068" refreshError="1"/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 refreshError="1"/>
      <sheetData sheetId="21075" refreshError="1"/>
      <sheetData sheetId="21076" refreshError="1"/>
      <sheetData sheetId="21077" refreshError="1"/>
      <sheetData sheetId="21078" refreshError="1"/>
      <sheetData sheetId="21079" refreshError="1"/>
      <sheetData sheetId="21080" refreshError="1"/>
      <sheetData sheetId="21081" refreshError="1"/>
      <sheetData sheetId="21082" refreshError="1"/>
      <sheetData sheetId="21083" refreshError="1"/>
      <sheetData sheetId="21084" refreshError="1"/>
      <sheetData sheetId="21085" refreshError="1"/>
      <sheetData sheetId="21086" refreshError="1"/>
      <sheetData sheetId="21087" refreshError="1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 refreshError="1"/>
      <sheetData sheetId="21094" refreshError="1"/>
      <sheetData sheetId="21095" refreshError="1"/>
      <sheetData sheetId="21096" refreshError="1"/>
      <sheetData sheetId="21097" refreshError="1"/>
      <sheetData sheetId="21098" refreshError="1"/>
      <sheetData sheetId="21099" refreshError="1"/>
      <sheetData sheetId="21100" refreshError="1"/>
      <sheetData sheetId="21101" refreshError="1"/>
      <sheetData sheetId="21102" refreshError="1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 refreshError="1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 refreshError="1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 refreshError="1"/>
      <sheetData sheetId="21143" refreshError="1"/>
      <sheetData sheetId="21144" refreshError="1"/>
      <sheetData sheetId="21145" refreshError="1"/>
      <sheetData sheetId="21146" refreshError="1"/>
      <sheetData sheetId="21147" refreshError="1"/>
      <sheetData sheetId="21148" refreshError="1"/>
      <sheetData sheetId="21149" refreshError="1"/>
      <sheetData sheetId="21150" refreshError="1"/>
      <sheetData sheetId="21151" refreshError="1"/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/>
      <sheetData sheetId="22701"/>
      <sheetData sheetId="22702" refreshError="1"/>
      <sheetData sheetId="22703" refreshError="1"/>
      <sheetData sheetId="22704"/>
      <sheetData sheetId="22705"/>
      <sheetData sheetId="22706"/>
      <sheetData sheetId="22707"/>
      <sheetData sheetId="22708"/>
      <sheetData sheetId="22709">
        <row r="2">
          <cell r="A2" t="str">
            <v>Business Development</v>
          </cell>
        </row>
      </sheetData>
      <sheetData sheetId="22710">
        <row r="2">
          <cell r="A2" t="str">
            <v>LF11 - Cibitung</v>
          </cell>
        </row>
      </sheetData>
      <sheetData sheetId="22711">
        <row r="2">
          <cell r="A2" t="str">
            <v>IDR</v>
          </cell>
        </row>
      </sheetData>
      <sheetData sheetId="22712">
        <row r="2">
          <cell r="A2" t="str">
            <v>Cash</v>
          </cell>
        </row>
      </sheetData>
      <sheetData sheetId="22713"/>
      <sheetData sheetId="22714"/>
      <sheetData sheetId="22715"/>
      <sheetData sheetId="22716"/>
      <sheetData sheetId="22717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/>
      <sheetData sheetId="22743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/>
      <sheetData sheetId="22760" refreshError="1"/>
      <sheetData sheetId="22761" refreshError="1"/>
      <sheetData sheetId="22762" refreshError="1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 refreshError="1"/>
      <sheetData sheetId="22978" refreshError="1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 refreshError="1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 refreshError="1"/>
      <sheetData sheetId="23202" refreshError="1"/>
      <sheetData sheetId="23203" refreshError="1"/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 refreshError="1"/>
      <sheetData sheetId="23308" refreshError="1"/>
      <sheetData sheetId="23309" refreshError="1"/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 refreshError="1"/>
      <sheetData sheetId="23521" refreshError="1"/>
      <sheetData sheetId="23522" refreshError="1"/>
      <sheetData sheetId="23523" refreshError="1"/>
      <sheetData sheetId="23524" refreshError="1"/>
      <sheetData sheetId="23525" refreshError="1"/>
      <sheetData sheetId="23526" refreshError="1"/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 refreshError="1"/>
      <sheetData sheetId="23846" refreshError="1"/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 refreshError="1"/>
      <sheetData sheetId="23921" refreshError="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/>
      <sheetData sheetId="23945">
        <row r="2">
          <cell r="A2" t="str">
            <v>IDR</v>
          </cell>
        </row>
      </sheetData>
      <sheetData sheetId="23946"/>
      <sheetData sheetId="23947">
        <row r="7">
          <cell r="A7">
            <v>1</v>
          </cell>
        </row>
      </sheetData>
      <sheetData sheetId="23948"/>
      <sheetData sheetId="23949"/>
      <sheetData sheetId="23950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 refreshError="1"/>
      <sheetData sheetId="24010" refreshError="1"/>
      <sheetData sheetId="24011" refreshError="1"/>
      <sheetData sheetId="24012" refreshError="1"/>
      <sheetData sheetId="24013" refreshError="1"/>
      <sheetData sheetId="24014" refreshError="1"/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 refreshError="1"/>
      <sheetData sheetId="24087" refreshError="1"/>
      <sheetData sheetId="24088" refreshError="1"/>
      <sheetData sheetId="24089" refreshError="1"/>
      <sheetData sheetId="24090" refreshError="1"/>
      <sheetData sheetId="24091" refreshError="1"/>
      <sheetData sheetId="24092" refreshError="1"/>
      <sheetData sheetId="24093" refreshError="1"/>
      <sheetData sheetId="24094" refreshError="1"/>
      <sheetData sheetId="24095" refreshError="1"/>
      <sheetData sheetId="24096" refreshError="1"/>
      <sheetData sheetId="24097" refreshError="1"/>
      <sheetData sheetId="24098" refreshError="1"/>
      <sheetData sheetId="24099" refreshError="1"/>
      <sheetData sheetId="24100" refreshError="1"/>
      <sheetData sheetId="24101" refreshError="1"/>
      <sheetData sheetId="24102" refreshError="1"/>
      <sheetData sheetId="24103" refreshError="1"/>
      <sheetData sheetId="24104" refreshError="1"/>
      <sheetData sheetId="24105" refreshError="1"/>
      <sheetData sheetId="24106" refreshError="1"/>
      <sheetData sheetId="24107" refreshError="1"/>
      <sheetData sheetId="24108" refreshError="1"/>
      <sheetData sheetId="24109" refreshError="1"/>
      <sheetData sheetId="24110" refreshError="1"/>
      <sheetData sheetId="24111" refreshError="1"/>
      <sheetData sheetId="24112" refreshError="1"/>
      <sheetData sheetId="24113" refreshError="1"/>
      <sheetData sheetId="24114" refreshError="1"/>
      <sheetData sheetId="24115" refreshError="1"/>
      <sheetData sheetId="24116" refreshError="1"/>
      <sheetData sheetId="24117" refreshError="1"/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 refreshError="1"/>
      <sheetData sheetId="24133" refreshError="1"/>
      <sheetData sheetId="24134" refreshError="1"/>
      <sheetData sheetId="24135" refreshError="1"/>
      <sheetData sheetId="24136" refreshError="1"/>
      <sheetData sheetId="24137" refreshError="1"/>
      <sheetData sheetId="24138" refreshError="1"/>
      <sheetData sheetId="24139" refreshError="1"/>
      <sheetData sheetId="24140" refreshError="1"/>
      <sheetData sheetId="24141" refreshError="1"/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 refreshError="1"/>
      <sheetData sheetId="24148" refreshError="1"/>
      <sheetData sheetId="24149" refreshError="1"/>
      <sheetData sheetId="24150" refreshError="1"/>
      <sheetData sheetId="24151" refreshError="1"/>
      <sheetData sheetId="24152" refreshError="1"/>
      <sheetData sheetId="24153" refreshError="1"/>
      <sheetData sheetId="24154" refreshError="1"/>
      <sheetData sheetId="24155" refreshError="1"/>
      <sheetData sheetId="24156" refreshError="1"/>
      <sheetData sheetId="24157" refreshError="1"/>
      <sheetData sheetId="24158" refreshError="1"/>
      <sheetData sheetId="24159" refreshError="1"/>
      <sheetData sheetId="24160" refreshError="1"/>
      <sheetData sheetId="24161" refreshError="1"/>
      <sheetData sheetId="24162" refreshError="1"/>
      <sheetData sheetId="24163" refreshError="1"/>
      <sheetData sheetId="24164" refreshError="1"/>
      <sheetData sheetId="24165" refreshError="1"/>
      <sheetData sheetId="24166" refreshError="1"/>
      <sheetData sheetId="24167" refreshError="1"/>
      <sheetData sheetId="24168" refreshError="1"/>
      <sheetData sheetId="24169" refreshError="1"/>
      <sheetData sheetId="24170" refreshError="1"/>
      <sheetData sheetId="24171" refreshError="1"/>
      <sheetData sheetId="24172" refreshError="1"/>
      <sheetData sheetId="24173" refreshError="1"/>
      <sheetData sheetId="24174" refreshError="1"/>
      <sheetData sheetId="24175" refreshError="1"/>
      <sheetData sheetId="24176" refreshError="1"/>
      <sheetData sheetId="24177" refreshError="1"/>
      <sheetData sheetId="24178" refreshError="1"/>
      <sheetData sheetId="24179" refreshError="1"/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 refreshError="1"/>
      <sheetData sheetId="24416" refreshError="1"/>
      <sheetData sheetId="24417" refreshError="1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 refreshError="1"/>
      <sheetData sheetId="24445" refreshError="1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 refreshError="1"/>
      <sheetData sheetId="24472" refreshError="1"/>
      <sheetData sheetId="24473" refreshError="1"/>
      <sheetData sheetId="24474" refreshError="1"/>
      <sheetData sheetId="24475" refreshError="1"/>
      <sheetData sheetId="24476" refreshError="1"/>
      <sheetData sheetId="24477" refreshError="1"/>
      <sheetData sheetId="24478" refreshError="1"/>
      <sheetData sheetId="24479" refreshError="1"/>
      <sheetData sheetId="24480" refreshError="1"/>
      <sheetData sheetId="24481" refreshError="1"/>
      <sheetData sheetId="24482" refreshError="1"/>
      <sheetData sheetId="24483" refreshError="1"/>
      <sheetData sheetId="24484" refreshError="1"/>
      <sheetData sheetId="24485" refreshError="1"/>
      <sheetData sheetId="24486" refreshError="1"/>
      <sheetData sheetId="24487" refreshError="1"/>
      <sheetData sheetId="24488" refreshError="1"/>
      <sheetData sheetId="24489" refreshError="1"/>
      <sheetData sheetId="24490" refreshError="1"/>
      <sheetData sheetId="24491" refreshError="1"/>
      <sheetData sheetId="24492" refreshError="1"/>
      <sheetData sheetId="24493" refreshError="1"/>
      <sheetData sheetId="24494" refreshError="1"/>
      <sheetData sheetId="24495"/>
      <sheetData sheetId="24496" refreshError="1"/>
      <sheetData sheetId="24497" refreshError="1"/>
      <sheetData sheetId="24498" refreshError="1"/>
      <sheetData sheetId="24499" refreshError="1"/>
      <sheetData sheetId="24500" refreshError="1"/>
      <sheetData sheetId="24501" refreshError="1"/>
      <sheetData sheetId="24502" refreshError="1"/>
      <sheetData sheetId="24503" refreshError="1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>
        <row r="1">
          <cell r="M1" t="str">
            <v>Korfis Amount</v>
          </cell>
        </row>
      </sheetData>
      <sheetData sheetId="24523"/>
      <sheetData sheetId="24524"/>
      <sheetData sheetId="24525"/>
      <sheetData sheetId="24526"/>
      <sheetData sheetId="24527"/>
      <sheetData sheetId="24528" refreshError="1"/>
      <sheetData sheetId="24529"/>
      <sheetData sheetId="24530"/>
      <sheetData sheetId="24531"/>
      <sheetData sheetId="24532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/>
      <sheetData sheetId="24571"/>
      <sheetData sheetId="24572"/>
      <sheetData sheetId="24573"/>
      <sheetData sheetId="24574"/>
      <sheetData sheetId="24575"/>
      <sheetData sheetId="24576"/>
      <sheetData sheetId="24577"/>
      <sheetData sheetId="24578"/>
      <sheetData sheetId="24579"/>
      <sheetData sheetId="24580"/>
      <sheetData sheetId="24581"/>
      <sheetData sheetId="24582"/>
      <sheetData sheetId="24583" refreshError="1"/>
      <sheetData sheetId="24584"/>
      <sheetData sheetId="24585"/>
      <sheetData sheetId="24586">
        <row r="1">
          <cell r="K1">
            <v>37986</v>
          </cell>
        </row>
      </sheetData>
      <sheetData sheetId="24587"/>
      <sheetData sheetId="24588"/>
      <sheetData sheetId="24589"/>
      <sheetData sheetId="24590"/>
      <sheetData sheetId="24591"/>
      <sheetData sheetId="24592" refreshError="1"/>
      <sheetData sheetId="24593"/>
      <sheetData sheetId="24594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>
        <row r="12">
          <cell r="A12" t="str">
            <v>B1</v>
          </cell>
        </row>
      </sheetData>
      <sheetData sheetId="24606"/>
      <sheetData sheetId="24607"/>
      <sheetData sheetId="24608"/>
      <sheetData sheetId="24609"/>
      <sheetData sheetId="24610"/>
      <sheetData sheetId="24611"/>
      <sheetData sheetId="24612">
        <row r="2">
          <cell r="AH2">
            <v>38</v>
          </cell>
        </row>
      </sheetData>
      <sheetData sheetId="24613"/>
      <sheetData sheetId="24614"/>
      <sheetData sheetId="24615"/>
      <sheetData sheetId="24616"/>
      <sheetData sheetId="24617">
        <row r="5">
          <cell r="X5" t="str">
            <v>OUTGOING</v>
          </cell>
        </row>
      </sheetData>
      <sheetData sheetId="24618">
        <row r="3">
          <cell r="AA3" t="str">
            <v>TOTAL CASH RP ON HANDS &amp; IN BANKS</v>
          </cell>
        </row>
      </sheetData>
      <sheetData sheetId="24619"/>
      <sheetData sheetId="24620"/>
      <sheetData sheetId="24621" refreshError="1"/>
      <sheetData sheetId="24622" refreshError="1"/>
      <sheetData sheetId="24623" refreshError="1"/>
      <sheetData sheetId="24624"/>
      <sheetData sheetId="24625"/>
      <sheetData sheetId="24626"/>
      <sheetData sheetId="24627"/>
      <sheetData sheetId="24628" refreshError="1"/>
      <sheetData sheetId="24629"/>
      <sheetData sheetId="24630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/>
      <sheetData sheetId="24651"/>
      <sheetData sheetId="24652">
        <row r="12">
          <cell r="A12" t="str">
            <v>B1</v>
          </cell>
        </row>
      </sheetData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>
        <row r="9">
          <cell r="A9">
            <v>11000000</v>
          </cell>
        </row>
      </sheetData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>
        <row r="43">
          <cell r="C43">
            <v>20003243258.799999</v>
          </cell>
        </row>
      </sheetData>
      <sheetData sheetId="24670"/>
      <sheetData sheetId="2467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 refreshError="1"/>
      <sheetData sheetId="24699"/>
      <sheetData sheetId="24700" refreshError="1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/>
      <sheetData sheetId="24728"/>
      <sheetData sheetId="24729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 refreshError="1"/>
      <sheetData sheetId="24770" refreshError="1"/>
      <sheetData sheetId="24771" refreshError="1"/>
      <sheetData sheetId="24772" refreshError="1"/>
      <sheetData sheetId="24773" refreshError="1"/>
      <sheetData sheetId="24774" refreshError="1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/>
      <sheetData sheetId="24784"/>
      <sheetData sheetId="24785"/>
      <sheetData sheetId="24786"/>
      <sheetData sheetId="24787"/>
      <sheetData sheetId="24788"/>
      <sheetData sheetId="24789"/>
      <sheetData sheetId="24790"/>
      <sheetData sheetId="24791"/>
      <sheetData sheetId="24792"/>
      <sheetData sheetId="24793"/>
      <sheetData sheetId="24794"/>
      <sheetData sheetId="24795"/>
      <sheetData sheetId="24796"/>
      <sheetData sheetId="24797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/>
      <sheetData sheetId="24806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/>
      <sheetData sheetId="24821"/>
      <sheetData sheetId="24822"/>
      <sheetData sheetId="24823"/>
      <sheetData sheetId="24824">
        <row r="7">
          <cell r="C7" t="str">
            <v>Net income before tax</v>
          </cell>
        </row>
      </sheetData>
      <sheetData sheetId="24825"/>
      <sheetData sheetId="24826"/>
      <sheetData sheetId="24827"/>
      <sheetData sheetId="24828"/>
      <sheetData sheetId="24829"/>
      <sheetData sheetId="24830"/>
      <sheetData sheetId="24831"/>
      <sheetData sheetId="24832"/>
      <sheetData sheetId="24833"/>
      <sheetData sheetId="24834"/>
      <sheetData sheetId="24835"/>
      <sheetData sheetId="24836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/>
      <sheetData sheetId="24856"/>
      <sheetData sheetId="24857">
        <row r="1">
          <cell r="A1" t="str">
            <v>CV TRITUNGGAL SENTOSA</v>
          </cell>
        </row>
      </sheetData>
      <sheetData sheetId="24858"/>
      <sheetData sheetId="24859"/>
      <sheetData sheetId="24860">
        <row r="31">
          <cell r="N31">
            <v>906186608.62700033</v>
          </cell>
        </row>
      </sheetData>
      <sheetData sheetId="24861"/>
      <sheetData sheetId="24862"/>
      <sheetData sheetId="24863"/>
      <sheetData sheetId="24864"/>
      <sheetData sheetId="24865"/>
      <sheetData sheetId="24866"/>
      <sheetData sheetId="24867"/>
      <sheetData sheetId="24868"/>
      <sheetData sheetId="24869"/>
      <sheetData sheetId="24870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>
        <row r="2">
          <cell r="C2" t="str">
            <v>LAPORAN LABA / (RUGI)</v>
          </cell>
        </row>
      </sheetData>
      <sheetData sheetId="24891">
        <row r="2">
          <cell r="C2" t="str">
            <v>LAPORAN LABA / (RUGI)</v>
          </cell>
        </row>
      </sheetData>
      <sheetData sheetId="24892"/>
      <sheetData sheetId="24893"/>
      <sheetData sheetId="24894">
        <row r="7">
          <cell r="C7" t="str">
            <v>Net income before tax</v>
          </cell>
        </row>
      </sheetData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>
        <row r="144">
          <cell r="G144" t="str">
            <v>Kolektibilitas</v>
          </cell>
        </row>
      </sheetData>
      <sheetData sheetId="24908"/>
      <sheetData sheetId="24909"/>
      <sheetData sheetId="24910"/>
      <sheetData sheetId="24911"/>
      <sheetData sheetId="24912"/>
      <sheetData sheetId="24913">
        <row r="6">
          <cell r="D6">
            <v>1052065650</v>
          </cell>
        </row>
      </sheetData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>
        <row r="1">
          <cell r="A1" t="str">
            <v>CV TRITUNGGAL SENTOSA</v>
          </cell>
        </row>
      </sheetData>
      <sheetData sheetId="24942"/>
      <sheetData sheetId="24943"/>
      <sheetData sheetId="24944">
        <row r="31">
          <cell r="N31">
            <v>906186608.62700033</v>
          </cell>
        </row>
      </sheetData>
      <sheetData sheetId="24945"/>
      <sheetData sheetId="24946">
        <row r="1">
          <cell r="A1" t="str">
            <v>CV TRITUNGGAL SENTOSA</v>
          </cell>
        </row>
      </sheetData>
      <sheetData sheetId="24947"/>
      <sheetData sheetId="24948">
        <row r="7">
          <cell r="C7" t="str">
            <v>Net income before tax</v>
          </cell>
        </row>
      </sheetData>
      <sheetData sheetId="24949"/>
      <sheetData sheetId="24950">
        <row r="248">
          <cell r="F248">
            <v>1.1059322033898304</v>
          </cell>
        </row>
      </sheetData>
      <sheetData sheetId="24951">
        <row r="1">
          <cell r="A1" t="str">
            <v>CV TRITUNGGAL SENTOSA</v>
          </cell>
        </row>
      </sheetData>
      <sheetData sheetId="24952"/>
      <sheetData sheetId="24953">
        <row r="3">
          <cell r="A3" t="str">
            <v>-</v>
          </cell>
        </row>
      </sheetData>
      <sheetData sheetId="24954"/>
      <sheetData sheetId="24955"/>
      <sheetData sheetId="24956"/>
      <sheetData sheetId="24957"/>
      <sheetData sheetId="24958">
        <row r="767">
          <cell r="B767">
            <v>739</v>
          </cell>
        </row>
      </sheetData>
      <sheetData sheetId="24959"/>
      <sheetData sheetId="24960"/>
      <sheetData sheetId="24961"/>
      <sheetData sheetId="24962"/>
      <sheetData sheetId="24963"/>
      <sheetData sheetId="24964">
        <row r="7">
          <cell r="C7" t="str">
            <v>Net income before tax</v>
          </cell>
        </row>
      </sheetData>
      <sheetData sheetId="24965">
        <row r="1">
          <cell r="A1" t="str">
            <v>CV TRITUNGGAL SENTOSA</v>
          </cell>
        </row>
      </sheetData>
      <sheetData sheetId="24966"/>
      <sheetData sheetId="24967">
        <row r="2">
          <cell r="C2" t="str">
            <v>LAPORAN LABA / (RUGI)</v>
          </cell>
        </row>
      </sheetData>
      <sheetData sheetId="24968">
        <row r="144">
          <cell r="G144" t="str">
            <v>Kolektibilitas</v>
          </cell>
        </row>
      </sheetData>
      <sheetData sheetId="24969"/>
      <sheetData sheetId="24970"/>
      <sheetData sheetId="24971"/>
      <sheetData sheetId="24972">
        <row r="1">
          <cell r="A1" t="str">
            <v>DAFTAR RINCIAN AKTIVA TETAP &amp; PENYUSUTANNYA</v>
          </cell>
        </row>
      </sheetData>
      <sheetData sheetId="24973"/>
      <sheetData sheetId="24974"/>
      <sheetData sheetId="24975"/>
      <sheetData sheetId="24976"/>
      <sheetData sheetId="24977">
        <row r="2">
          <cell r="C2" t="str">
            <v>LAPORAN LABA / (RUGI)</v>
          </cell>
        </row>
      </sheetData>
      <sheetData sheetId="24978"/>
      <sheetData sheetId="24979"/>
      <sheetData sheetId="24980"/>
      <sheetData sheetId="24981"/>
      <sheetData sheetId="24982"/>
      <sheetData sheetId="24983"/>
      <sheetData sheetId="24984"/>
      <sheetData sheetId="24985"/>
      <sheetData sheetId="24986">
        <row r="1">
          <cell r="A1" t="str">
            <v>CV TRITUNGGAL SENTOSA</v>
          </cell>
        </row>
      </sheetData>
      <sheetData sheetId="24987"/>
      <sheetData sheetId="24988"/>
      <sheetData sheetId="24989">
        <row r="31">
          <cell r="N31">
            <v>906186608.62700033</v>
          </cell>
        </row>
      </sheetData>
      <sheetData sheetId="24990"/>
      <sheetData sheetId="24991"/>
      <sheetData sheetId="24992"/>
      <sheetData sheetId="24993"/>
      <sheetData sheetId="24994"/>
      <sheetData sheetId="24995">
        <row r="248">
          <cell r="F248">
            <v>1.1059322033898304</v>
          </cell>
        </row>
      </sheetData>
      <sheetData sheetId="24996"/>
      <sheetData sheetId="24997"/>
      <sheetData sheetId="24998"/>
      <sheetData sheetId="24999" refreshError="1"/>
      <sheetData sheetId="25000">
        <row r="1">
          <cell r="A1" t="str">
            <v>CV TRITUNGGAL SENTOSA</v>
          </cell>
        </row>
      </sheetData>
      <sheetData sheetId="25001"/>
      <sheetData sheetId="25002">
        <row r="144">
          <cell r="G144" t="str">
            <v>Kolektibilitas</v>
          </cell>
        </row>
      </sheetData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>
        <row r="31">
          <cell r="N31">
            <v>906186608.62700033</v>
          </cell>
        </row>
      </sheetData>
      <sheetData sheetId="25021"/>
      <sheetData sheetId="25022"/>
      <sheetData sheetId="25023"/>
      <sheetData sheetId="25024"/>
      <sheetData sheetId="25025"/>
      <sheetData sheetId="25026">
        <row r="767">
          <cell r="B767">
            <v>739</v>
          </cell>
        </row>
      </sheetData>
      <sheetData sheetId="25027"/>
      <sheetData sheetId="25028">
        <row r="1">
          <cell r="A1" t="str">
            <v>CV TRITUNGGAL SENTOSA</v>
          </cell>
        </row>
      </sheetData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>
        <row r="767">
          <cell r="B767">
            <v>739</v>
          </cell>
        </row>
      </sheetData>
      <sheetData sheetId="25041"/>
      <sheetData sheetId="25042">
        <row r="1">
          <cell r="A1" t="str">
            <v>CV TRITUNGGAL SENTOSA</v>
          </cell>
        </row>
      </sheetData>
      <sheetData sheetId="25043"/>
      <sheetData sheetId="25044"/>
      <sheetData sheetId="25045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/>
      <sheetData sheetId="25055"/>
      <sheetData sheetId="25056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>
        <row r="7">
          <cell r="C7" t="str">
            <v>Net income before tax</v>
          </cell>
        </row>
      </sheetData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 refreshError="1"/>
      <sheetData sheetId="25115" refreshError="1"/>
      <sheetData sheetId="25116"/>
      <sheetData sheetId="25117" refreshError="1"/>
      <sheetData sheetId="25118" refreshError="1"/>
      <sheetData sheetId="25119"/>
      <sheetData sheetId="25120"/>
      <sheetData sheetId="25121"/>
      <sheetData sheetId="25122"/>
      <sheetData sheetId="25123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/>
      <sheetData sheetId="25149"/>
      <sheetData sheetId="25150" refreshError="1"/>
      <sheetData sheetId="25151" refreshError="1"/>
      <sheetData sheetId="25152" refreshError="1"/>
      <sheetData sheetId="25153" refreshError="1"/>
      <sheetData sheetId="25154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/>
      <sheetData sheetId="25167" refreshError="1"/>
      <sheetData sheetId="25168"/>
      <sheetData sheetId="25169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/>
      <sheetData sheetId="25322"/>
      <sheetData sheetId="25323"/>
      <sheetData sheetId="25324"/>
      <sheetData sheetId="25325"/>
      <sheetData sheetId="25326"/>
      <sheetData sheetId="25327"/>
      <sheetData sheetId="25328"/>
      <sheetData sheetId="25329"/>
      <sheetData sheetId="25330"/>
      <sheetData sheetId="25331"/>
      <sheetData sheetId="25332"/>
      <sheetData sheetId="25333"/>
      <sheetData sheetId="25334">
        <row r="3">
          <cell r="D3">
            <v>38569.1875</v>
          </cell>
        </row>
      </sheetData>
      <sheetData sheetId="25335"/>
      <sheetData sheetId="25336"/>
      <sheetData sheetId="25337">
        <row r="1">
          <cell r="A1" t="str">
            <v>PT Samudera Shipping Services (PT SSS)</v>
          </cell>
        </row>
      </sheetData>
      <sheetData sheetId="25338"/>
      <sheetData sheetId="25339"/>
      <sheetData sheetId="25340"/>
      <sheetData sheetId="25341"/>
      <sheetData sheetId="25342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/>
      <sheetData sheetId="25368"/>
      <sheetData sheetId="25369"/>
      <sheetData sheetId="25370"/>
      <sheetData sheetId="25371"/>
      <sheetData sheetId="25372"/>
      <sheetData sheetId="25373"/>
      <sheetData sheetId="25374"/>
      <sheetData sheetId="25375">
        <row r="7">
          <cell r="C7" t="str">
            <v>Net income before tax</v>
          </cell>
        </row>
      </sheetData>
      <sheetData sheetId="25376"/>
      <sheetData sheetId="25377"/>
      <sheetData sheetId="25378"/>
      <sheetData sheetId="25379"/>
      <sheetData sheetId="25380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/>
      <sheetData sheetId="25959"/>
      <sheetData sheetId="25960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>
        <row r="7">
          <cell r="D7" t="str">
            <v>PT CERES</v>
          </cell>
        </row>
      </sheetData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/>
      <sheetData sheetId="26002">
        <row r="5">
          <cell r="I5" t="str">
            <v>PT Mega Kemiraya</v>
          </cell>
        </row>
      </sheetData>
      <sheetData sheetId="26003"/>
      <sheetData sheetId="26004"/>
      <sheetData sheetId="26005"/>
      <sheetData sheetId="26006"/>
      <sheetData sheetId="26007"/>
      <sheetData sheetId="26008"/>
      <sheetData sheetId="26009">
        <row r="11">
          <cell r="A11" t="str">
            <v>03001000</v>
          </cell>
        </row>
      </sheetData>
      <sheetData sheetId="26010"/>
      <sheetData sheetId="26011">
        <row r="1">
          <cell r="A1" t="str">
            <v>DEPARTEMEN KEUANGAN REPUBLIK INDONESIA</v>
          </cell>
        </row>
      </sheetData>
      <sheetData sheetId="26012">
        <row r="2">
          <cell r="A2" t="str">
            <v>AXA QUARTERLY REPORTING
P&amp;C data base (1/2)</v>
          </cell>
        </row>
      </sheetData>
      <sheetData sheetId="26013"/>
      <sheetData sheetId="26014"/>
      <sheetData sheetId="26015"/>
      <sheetData sheetId="26016"/>
      <sheetData sheetId="26017"/>
      <sheetData sheetId="26018">
        <row r="7">
          <cell r="D7" t="str">
            <v>PT CERES</v>
          </cell>
        </row>
      </sheetData>
      <sheetData sheetId="26019">
        <row r="1">
          <cell r="B1">
            <v>1</v>
          </cell>
        </row>
      </sheetData>
      <sheetData sheetId="26020"/>
      <sheetData sheetId="26021">
        <row r="1">
          <cell r="C1" t="str">
            <v>W/N P/N#</v>
          </cell>
        </row>
      </sheetData>
      <sheetData sheetId="26022">
        <row r="1">
          <cell r="B1">
            <v>1</v>
          </cell>
        </row>
      </sheetData>
      <sheetData sheetId="26023"/>
      <sheetData sheetId="26024"/>
      <sheetData sheetId="26025"/>
      <sheetData sheetId="26026">
        <row r="8">
          <cell r="A8" t="str">
            <v>1011-000</v>
          </cell>
        </row>
      </sheetData>
      <sheetData sheetId="26027"/>
      <sheetData sheetId="26028"/>
      <sheetData sheetId="26029"/>
      <sheetData sheetId="26030"/>
      <sheetData sheetId="26031"/>
      <sheetData sheetId="26032"/>
      <sheetData sheetId="26033"/>
      <sheetData sheetId="26034" refreshError="1"/>
      <sheetData sheetId="26035" refreshError="1"/>
      <sheetData sheetId="26036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>
        <row r="8">
          <cell r="A8" t="str">
            <v>1012-000</v>
          </cell>
        </row>
      </sheetData>
      <sheetData sheetId="26044">
        <row r="8">
          <cell r="A8" t="str">
            <v>1011-000</v>
          </cell>
        </row>
      </sheetData>
      <sheetData sheetId="26045">
        <row r="8">
          <cell r="A8" t="str">
            <v>1011-000</v>
          </cell>
        </row>
      </sheetData>
      <sheetData sheetId="26046">
        <row r="8">
          <cell r="A8" t="str">
            <v>1011-000</v>
          </cell>
        </row>
      </sheetData>
      <sheetData sheetId="26047" refreshError="1"/>
      <sheetData sheetId="26048"/>
      <sheetData sheetId="26049"/>
      <sheetData sheetId="26050" refreshError="1"/>
      <sheetData sheetId="26051"/>
      <sheetData sheetId="26052">
        <row r="1">
          <cell r="A1" t="str">
            <v>CV TRITUNGGAL SENTOSA</v>
          </cell>
        </row>
      </sheetData>
      <sheetData sheetId="26053" refreshError="1"/>
      <sheetData sheetId="26054">
        <row r="1">
          <cell r="A1" t="str">
            <v>DAFTAR RINCIAN AKTIVA TETAP &amp; PENYUSUTANNYA</v>
          </cell>
        </row>
      </sheetData>
      <sheetData sheetId="26055">
        <row r="1">
          <cell r="A1" t="str">
            <v>CV TRITUNGGAL SENTOSA</v>
          </cell>
        </row>
      </sheetData>
      <sheetData sheetId="26056">
        <row r="1">
          <cell r="A1" t="str">
            <v>CV TRITUNGGAL SENTOSA</v>
          </cell>
        </row>
      </sheetData>
      <sheetData sheetId="26057">
        <row r="1">
          <cell r="A1" t="str">
            <v>CV TRITUNGGAL SENTOSA</v>
          </cell>
        </row>
      </sheetData>
      <sheetData sheetId="26058">
        <row r="1">
          <cell r="A1" t="str">
            <v>CV TRITUNGGAL SENTOSA</v>
          </cell>
        </row>
      </sheetData>
      <sheetData sheetId="26059">
        <row r="1">
          <cell r="A1" t="str">
            <v>CV TRITUNGGAL SENTOSA</v>
          </cell>
        </row>
      </sheetData>
      <sheetData sheetId="26060"/>
      <sheetData sheetId="26061"/>
      <sheetData sheetId="26062"/>
      <sheetData sheetId="26063"/>
      <sheetData sheetId="26064"/>
      <sheetData sheetId="26065"/>
      <sheetData sheetId="26066">
        <row r="1">
          <cell r="A1" t="str">
            <v>DEPARTEMEN KEUANGAN REPUBLIK INDONESIA</v>
          </cell>
        </row>
      </sheetData>
      <sheetData sheetId="26067">
        <row r="2">
          <cell r="A2" t="str">
            <v>AXA QUARTERLY REPORTING
P&amp;C data base (1/2)</v>
          </cell>
        </row>
      </sheetData>
      <sheetData sheetId="26068"/>
      <sheetData sheetId="26069"/>
      <sheetData sheetId="26070">
        <row r="2">
          <cell r="A2" t="str">
            <v>AXA QUARTERLY REPORTING
P&amp;C data base (1/2)</v>
          </cell>
        </row>
      </sheetData>
      <sheetData sheetId="26071"/>
      <sheetData sheetId="26072"/>
      <sheetData sheetId="26073"/>
      <sheetData sheetId="26074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>
        <row r="2">
          <cell r="B2" t="str">
            <v>PT. TRIPUTRA AGRO PERSADA</v>
          </cell>
        </row>
      </sheetData>
      <sheetData sheetId="26091">
        <row r="1">
          <cell r="A1" t="str">
            <v>PT. GAWI BAHANDEP SAWIT MEKAR</v>
          </cell>
        </row>
      </sheetData>
      <sheetData sheetId="26092">
        <row r="1">
          <cell r="A1" t="str">
            <v>PT. GAWI BAHANDEP SAWIT MEKAR</v>
          </cell>
        </row>
      </sheetData>
      <sheetData sheetId="26093">
        <row r="1">
          <cell r="A1" t="str">
            <v>DAFTAR STOCK MATERIAL &amp; SPARE PART</v>
          </cell>
        </row>
      </sheetData>
      <sheetData sheetId="26094">
        <row r="2">
          <cell r="B2" t="str">
            <v>PT. TRIPUTRA AGRO PERSADA</v>
          </cell>
        </row>
      </sheetData>
      <sheetData sheetId="26095">
        <row r="2">
          <cell r="B2" t="str">
            <v>PT. TRIPUTRA AGRO PERSADA</v>
          </cell>
        </row>
      </sheetData>
      <sheetData sheetId="26096">
        <row r="1">
          <cell r="A1" t="str">
            <v>PT. GAWI BAHANDEP SAWIT MEKAR</v>
          </cell>
        </row>
      </sheetData>
      <sheetData sheetId="26097">
        <row r="1">
          <cell r="A1" t="str">
            <v>DAFTAR STOCK MATERIAL &amp; SPARE PART</v>
          </cell>
        </row>
      </sheetData>
      <sheetData sheetId="26098">
        <row r="1">
          <cell r="A1" t="str">
            <v>DAFTAR STOCK MATERIAL &amp; SPARE PART</v>
          </cell>
        </row>
      </sheetData>
      <sheetData sheetId="26099">
        <row r="2">
          <cell r="B2" t="str">
            <v>PT. TRIPUTRA AGRO PERSADA</v>
          </cell>
        </row>
      </sheetData>
      <sheetData sheetId="26100">
        <row r="2">
          <cell r="B2" t="str">
            <v>PT. TRIPUTRA AGRO PERSADA</v>
          </cell>
        </row>
      </sheetData>
      <sheetData sheetId="26101">
        <row r="1">
          <cell r="A1" t="str">
            <v>PT. GAWI BAHANDEP SAWIT MEKAR</v>
          </cell>
        </row>
      </sheetData>
      <sheetData sheetId="26102">
        <row r="1">
          <cell r="A1" t="str">
            <v>KODE_TOKO</v>
          </cell>
        </row>
      </sheetData>
      <sheetData sheetId="26103"/>
      <sheetData sheetId="26104"/>
      <sheetData sheetId="26105"/>
      <sheetData sheetId="26106"/>
      <sheetData sheetId="26107">
        <row r="2">
          <cell r="A2" t="str">
            <v>AXA QUARTERLY REPORTING
P&amp;C data base (1/2)</v>
          </cell>
        </row>
      </sheetData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/>
      <sheetData sheetId="26125">
        <row r="8">
          <cell r="A8" t="str">
            <v>1011-000</v>
          </cell>
        </row>
      </sheetData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>
        <row r="1">
          <cell r="B1" t="str">
            <v>DPI</v>
          </cell>
        </row>
      </sheetData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/>
      <sheetData sheetId="26173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/>
      <sheetData sheetId="26185" refreshError="1"/>
      <sheetData sheetId="26186" refreshError="1"/>
      <sheetData sheetId="26187" refreshError="1"/>
      <sheetData sheetId="26188" refreshError="1"/>
      <sheetData sheetId="26189"/>
      <sheetData sheetId="26190"/>
      <sheetData sheetId="2619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>
        <row r="9">
          <cell r="C9" t="str">
            <v>1.002.726.6-026</v>
          </cell>
        </row>
      </sheetData>
      <sheetData sheetId="26204" refreshError="1"/>
      <sheetData sheetId="26205">
        <row r="10">
          <cell r="C10" t="str">
            <v>01.061.608.4-056.000</v>
          </cell>
        </row>
      </sheetData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>
        <row r="7">
          <cell r="D7" t="str">
            <v>PT CERES</v>
          </cell>
        </row>
      </sheetData>
      <sheetData sheetId="26267"/>
      <sheetData sheetId="26268"/>
      <sheetData sheetId="26269"/>
      <sheetData sheetId="26270"/>
      <sheetData sheetId="2627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/>
      <sheetData sheetId="26296"/>
      <sheetData sheetId="26297">
        <row r="1">
          <cell r="A1" t="str">
            <v>DEPARTEMEN KEUANGAN REPUBLIK INDONESIA</v>
          </cell>
        </row>
      </sheetData>
      <sheetData sheetId="26298">
        <row r="2">
          <cell r="A2" t="str">
            <v>AXA QUARTERLY REPORTING
P&amp;C data base (1/2)</v>
          </cell>
        </row>
      </sheetData>
      <sheetData sheetId="26299"/>
      <sheetData sheetId="26300"/>
      <sheetData sheetId="26301"/>
      <sheetData sheetId="26302"/>
      <sheetData sheetId="26303"/>
      <sheetData sheetId="26304">
        <row r="4">
          <cell r="O4">
            <v>37929</v>
          </cell>
        </row>
      </sheetData>
      <sheetData sheetId="26305">
        <row r="8">
          <cell r="A8" t="str">
            <v>1011-000</v>
          </cell>
        </row>
      </sheetData>
      <sheetData sheetId="26306">
        <row r="1">
          <cell r="M1" t="str">
            <v>P:\CBIAccr</v>
          </cell>
        </row>
      </sheetData>
      <sheetData sheetId="26307">
        <row r="1">
          <cell r="A1" t="str">
            <v>Account</v>
          </cell>
        </row>
      </sheetData>
      <sheetData sheetId="26308">
        <row r="8">
          <cell r="A8" t="str">
            <v>1011-000</v>
          </cell>
        </row>
      </sheetData>
      <sheetData sheetId="26309"/>
      <sheetData sheetId="26310">
        <row r="8">
          <cell r="A8" t="str">
            <v>1011-000</v>
          </cell>
        </row>
      </sheetData>
      <sheetData sheetId="26311">
        <row r="8">
          <cell r="A8" t="str">
            <v>1011-000</v>
          </cell>
        </row>
      </sheetData>
      <sheetData sheetId="26312">
        <row r="7">
          <cell r="E7" t="str">
            <v>PT. Surya Siam Keramik</v>
          </cell>
        </row>
      </sheetData>
      <sheetData sheetId="26313"/>
      <sheetData sheetId="26314"/>
      <sheetData sheetId="26315">
        <row r="8">
          <cell r="A8" t="str">
            <v>1011-000</v>
          </cell>
        </row>
      </sheetData>
      <sheetData sheetId="26316"/>
      <sheetData sheetId="26317"/>
      <sheetData sheetId="26318"/>
      <sheetData sheetId="26319"/>
      <sheetData sheetId="26320"/>
      <sheetData sheetId="26321"/>
      <sheetData sheetId="26322"/>
      <sheetData sheetId="26323"/>
      <sheetData sheetId="26324">
        <row r="1">
          <cell r="A1" t="str">
            <v>DEPARTEMEN KEUANGAN REPUBLIK INDONESIA</v>
          </cell>
        </row>
      </sheetData>
      <sheetData sheetId="26325" refreshError="1"/>
      <sheetData sheetId="26326" refreshError="1"/>
      <sheetData sheetId="26327" refreshError="1"/>
      <sheetData sheetId="26328" refreshError="1"/>
      <sheetData sheetId="26329">
        <row r="9">
          <cell r="C9" t="str">
            <v>1.002.726.6-026</v>
          </cell>
        </row>
      </sheetData>
      <sheetData sheetId="26330">
        <row r="10">
          <cell r="C10" t="str">
            <v>01.132.922.4-611.000</v>
          </cell>
        </row>
      </sheetData>
      <sheetData sheetId="26331"/>
      <sheetData sheetId="26332"/>
      <sheetData sheetId="26333">
        <row r="8">
          <cell r="A8" t="str">
            <v>1011-000</v>
          </cell>
        </row>
      </sheetData>
      <sheetData sheetId="26334">
        <row r="2">
          <cell r="A2" t="str">
            <v>AXA QUARTERLY REPORTING
P&amp;C data base (1/2)</v>
          </cell>
        </row>
      </sheetData>
      <sheetData sheetId="26335">
        <row r="11">
          <cell r="C11" t="str">
            <v>01.957.310.4-026.000</v>
          </cell>
        </row>
      </sheetData>
      <sheetData sheetId="26336">
        <row r="12">
          <cell r="C12" t="str">
            <v>01.002.726.6-026.000</v>
          </cell>
        </row>
      </sheetData>
      <sheetData sheetId="26337">
        <row r="9">
          <cell r="C9" t="str">
            <v>01.310.774.3-015.000</v>
          </cell>
        </row>
      </sheetData>
      <sheetData sheetId="26338">
        <row r="35">
          <cell r="AE35">
            <v>0</v>
          </cell>
        </row>
      </sheetData>
      <sheetData sheetId="26339"/>
      <sheetData sheetId="26340"/>
      <sheetData sheetId="26341">
        <row r="12">
          <cell r="C12" t="str">
            <v>01.071.314.7-056.000</v>
          </cell>
        </row>
      </sheetData>
      <sheetData sheetId="26342">
        <row r="15">
          <cell r="C15" t="str">
            <v>01.067.835.7-054.000</v>
          </cell>
        </row>
      </sheetData>
      <sheetData sheetId="26343">
        <row r="18">
          <cell r="C18" t="str">
            <v>01.241.497.5-403.000</v>
          </cell>
        </row>
      </sheetData>
      <sheetData sheetId="26344"/>
      <sheetData sheetId="26345">
        <row r="12">
          <cell r="C12" t="str">
            <v>01.000.283.0.034.000</v>
          </cell>
        </row>
      </sheetData>
      <sheetData sheetId="26346"/>
      <sheetData sheetId="26347">
        <row r="32">
          <cell r="L32">
            <v>3302563638</v>
          </cell>
        </row>
      </sheetData>
      <sheetData sheetId="26348">
        <row r="7">
          <cell r="E7" t="str">
            <v>PT KARYA YASANTARA CAKTI</v>
          </cell>
        </row>
      </sheetData>
      <sheetData sheetId="26349">
        <row r="8">
          <cell r="A8" t="str">
            <v>1011-000</v>
          </cell>
        </row>
      </sheetData>
      <sheetData sheetId="26350">
        <row r="2">
          <cell r="A2" t="str">
            <v>AXA QUARTERLY REPORTING
P&amp;C data base (1/2)</v>
          </cell>
        </row>
      </sheetData>
      <sheetData sheetId="26351">
        <row r="7">
          <cell r="E7" t="str">
            <v>PT. Surya Siam Keramik</v>
          </cell>
        </row>
      </sheetData>
      <sheetData sheetId="26352">
        <row r="8">
          <cell r="A8" t="str">
            <v>1011-000</v>
          </cell>
        </row>
      </sheetData>
      <sheetData sheetId="26353">
        <row r="8">
          <cell r="A8" t="str">
            <v>1011-000</v>
          </cell>
        </row>
      </sheetData>
      <sheetData sheetId="26354">
        <row r="8">
          <cell r="A8" t="str">
            <v>1011-000</v>
          </cell>
        </row>
      </sheetData>
      <sheetData sheetId="26355" refreshError="1"/>
      <sheetData sheetId="26356" refreshError="1"/>
      <sheetData sheetId="26357"/>
      <sheetData sheetId="26358">
        <row r="5">
          <cell r="I5" t="str">
            <v>PT Mega Kemiraya</v>
          </cell>
        </row>
      </sheetData>
      <sheetData sheetId="26359">
        <row r="1">
          <cell r="A1" t="str">
            <v>NPWP</v>
          </cell>
        </row>
      </sheetData>
      <sheetData sheetId="26360">
        <row r="2">
          <cell r="F2" t="str">
            <v>Preliminary</v>
          </cell>
        </row>
      </sheetData>
      <sheetData sheetId="26361">
        <row r="5">
          <cell r="J5">
            <v>53000</v>
          </cell>
        </row>
      </sheetData>
      <sheetData sheetId="26362"/>
      <sheetData sheetId="26363" refreshError="1"/>
      <sheetData sheetId="26364">
        <row r="2">
          <cell r="A2" t="str">
            <v>AXA QUARTERLY REPORTING
P&amp;C data base (1/2)</v>
          </cell>
        </row>
      </sheetData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>
        <row r="19">
          <cell r="G19">
            <v>0.42</v>
          </cell>
        </row>
      </sheetData>
      <sheetData sheetId="26383"/>
      <sheetData sheetId="26384"/>
      <sheetData sheetId="26385"/>
      <sheetData sheetId="26386"/>
      <sheetData sheetId="26387"/>
      <sheetData sheetId="26388"/>
      <sheetData sheetId="26389">
        <row r="7">
          <cell r="C7" t="str">
            <v>receivables</v>
          </cell>
        </row>
      </sheetData>
      <sheetData sheetId="26390"/>
      <sheetData sheetId="26391">
        <row r="8">
          <cell r="A8" t="str">
            <v>1011-000</v>
          </cell>
        </row>
      </sheetData>
      <sheetData sheetId="26392">
        <row r="3">
          <cell r="E3">
            <v>2002</v>
          </cell>
        </row>
      </sheetData>
      <sheetData sheetId="26393">
        <row r="9">
          <cell r="C9" t="str">
            <v>01.562.308.5-028.000</v>
          </cell>
        </row>
      </sheetData>
      <sheetData sheetId="26394">
        <row r="13">
          <cell r="C13" t="str">
            <v>01.304.266.8-011.000</v>
          </cell>
        </row>
      </sheetData>
      <sheetData sheetId="26395">
        <row r="9">
          <cell r="C9" t="str">
            <v>01.562.308.5-028.000</v>
          </cell>
        </row>
      </sheetData>
      <sheetData sheetId="26396">
        <row r="5">
          <cell r="I5" t="str">
            <v>PT Mega Kemiraya</v>
          </cell>
        </row>
      </sheetData>
      <sheetData sheetId="26397">
        <row r="12">
          <cell r="C12" t="str">
            <v>01.000.283.0.034.000</v>
          </cell>
        </row>
      </sheetData>
      <sheetData sheetId="26398" refreshError="1"/>
      <sheetData sheetId="26399" refreshError="1"/>
      <sheetData sheetId="26400" refreshError="1"/>
      <sheetData sheetId="26401" refreshError="1"/>
      <sheetData sheetId="26402"/>
      <sheetData sheetId="26403"/>
      <sheetData sheetId="26404"/>
      <sheetData sheetId="26405"/>
      <sheetData sheetId="26406"/>
      <sheetData sheetId="26407"/>
      <sheetData sheetId="26408"/>
      <sheetData sheetId="26409">
        <row r="4">
          <cell r="I4">
            <v>0</v>
          </cell>
        </row>
      </sheetData>
      <sheetData sheetId="26410"/>
      <sheetData sheetId="26411"/>
      <sheetData sheetId="26412"/>
      <sheetData sheetId="26413">
        <row r="1">
          <cell r="A1" t="str">
            <v>KODE_TOKO</v>
          </cell>
        </row>
      </sheetData>
      <sheetData sheetId="26414"/>
      <sheetData sheetId="26415"/>
      <sheetData sheetId="26416">
        <row r="8">
          <cell r="A8" t="str">
            <v>1011-000</v>
          </cell>
        </row>
      </sheetData>
      <sheetData sheetId="26417"/>
      <sheetData sheetId="26418"/>
      <sheetData sheetId="26419"/>
      <sheetData sheetId="26420"/>
      <sheetData sheetId="26421">
        <row r="36">
          <cell r="E36">
            <v>0</v>
          </cell>
        </row>
      </sheetData>
      <sheetData sheetId="26422"/>
      <sheetData sheetId="26423"/>
      <sheetData sheetId="26424"/>
      <sheetData sheetId="26425"/>
      <sheetData sheetId="26426">
        <row r="19">
          <cell r="G19">
            <v>0.42</v>
          </cell>
        </row>
      </sheetData>
      <sheetData sheetId="26427">
        <row r="1">
          <cell r="A1" t="str">
            <v>KODE_TOKO</v>
          </cell>
        </row>
      </sheetData>
      <sheetData sheetId="26428"/>
      <sheetData sheetId="26429"/>
      <sheetData sheetId="26430"/>
      <sheetData sheetId="26431"/>
      <sheetData sheetId="26432"/>
      <sheetData sheetId="26433"/>
      <sheetData sheetId="26434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/>
      <sheetData sheetId="26454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/>
      <sheetData sheetId="26461">
        <row r="9">
          <cell r="C9" t="str">
            <v>1.309.323.2-054</v>
          </cell>
        </row>
      </sheetData>
      <sheetData sheetId="26462" refreshError="1"/>
      <sheetData sheetId="26463" refreshError="1"/>
      <sheetData sheetId="26464" refreshError="1"/>
      <sheetData sheetId="26465" refreshError="1"/>
      <sheetData sheetId="26466">
        <row r="32">
          <cell r="L32">
            <v>3302563638</v>
          </cell>
        </row>
      </sheetData>
      <sheetData sheetId="26467" refreshError="1"/>
      <sheetData sheetId="26468"/>
      <sheetData sheetId="26469" refreshError="1"/>
      <sheetData sheetId="26470"/>
      <sheetData sheetId="26471"/>
      <sheetData sheetId="26472">
        <row r="2">
          <cell r="A2" t="str">
            <v>AXA QUARTERLY REPORTING
P&amp;C data base (1/2)</v>
          </cell>
        </row>
      </sheetData>
      <sheetData sheetId="26473"/>
      <sheetData sheetId="26474"/>
      <sheetData sheetId="26475"/>
      <sheetData sheetId="26476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>
        <row r="8">
          <cell r="A8" t="str">
            <v>1011-000</v>
          </cell>
        </row>
      </sheetData>
      <sheetData sheetId="26496"/>
      <sheetData sheetId="26497" refreshError="1"/>
      <sheetData sheetId="26498"/>
      <sheetData sheetId="26499"/>
      <sheetData sheetId="26500" refreshError="1"/>
      <sheetData sheetId="26501" refreshError="1"/>
      <sheetData sheetId="26502" refreshError="1"/>
      <sheetData sheetId="26503" refreshError="1"/>
      <sheetData sheetId="26504"/>
      <sheetData sheetId="26505"/>
      <sheetData sheetId="26506"/>
      <sheetData sheetId="26507"/>
      <sheetData sheetId="26508"/>
      <sheetData sheetId="26509">
        <row r="7">
          <cell r="B7">
            <v>0</v>
          </cell>
        </row>
      </sheetData>
      <sheetData sheetId="26510"/>
      <sheetData sheetId="26511">
        <row r="8">
          <cell r="A8" t="str">
            <v>1011-000</v>
          </cell>
        </row>
      </sheetData>
      <sheetData sheetId="26512">
        <row r="12">
          <cell r="C12" t="str">
            <v>01.002.726.6-026.000</v>
          </cell>
        </row>
      </sheetData>
      <sheetData sheetId="26513"/>
      <sheetData sheetId="26514">
        <row r="8">
          <cell r="A8" t="str">
            <v>1011-000</v>
          </cell>
        </row>
      </sheetData>
      <sheetData sheetId="26515">
        <row r="8">
          <cell r="A8" t="str">
            <v>1011-000</v>
          </cell>
        </row>
      </sheetData>
      <sheetData sheetId="26516">
        <row r="32">
          <cell r="L32">
            <v>3302563638</v>
          </cell>
        </row>
      </sheetData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>
        <row r="8">
          <cell r="A8" t="str">
            <v>1011-000</v>
          </cell>
        </row>
      </sheetData>
      <sheetData sheetId="26540">
        <row r="8">
          <cell r="A8" t="str">
            <v>1011-000</v>
          </cell>
        </row>
      </sheetData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/>
      <sheetData sheetId="26552">
        <row r="1">
          <cell r="A1" t="str">
            <v>PT Samudera Shipping Services (PT SSS)</v>
          </cell>
        </row>
      </sheetData>
      <sheetData sheetId="26553" refreshError="1"/>
      <sheetData sheetId="26554">
        <row r="1">
          <cell r="A1" t="str">
            <v>PT Samudera Shipping Services (PT SSS)</v>
          </cell>
        </row>
      </sheetData>
      <sheetData sheetId="26555" refreshError="1"/>
      <sheetData sheetId="26556" refreshError="1"/>
      <sheetData sheetId="26557">
        <row r="1">
          <cell r="A1" t="str">
            <v>PT Samudera Shipping Services (PT SSS)</v>
          </cell>
        </row>
      </sheetData>
      <sheetData sheetId="26558">
        <row r="1">
          <cell r="A1" t="str">
            <v>PT Samudera Shipping Services (PT SSS)</v>
          </cell>
        </row>
      </sheetData>
      <sheetData sheetId="26559">
        <row r="1">
          <cell r="A1" t="str">
            <v>PT Samudera Shipping Services (PT SSS)</v>
          </cell>
        </row>
      </sheetData>
      <sheetData sheetId="26560">
        <row r="1">
          <cell r="A1" t="str">
            <v>PT Samudera Shipping Services (PT SSS)</v>
          </cell>
        </row>
      </sheetData>
      <sheetData sheetId="26561">
        <row r="1">
          <cell r="A1" t="str">
            <v>PT Samudera Shipping Services (PT SSS)</v>
          </cell>
        </row>
      </sheetData>
      <sheetData sheetId="26562">
        <row r="1">
          <cell r="A1" t="str">
            <v>PT Samudera Shipping Services (PT SSS)</v>
          </cell>
        </row>
      </sheetData>
      <sheetData sheetId="26563">
        <row r="1">
          <cell r="A1" t="str">
            <v>PT Samudera Shipping Services (PT SSS)</v>
          </cell>
        </row>
      </sheetData>
      <sheetData sheetId="26564">
        <row r="1">
          <cell r="A1" t="str">
            <v>PT Samudera Shipping Services (PT SSS)</v>
          </cell>
        </row>
      </sheetData>
      <sheetData sheetId="26565">
        <row r="1">
          <cell r="A1" t="str">
            <v>PT Samudera Shipping Services (PT SSS)</v>
          </cell>
        </row>
      </sheetData>
      <sheetData sheetId="26566">
        <row r="1">
          <cell r="A1" t="str">
            <v>PT Samudera Shipping Services (PT SSS)</v>
          </cell>
        </row>
      </sheetData>
      <sheetData sheetId="26567">
        <row r="1">
          <cell r="A1" t="str">
            <v>PT. GAWI BAHANDEP SAWIT MEKAR</v>
          </cell>
        </row>
      </sheetData>
      <sheetData sheetId="26568">
        <row r="1">
          <cell r="A1" t="str">
            <v>PT Samudera Shipping Services (PT SSS)</v>
          </cell>
        </row>
      </sheetData>
      <sheetData sheetId="26569">
        <row r="1">
          <cell r="A1" t="str">
            <v>PT Samudera Shipping Services (PT SSS)</v>
          </cell>
        </row>
      </sheetData>
      <sheetData sheetId="26570" refreshError="1"/>
      <sheetData sheetId="26571" refreshError="1"/>
      <sheetData sheetId="26572" refreshError="1"/>
      <sheetData sheetId="26573" refreshError="1"/>
      <sheetData sheetId="26574">
        <row r="1">
          <cell r="A1" t="str">
            <v>PT Samudera Shipping Services (PT SSS)</v>
          </cell>
        </row>
      </sheetData>
      <sheetData sheetId="26575">
        <row r="1">
          <cell r="A1" t="str">
            <v>PT Samudera Shipping Services (PT SSS)</v>
          </cell>
        </row>
      </sheetData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>
        <row r="8">
          <cell r="A8" t="str">
            <v>1011-000</v>
          </cell>
        </row>
      </sheetData>
      <sheetData sheetId="26597" refreshError="1"/>
      <sheetData sheetId="26598" refreshError="1"/>
      <sheetData sheetId="26599" refreshError="1"/>
      <sheetData sheetId="26600" refreshError="1"/>
      <sheetData sheetId="26601">
        <row r="3">
          <cell r="C3">
            <v>38291</v>
          </cell>
        </row>
      </sheetData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/>
      <sheetData sheetId="26620"/>
      <sheetData sheetId="26621"/>
      <sheetData sheetId="26622"/>
      <sheetData sheetId="26623"/>
      <sheetData sheetId="26624">
        <row r="15">
          <cell r="C15" t="str">
            <v>1.337.800.5-407</v>
          </cell>
        </row>
      </sheetData>
      <sheetData sheetId="26625">
        <row r="9">
          <cell r="C9" t="str">
            <v>1.309.323.2-054</v>
          </cell>
        </row>
      </sheetData>
      <sheetData sheetId="26626"/>
      <sheetData sheetId="26627"/>
      <sheetData sheetId="26628"/>
      <sheetData sheetId="26629">
        <row r="9">
          <cell r="C9" t="str">
            <v>1.002.726.6-026</v>
          </cell>
        </row>
      </sheetData>
      <sheetData sheetId="26630"/>
      <sheetData sheetId="26631"/>
      <sheetData sheetId="26632"/>
      <sheetData sheetId="26633"/>
      <sheetData sheetId="26634"/>
      <sheetData sheetId="26635" refreshError="1"/>
      <sheetData sheetId="26636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/>
      <sheetData sheetId="26673"/>
      <sheetData sheetId="26674"/>
      <sheetData sheetId="26675"/>
      <sheetData sheetId="26676">
        <row r="1">
          <cell r="A1" t="str">
            <v>DEPARTEMEN KEUANGAN REPUBLIK INDONESIA</v>
          </cell>
        </row>
      </sheetData>
      <sheetData sheetId="26677"/>
      <sheetData sheetId="26678"/>
      <sheetData sheetId="26679"/>
      <sheetData sheetId="26680"/>
      <sheetData sheetId="26681"/>
      <sheetData sheetId="26682">
        <row r="15">
          <cell r="C15" t="str">
            <v>1.337.800.5-407</v>
          </cell>
        </row>
      </sheetData>
      <sheetData sheetId="26683">
        <row r="8">
          <cell r="A8" t="str">
            <v>1011-000</v>
          </cell>
        </row>
      </sheetData>
      <sheetData sheetId="26684">
        <row r="7">
          <cell r="E7" t="str">
            <v>PT. Surya Siam Keramik</v>
          </cell>
        </row>
      </sheetData>
      <sheetData sheetId="26685">
        <row r="8">
          <cell r="A8" t="str">
            <v>1011-000</v>
          </cell>
        </row>
      </sheetData>
      <sheetData sheetId="26686">
        <row r="9">
          <cell r="C9" t="str">
            <v>1.002.726.6-026</v>
          </cell>
        </row>
      </sheetData>
      <sheetData sheetId="26687">
        <row r="7">
          <cell r="B7">
            <v>0</v>
          </cell>
        </row>
      </sheetData>
      <sheetData sheetId="26688">
        <row r="8">
          <cell r="A8" t="str">
            <v>1011-000</v>
          </cell>
        </row>
      </sheetData>
      <sheetData sheetId="26689">
        <row r="8">
          <cell r="A8" t="str">
            <v>1011-000</v>
          </cell>
        </row>
      </sheetData>
      <sheetData sheetId="26690">
        <row r="8">
          <cell r="A8" t="str">
            <v>1011-000</v>
          </cell>
        </row>
      </sheetData>
      <sheetData sheetId="26691"/>
      <sheetData sheetId="26692">
        <row r="8">
          <cell r="A8" t="str">
            <v>1011-000</v>
          </cell>
        </row>
      </sheetData>
      <sheetData sheetId="26693">
        <row r="8">
          <cell r="A8" t="str">
            <v>1011-000</v>
          </cell>
        </row>
      </sheetData>
      <sheetData sheetId="26694">
        <row r="32">
          <cell r="L32">
            <v>3302563638</v>
          </cell>
        </row>
      </sheetData>
      <sheetData sheetId="26695">
        <row r="9">
          <cell r="C9" t="str">
            <v>1.002.726.6-026</v>
          </cell>
        </row>
      </sheetData>
      <sheetData sheetId="26696"/>
      <sheetData sheetId="26697"/>
      <sheetData sheetId="26698"/>
      <sheetData sheetId="26699">
        <row r="7">
          <cell r="C7" t="str">
            <v>receivables</v>
          </cell>
        </row>
      </sheetData>
      <sheetData sheetId="26700">
        <row r="8">
          <cell r="A8" t="str">
            <v>1011-000</v>
          </cell>
        </row>
      </sheetData>
      <sheetData sheetId="26701">
        <row r="8">
          <cell r="A8" t="str">
            <v>1011-000</v>
          </cell>
        </row>
      </sheetData>
      <sheetData sheetId="26702">
        <row r="8">
          <cell r="A8" t="str">
            <v>1012-000</v>
          </cell>
        </row>
      </sheetData>
      <sheetData sheetId="26703">
        <row r="7">
          <cell r="D7" t="str">
            <v>PT CERES</v>
          </cell>
        </row>
      </sheetData>
      <sheetData sheetId="26704">
        <row r="8">
          <cell r="A8" t="str">
            <v>1011-000</v>
          </cell>
        </row>
      </sheetData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/>
      <sheetData sheetId="26908"/>
      <sheetData sheetId="26909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 refreshError="1"/>
      <sheetData sheetId="27022" refreshError="1"/>
      <sheetData sheetId="27023" refreshError="1"/>
      <sheetData sheetId="27024" refreshError="1"/>
      <sheetData sheetId="27025" refreshError="1"/>
      <sheetData sheetId="27026" refreshError="1"/>
      <sheetData sheetId="27027" refreshError="1"/>
      <sheetData sheetId="27028" refreshError="1"/>
      <sheetData sheetId="27029" refreshError="1"/>
      <sheetData sheetId="27030" refreshError="1"/>
      <sheetData sheetId="27031" refreshError="1"/>
      <sheetData sheetId="27032" refreshError="1"/>
      <sheetData sheetId="27033" refreshError="1"/>
      <sheetData sheetId="27034" refreshError="1"/>
      <sheetData sheetId="27035" refreshError="1"/>
      <sheetData sheetId="27036" refreshError="1"/>
      <sheetData sheetId="27037" refreshError="1"/>
      <sheetData sheetId="27038" refreshError="1"/>
      <sheetData sheetId="27039" refreshError="1"/>
      <sheetData sheetId="27040" refreshError="1"/>
      <sheetData sheetId="27041" refreshError="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 refreshError="1"/>
      <sheetData sheetId="27083" refreshError="1"/>
      <sheetData sheetId="27084" refreshError="1"/>
      <sheetData sheetId="27085" refreshError="1"/>
      <sheetData sheetId="27086" refreshError="1"/>
      <sheetData sheetId="27087" refreshError="1"/>
      <sheetData sheetId="27088" refreshError="1"/>
      <sheetData sheetId="27089" refreshError="1"/>
      <sheetData sheetId="27090" refreshError="1"/>
      <sheetData sheetId="27091" refreshError="1"/>
      <sheetData sheetId="27092" refreshError="1"/>
      <sheetData sheetId="27093" refreshError="1"/>
      <sheetData sheetId="27094" refreshError="1"/>
      <sheetData sheetId="27095" refreshError="1"/>
      <sheetData sheetId="27096" refreshError="1"/>
      <sheetData sheetId="27097" refreshError="1"/>
      <sheetData sheetId="27098" refreshError="1"/>
      <sheetData sheetId="27099" refreshError="1"/>
      <sheetData sheetId="27100" refreshError="1"/>
      <sheetData sheetId="27101" refreshError="1"/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 refreshError="1"/>
      <sheetData sheetId="27143" refreshError="1"/>
      <sheetData sheetId="27144" refreshError="1"/>
      <sheetData sheetId="27145" refreshError="1"/>
      <sheetData sheetId="27146" refreshError="1"/>
      <sheetData sheetId="27147" refreshError="1"/>
      <sheetData sheetId="27148" refreshError="1"/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 refreshError="1"/>
      <sheetData sheetId="27170" refreshError="1"/>
      <sheetData sheetId="27171" refreshError="1"/>
      <sheetData sheetId="27172"/>
      <sheetData sheetId="27173" refreshError="1"/>
      <sheetData sheetId="27174" refreshError="1"/>
      <sheetData sheetId="27175" refreshError="1"/>
      <sheetData sheetId="27176" refreshError="1"/>
      <sheetData sheetId="27177"/>
      <sheetData sheetId="27178"/>
      <sheetData sheetId="27179"/>
      <sheetData sheetId="27180"/>
      <sheetData sheetId="27181"/>
      <sheetData sheetId="27182"/>
      <sheetData sheetId="27183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 refreshError="1"/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 refreshError="1"/>
      <sheetData sheetId="27200"/>
      <sheetData sheetId="27201" refreshError="1"/>
      <sheetData sheetId="27202" refreshError="1"/>
      <sheetData sheetId="27203" refreshError="1"/>
      <sheetData sheetId="27204" refreshError="1"/>
      <sheetData sheetId="27205" refreshError="1"/>
      <sheetData sheetId="27206" refreshError="1"/>
      <sheetData sheetId="27207" refreshError="1"/>
      <sheetData sheetId="27208" refreshError="1"/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/>
      <sheetData sheetId="27231" refreshError="1"/>
      <sheetData sheetId="27232" refreshError="1"/>
      <sheetData sheetId="27233" refreshError="1"/>
      <sheetData sheetId="27234" refreshError="1"/>
      <sheetData sheetId="27235" refreshError="1"/>
      <sheetData sheetId="27236" refreshError="1"/>
      <sheetData sheetId="27237" refreshError="1"/>
      <sheetData sheetId="27238" refreshError="1"/>
      <sheetData sheetId="27239" refreshError="1"/>
      <sheetData sheetId="27240" refreshError="1"/>
      <sheetData sheetId="27241" refreshError="1"/>
      <sheetData sheetId="27242" refreshError="1"/>
      <sheetData sheetId="27243" refreshError="1"/>
      <sheetData sheetId="27244"/>
      <sheetData sheetId="27245" refreshError="1"/>
      <sheetData sheetId="27246" refreshError="1"/>
      <sheetData sheetId="27247" refreshError="1"/>
      <sheetData sheetId="27248" refreshError="1"/>
      <sheetData sheetId="27249" refreshError="1"/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 refreshError="1"/>
      <sheetData sheetId="27257" refreshError="1"/>
      <sheetData sheetId="27258" refreshError="1"/>
      <sheetData sheetId="27259" refreshError="1"/>
      <sheetData sheetId="27260" refreshError="1"/>
      <sheetData sheetId="27261" refreshError="1"/>
      <sheetData sheetId="27262" refreshError="1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>
        <row r="10">
          <cell r="G10">
            <v>1537500000</v>
          </cell>
        </row>
      </sheetData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>
        <row r="8">
          <cell r="F8">
            <v>526124.52500000002</v>
          </cell>
        </row>
      </sheetData>
      <sheetData sheetId="27294"/>
      <sheetData sheetId="27295" refreshError="1"/>
      <sheetData sheetId="27296" refreshError="1"/>
      <sheetData sheetId="27297" refreshError="1"/>
      <sheetData sheetId="27298" refreshError="1"/>
      <sheetData sheetId="27299" refreshError="1"/>
      <sheetData sheetId="27300" refreshError="1"/>
      <sheetData sheetId="27301" refreshError="1"/>
      <sheetData sheetId="27302" refreshError="1"/>
      <sheetData sheetId="27303" refreshError="1"/>
      <sheetData sheetId="27304" refreshError="1"/>
      <sheetData sheetId="27305" refreshError="1"/>
      <sheetData sheetId="27306" refreshError="1"/>
      <sheetData sheetId="27307" refreshError="1"/>
      <sheetData sheetId="27308" refreshError="1"/>
      <sheetData sheetId="27309" refreshError="1"/>
      <sheetData sheetId="27310" refreshError="1"/>
      <sheetData sheetId="27311" refreshError="1"/>
      <sheetData sheetId="27312" refreshError="1"/>
      <sheetData sheetId="27313" refreshError="1"/>
      <sheetData sheetId="27314" refreshError="1"/>
      <sheetData sheetId="27315"/>
      <sheetData sheetId="27316" refreshError="1"/>
      <sheetData sheetId="27317">
        <row r="55">
          <cell r="H55" t="str">
            <v>WILLY BUDIONO</v>
          </cell>
        </row>
      </sheetData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 refreshError="1"/>
      <sheetData sheetId="27595" refreshError="1"/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 refreshError="1"/>
      <sheetData sheetId="27603" refreshError="1"/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 refreshError="1"/>
      <sheetData sheetId="27654" refreshError="1"/>
      <sheetData sheetId="27655" refreshError="1"/>
      <sheetData sheetId="27656" refreshError="1"/>
      <sheetData sheetId="27657" refreshError="1"/>
      <sheetData sheetId="27658" refreshError="1"/>
      <sheetData sheetId="27659" refreshError="1"/>
      <sheetData sheetId="27660" refreshError="1"/>
      <sheetData sheetId="27661" refreshError="1"/>
      <sheetData sheetId="27662" refreshError="1"/>
      <sheetData sheetId="27663" refreshError="1"/>
      <sheetData sheetId="27664" refreshError="1"/>
      <sheetData sheetId="27665" refreshError="1"/>
      <sheetData sheetId="27666" refreshError="1"/>
      <sheetData sheetId="27667" refreshError="1"/>
      <sheetData sheetId="27668" refreshError="1"/>
      <sheetData sheetId="27669" refreshError="1"/>
      <sheetData sheetId="27670" refreshError="1"/>
      <sheetData sheetId="27671" refreshError="1"/>
      <sheetData sheetId="27672" refreshError="1"/>
      <sheetData sheetId="27673" refreshError="1"/>
      <sheetData sheetId="27674" refreshError="1"/>
      <sheetData sheetId="27675" refreshError="1"/>
      <sheetData sheetId="27676" refreshError="1"/>
      <sheetData sheetId="27677" refreshError="1"/>
      <sheetData sheetId="27678" refreshError="1"/>
      <sheetData sheetId="27679" refreshError="1"/>
      <sheetData sheetId="27680" refreshError="1"/>
      <sheetData sheetId="27681" refreshError="1"/>
      <sheetData sheetId="27682" refreshError="1"/>
      <sheetData sheetId="27683" refreshError="1"/>
      <sheetData sheetId="27684" refreshError="1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 refreshError="1"/>
      <sheetData sheetId="27810" refreshError="1"/>
      <sheetData sheetId="27811" refreshError="1"/>
      <sheetData sheetId="27812" refreshError="1"/>
      <sheetData sheetId="27813" refreshError="1"/>
      <sheetData sheetId="27814" refreshError="1"/>
      <sheetData sheetId="27815" refreshError="1"/>
      <sheetData sheetId="27816" refreshError="1"/>
      <sheetData sheetId="27817" refreshError="1"/>
      <sheetData sheetId="27818" refreshError="1"/>
      <sheetData sheetId="27819" refreshError="1"/>
      <sheetData sheetId="27820" refreshError="1"/>
      <sheetData sheetId="27821" refreshError="1"/>
      <sheetData sheetId="27822" refreshError="1"/>
      <sheetData sheetId="27823" refreshError="1"/>
      <sheetData sheetId="27824" refreshError="1"/>
      <sheetData sheetId="27825" refreshError="1"/>
      <sheetData sheetId="27826" refreshError="1"/>
      <sheetData sheetId="27827" refreshError="1"/>
      <sheetData sheetId="27828" refreshError="1"/>
      <sheetData sheetId="27829" refreshError="1"/>
      <sheetData sheetId="27830" refreshError="1"/>
      <sheetData sheetId="27831" refreshError="1"/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 refreshError="1"/>
      <sheetData sheetId="27855" refreshError="1"/>
      <sheetData sheetId="27856" refreshError="1"/>
      <sheetData sheetId="27857" refreshError="1"/>
      <sheetData sheetId="27858" refreshError="1"/>
      <sheetData sheetId="27859" refreshError="1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 refreshError="1"/>
      <sheetData sheetId="27947" refreshError="1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>
        <row r="2">
          <cell r="A2" t="str">
            <v>-</v>
          </cell>
        </row>
      </sheetData>
      <sheetData sheetId="28191"/>
      <sheetData sheetId="28192">
        <row r="2">
          <cell r="A2" t="str">
            <v>Abang</v>
          </cell>
        </row>
      </sheetData>
      <sheetData sheetId="28193">
        <row r="2">
          <cell r="A2" t="str">
            <v>Administrasi Loan</v>
          </cell>
        </row>
      </sheetData>
      <sheetData sheetId="28194" refreshError="1"/>
      <sheetData sheetId="28195">
        <row r="2">
          <cell r="A2" t="str">
            <v>-</v>
          </cell>
        </row>
      </sheetData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/>
      <sheetData sheetId="28223"/>
      <sheetData sheetId="28224">
        <row r="2">
          <cell r="A2" t="str">
            <v>-</v>
          </cell>
        </row>
      </sheetData>
      <sheetData sheetId="28225">
        <row r="2">
          <cell r="A2" t="str">
            <v>-</v>
          </cell>
        </row>
      </sheetData>
      <sheetData sheetId="28226">
        <row r="2">
          <cell r="A2" t="str">
            <v>Abang</v>
          </cell>
        </row>
      </sheetData>
      <sheetData sheetId="28227">
        <row r="2">
          <cell r="A2" t="str">
            <v>Astinet (port)</v>
          </cell>
        </row>
      </sheetData>
      <sheetData sheetId="28228"/>
      <sheetData sheetId="28229"/>
      <sheetData sheetId="28230">
        <row r="2">
          <cell r="A2" t="str">
            <v>-</v>
          </cell>
        </row>
      </sheetData>
      <sheetData sheetId="28231"/>
      <sheetData sheetId="28232"/>
      <sheetData sheetId="28233">
        <row r="2">
          <cell r="A2" t="str">
            <v>-</v>
          </cell>
        </row>
      </sheetData>
      <sheetData sheetId="28234">
        <row r="2">
          <cell r="A2" t="str">
            <v>Abang</v>
          </cell>
        </row>
      </sheetData>
      <sheetData sheetId="28235">
        <row r="2">
          <cell r="A2" t="str">
            <v>Administrasi Loan</v>
          </cell>
        </row>
      </sheetData>
      <sheetData sheetId="28236">
        <row r="2">
          <cell r="A2" t="str">
            <v>Administrasi Loan</v>
          </cell>
        </row>
      </sheetData>
      <sheetData sheetId="28237">
        <row r="2">
          <cell r="A2" t="str">
            <v>Astinet (port)</v>
          </cell>
        </row>
      </sheetData>
      <sheetData sheetId="28238"/>
      <sheetData sheetId="28239"/>
      <sheetData sheetId="28240">
        <row r="2">
          <cell r="A2" t="str">
            <v>-</v>
          </cell>
        </row>
      </sheetData>
      <sheetData sheetId="28241"/>
      <sheetData sheetId="28242"/>
      <sheetData sheetId="28243">
        <row r="2">
          <cell r="A2" t="str">
            <v>-</v>
          </cell>
        </row>
      </sheetData>
      <sheetData sheetId="28244"/>
      <sheetData sheetId="28245">
        <row r="2">
          <cell r="A2" t="str">
            <v>20 K</v>
          </cell>
        </row>
      </sheetData>
      <sheetData sheetId="28246"/>
      <sheetData sheetId="28247">
        <row r="2">
          <cell r="A2" t="str">
            <v>Astinet (port)</v>
          </cell>
        </row>
      </sheetData>
      <sheetData sheetId="28248"/>
      <sheetData sheetId="28249"/>
      <sheetData sheetId="28250"/>
      <sheetData sheetId="28251"/>
      <sheetData sheetId="28252"/>
      <sheetData sheetId="28253" refreshError="1"/>
      <sheetData sheetId="28254" refreshError="1"/>
      <sheetData sheetId="28255">
        <row r="54">
          <cell r="G54">
            <v>2498511</v>
          </cell>
        </row>
      </sheetData>
      <sheetData sheetId="28256">
        <row r="54">
          <cell r="G54">
            <v>2498511</v>
          </cell>
        </row>
      </sheetData>
      <sheetData sheetId="28257"/>
      <sheetData sheetId="28258"/>
      <sheetData sheetId="28259"/>
      <sheetData sheetId="28260"/>
      <sheetData sheetId="28261">
        <row r="54">
          <cell r="G54">
            <v>2498511</v>
          </cell>
        </row>
      </sheetData>
      <sheetData sheetId="28262" refreshError="1"/>
      <sheetData sheetId="28263" refreshError="1"/>
      <sheetData sheetId="28264">
        <row r="330">
          <cell r="F330">
            <v>72035274125.529984</v>
          </cell>
        </row>
      </sheetData>
      <sheetData sheetId="28265">
        <row r="88">
          <cell r="F88">
            <v>10950133849.5</v>
          </cell>
        </row>
      </sheetData>
      <sheetData sheetId="28266">
        <row r="334">
          <cell r="F334">
            <v>17713418621.779999</v>
          </cell>
        </row>
      </sheetData>
      <sheetData sheetId="28267">
        <row r="911">
          <cell r="F911">
            <v>172968184109.72998</v>
          </cell>
        </row>
      </sheetData>
      <sheetData sheetId="28268">
        <row r="1162">
          <cell r="F1162">
            <v>38858389571.040001</v>
          </cell>
        </row>
      </sheetData>
      <sheetData sheetId="28269">
        <row r="231">
          <cell r="F231">
            <v>16244990323</v>
          </cell>
        </row>
      </sheetData>
      <sheetData sheetId="28270">
        <row r="93">
          <cell r="F93">
            <v>360160525</v>
          </cell>
        </row>
      </sheetData>
      <sheetData sheetId="28271">
        <row r="2044">
          <cell r="F2044">
            <v>26133193252.020008</v>
          </cell>
        </row>
      </sheetData>
      <sheetData sheetId="28272" refreshError="1"/>
      <sheetData sheetId="28273" refreshError="1"/>
      <sheetData sheetId="28274" refreshError="1"/>
      <sheetData sheetId="28275" refreshError="1"/>
      <sheetData sheetId="28276" refreshError="1"/>
      <sheetData sheetId="28277" refreshError="1"/>
      <sheetData sheetId="28278" refreshError="1"/>
      <sheetData sheetId="28279">
        <row r="2">
          <cell r="A2" t="str">
            <v>Astinet (port)</v>
          </cell>
        </row>
      </sheetData>
      <sheetData sheetId="28280"/>
      <sheetData sheetId="28281"/>
      <sheetData sheetId="28282">
        <row r="2">
          <cell r="A2" t="str">
            <v>-</v>
          </cell>
        </row>
      </sheetData>
      <sheetData sheetId="28283">
        <row r="2">
          <cell r="A2" t="str">
            <v>-</v>
          </cell>
        </row>
      </sheetData>
      <sheetData sheetId="28284">
        <row r="2">
          <cell r="A2" t="str">
            <v>Abang</v>
          </cell>
        </row>
      </sheetData>
      <sheetData sheetId="28285">
        <row r="2">
          <cell r="A2" t="str">
            <v>Administrasi Loan</v>
          </cell>
        </row>
      </sheetData>
      <sheetData sheetId="28286">
        <row r="2">
          <cell r="A2" t="str">
            <v>Astinet (port)</v>
          </cell>
        </row>
      </sheetData>
      <sheetData sheetId="28287"/>
      <sheetData sheetId="28288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 refreshError="1"/>
      <sheetData sheetId="28297" refreshError="1"/>
      <sheetData sheetId="28298" refreshError="1"/>
      <sheetData sheetId="28299" refreshError="1"/>
      <sheetData sheetId="28300" refreshError="1"/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 refreshError="1"/>
      <sheetData sheetId="28309" refreshError="1"/>
      <sheetData sheetId="28310" refreshError="1"/>
      <sheetData sheetId="28311" refreshError="1"/>
      <sheetData sheetId="28312" refreshError="1"/>
      <sheetData sheetId="28313" refreshError="1"/>
      <sheetData sheetId="28314" refreshError="1"/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 refreshError="1"/>
      <sheetData sheetId="28322" refreshError="1"/>
      <sheetData sheetId="28323" refreshError="1"/>
      <sheetData sheetId="28324" refreshError="1"/>
      <sheetData sheetId="28325" refreshError="1"/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 refreshError="1"/>
      <sheetData sheetId="28356" refreshError="1"/>
      <sheetData sheetId="28357" refreshError="1"/>
      <sheetData sheetId="28358" refreshError="1"/>
      <sheetData sheetId="28359" refreshError="1"/>
      <sheetData sheetId="28360" refreshError="1"/>
      <sheetData sheetId="28361" refreshError="1"/>
      <sheetData sheetId="28362" refreshError="1"/>
      <sheetData sheetId="28363" refreshError="1"/>
      <sheetData sheetId="28364" refreshError="1"/>
      <sheetData sheetId="28365" refreshError="1"/>
      <sheetData sheetId="28366" refreshError="1"/>
      <sheetData sheetId="28367" refreshError="1"/>
      <sheetData sheetId="28368" refreshError="1"/>
      <sheetData sheetId="28369" refreshError="1"/>
      <sheetData sheetId="28370" refreshError="1"/>
      <sheetData sheetId="28371" refreshError="1"/>
      <sheetData sheetId="28372" refreshError="1"/>
      <sheetData sheetId="28373" refreshError="1"/>
      <sheetData sheetId="28374" refreshError="1"/>
      <sheetData sheetId="28375" refreshError="1"/>
      <sheetData sheetId="28376" refreshError="1"/>
      <sheetData sheetId="28377" refreshError="1"/>
      <sheetData sheetId="28378" refreshError="1"/>
      <sheetData sheetId="28379" refreshError="1"/>
      <sheetData sheetId="28380" refreshError="1"/>
      <sheetData sheetId="28381" refreshError="1"/>
      <sheetData sheetId="28382" refreshError="1"/>
      <sheetData sheetId="28383" refreshError="1"/>
      <sheetData sheetId="28384" refreshError="1"/>
      <sheetData sheetId="28385" refreshError="1"/>
      <sheetData sheetId="28386" refreshError="1"/>
      <sheetData sheetId="28387" refreshError="1"/>
      <sheetData sheetId="28388" refreshError="1"/>
      <sheetData sheetId="28389" refreshError="1"/>
      <sheetData sheetId="28390" refreshError="1"/>
      <sheetData sheetId="28391" refreshError="1"/>
      <sheetData sheetId="28392" refreshError="1"/>
      <sheetData sheetId="28393" refreshError="1"/>
      <sheetData sheetId="28394" refreshError="1"/>
      <sheetData sheetId="28395" refreshError="1"/>
      <sheetData sheetId="28396" refreshError="1"/>
      <sheetData sheetId="28397" refreshError="1"/>
      <sheetData sheetId="28398" refreshError="1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 refreshError="1"/>
      <sheetData sheetId="28525" refreshError="1"/>
      <sheetData sheetId="28526" refreshError="1"/>
      <sheetData sheetId="28527" refreshError="1"/>
      <sheetData sheetId="28528" refreshError="1"/>
      <sheetData sheetId="28529" refreshError="1"/>
      <sheetData sheetId="28530" refreshError="1"/>
      <sheetData sheetId="28531" refreshError="1"/>
      <sheetData sheetId="28532" refreshError="1"/>
      <sheetData sheetId="28533" refreshError="1"/>
      <sheetData sheetId="28534" refreshError="1"/>
      <sheetData sheetId="28535" refreshError="1"/>
      <sheetData sheetId="28536" refreshError="1"/>
      <sheetData sheetId="28537" refreshError="1"/>
      <sheetData sheetId="28538" refreshError="1"/>
      <sheetData sheetId="28539" refreshError="1"/>
      <sheetData sheetId="28540" refreshError="1"/>
      <sheetData sheetId="28541" refreshError="1"/>
      <sheetData sheetId="28542" refreshError="1"/>
      <sheetData sheetId="28543" refreshError="1"/>
      <sheetData sheetId="28544" refreshError="1"/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/>
      <sheetData sheetId="28578"/>
      <sheetData sheetId="28579"/>
      <sheetData sheetId="28580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 refreshError="1"/>
      <sheetData sheetId="28596" refreshError="1"/>
      <sheetData sheetId="28597" refreshError="1"/>
      <sheetData sheetId="28598" refreshError="1"/>
      <sheetData sheetId="28599" refreshError="1"/>
      <sheetData sheetId="28600" refreshError="1"/>
      <sheetData sheetId="28601" refreshError="1"/>
      <sheetData sheetId="28602" refreshError="1"/>
      <sheetData sheetId="28603" refreshError="1"/>
      <sheetData sheetId="28604"/>
      <sheetData sheetId="28605" refreshError="1"/>
      <sheetData sheetId="28606" refreshError="1"/>
      <sheetData sheetId="28607" refreshError="1"/>
      <sheetData sheetId="28608" refreshError="1"/>
      <sheetData sheetId="28609"/>
      <sheetData sheetId="28610"/>
      <sheetData sheetId="28611"/>
      <sheetData sheetId="28612"/>
      <sheetData sheetId="28613"/>
      <sheetData sheetId="28614" refreshError="1"/>
      <sheetData sheetId="28615" refreshError="1"/>
      <sheetData sheetId="28616">
        <row r="4">
          <cell r="A4">
            <v>1</v>
          </cell>
        </row>
      </sheetData>
      <sheetData sheetId="28617" refreshError="1"/>
      <sheetData sheetId="28618">
        <row r="10">
          <cell r="A10" t="str">
            <v>Production (Lbs.) - Net</v>
          </cell>
        </row>
      </sheetData>
      <sheetData sheetId="28619"/>
      <sheetData sheetId="28620">
        <row r="4">
          <cell r="A4">
            <v>1</v>
          </cell>
        </row>
      </sheetData>
      <sheetData sheetId="28621" refreshError="1"/>
      <sheetData sheetId="28622"/>
      <sheetData sheetId="28623"/>
      <sheetData sheetId="28624"/>
      <sheetData sheetId="28625"/>
      <sheetData sheetId="28626" refreshError="1"/>
      <sheetData sheetId="28627"/>
      <sheetData sheetId="28628"/>
      <sheetData sheetId="28629" refreshError="1"/>
      <sheetData sheetId="28630"/>
      <sheetData sheetId="28631"/>
      <sheetData sheetId="28632"/>
      <sheetData sheetId="28633"/>
      <sheetData sheetId="28634"/>
      <sheetData sheetId="28635"/>
      <sheetData sheetId="28636"/>
      <sheetData sheetId="28637"/>
      <sheetData sheetId="28638"/>
      <sheetData sheetId="28639"/>
      <sheetData sheetId="28640"/>
      <sheetData sheetId="28641"/>
      <sheetData sheetId="28642"/>
      <sheetData sheetId="28643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>
        <row r="28">
          <cell r="O28">
            <v>201431336772</v>
          </cell>
        </row>
      </sheetData>
      <sheetData sheetId="28652"/>
      <sheetData sheetId="28653">
        <row r="2">
          <cell r="A2" t="str">
            <v>Acc</v>
          </cell>
        </row>
      </sheetData>
      <sheetData sheetId="28654"/>
      <sheetData sheetId="28655"/>
      <sheetData sheetId="28656">
        <row r="1">
          <cell r="A1" t="str">
            <v>Acct</v>
          </cell>
        </row>
      </sheetData>
      <sheetData sheetId="28657" refreshError="1"/>
      <sheetData sheetId="28658" refreshError="1"/>
      <sheetData sheetId="28659" refreshError="1"/>
      <sheetData sheetId="28660"/>
      <sheetData sheetId="28661" refreshError="1"/>
      <sheetData sheetId="28662" refreshError="1"/>
      <sheetData sheetId="28663" refreshError="1"/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 refreshError="1"/>
      <sheetData sheetId="28673" refreshError="1"/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 refreshError="1"/>
      <sheetData sheetId="28732" refreshError="1"/>
      <sheetData sheetId="28733" refreshError="1"/>
      <sheetData sheetId="28734" refreshError="1"/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 refreshError="1"/>
      <sheetData sheetId="28807" refreshError="1"/>
      <sheetData sheetId="28808" refreshError="1"/>
      <sheetData sheetId="28809" refreshError="1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/>
      <sheetData sheetId="28879"/>
      <sheetData sheetId="28880"/>
      <sheetData sheetId="28881"/>
      <sheetData sheetId="28882"/>
      <sheetData sheetId="28883">
        <row r="16">
          <cell r="C16" t="str">
            <v>SUN</v>
          </cell>
        </row>
      </sheetData>
      <sheetData sheetId="28884" refreshError="1"/>
      <sheetData sheetId="28885"/>
      <sheetData sheetId="28886" refreshError="1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/>
      <sheetData sheetId="28918"/>
      <sheetData sheetId="28919"/>
      <sheetData sheetId="28920"/>
      <sheetData sheetId="28921"/>
      <sheetData sheetId="28922"/>
      <sheetData sheetId="28923"/>
      <sheetData sheetId="28924"/>
      <sheetData sheetId="28925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>
        <row r="1">
          <cell r="C1" t="str">
            <v>Kode</v>
          </cell>
        </row>
      </sheetData>
      <sheetData sheetId="28995">
        <row r="1">
          <cell r="A1" t="str">
            <v>NPWP</v>
          </cell>
        </row>
      </sheetData>
      <sheetData sheetId="28996"/>
      <sheetData sheetId="28997" refreshError="1"/>
      <sheetData sheetId="28998" refreshError="1"/>
      <sheetData sheetId="28999" refreshError="1"/>
      <sheetData sheetId="29000" refreshError="1"/>
      <sheetData sheetId="29001" refreshError="1"/>
      <sheetData sheetId="29002" refreshError="1"/>
      <sheetData sheetId="29003" refreshError="1"/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 refreshError="1"/>
      <sheetData sheetId="29011" refreshError="1"/>
      <sheetData sheetId="29012" refreshError="1"/>
      <sheetData sheetId="29013" refreshError="1"/>
      <sheetData sheetId="29014" refreshError="1"/>
      <sheetData sheetId="29015" refreshError="1"/>
      <sheetData sheetId="29016" refreshError="1"/>
      <sheetData sheetId="29017" refreshError="1"/>
      <sheetData sheetId="29018" refreshError="1"/>
      <sheetData sheetId="29019" refreshError="1"/>
      <sheetData sheetId="29020" refreshError="1"/>
      <sheetData sheetId="29021" refreshError="1"/>
      <sheetData sheetId="29022" refreshError="1"/>
      <sheetData sheetId="29023" refreshError="1"/>
      <sheetData sheetId="29024"/>
      <sheetData sheetId="29025" refreshError="1"/>
      <sheetData sheetId="29026" refreshError="1"/>
      <sheetData sheetId="29027" refreshError="1"/>
      <sheetData sheetId="29028"/>
      <sheetData sheetId="29029"/>
      <sheetData sheetId="29030" refreshError="1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>
        <row r="3">
          <cell r="M3" t="str">
            <v>- 2 -</v>
          </cell>
        </row>
      </sheetData>
      <sheetData sheetId="29040"/>
      <sheetData sheetId="29041"/>
      <sheetData sheetId="29042">
        <row r="1">
          <cell r="B1" t="str">
            <v>Jan</v>
          </cell>
        </row>
      </sheetData>
      <sheetData sheetId="29043">
        <row r="59">
          <cell r="AG59">
            <v>38077</v>
          </cell>
        </row>
      </sheetData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>
        <row r="16">
          <cell r="T16" t="str">
            <v>Konsultan</v>
          </cell>
        </row>
      </sheetData>
      <sheetData sheetId="29053">
        <row r="28">
          <cell r="O28">
            <v>23625000</v>
          </cell>
        </row>
      </sheetData>
      <sheetData sheetId="29054">
        <row r="45">
          <cell r="O45">
            <v>14000000000</v>
          </cell>
        </row>
      </sheetData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/>
      <sheetData sheetId="29085"/>
      <sheetData sheetId="29086"/>
      <sheetData sheetId="29087"/>
      <sheetData sheetId="29088"/>
      <sheetData sheetId="29089"/>
      <sheetData sheetId="29090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/>
      <sheetData sheetId="29120"/>
      <sheetData sheetId="29121"/>
      <sheetData sheetId="29122"/>
      <sheetData sheetId="29123"/>
      <sheetData sheetId="29124"/>
      <sheetData sheetId="29125"/>
      <sheetData sheetId="29126"/>
      <sheetData sheetId="29127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 refreshError="1"/>
      <sheetData sheetId="29153" refreshError="1"/>
      <sheetData sheetId="29154" refreshError="1"/>
      <sheetData sheetId="29155" refreshError="1"/>
      <sheetData sheetId="29156" refreshError="1"/>
      <sheetData sheetId="29157" refreshError="1"/>
      <sheetData sheetId="29158" refreshError="1"/>
      <sheetData sheetId="29159" refreshError="1"/>
      <sheetData sheetId="29160" refreshError="1"/>
      <sheetData sheetId="29161" refreshError="1"/>
      <sheetData sheetId="29162" refreshError="1"/>
      <sheetData sheetId="29163" refreshError="1"/>
      <sheetData sheetId="29164" refreshError="1"/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/>
      <sheetData sheetId="29234"/>
      <sheetData sheetId="29235"/>
      <sheetData sheetId="29236"/>
      <sheetData sheetId="29237"/>
      <sheetData sheetId="29238"/>
      <sheetData sheetId="29239"/>
      <sheetData sheetId="29240"/>
      <sheetData sheetId="2924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/>
      <sheetData sheetId="29248"/>
      <sheetData sheetId="29249"/>
      <sheetData sheetId="29250"/>
      <sheetData sheetId="29251"/>
      <sheetData sheetId="29252"/>
      <sheetData sheetId="29253">
        <row r="4">
          <cell r="G4">
            <v>305</v>
          </cell>
        </row>
      </sheetData>
      <sheetData sheetId="29254"/>
      <sheetData sheetId="29255"/>
      <sheetData sheetId="29256"/>
      <sheetData sheetId="29257"/>
      <sheetData sheetId="29258" refreshError="1"/>
      <sheetData sheetId="29259" refreshError="1"/>
      <sheetData sheetId="29260"/>
      <sheetData sheetId="29261"/>
      <sheetData sheetId="29262"/>
      <sheetData sheetId="29263"/>
      <sheetData sheetId="29264"/>
      <sheetData sheetId="29265"/>
      <sheetData sheetId="29266"/>
      <sheetData sheetId="29267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 refreshError="1"/>
      <sheetData sheetId="29284" refreshError="1"/>
      <sheetData sheetId="29285" refreshError="1"/>
      <sheetData sheetId="29286"/>
      <sheetData sheetId="29287"/>
      <sheetData sheetId="29288" refreshError="1"/>
      <sheetData sheetId="29289"/>
      <sheetData sheetId="29290" refreshError="1"/>
      <sheetData sheetId="29291"/>
      <sheetData sheetId="29292" refreshError="1"/>
      <sheetData sheetId="29293"/>
      <sheetData sheetId="29294" refreshError="1"/>
      <sheetData sheetId="29295" refreshError="1"/>
      <sheetData sheetId="29296" refreshError="1"/>
      <sheetData sheetId="29297" refreshError="1"/>
      <sheetData sheetId="29298" refreshError="1"/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>
        <row r="7">
          <cell r="H7">
            <v>8500000</v>
          </cell>
        </row>
      </sheetData>
      <sheetData sheetId="29370"/>
      <sheetData sheetId="29371">
        <row r="2">
          <cell r="A2" t="str">
            <v>Acc</v>
          </cell>
        </row>
      </sheetData>
      <sheetData sheetId="29372">
        <row r="35">
          <cell r="Q35">
            <v>0</v>
          </cell>
        </row>
      </sheetData>
      <sheetData sheetId="29373">
        <row r="8">
          <cell r="G8">
            <v>1690000000</v>
          </cell>
        </row>
      </sheetData>
      <sheetData sheetId="29374" refreshError="1"/>
      <sheetData sheetId="29375" refreshError="1"/>
      <sheetData sheetId="29376" refreshError="1"/>
      <sheetData sheetId="29377" refreshError="1"/>
      <sheetData sheetId="29378" refreshError="1"/>
      <sheetData sheetId="29379" refreshError="1"/>
      <sheetData sheetId="29380" refreshError="1"/>
      <sheetData sheetId="29381" refreshError="1"/>
      <sheetData sheetId="29382" refreshError="1"/>
      <sheetData sheetId="29383" refreshError="1"/>
      <sheetData sheetId="29384" refreshError="1"/>
      <sheetData sheetId="29385" refreshError="1"/>
      <sheetData sheetId="29386" refreshError="1"/>
      <sheetData sheetId="29387" refreshError="1"/>
      <sheetData sheetId="29388" refreshError="1"/>
      <sheetData sheetId="29389" refreshError="1"/>
      <sheetData sheetId="29390" refreshError="1"/>
      <sheetData sheetId="29391" refreshError="1"/>
      <sheetData sheetId="29392" refreshError="1"/>
      <sheetData sheetId="29393" refreshError="1"/>
      <sheetData sheetId="29394" refreshError="1"/>
      <sheetData sheetId="29395" refreshError="1"/>
      <sheetData sheetId="29396" refreshError="1"/>
      <sheetData sheetId="29397" refreshError="1"/>
      <sheetData sheetId="29398" refreshError="1"/>
      <sheetData sheetId="29399" refreshError="1"/>
      <sheetData sheetId="29400" refreshError="1"/>
      <sheetData sheetId="29401" refreshError="1"/>
      <sheetData sheetId="29402" refreshError="1"/>
      <sheetData sheetId="29403" refreshError="1"/>
      <sheetData sheetId="29404" refreshError="1"/>
      <sheetData sheetId="29405" refreshError="1"/>
      <sheetData sheetId="29406" refreshError="1"/>
      <sheetData sheetId="29407" refreshError="1"/>
      <sheetData sheetId="29408" refreshError="1"/>
      <sheetData sheetId="29409" refreshError="1"/>
      <sheetData sheetId="29410" refreshError="1"/>
      <sheetData sheetId="29411" refreshError="1"/>
      <sheetData sheetId="29412" refreshError="1"/>
      <sheetData sheetId="29413" refreshError="1"/>
      <sheetData sheetId="29414" refreshError="1"/>
      <sheetData sheetId="29415" refreshError="1"/>
      <sheetData sheetId="29416" refreshError="1"/>
      <sheetData sheetId="29417" refreshError="1"/>
      <sheetData sheetId="29418" refreshError="1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 refreshError="1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 refreshError="1"/>
      <sheetData sheetId="29437" refreshError="1"/>
      <sheetData sheetId="29438" refreshError="1"/>
      <sheetData sheetId="29439" refreshError="1"/>
      <sheetData sheetId="29440" refreshError="1"/>
      <sheetData sheetId="29441" refreshError="1"/>
      <sheetData sheetId="29442" refreshError="1"/>
      <sheetData sheetId="29443" refreshError="1"/>
      <sheetData sheetId="29444" refreshError="1"/>
      <sheetData sheetId="29445" refreshError="1"/>
      <sheetData sheetId="29446" refreshError="1"/>
      <sheetData sheetId="29447" refreshError="1"/>
      <sheetData sheetId="29448" refreshError="1"/>
      <sheetData sheetId="29449" refreshError="1"/>
      <sheetData sheetId="29450" refreshError="1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>
        <row r="18">
          <cell r="F18">
            <v>0</v>
          </cell>
        </row>
      </sheetData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/>
      <sheetData sheetId="29487" refreshError="1"/>
      <sheetData sheetId="29488" refreshError="1"/>
      <sheetData sheetId="29489" refreshError="1"/>
      <sheetData sheetId="29490" refreshError="1"/>
      <sheetData sheetId="29491" refreshError="1"/>
      <sheetData sheetId="29492" refreshError="1"/>
      <sheetData sheetId="29493" refreshError="1"/>
      <sheetData sheetId="29494" refreshError="1"/>
      <sheetData sheetId="29495" refreshError="1"/>
      <sheetData sheetId="29496" refreshError="1"/>
      <sheetData sheetId="29497" refreshError="1"/>
      <sheetData sheetId="29498" refreshError="1"/>
      <sheetData sheetId="29499" refreshError="1"/>
      <sheetData sheetId="29500" refreshError="1"/>
      <sheetData sheetId="29501" refreshError="1"/>
      <sheetData sheetId="29502" refreshError="1"/>
      <sheetData sheetId="29503" refreshError="1"/>
      <sheetData sheetId="29504" refreshError="1"/>
      <sheetData sheetId="29505" refreshError="1"/>
      <sheetData sheetId="29506" refreshError="1"/>
      <sheetData sheetId="29507" refreshError="1"/>
      <sheetData sheetId="29508" refreshError="1"/>
      <sheetData sheetId="29509" refreshError="1"/>
      <sheetData sheetId="29510" refreshError="1"/>
      <sheetData sheetId="29511" refreshError="1"/>
      <sheetData sheetId="29512" refreshError="1"/>
      <sheetData sheetId="29513">
        <row r="15">
          <cell r="J15">
            <v>234158829</v>
          </cell>
        </row>
      </sheetData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 refreshError="1"/>
      <sheetData sheetId="29520" refreshError="1"/>
      <sheetData sheetId="29521" refreshError="1"/>
      <sheetData sheetId="29522">
        <row r="127">
          <cell r="E127">
            <v>1576793.9525000001</v>
          </cell>
        </row>
      </sheetData>
      <sheetData sheetId="29523" refreshError="1"/>
      <sheetData sheetId="29524" refreshError="1"/>
      <sheetData sheetId="29525"/>
      <sheetData sheetId="29526"/>
      <sheetData sheetId="29527"/>
      <sheetData sheetId="29528"/>
      <sheetData sheetId="29529"/>
      <sheetData sheetId="29530"/>
      <sheetData sheetId="29531"/>
      <sheetData sheetId="29532"/>
      <sheetData sheetId="29533"/>
      <sheetData sheetId="29534"/>
      <sheetData sheetId="29535"/>
      <sheetData sheetId="29536"/>
      <sheetData sheetId="29537"/>
      <sheetData sheetId="29538"/>
      <sheetData sheetId="29539"/>
      <sheetData sheetId="29540"/>
      <sheetData sheetId="29541"/>
      <sheetData sheetId="29542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 refreshError="1"/>
      <sheetData sheetId="29553" refreshError="1"/>
      <sheetData sheetId="29554" refreshError="1"/>
      <sheetData sheetId="29555" refreshError="1"/>
      <sheetData sheetId="29556" refreshError="1"/>
      <sheetData sheetId="29557"/>
      <sheetData sheetId="29558"/>
      <sheetData sheetId="29559"/>
      <sheetData sheetId="29560">
        <row r="6">
          <cell r="B6" t="str">
            <v>73-065</v>
          </cell>
        </row>
      </sheetData>
      <sheetData sheetId="29561"/>
      <sheetData sheetId="29562"/>
      <sheetData sheetId="29563"/>
      <sheetData sheetId="29564"/>
      <sheetData sheetId="29565"/>
      <sheetData sheetId="29566"/>
      <sheetData sheetId="29567" refreshError="1"/>
      <sheetData sheetId="29568"/>
      <sheetData sheetId="29569"/>
      <sheetData sheetId="29570" refreshError="1"/>
      <sheetData sheetId="29571" refreshError="1"/>
      <sheetData sheetId="29572" refreshError="1"/>
      <sheetData sheetId="29573"/>
      <sheetData sheetId="29574" refreshError="1"/>
      <sheetData sheetId="29575" refreshError="1"/>
      <sheetData sheetId="29576" refreshError="1"/>
      <sheetData sheetId="29577" refreshError="1"/>
      <sheetData sheetId="29578" refreshError="1"/>
      <sheetData sheetId="29579" refreshError="1"/>
      <sheetData sheetId="29580" refreshError="1"/>
      <sheetData sheetId="29581" refreshError="1"/>
      <sheetData sheetId="29582" refreshError="1"/>
      <sheetData sheetId="29583" refreshError="1"/>
      <sheetData sheetId="29584" refreshError="1"/>
      <sheetData sheetId="29585" refreshError="1"/>
      <sheetData sheetId="29586" refreshError="1"/>
      <sheetData sheetId="29587"/>
      <sheetData sheetId="29588"/>
      <sheetData sheetId="29589"/>
      <sheetData sheetId="29590"/>
      <sheetData sheetId="29591" refreshError="1"/>
      <sheetData sheetId="29592"/>
      <sheetData sheetId="29593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/>
      <sheetData sheetId="29608"/>
      <sheetData sheetId="29609"/>
      <sheetData sheetId="29610"/>
      <sheetData sheetId="29611"/>
      <sheetData sheetId="29612"/>
      <sheetData sheetId="29613"/>
      <sheetData sheetId="29614"/>
      <sheetData sheetId="29615"/>
      <sheetData sheetId="29616"/>
      <sheetData sheetId="29617"/>
      <sheetData sheetId="29618"/>
      <sheetData sheetId="29619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 refreshError="1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 refreshError="1"/>
      <sheetData sheetId="29645"/>
      <sheetData sheetId="29646" refreshError="1"/>
      <sheetData sheetId="29647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/>
      <sheetData sheetId="29674"/>
      <sheetData sheetId="29675"/>
      <sheetData sheetId="29676"/>
      <sheetData sheetId="29677" refreshError="1"/>
      <sheetData sheetId="29678"/>
      <sheetData sheetId="29679" refreshError="1"/>
      <sheetData sheetId="29680"/>
      <sheetData sheetId="29681"/>
      <sheetData sheetId="29682"/>
      <sheetData sheetId="29683"/>
      <sheetData sheetId="29684"/>
      <sheetData sheetId="29685"/>
      <sheetData sheetId="29686"/>
      <sheetData sheetId="29687"/>
      <sheetData sheetId="29688"/>
      <sheetData sheetId="29689">
        <row r="12">
          <cell r="A12" t="str">
            <v>KAS DAN BANK</v>
          </cell>
        </row>
      </sheetData>
      <sheetData sheetId="29690" refreshError="1"/>
      <sheetData sheetId="29691"/>
      <sheetData sheetId="29692"/>
      <sheetData sheetId="29693"/>
      <sheetData sheetId="29694"/>
      <sheetData sheetId="29695"/>
      <sheetData sheetId="29696"/>
      <sheetData sheetId="29697" refreshError="1"/>
      <sheetData sheetId="29698"/>
      <sheetData sheetId="29699"/>
      <sheetData sheetId="29700"/>
      <sheetData sheetId="29701"/>
      <sheetData sheetId="29702" refreshError="1"/>
      <sheetData sheetId="29703" refreshError="1"/>
      <sheetData sheetId="29704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 refreshError="1"/>
      <sheetData sheetId="29711" refreshError="1"/>
      <sheetData sheetId="29712"/>
      <sheetData sheetId="29713" refreshError="1"/>
      <sheetData sheetId="29714" refreshError="1"/>
      <sheetData sheetId="29715"/>
      <sheetData sheetId="29716" refreshError="1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/>
      <sheetData sheetId="29726"/>
      <sheetData sheetId="29727"/>
      <sheetData sheetId="29728"/>
      <sheetData sheetId="29729"/>
      <sheetData sheetId="29730"/>
      <sheetData sheetId="29731"/>
      <sheetData sheetId="29732"/>
      <sheetData sheetId="29733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 refreshError="1"/>
      <sheetData sheetId="29857" refreshError="1"/>
      <sheetData sheetId="29858" refreshError="1"/>
      <sheetData sheetId="29859" refreshError="1"/>
      <sheetData sheetId="29860" refreshError="1"/>
      <sheetData sheetId="29861" refreshError="1"/>
      <sheetData sheetId="29862" refreshError="1"/>
      <sheetData sheetId="29863" refreshError="1"/>
      <sheetData sheetId="29864" refreshError="1"/>
      <sheetData sheetId="29865" refreshError="1"/>
      <sheetData sheetId="29866" refreshError="1"/>
      <sheetData sheetId="29867" refreshError="1"/>
      <sheetData sheetId="29868" refreshError="1"/>
      <sheetData sheetId="29869"/>
      <sheetData sheetId="29870" refreshError="1"/>
      <sheetData sheetId="29871" refreshError="1"/>
      <sheetData sheetId="29872" refreshError="1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>
        <row r="25">
          <cell r="L25">
            <v>141000</v>
          </cell>
        </row>
      </sheetData>
      <sheetData sheetId="29882"/>
      <sheetData sheetId="29883"/>
      <sheetData sheetId="29884"/>
      <sheetData sheetId="29885"/>
      <sheetData sheetId="29886"/>
      <sheetData sheetId="29887"/>
      <sheetData sheetId="29888"/>
      <sheetData sheetId="29889"/>
      <sheetData sheetId="29890"/>
      <sheetData sheetId="29891"/>
      <sheetData sheetId="29892">
        <row r="25">
          <cell r="L25">
            <v>141000</v>
          </cell>
        </row>
      </sheetData>
      <sheetData sheetId="29893"/>
      <sheetData sheetId="29894"/>
      <sheetData sheetId="29895">
        <row r="8">
          <cell r="A8" t="str">
            <v>1011-000</v>
          </cell>
        </row>
      </sheetData>
      <sheetData sheetId="29896">
        <row r="8">
          <cell r="A8" t="str">
            <v>1011-000</v>
          </cell>
        </row>
      </sheetData>
      <sheetData sheetId="29897"/>
      <sheetData sheetId="29898"/>
      <sheetData sheetId="29899">
        <row r="8">
          <cell r="A8" t="str">
            <v>1011-000</v>
          </cell>
        </row>
      </sheetData>
      <sheetData sheetId="29900">
        <row r="8">
          <cell r="A8" t="str">
            <v>1012-000</v>
          </cell>
        </row>
      </sheetData>
      <sheetData sheetId="29901"/>
      <sheetData sheetId="29902"/>
      <sheetData sheetId="29903"/>
      <sheetData sheetId="29904">
        <row r="8">
          <cell r="A8" t="str">
            <v>1011-000</v>
          </cell>
        </row>
      </sheetData>
      <sheetData sheetId="29905"/>
      <sheetData sheetId="29906"/>
      <sheetData sheetId="29907"/>
      <sheetData sheetId="29908"/>
      <sheetData sheetId="29909" refreshError="1"/>
      <sheetData sheetId="29910" refreshError="1"/>
      <sheetData sheetId="29911" refreshError="1"/>
      <sheetData sheetId="29912" refreshError="1"/>
      <sheetData sheetId="29913" refreshError="1"/>
      <sheetData sheetId="29914" refreshError="1"/>
      <sheetData sheetId="29915" refreshError="1"/>
      <sheetData sheetId="29916" refreshError="1"/>
      <sheetData sheetId="29917" refreshError="1"/>
      <sheetData sheetId="29918" refreshError="1"/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/>
      <sheetData sheetId="29958"/>
      <sheetData sheetId="29959"/>
      <sheetData sheetId="29960"/>
      <sheetData sheetId="29961"/>
      <sheetData sheetId="29962"/>
      <sheetData sheetId="29963"/>
      <sheetData sheetId="29964" refreshError="1"/>
      <sheetData sheetId="29965"/>
      <sheetData sheetId="29966"/>
      <sheetData sheetId="29967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>
        <row r="1">
          <cell r="A1" t="str">
            <v>DAFTAR RINCIAN AKTIVA TETAP &amp; PENYUSUTANNYA</v>
          </cell>
        </row>
      </sheetData>
      <sheetData sheetId="29980">
        <row r="1">
          <cell r="A1" t="str">
            <v>CV TRITUNGGAL SENTOSA</v>
          </cell>
        </row>
      </sheetData>
      <sheetData sheetId="29981">
        <row r="1">
          <cell r="A1" t="str">
            <v>CV TRITUNGGAL SENTOSA</v>
          </cell>
        </row>
      </sheetData>
      <sheetData sheetId="29982">
        <row r="1">
          <cell r="A1" t="str">
            <v>CV TRITUNGGAL SENTOSA</v>
          </cell>
        </row>
      </sheetData>
      <sheetData sheetId="29983">
        <row r="1">
          <cell r="A1" t="str">
            <v>CV TRITUNGGAL SENTOSA</v>
          </cell>
        </row>
      </sheetData>
      <sheetData sheetId="29984">
        <row r="1">
          <cell r="A1" t="str">
            <v>CV TRITUNGGAL SENTOSA</v>
          </cell>
        </row>
      </sheetData>
      <sheetData sheetId="29985" refreshError="1"/>
      <sheetData sheetId="29986" refreshError="1"/>
      <sheetData sheetId="29987"/>
      <sheetData sheetId="29988"/>
      <sheetData sheetId="29989"/>
      <sheetData sheetId="29990"/>
      <sheetData sheetId="29991"/>
      <sheetData sheetId="29992"/>
      <sheetData sheetId="29993"/>
      <sheetData sheetId="29994"/>
      <sheetData sheetId="29995"/>
      <sheetData sheetId="29996"/>
      <sheetData sheetId="29997"/>
      <sheetData sheetId="29998"/>
      <sheetData sheetId="29999"/>
      <sheetData sheetId="30000"/>
      <sheetData sheetId="30001"/>
      <sheetData sheetId="30002"/>
      <sheetData sheetId="30003"/>
      <sheetData sheetId="30004"/>
      <sheetData sheetId="30005"/>
      <sheetData sheetId="30006"/>
      <sheetData sheetId="30007"/>
      <sheetData sheetId="30008"/>
      <sheetData sheetId="30009"/>
      <sheetData sheetId="30010"/>
      <sheetData sheetId="30011" refreshError="1"/>
      <sheetData sheetId="30012"/>
      <sheetData sheetId="30013" refreshError="1"/>
      <sheetData sheetId="30014"/>
      <sheetData sheetId="30015" refreshError="1"/>
      <sheetData sheetId="30016"/>
      <sheetData sheetId="30017"/>
      <sheetData sheetId="30018"/>
      <sheetData sheetId="30019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/>
      <sheetData sheetId="30028"/>
      <sheetData sheetId="30029"/>
      <sheetData sheetId="30030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 refreshError="1"/>
      <sheetData sheetId="30044" refreshError="1"/>
      <sheetData sheetId="30045" refreshError="1"/>
      <sheetData sheetId="30046" refreshError="1"/>
      <sheetData sheetId="30047" refreshError="1"/>
      <sheetData sheetId="30048" refreshError="1"/>
      <sheetData sheetId="30049" refreshError="1"/>
      <sheetData sheetId="30050" refreshError="1"/>
      <sheetData sheetId="30051" refreshError="1"/>
      <sheetData sheetId="30052" refreshError="1"/>
      <sheetData sheetId="30053" refreshError="1"/>
      <sheetData sheetId="30054" refreshError="1"/>
      <sheetData sheetId="30055" refreshError="1"/>
      <sheetData sheetId="30056" refreshError="1"/>
      <sheetData sheetId="30057" refreshError="1"/>
      <sheetData sheetId="30058" refreshError="1"/>
      <sheetData sheetId="30059" refreshError="1"/>
      <sheetData sheetId="30060" refreshError="1"/>
      <sheetData sheetId="30061" refreshError="1"/>
      <sheetData sheetId="30062" refreshError="1"/>
      <sheetData sheetId="30063" refreshError="1"/>
      <sheetData sheetId="30064" refreshError="1"/>
      <sheetData sheetId="30065" refreshError="1"/>
      <sheetData sheetId="30066" refreshError="1"/>
      <sheetData sheetId="30067" refreshError="1"/>
      <sheetData sheetId="30068" refreshError="1"/>
      <sheetData sheetId="30069" refreshError="1"/>
      <sheetData sheetId="30070" refreshError="1"/>
      <sheetData sheetId="30071" refreshError="1"/>
      <sheetData sheetId="30072" refreshError="1"/>
      <sheetData sheetId="30073" refreshError="1"/>
      <sheetData sheetId="30074" refreshError="1"/>
      <sheetData sheetId="30075" refreshError="1"/>
      <sheetData sheetId="30076" refreshError="1"/>
      <sheetData sheetId="30077" refreshError="1"/>
      <sheetData sheetId="30078" refreshError="1"/>
      <sheetData sheetId="30079" refreshError="1"/>
      <sheetData sheetId="30080" refreshError="1"/>
      <sheetData sheetId="30081" refreshError="1"/>
      <sheetData sheetId="30082" refreshError="1"/>
      <sheetData sheetId="30083" refreshError="1"/>
      <sheetData sheetId="30084" refreshError="1"/>
      <sheetData sheetId="30085" refreshError="1"/>
      <sheetData sheetId="30086" refreshError="1"/>
      <sheetData sheetId="30087" refreshError="1"/>
      <sheetData sheetId="30088" refreshError="1"/>
      <sheetData sheetId="30089" refreshError="1"/>
      <sheetData sheetId="30090" refreshError="1"/>
      <sheetData sheetId="30091" refreshError="1"/>
      <sheetData sheetId="30092" refreshError="1"/>
      <sheetData sheetId="30093"/>
      <sheetData sheetId="30094"/>
      <sheetData sheetId="30095"/>
      <sheetData sheetId="30096"/>
      <sheetData sheetId="30097"/>
      <sheetData sheetId="30098"/>
      <sheetData sheetId="30099"/>
      <sheetData sheetId="30100"/>
      <sheetData sheetId="30101" refreshError="1"/>
      <sheetData sheetId="30102" refreshError="1"/>
      <sheetData sheetId="30103" refreshError="1"/>
      <sheetData sheetId="30104"/>
      <sheetData sheetId="30105"/>
      <sheetData sheetId="30106"/>
      <sheetData sheetId="30107" refreshError="1"/>
      <sheetData sheetId="30108" refreshError="1"/>
      <sheetData sheetId="30109" refreshError="1"/>
      <sheetData sheetId="30110" refreshError="1"/>
      <sheetData sheetId="30111" refreshError="1"/>
      <sheetData sheetId="30112" refreshError="1"/>
      <sheetData sheetId="30113" refreshError="1"/>
      <sheetData sheetId="30114" refreshError="1"/>
      <sheetData sheetId="30115"/>
      <sheetData sheetId="30116"/>
      <sheetData sheetId="30117"/>
      <sheetData sheetId="30118"/>
      <sheetData sheetId="30119"/>
      <sheetData sheetId="30120"/>
      <sheetData sheetId="30121" refreshError="1"/>
      <sheetData sheetId="30122" refreshError="1"/>
      <sheetData sheetId="30123" refreshError="1"/>
      <sheetData sheetId="30124" refreshError="1"/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 refreshError="1"/>
      <sheetData sheetId="30132" refreshError="1"/>
      <sheetData sheetId="30133" refreshError="1"/>
      <sheetData sheetId="30134" refreshError="1"/>
      <sheetData sheetId="30135" refreshError="1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/>
      <sheetData sheetId="30160"/>
      <sheetData sheetId="30161" refreshError="1"/>
      <sheetData sheetId="30162" refreshError="1"/>
      <sheetData sheetId="30163" refreshError="1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 refreshError="1"/>
      <sheetData sheetId="30183" refreshError="1"/>
      <sheetData sheetId="30184" refreshError="1"/>
      <sheetData sheetId="30185" refreshError="1"/>
      <sheetData sheetId="30186" refreshError="1"/>
      <sheetData sheetId="30187" refreshError="1"/>
      <sheetData sheetId="30188" refreshError="1"/>
      <sheetData sheetId="30189" refreshError="1"/>
      <sheetData sheetId="30190" refreshError="1"/>
      <sheetData sheetId="30191" refreshError="1"/>
      <sheetData sheetId="30192" refreshError="1"/>
      <sheetData sheetId="30193" refreshError="1"/>
      <sheetData sheetId="30194" refreshError="1"/>
      <sheetData sheetId="30195" refreshError="1"/>
      <sheetData sheetId="30196" refreshError="1"/>
      <sheetData sheetId="30197" refreshError="1"/>
      <sheetData sheetId="30198"/>
      <sheetData sheetId="30199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 refreshError="1"/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/>
      <sheetData sheetId="30226" refreshError="1"/>
      <sheetData sheetId="30227" refreshError="1"/>
      <sheetData sheetId="30228" refreshError="1"/>
      <sheetData sheetId="30229" refreshError="1"/>
      <sheetData sheetId="30230" refreshError="1"/>
      <sheetData sheetId="30231" refreshError="1"/>
      <sheetData sheetId="30232" refreshError="1"/>
      <sheetData sheetId="30233" refreshError="1"/>
      <sheetData sheetId="30234" refreshError="1"/>
      <sheetData sheetId="30235" refreshError="1"/>
      <sheetData sheetId="30236" refreshError="1"/>
      <sheetData sheetId="30237" refreshError="1"/>
      <sheetData sheetId="30238" refreshError="1"/>
      <sheetData sheetId="30239" refreshError="1"/>
      <sheetData sheetId="30240" refreshError="1"/>
      <sheetData sheetId="30241" refreshError="1"/>
      <sheetData sheetId="30242" refreshError="1"/>
      <sheetData sheetId="30243" refreshError="1"/>
      <sheetData sheetId="30244" refreshError="1"/>
      <sheetData sheetId="30245" refreshError="1"/>
      <sheetData sheetId="30246" refreshError="1"/>
      <sheetData sheetId="30247" refreshError="1"/>
      <sheetData sheetId="30248" refreshError="1"/>
      <sheetData sheetId="30249" refreshError="1"/>
      <sheetData sheetId="30250" refreshError="1"/>
      <sheetData sheetId="30251" refreshError="1"/>
      <sheetData sheetId="30252" refreshError="1"/>
      <sheetData sheetId="30253" refreshError="1"/>
      <sheetData sheetId="30254" refreshError="1"/>
      <sheetData sheetId="30255" refreshError="1"/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 refreshError="1"/>
      <sheetData sheetId="30300" refreshError="1"/>
      <sheetData sheetId="30301" refreshError="1"/>
      <sheetData sheetId="30302" refreshError="1"/>
      <sheetData sheetId="30303" refreshError="1"/>
      <sheetData sheetId="30304" refreshError="1"/>
      <sheetData sheetId="30305" refreshError="1"/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 refreshError="1"/>
      <sheetData sheetId="30332" refreshError="1"/>
      <sheetData sheetId="30333" refreshError="1"/>
      <sheetData sheetId="30334" refreshError="1"/>
      <sheetData sheetId="30335" refreshError="1"/>
      <sheetData sheetId="30336" refreshError="1"/>
      <sheetData sheetId="30337" refreshError="1"/>
      <sheetData sheetId="30338" refreshError="1"/>
      <sheetData sheetId="30339" refreshError="1"/>
      <sheetData sheetId="30340" refreshError="1"/>
      <sheetData sheetId="30341" refreshError="1"/>
      <sheetData sheetId="30342" refreshError="1"/>
      <sheetData sheetId="30343" refreshError="1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 refreshError="1"/>
      <sheetData sheetId="30396" refreshError="1"/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 refreshError="1"/>
      <sheetData sheetId="30493" refreshError="1"/>
      <sheetData sheetId="30494" refreshError="1"/>
      <sheetData sheetId="30495" refreshError="1"/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 refreshError="1"/>
      <sheetData sheetId="30537" refreshError="1"/>
      <sheetData sheetId="30538" refreshError="1"/>
      <sheetData sheetId="30539" refreshError="1"/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 refreshError="1"/>
      <sheetData sheetId="30549" refreshError="1"/>
      <sheetData sheetId="30550" refreshError="1"/>
      <sheetData sheetId="30551" refreshError="1"/>
      <sheetData sheetId="30552" refreshError="1"/>
      <sheetData sheetId="30553" refreshError="1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 refreshError="1"/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 refreshError="1"/>
      <sheetData sheetId="30579" refreshError="1"/>
      <sheetData sheetId="30580" refreshError="1"/>
      <sheetData sheetId="30581" refreshError="1"/>
      <sheetData sheetId="30582" refreshError="1"/>
      <sheetData sheetId="30583" refreshError="1"/>
      <sheetData sheetId="30584" refreshError="1"/>
      <sheetData sheetId="30585" refreshError="1"/>
      <sheetData sheetId="30586" refreshError="1"/>
      <sheetData sheetId="30587" refreshError="1"/>
      <sheetData sheetId="30588" refreshError="1"/>
      <sheetData sheetId="30589" refreshError="1"/>
      <sheetData sheetId="30590" refreshError="1"/>
      <sheetData sheetId="30591" refreshError="1"/>
      <sheetData sheetId="30592" refreshError="1"/>
      <sheetData sheetId="30593" refreshError="1"/>
      <sheetData sheetId="30594" refreshError="1"/>
      <sheetData sheetId="30595" refreshError="1"/>
      <sheetData sheetId="30596" refreshError="1"/>
      <sheetData sheetId="30597" refreshError="1"/>
      <sheetData sheetId="30598" refreshError="1"/>
      <sheetData sheetId="30599" refreshError="1"/>
      <sheetData sheetId="30600" refreshError="1"/>
      <sheetData sheetId="30601" refreshError="1"/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 refreshError="1"/>
      <sheetData sheetId="30609" refreshError="1"/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 refreshError="1"/>
      <sheetData sheetId="30617" refreshError="1"/>
      <sheetData sheetId="30618" refreshError="1"/>
      <sheetData sheetId="30619" refreshError="1"/>
      <sheetData sheetId="30620" refreshError="1"/>
      <sheetData sheetId="30621" refreshError="1"/>
      <sheetData sheetId="30622" refreshError="1"/>
      <sheetData sheetId="30623" refreshError="1"/>
      <sheetData sheetId="30624" refreshError="1"/>
      <sheetData sheetId="30625" refreshError="1"/>
      <sheetData sheetId="30626" refreshError="1"/>
      <sheetData sheetId="30627" refreshError="1"/>
      <sheetData sheetId="30628" refreshError="1"/>
      <sheetData sheetId="30629" refreshError="1"/>
      <sheetData sheetId="30630" refreshError="1"/>
      <sheetData sheetId="30631" refreshError="1"/>
      <sheetData sheetId="30632" refreshError="1"/>
      <sheetData sheetId="30633" refreshError="1"/>
      <sheetData sheetId="30634" refreshError="1"/>
      <sheetData sheetId="30635" refreshError="1"/>
      <sheetData sheetId="30636" refreshError="1"/>
      <sheetData sheetId="30637" refreshError="1"/>
      <sheetData sheetId="30638" refreshError="1"/>
      <sheetData sheetId="30639" refreshError="1"/>
      <sheetData sheetId="30640" refreshError="1"/>
      <sheetData sheetId="30641" refreshError="1"/>
      <sheetData sheetId="30642" refreshError="1"/>
      <sheetData sheetId="30643" refreshError="1"/>
      <sheetData sheetId="30644" refreshError="1"/>
      <sheetData sheetId="30645" refreshError="1"/>
      <sheetData sheetId="30646" refreshError="1"/>
      <sheetData sheetId="30647" refreshError="1"/>
      <sheetData sheetId="30648" refreshError="1"/>
      <sheetData sheetId="30649" refreshError="1"/>
      <sheetData sheetId="30650" refreshError="1"/>
      <sheetData sheetId="30651" refreshError="1"/>
      <sheetData sheetId="30652" refreshError="1"/>
      <sheetData sheetId="30653" refreshError="1"/>
      <sheetData sheetId="30654" refreshError="1"/>
      <sheetData sheetId="30655" refreshError="1"/>
      <sheetData sheetId="30656" refreshError="1"/>
      <sheetData sheetId="30657" refreshError="1"/>
      <sheetData sheetId="30658" refreshError="1"/>
      <sheetData sheetId="30659" refreshError="1"/>
      <sheetData sheetId="30660" refreshError="1"/>
      <sheetData sheetId="30661" refreshError="1"/>
      <sheetData sheetId="30662" refreshError="1"/>
      <sheetData sheetId="30663" refreshError="1"/>
      <sheetData sheetId="30664" refreshError="1"/>
      <sheetData sheetId="30665" refreshError="1"/>
      <sheetData sheetId="30666" refreshError="1"/>
      <sheetData sheetId="30667" refreshError="1"/>
      <sheetData sheetId="30668" refreshError="1"/>
      <sheetData sheetId="30669" refreshError="1"/>
      <sheetData sheetId="30670" refreshError="1"/>
      <sheetData sheetId="30671" refreshError="1"/>
      <sheetData sheetId="30672" refreshError="1"/>
      <sheetData sheetId="30673" refreshError="1"/>
      <sheetData sheetId="30674" refreshError="1"/>
      <sheetData sheetId="30675" refreshError="1"/>
      <sheetData sheetId="30676" refreshError="1"/>
      <sheetData sheetId="30677" refreshError="1"/>
      <sheetData sheetId="30678" refreshError="1"/>
      <sheetData sheetId="30679" refreshError="1"/>
      <sheetData sheetId="30680" refreshError="1"/>
      <sheetData sheetId="30681" refreshError="1"/>
      <sheetData sheetId="30682" refreshError="1"/>
      <sheetData sheetId="30683" refreshError="1"/>
      <sheetData sheetId="30684" refreshError="1"/>
      <sheetData sheetId="30685" refreshError="1"/>
      <sheetData sheetId="30686" refreshError="1"/>
      <sheetData sheetId="30687" refreshError="1"/>
      <sheetData sheetId="30688" refreshError="1"/>
      <sheetData sheetId="30689" refreshError="1"/>
      <sheetData sheetId="30690" refreshError="1"/>
      <sheetData sheetId="30691" refreshError="1"/>
      <sheetData sheetId="30692" refreshError="1"/>
      <sheetData sheetId="30693" refreshError="1"/>
      <sheetData sheetId="30694" refreshError="1"/>
      <sheetData sheetId="30695" refreshError="1"/>
      <sheetData sheetId="30696" refreshError="1"/>
      <sheetData sheetId="30697" refreshError="1"/>
      <sheetData sheetId="30698" refreshError="1"/>
      <sheetData sheetId="30699" refreshError="1"/>
      <sheetData sheetId="30700" refreshError="1"/>
      <sheetData sheetId="30701"/>
      <sheetData sheetId="30702"/>
      <sheetData sheetId="30703"/>
      <sheetData sheetId="30704"/>
      <sheetData sheetId="30705"/>
      <sheetData sheetId="30706"/>
      <sheetData sheetId="30707"/>
      <sheetData sheetId="30708"/>
      <sheetData sheetId="30709"/>
      <sheetData sheetId="30710" refreshError="1"/>
      <sheetData sheetId="30711" refreshError="1"/>
      <sheetData sheetId="30712" refreshError="1"/>
      <sheetData sheetId="30713" refreshError="1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/>
      <sheetData sheetId="30737"/>
      <sheetData sheetId="30738"/>
      <sheetData sheetId="30739"/>
      <sheetData sheetId="30740"/>
      <sheetData sheetId="30741"/>
      <sheetData sheetId="30742"/>
      <sheetData sheetId="30743"/>
      <sheetData sheetId="30744"/>
      <sheetData sheetId="30745"/>
      <sheetData sheetId="30746"/>
      <sheetData sheetId="30747"/>
      <sheetData sheetId="30748"/>
      <sheetData sheetId="30749"/>
      <sheetData sheetId="30750"/>
      <sheetData sheetId="30751" refreshError="1"/>
      <sheetData sheetId="30752" refreshError="1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/>
      <sheetData sheetId="30772" refreshError="1"/>
      <sheetData sheetId="30773" refreshError="1"/>
      <sheetData sheetId="30774" refreshError="1"/>
      <sheetData sheetId="30775"/>
      <sheetData sheetId="30776"/>
      <sheetData sheetId="30777"/>
      <sheetData sheetId="30778"/>
      <sheetData sheetId="30779" refreshError="1"/>
      <sheetData sheetId="30780" refreshError="1"/>
      <sheetData sheetId="30781"/>
      <sheetData sheetId="30782"/>
      <sheetData sheetId="30783"/>
      <sheetData sheetId="30784"/>
      <sheetData sheetId="30785" refreshError="1"/>
      <sheetData sheetId="30786" refreshError="1"/>
      <sheetData sheetId="30787" refreshError="1"/>
      <sheetData sheetId="30788" refreshError="1"/>
      <sheetData sheetId="30789" refreshError="1"/>
      <sheetData sheetId="30790" refreshError="1"/>
      <sheetData sheetId="30791" refreshError="1"/>
      <sheetData sheetId="30792" refreshError="1"/>
      <sheetData sheetId="30793" refreshError="1"/>
      <sheetData sheetId="30794" refreshError="1"/>
      <sheetData sheetId="30795" refreshError="1"/>
      <sheetData sheetId="30796"/>
      <sheetData sheetId="30797"/>
      <sheetData sheetId="30798"/>
      <sheetData sheetId="30799"/>
      <sheetData sheetId="30800"/>
      <sheetData sheetId="30801" refreshError="1"/>
      <sheetData sheetId="30802"/>
      <sheetData sheetId="30803" refreshError="1"/>
      <sheetData sheetId="30804" refreshError="1"/>
      <sheetData sheetId="30805" refreshError="1"/>
      <sheetData sheetId="30806" refreshError="1"/>
      <sheetData sheetId="30807" refreshError="1"/>
      <sheetData sheetId="30808" refreshError="1"/>
      <sheetData sheetId="30809" refreshError="1"/>
      <sheetData sheetId="30810" refreshError="1"/>
      <sheetData sheetId="30811" refreshError="1"/>
      <sheetData sheetId="30812"/>
      <sheetData sheetId="30813"/>
      <sheetData sheetId="30814" refreshError="1"/>
      <sheetData sheetId="30815"/>
      <sheetData sheetId="30816"/>
      <sheetData sheetId="30817"/>
      <sheetData sheetId="30818"/>
      <sheetData sheetId="30819"/>
      <sheetData sheetId="30820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 refreshError="1"/>
      <sheetData sheetId="30829" refreshError="1"/>
      <sheetData sheetId="30830" refreshError="1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 refreshError="1"/>
      <sheetData sheetId="30839" refreshError="1"/>
      <sheetData sheetId="30840" refreshError="1"/>
      <sheetData sheetId="30841" refreshError="1"/>
      <sheetData sheetId="30842" refreshError="1"/>
      <sheetData sheetId="30843" refreshError="1"/>
      <sheetData sheetId="30844" refreshError="1"/>
      <sheetData sheetId="30845" refreshError="1"/>
      <sheetData sheetId="30846" refreshError="1"/>
      <sheetData sheetId="30847" refreshError="1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 refreshError="1"/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 refreshError="1"/>
      <sheetData sheetId="30928" refreshError="1"/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 refreshError="1"/>
      <sheetData sheetId="30969" refreshError="1"/>
      <sheetData sheetId="30970" refreshError="1"/>
      <sheetData sheetId="30971" refreshError="1"/>
      <sheetData sheetId="30972" refreshError="1"/>
      <sheetData sheetId="30973" refreshError="1"/>
      <sheetData sheetId="30974" refreshError="1"/>
      <sheetData sheetId="30975" refreshError="1"/>
      <sheetData sheetId="30976" refreshError="1"/>
      <sheetData sheetId="30977" refreshError="1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>
        <row r="1">
          <cell r="A1" t="str">
            <v>CV TRITUNGGAL SENTOSA</v>
          </cell>
        </row>
      </sheetData>
      <sheetData sheetId="31095">
        <row r="1">
          <cell r="A1" t="str">
            <v>CV TRITUNGGAL SENTOSA</v>
          </cell>
        </row>
      </sheetData>
      <sheetData sheetId="31096">
        <row r="1">
          <cell r="A1" t="str">
            <v>DAFTAR RINCIAN AKTIVA TETAP &amp; PENYUSUTANNYA</v>
          </cell>
        </row>
      </sheetData>
      <sheetData sheetId="31097">
        <row r="1">
          <cell r="A1" t="str">
            <v>CV TRITUNGGAL SENTOSA</v>
          </cell>
        </row>
      </sheetData>
      <sheetData sheetId="31098">
        <row r="1">
          <cell r="A1" t="str">
            <v>CV TRITUNGGAL SENTOSA</v>
          </cell>
        </row>
      </sheetData>
      <sheetData sheetId="31099">
        <row r="1">
          <cell r="A1" t="str">
            <v>CV TRITUNGGAL SENTOSA</v>
          </cell>
        </row>
      </sheetData>
      <sheetData sheetId="31100">
        <row r="1">
          <cell r="A1" t="str">
            <v>CV TRITUNGGAL SENTOSA</v>
          </cell>
        </row>
      </sheetData>
      <sheetData sheetId="31101">
        <row r="1">
          <cell r="A1" t="str">
            <v>CV TRITUNGGAL SENTOSA</v>
          </cell>
        </row>
      </sheetData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/>
      <sheetData sheetId="31893">
        <row r="15">
          <cell r="F15">
            <v>0</v>
          </cell>
        </row>
      </sheetData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/>
      <sheetData sheetId="32097" refreshError="1"/>
      <sheetData sheetId="32098" refreshError="1"/>
      <sheetData sheetId="32099" refreshError="1"/>
      <sheetData sheetId="32100"/>
      <sheetData sheetId="32101"/>
      <sheetData sheetId="32102"/>
      <sheetData sheetId="32103" refreshError="1"/>
      <sheetData sheetId="32104" refreshError="1"/>
      <sheetData sheetId="32105" refreshError="1"/>
      <sheetData sheetId="32106" refreshError="1"/>
      <sheetData sheetId="32107"/>
      <sheetData sheetId="32108"/>
      <sheetData sheetId="32109"/>
      <sheetData sheetId="32110"/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 refreshError="1"/>
      <sheetData sheetId="32126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>
        <row r="93">
          <cell r="I93">
            <v>27314200</v>
          </cell>
        </row>
      </sheetData>
      <sheetData sheetId="32134">
        <row r="31">
          <cell r="F31">
            <v>218</v>
          </cell>
        </row>
      </sheetData>
      <sheetData sheetId="32135">
        <row r="31">
          <cell r="F31">
            <v>218</v>
          </cell>
        </row>
      </sheetData>
      <sheetData sheetId="32136">
        <row r="31">
          <cell r="F31">
            <v>218</v>
          </cell>
        </row>
      </sheetData>
      <sheetData sheetId="32137">
        <row r="31">
          <cell r="F31">
            <v>218</v>
          </cell>
        </row>
      </sheetData>
      <sheetData sheetId="32138">
        <row r="31">
          <cell r="F31">
            <v>210</v>
          </cell>
        </row>
      </sheetData>
      <sheetData sheetId="32139">
        <row r="31">
          <cell r="F31">
            <v>210</v>
          </cell>
        </row>
      </sheetData>
      <sheetData sheetId="32140">
        <row r="31">
          <cell r="F31">
            <v>209</v>
          </cell>
        </row>
      </sheetData>
      <sheetData sheetId="32141">
        <row r="31">
          <cell r="F31">
            <v>210</v>
          </cell>
        </row>
      </sheetData>
      <sheetData sheetId="32142">
        <row r="31">
          <cell r="D31">
            <v>210</v>
          </cell>
        </row>
      </sheetData>
      <sheetData sheetId="32143">
        <row r="31">
          <cell r="F31">
            <v>199</v>
          </cell>
        </row>
      </sheetData>
      <sheetData sheetId="32144">
        <row r="31">
          <cell r="F31">
            <v>199</v>
          </cell>
        </row>
      </sheetData>
      <sheetData sheetId="32145">
        <row r="31">
          <cell r="F31">
            <v>199</v>
          </cell>
        </row>
      </sheetData>
      <sheetData sheetId="32146"/>
      <sheetData sheetId="32147"/>
      <sheetData sheetId="32148"/>
      <sheetData sheetId="32149" refreshError="1"/>
      <sheetData sheetId="32150"/>
      <sheetData sheetId="32151"/>
      <sheetData sheetId="32152">
        <row r="15">
          <cell r="E15">
            <v>11203161657</v>
          </cell>
        </row>
      </sheetData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>
        <row r="2">
          <cell r="A2" t="str">
            <v>IDR</v>
          </cell>
        </row>
      </sheetData>
      <sheetData sheetId="32166">
        <row r="7">
          <cell r="A7">
            <v>1</v>
          </cell>
        </row>
      </sheetData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/>
      <sheetData sheetId="32475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 refreshError="1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/>
      <sheetData sheetId="32545" refreshError="1"/>
      <sheetData sheetId="32546" refreshError="1"/>
      <sheetData sheetId="32547"/>
      <sheetData sheetId="32548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/>
      <sheetData sheetId="32560"/>
      <sheetData sheetId="32561"/>
      <sheetData sheetId="32562"/>
      <sheetData sheetId="32563"/>
      <sheetData sheetId="32564"/>
      <sheetData sheetId="32565"/>
      <sheetData sheetId="32566"/>
      <sheetData sheetId="32567"/>
      <sheetData sheetId="32568"/>
      <sheetData sheetId="32569"/>
      <sheetData sheetId="32570"/>
      <sheetData sheetId="32571"/>
      <sheetData sheetId="32572"/>
      <sheetData sheetId="32573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/>
      <sheetData sheetId="32600" refreshError="1"/>
      <sheetData sheetId="32601" refreshError="1"/>
      <sheetData sheetId="32602" refreshError="1"/>
      <sheetData sheetId="32603" refreshError="1"/>
      <sheetData sheetId="32604" refreshError="1"/>
      <sheetData sheetId="32605" refreshError="1"/>
      <sheetData sheetId="32606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>
        <row r="1335">
          <cell r="D1335">
            <v>0</v>
          </cell>
        </row>
      </sheetData>
      <sheetData sheetId="32721"/>
      <sheetData sheetId="32722">
        <row r="8">
          <cell r="G8">
            <v>160000000</v>
          </cell>
        </row>
      </sheetData>
      <sheetData sheetId="32723"/>
      <sheetData sheetId="32724"/>
      <sheetData sheetId="32725"/>
      <sheetData sheetId="32726">
        <row r="2">
          <cell r="A2" t="str">
            <v>Acc</v>
          </cell>
        </row>
      </sheetData>
      <sheetData sheetId="32727"/>
      <sheetData sheetId="32728" refreshError="1"/>
      <sheetData sheetId="32729" refreshError="1"/>
      <sheetData sheetId="32730" refreshError="1"/>
      <sheetData sheetId="32731" refreshError="1"/>
      <sheetData sheetId="32732" refreshError="1"/>
      <sheetData sheetId="32733" refreshError="1"/>
      <sheetData sheetId="32734" refreshError="1"/>
      <sheetData sheetId="32735" refreshError="1"/>
      <sheetData sheetId="32736" refreshError="1"/>
      <sheetData sheetId="32737" refreshError="1"/>
      <sheetData sheetId="32738" refreshError="1"/>
      <sheetData sheetId="32739" refreshError="1"/>
      <sheetData sheetId="32740" refreshError="1"/>
      <sheetData sheetId="32741" refreshError="1"/>
      <sheetData sheetId="32742" refreshError="1"/>
      <sheetData sheetId="32743" refreshError="1"/>
      <sheetData sheetId="32744" refreshError="1"/>
      <sheetData sheetId="32745" refreshError="1"/>
      <sheetData sheetId="32746" refreshError="1"/>
      <sheetData sheetId="32747" refreshError="1"/>
      <sheetData sheetId="32748" refreshError="1"/>
      <sheetData sheetId="32749" refreshError="1"/>
      <sheetData sheetId="32750" refreshError="1"/>
      <sheetData sheetId="32751" refreshError="1"/>
      <sheetData sheetId="32752" refreshError="1"/>
      <sheetData sheetId="32753" refreshError="1"/>
      <sheetData sheetId="32754" refreshError="1"/>
      <sheetData sheetId="32755" refreshError="1"/>
      <sheetData sheetId="32756" refreshError="1"/>
      <sheetData sheetId="32757" refreshError="1"/>
      <sheetData sheetId="32758" refreshError="1"/>
      <sheetData sheetId="32759" refreshError="1"/>
      <sheetData sheetId="32760" refreshError="1"/>
      <sheetData sheetId="32761" refreshError="1"/>
      <sheetData sheetId="32762" refreshError="1"/>
      <sheetData sheetId="32763" refreshError="1"/>
      <sheetData sheetId="32764" refreshError="1"/>
      <sheetData sheetId="32765" refreshError="1"/>
      <sheetData sheetId="32766" refreshError="1"/>
      <sheetData sheetId="32767" refreshError="1"/>
      <sheetData sheetId="32768" refreshError="1"/>
      <sheetData sheetId="32769" refreshError="1"/>
      <sheetData sheetId="32770" refreshError="1"/>
      <sheetData sheetId="32771" refreshError="1"/>
      <sheetData sheetId="32772" refreshError="1"/>
      <sheetData sheetId="32773" refreshError="1"/>
      <sheetData sheetId="32774" refreshError="1"/>
      <sheetData sheetId="32775" refreshError="1"/>
      <sheetData sheetId="32776" refreshError="1"/>
      <sheetData sheetId="32777" refreshError="1"/>
      <sheetData sheetId="32778" refreshError="1"/>
      <sheetData sheetId="32779" refreshError="1"/>
      <sheetData sheetId="32780" refreshError="1"/>
      <sheetData sheetId="32781" refreshError="1"/>
      <sheetData sheetId="32782" refreshError="1"/>
      <sheetData sheetId="32783" refreshError="1"/>
      <sheetData sheetId="32784" refreshError="1"/>
      <sheetData sheetId="32785" refreshError="1"/>
      <sheetData sheetId="32786" refreshError="1"/>
      <sheetData sheetId="32787" refreshError="1"/>
      <sheetData sheetId="32788" refreshError="1"/>
      <sheetData sheetId="32789" refreshError="1"/>
      <sheetData sheetId="32790" refreshError="1"/>
      <sheetData sheetId="32791" refreshError="1"/>
      <sheetData sheetId="32792" refreshError="1"/>
      <sheetData sheetId="32793" refreshError="1"/>
      <sheetData sheetId="32794" refreshError="1"/>
      <sheetData sheetId="32795" refreshError="1"/>
      <sheetData sheetId="32796" refreshError="1"/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 refreshError="1"/>
      <sheetData sheetId="32804" refreshError="1"/>
      <sheetData sheetId="32805" refreshError="1"/>
      <sheetData sheetId="32806" refreshError="1"/>
      <sheetData sheetId="32807" refreshError="1"/>
      <sheetData sheetId="32808" refreshError="1"/>
      <sheetData sheetId="32809" refreshError="1"/>
      <sheetData sheetId="32810" refreshError="1"/>
      <sheetData sheetId="32811" refreshError="1"/>
      <sheetData sheetId="32812" refreshError="1"/>
      <sheetData sheetId="32813" refreshError="1"/>
      <sheetData sheetId="32814" refreshError="1"/>
      <sheetData sheetId="32815" refreshError="1"/>
      <sheetData sheetId="32816" refreshError="1"/>
      <sheetData sheetId="32817" refreshError="1"/>
      <sheetData sheetId="32818" refreshError="1"/>
      <sheetData sheetId="32819" refreshError="1"/>
      <sheetData sheetId="32820" refreshError="1"/>
      <sheetData sheetId="32821" refreshError="1"/>
      <sheetData sheetId="32822" refreshError="1"/>
      <sheetData sheetId="32823" refreshError="1"/>
      <sheetData sheetId="32824" refreshError="1"/>
      <sheetData sheetId="32825" refreshError="1"/>
      <sheetData sheetId="32826" refreshError="1"/>
      <sheetData sheetId="32827" refreshError="1"/>
      <sheetData sheetId="32828" refreshError="1"/>
      <sheetData sheetId="32829" refreshError="1"/>
      <sheetData sheetId="32830" refreshError="1"/>
      <sheetData sheetId="32831" refreshError="1"/>
      <sheetData sheetId="32832" refreshError="1"/>
      <sheetData sheetId="32833" refreshError="1"/>
      <sheetData sheetId="32834" refreshError="1"/>
      <sheetData sheetId="32835" refreshError="1"/>
      <sheetData sheetId="32836" refreshError="1"/>
      <sheetData sheetId="32837" refreshError="1"/>
      <sheetData sheetId="32838" refreshError="1"/>
      <sheetData sheetId="32839" refreshError="1"/>
      <sheetData sheetId="32840" refreshError="1"/>
      <sheetData sheetId="32841" refreshError="1"/>
      <sheetData sheetId="32842" refreshError="1"/>
      <sheetData sheetId="32843" refreshError="1"/>
      <sheetData sheetId="32844" refreshError="1"/>
      <sheetData sheetId="32845" refreshError="1"/>
      <sheetData sheetId="32846" refreshError="1"/>
      <sheetData sheetId="32847" refreshError="1"/>
      <sheetData sheetId="32848" refreshError="1"/>
      <sheetData sheetId="32849" refreshError="1"/>
      <sheetData sheetId="32850" refreshError="1"/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 refreshError="1"/>
      <sheetData sheetId="32870" refreshError="1"/>
      <sheetData sheetId="32871" refreshError="1"/>
      <sheetData sheetId="32872" refreshError="1"/>
      <sheetData sheetId="32873" refreshError="1"/>
      <sheetData sheetId="32874" refreshError="1"/>
      <sheetData sheetId="32875" refreshError="1"/>
      <sheetData sheetId="32876" refreshError="1"/>
      <sheetData sheetId="32877" refreshError="1"/>
      <sheetData sheetId="32878" refreshError="1"/>
      <sheetData sheetId="32879" refreshError="1"/>
      <sheetData sheetId="32880" refreshError="1"/>
      <sheetData sheetId="32881" refreshError="1"/>
      <sheetData sheetId="32882" refreshError="1"/>
      <sheetData sheetId="32883" refreshError="1"/>
      <sheetData sheetId="32884" refreshError="1"/>
      <sheetData sheetId="32885" refreshError="1"/>
      <sheetData sheetId="32886" refreshError="1"/>
      <sheetData sheetId="32887" refreshError="1"/>
      <sheetData sheetId="32888" refreshError="1"/>
      <sheetData sheetId="32889" refreshError="1"/>
      <sheetData sheetId="32890" refreshError="1"/>
      <sheetData sheetId="32891" refreshError="1"/>
      <sheetData sheetId="32892" refreshError="1"/>
      <sheetData sheetId="32893" refreshError="1"/>
      <sheetData sheetId="32894" refreshError="1"/>
      <sheetData sheetId="32895" refreshError="1"/>
      <sheetData sheetId="32896" refreshError="1"/>
      <sheetData sheetId="32897" refreshError="1"/>
      <sheetData sheetId="32898" refreshError="1"/>
      <sheetData sheetId="32899" refreshError="1"/>
      <sheetData sheetId="32900" refreshError="1"/>
      <sheetData sheetId="32901" refreshError="1"/>
      <sheetData sheetId="32902" refreshError="1"/>
      <sheetData sheetId="32903" refreshError="1"/>
      <sheetData sheetId="32904" refreshError="1"/>
      <sheetData sheetId="32905" refreshError="1"/>
      <sheetData sheetId="32906" refreshError="1"/>
      <sheetData sheetId="32907" refreshError="1"/>
      <sheetData sheetId="32908" refreshError="1"/>
      <sheetData sheetId="32909" refreshError="1"/>
      <sheetData sheetId="32910" refreshError="1"/>
      <sheetData sheetId="32911" refreshError="1"/>
      <sheetData sheetId="32912" refreshError="1"/>
      <sheetData sheetId="32913" refreshError="1"/>
      <sheetData sheetId="32914" refreshError="1"/>
      <sheetData sheetId="32915" refreshError="1"/>
      <sheetData sheetId="32916" refreshError="1"/>
      <sheetData sheetId="32917" refreshError="1"/>
      <sheetData sheetId="32918" refreshError="1"/>
      <sheetData sheetId="32919" refreshError="1"/>
      <sheetData sheetId="32920" refreshError="1"/>
      <sheetData sheetId="32921" refreshError="1"/>
      <sheetData sheetId="32922" refreshError="1"/>
      <sheetData sheetId="32923" refreshError="1"/>
      <sheetData sheetId="32924" refreshError="1"/>
      <sheetData sheetId="32925" refreshError="1"/>
      <sheetData sheetId="32926" refreshError="1"/>
      <sheetData sheetId="32927" refreshError="1"/>
      <sheetData sheetId="32928" refreshError="1"/>
      <sheetData sheetId="32929" refreshError="1"/>
      <sheetData sheetId="32930" refreshError="1"/>
      <sheetData sheetId="32931" refreshError="1"/>
      <sheetData sheetId="32932" refreshError="1"/>
      <sheetData sheetId="32933" refreshError="1"/>
      <sheetData sheetId="32934" refreshError="1"/>
      <sheetData sheetId="32935" refreshError="1"/>
      <sheetData sheetId="32936" refreshError="1"/>
      <sheetData sheetId="32937" refreshError="1"/>
      <sheetData sheetId="32938" refreshError="1"/>
      <sheetData sheetId="32939" refreshError="1"/>
      <sheetData sheetId="32940" refreshError="1"/>
      <sheetData sheetId="32941" refreshError="1"/>
      <sheetData sheetId="32942" refreshError="1"/>
      <sheetData sheetId="32943" refreshError="1"/>
      <sheetData sheetId="32944" refreshError="1"/>
      <sheetData sheetId="32945" refreshError="1"/>
      <sheetData sheetId="32946" refreshError="1"/>
      <sheetData sheetId="32947" refreshError="1"/>
      <sheetData sheetId="32948" refreshError="1"/>
      <sheetData sheetId="32949" refreshError="1"/>
      <sheetData sheetId="32950" refreshError="1"/>
      <sheetData sheetId="32951" refreshError="1"/>
      <sheetData sheetId="32952" refreshError="1"/>
      <sheetData sheetId="32953" refreshError="1"/>
      <sheetData sheetId="32954" refreshError="1"/>
      <sheetData sheetId="32955" refreshError="1"/>
      <sheetData sheetId="32956" refreshError="1"/>
      <sheetData sheetId="32957" refreshError="1"/>
      <sheetData sheetId="32958" refreshError="1"/>
      <sheetData sheetId="32959" refreshError="1"/>
      <sheetData sheetId="32960" refreshError="1"/>
      <sheetData sheetId="32961" refreshError="1"/>
      <sheetData sheetId="32962" refreshError="1"/>
      <sheetData sheetId="32963" refreshError="1"/>
      <sheetData sheetId="32964" refreshError="1"/>
      <sheetData sheetId="32965" refreshError="1"/>
      <sheetData sheetId="32966" refreshError="1"/>
      <sheetData sheetId="32967" refreshError="1"/>
      <sheetData sheetId="32968" refreshError="1"/>
      <sheetData sheetId="32969" refreshError="1"/>
      <sheetData sheetId="32970" refreshError="1"/>
      <sheetData sheetId="32971" refreshError="1"/>
      <sheetData sheetId="32972" refreshError="1"/>
      <sheetData sheetId="32973" refreshError="1"/>
      <sheetData sheetId="32974" refreshError="1"/>
      <sheetData sheetId="32975" refreshError="1"/>
      <sheetData sheetId="32976" refreshError="1"/>
      <sheetData sheetId="32977" refreshError="1"/>
      <sheetData sheetId="32978" refreshError="1"/>
      <sheetData sheetId="32979" refreshError="1"/>
      <sheetData sheetId="32980" refreshError="1"/>
      <sheetData sheetId="32981" refreshError="1"/>
      <sheetData sheetId="32982" refreshError="1"/>
      <sheetData sheetId="32983" refreshError="1"/>
      <sheetData sheetId="32984" refreshError="1"/>
      <sheetData sheetId="32985" refreshError="1"/>
      <sheetData sheetId="32986" refreshError="1"/>
      <sheetData sheetId="32987" refreshError="1"/>
      <sheetData sheetId="32988" refreshError="1"/>
      <sheetData sheetId="32989" refreshError="1"/>
      <sheetData sheetId="32990" refreshError="1"/>
      <sheetData sheetId="32991" refreshError="1"/>
      <sheetData sheetId="32992" refreshError="1"/>
      <sheetData sheetId="32993" refreshError="1"/>
      <sheetData sheetId="32994" refreshError="1"/>
      <sheetData sheetId="32995" refreshError="1"/>
      <sheetData sheetId="32996" refreshError="1"/>
      <sheetData sheetId="32997" refreshError="1"/>
      <sheetData sheetId="32998" refreshError="1"/>
      <sheetData sheetId="32999" refreshError="1"/>
      <sheetData sheetId="33000" refreshError="1"/>
      <sheetData sheetId="33001" refreshError="1"/>
      <sheetData sheetId="33002" refreshError="1"/>
      <sheetData sheetId="33003" refreshError="1"/>
      <sheetData sheetId="33004" refreshError="1"/>
      <sheetData sheetId="33005" refreshError="1"/>
      <sheetData sheetId="33006" refreshError="1"/>
      <sheetData sheetId="33007" refreshError="1"/>
      <sheetData sheetId="33008" refreshError="1"/>
      <sheetData sheetId="33009"/>
      <sheetData sheetId="33010"/>
      <sheetData sheetId="33011"/>
      <sheetData sheetId="33012"/>
      <sheetData sheetId="33013" refreshError="1"/>
      <sheetData sheetId="33014" refreshError="1"/>
      <sheetData sheetId="33015" refreshError="1"/>
      <sheetData sheetId="33016" refreshError="1"/>
      <sheetData sheetId="33017" refreshError="1"/>
      <sheetData sheetId="33018" refreshError="1"/>
      <sheetData sheetId="33019" refreshError="1"/>
      <sheetData sheetId="33020" refreshError="1"/>
      <sheetData sheetId="33021" refreshError="1"/>
      <sheetData sheetId="33022" refreshError="1"/>
      <sheetData sheetId="33023" refreshError="1"/>
      <sheetData sheetId="33024" refreshError="1"/>
      <sheetData sheetId="33025" refreshError="1"/>
      <sheetData sheetId="33026" refreshError="1"/>
      <sheetData sheetId="33027" refreshError="1"/>
      <sheetData sheetId="33028" refreshError="1"/>
      <sheetData sheetId="33029" refreshError="1"/>
      <sheetData sheetId="33030" refreshError="1"/>
      <sheetData sheetId="33031" refreshError="1"/>
      <sheetData sheetId="33032" refreshError="1"/>
      <sheetData sheetId="33033" refreshError="1"/>
      <sheetData sheetId="33034" refreshError="1"/>
      <sheetData sheetId="33035" refreshError="1"/>
      <sheetData sheetId="33036" refreshError="1"/>
      <sheetData sheetId="33037" refreshError="1"/>
      <sheetData sheetId="33038" refreshError="1"/>
      <sheetData sheetId="33039" refreshError="1"/>
      <sheetData sheetId="33040" refreshError="1"/>
      <sheetData sheetId="33041" refreshError="1"/>
      <sheetData sheetId="33042" refreshError="1"/>
      <sheetData sheetId="33043" refreshError="1"/>
      <sheetData sheetId="33044" refreshError="1"/>
      <sheetData sheetId="33045" refreshError="1"/>
      <sheetData sheetId="33046" refreshError="1"/>
      <sheetData sheetId="33047" refreshError="1"/>
      <sheetData sheetId="33048" refreshError="1"/>
      <sheetData sheetId="33049" refreshError="1"/>
      <sheetData sheetId="33050" refreshError="1"/>
      <sheetData sheetId="33051" refreshError="1"/>
      <sheetData sheetId="33052" refreshError="1"/>
      <sheetData sheetId="33053" refreshError="1"/>
      <sheetData sheetId="33054" refreshError="1"/>
      <sheetData sheetId="33055" refreshError="1"/>
      <sheetData sheetId="33056" refreshError="1"/>
      <sheetData sheetId="33057" refreshError="1"/>
      <sheetData sheetId="33058" refreshError="1"/>
      <sheetData sheetId="33059" refreshError="1"/>
      <sheetData sheetId="33060" refreshError="1"/>
      <sheetData sheetId="33061" refreshError="1"/>
      <sheetData sheetId="33062" refreshError="1"/>
      <sheetData sheetId="33063" refreshError="1"/>
      <sheetData sheetId="33064" refreshError="1"/>
      <sheetData sheetId="33065" refreshError="1"/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 refreshError="1"/>
      <sheetData sheetId="33081" refreshError="1"/>
      <sheetData sheetId="33082" refreshError="1"/>
      <sheetData sheetId="33083" refreshError="1"/>
      <sheetData sheetId="33084" refreshError="1"/>
      <sheetData sheetId="33085" refreshError="1"/>
      <sheetData sheetId="33086" refreshError="1"/>
      <sheetData sheetId="33087" refreshError="1"/>
      <sheetData sheetId="33088" refreshError="1"/>
      <sheetData sheetId="33089" refreshError="1"/>
      <sheetData sheetId="33090" refreshError="1"/>
      <sheetData sheetId="33091" refreshError="1"/>
      <sheetData sheetId="33092" refreshError="1"/>
      <sheetData sheetId="33093" refreshError="1"/>
      <sheetData sheetId="33094" refreshError="1"/>
      <sheetData sheetId="33095" refreshError="1"/>
      <sheetData sheetId="33096" refreshError="1"/>
      <sheetData sheetId="33097" refreshError="1"/>
      <sheetData sheetId="33098" refreshError="1"/>
      <sheetData sheetId="33099" refreshError="1"/>
      <sheetData sheetId="33100" refreshError="1"/>
      <sheetData sheetId="33101" refreshError="1"/>
      <sheetData sheetId="33102" refreshError="1"/>
      <sheetData sheetId="33103" refreshError="1"/>
      <sheetData sheetId="33104" refreshError="1"/>
      <sheetData sheetId="33105" refreshError="1"/>
      <sheetData sheetId="33106" refreshError="1"/>
      <sheetData sheetId="33107" refreshError="1"/>
      <sheetData sheetId="33108" refreshError="1"/>
      <sheetData sheetId="33109" refreshError="1"/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 refreshError="1"/>
      <sheetData sheetId="33136" refreshError="1"/>
      <sheetData sheetId="33137" refreshError="1"/>
      <sheetData sheetId="33138" refreshError="1"/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 refreshError="1"/>
      <sheetData sheetId="33147" refreshError="1"/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 refreshError="1"/>
      <sheetData sheetId="33166" refreshError="1"/>
      <sheetData sheetId="33167" refreshError="1"/>
      <sheetData sheetId="33168" refreshError="1"/>
      <sheetData sheetId="33169" refreshError="1"/>
      <sheetData sheetId="33170" refreshError="1"/>
      <sheetData sheetId="33171" refreshError="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 refreshError="1"/>
      <sheetData sheetId="33209" refreshError="1"/>
      <sheetData sheetId="33210" refreshError="1"/>
      <sheetData sheetId="33211" refreshError="1"/>
      <sheetData sheetId="33212" refreshError="1"/>
      <sheetData sheetId="33213" refreshError="1"/>
      <sheetData sheetId="33214" refreshError="1"/>
      <sheetData sheetId="33215" refreshError="1"/>
      <sheetData sheetId="33216" refreshError="1"/>
      <sheetData sheetId="33217" refreshError="1"/>
      <sheetData sheetId="33218" refreshError="1"/>
      <sheetData sheetId="33219" refreshError="1"/>
      <sheetData sheetId="33220" refreshError="1"/>
      <sheetData sheetId="33221" refreshError="1"/>
      <sheetData sheetId="33222" refreshError="1"/>
      <sheetData sheetId="33223" refreshError="1"/>
      <sheetData sheetId="33224" refreshError="1"/>
      <sheetData sheetId="33225" refreshError="1"/>
      <sheetData sheetId="33226" refreshError="1"/>
      <sheetData sheetId="33227" refreshError="1"/>
      <sheetData sheetId="33228" refreshError="1"/>
      <sheetData sheetId="33229" refreshError="1"/>
      <sheetData sheetId="33230" refreshError="1"/>
      <sheetData sheetId="33231" refreshError="1"/>
      <sheetData sheetId="33232" refreshError="1"/>
      <sheetData sheetId="33233" refreshError="1"/>
      <sheetData sheetId="33234" refreshError="1"/>
      <sheetData sheetId="33235" refreshError="1"/>
      <sheetData sheetId="33236" refreshError="1"/>
      <sheetData sheetId="33237" refreshError="1"/>
      <sheetData sheetId="33238" refreshError="1"/>
      <sheetData sheetId="33239" refreshError="1"/>
      <sheetData sheetId="33240" refreshError="1"/>
      <sheetData sheetId="33241" refreshError="1"/>
      <sheetData sheetId="33242" refreshError="1"/>
      <sheetData sheetId="33243" refreshError="1"/>
      <sheetData sheetId="33244" refreshError="1"/>
      <sheetData sheetId="33245" refreshError="1"/>
      <sheetData sheetId="33246" refreshError="1"/>
      <sheetData sheetId="33247" refreshError="1"/>
      <sheetData sheetId="33248" refreshError="1"/>
      <sheetData sheetId="33249" refreshError="1"/>
      <sheetData sheetId="33250" refreshError="1"/>
      <sheetData sheetId="33251" refreshError="1"/>
      <sheetData sheetId="33252" refreshError="1"/>
      <sheetData sheetId="33253" refreshError="1"/>
      <sheetData sheetId="33254" refreshError="1"/>
      <sheetData sheetId="33255" refreshError="1"/>
      <sheetData sheetId="33256" refreshError="1"/>
      <sheetData sheetId="33257" refreshError="1"/>
      <sheetData sheetId="33258" refreshError="1"/>
      <sheetData sheetId="33259" refreshError="1"/>
      <sheetData sheetId="33260" refreshError="1"/>
      <sheetData sheetId="33261" refreshError="1"/>
      <sheetData sheetId="33262" refreshError="1"/>
      <sheetData sheetId="33263" refreshError="1"/>
      <sheetData sheetId="33264" refreshError="1"/>
      <sheetData sheetId="33265" refreshError="1"/>
      <sheetData sheetId="33266" refreshError="1"/>
      <sheetData sheetId="33267" refreshError="1"/>
      <sheetData sheetId="33268" refreshError="1"/>
      <sheetData sheetId="33269" refreshError="1"/>
      <sheetData sheetId="33270" refreshError="1"/>
      <sheetData sheetId="33271" refreshError="1"/>
      <sheetData sheetId="33272" refreshError="1"/>
      <sheetData sheetId="33273" refreshError="1"/>
      <sheetData sheetId="33274" refreshError="1"/>
      <sheetData sheetId="33275" refreshError="1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 refreshError="1"/>
      <sheetData sheetId="33283" refreshError="1"/>
      <sheetData sheetId="33284" refreshError="1"/>
      <sheetData sheetId="33285" refreshError="1"/>
      <sheetData sheetId="33286" refreshError="1"/>
      <sheetData sheetId="33287" refreshError="1"/>
      <sheetData sheetId="33288" refreshError="1"/>
      <sheetData sheetId="33289" refreshError="1"/>
      <sheetData sheetId="33290" refreshError="1"/>
      <sheetData sheetId="33291" refreshError="1"/>
      <sheetData sheetId="33292" refreshError="1"/>
      <sheetData sheetId="33293" refreshError="1"/>
      <sheetData sheetId="33294" refreshError="1"/>
      <sheetData sheetId="33295" refreshError="1"/>
      <sheetData sheetId="33296" refreshError="1"/>
      <sheetData sheetId="33297" refreshError="1"/>
      <sheetData sheetId="33298" refreshError="1"/>
      <sheetData sheetId="33299" refreshError="1"/>
      <sheetData sheetId="33300" refreshError="1"/>
      <sheetData sheetId="33301" refreshError="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/>
      <sheetData sheetId="33325"/>
      <sheetData sheetId="33326" refreshError="1"/>
      <sheetData sheetId="33327" refreshError="1"/>
      <sheetData sheetId="33328" refreshError="1"/>
      <sheetData sheetId="33329" refreshError="1"/>
      <sheetData sheetId="33330" refreshError="1"/>
      <sheetData sheetId="33331" refreshError="1"/>
      <sheetData sheetId="33332"/>
      <sheetData sheetId="33333" refreshError="1"/>
      <sheetData sheetId="33334" refreshError="1"/>
      <sheetData sheetId="33335" refreshError="1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0000"/>
      <sheetName val="1000"/>
      <sheetName val="lb-rugi"/>
      <sheetName val="ADJ 2003"/>
      <sheetName val="worksheet"/>
      <sheetName val="nrcaktv"/>
      <sheetName val="Neraca psv"/>
      <sheetName val="Neraca"/>
      <sheetName val="laba rugi"/>
      <sheetName val="Equitas"/>
      <sheetName val="ArusKas"/>
      <sheetName val="deffered tax"/>
      <sheetName val="BBM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work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 t="str">
            <v xml:space="preserve">002. 70/1 -24 - RWC                            </v>
          </cell>
          <cell r="B7">
            <v>1</v>
          </cell>
          <cell r="G7">
            <v>1</v>
          </cell>
          <cell r="H7">
            <v>2.7391954676709012</v>
          </cell>
          <cell r="I7">
            <v>0.37628931898864065</v>
          </cell>
          <cell r="J7">
            <v>6.857142857142857E-4</v>
          </cell>
          <cell r="K7">
            <v>4.8410061699098235E-2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S7">
            <v>8.4385382059800673E-2</v>
          </cell>
          <cell r="T7">
            <v>3.536</v>
          </cell>
          <cell r="U7">
            <v>4.7</v>
          </cell>
          <cell r="V7">
            <v>0.76364037994256684</v>
          </cell>
          <cell r="W7">
            <v>6914</v>
          </cell>
        </row>
        <row r="8">
          <cell r="A8" t="str">
            <v xml:space="preserve">003. 70/1 -24 - RWT                              </v>
          </cell>
          <cell r="B8">
            <v>1</v>
          </cell>
          <cell r="C8">
            <v>1</v>
          </cell>
          <cell r="G8">
            <v>1</v>
          </cell>
          <cell r="H8">
            <v>2.7391954676709012</v>
          </cell>
          <cell r="I8">
            <v>0.37628931898864065</v>
          </cell>
          <cell r="J8">
            <v>6.857142857142857E-4</v>
          </cell>
          <cell r="K8">
            <v>4.8410061699098235E-2</v>
          </cell>
          <cell r="L8">
            <v>3.585322013564928</v>
          </cell>
          <cell r="M8">
            <v>0.66360337694867755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S8">
            <v>8.4385382059800673E-2</v>
          </cell>
          <cell r="T8">
            <v>3.536</v>
          </cell>
          <cell r="V8">
            <v>0</v>
          </cell>
        </row>
        <row r="9">
          <cell r="A9" t="str">
            <v xml:space="preserve">004. 70/2 - 24  RWC                               </v>
          </cell>
          <cell r="B9">
            <v>1</v>
          </cell>
          <cell r="C9">
            <v>1</v>
          </cell>
          <cell r="G9">
            <v>1</v>
          </cell>
          <cell r="H9">
            <v>2.7391954676709012</v>
          </cell>
          <cell r="I9">
            <v>0.37628931898864065</v>
          </cell>
          <cell r="J9">
            <v>6.857142857142857E-4</v>
          </cell>
          <cell r="K9">
            <v>4.8410061699098235E-2</v>
          </cell>
          <cell r="L9">
            <v>1.792661006782464</v>
          </cell>
          <cell r="M9">
            <v>0.33180168847433877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4.2192691029900337E-2</v>
          </cell>
          <cell r="T9">
            <v>3.536</v>
          </cell>
          <cell r="U9">
            <v>4.45</v>
          </cell>
          <cell r="V9">
            <v>0.92467417715926659</v>
          </cell>
          <cell r="W9">
            <v>8372</v>
          </cell>
        </row>
        <row r="10">
          <cell r="A10" t="str">
            <v>005. 70/2 - 24  RWC I/L</v>
          </cell>
          <cell r="B10">
            <v>1</v>
          </cell>
          <cell r="G10">
            <v>1</v>
          </cell>
          <cell r="H10">
            <v>3.9204485206955129</v>
          </cell>
          <cell r="I10">
            <v>0.37628931898864065</v>
          </cell>
          <cell r="J10">
            <v>6.857142857142857E-4</v>
          </cell>
          <cell r="K10">
            <v>4.8410061699098235E-2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S10">
            <v>4.2192691029900337E-2</v>
          </cell>
          <cell r="T10">
            <v>3.536</v>
          </cell>
          <cell r="V10">
            <v>0</v>
          </cell>
        </row>
        <row r="11">
          <cell r="A11" t="str">
            <v xml:space="preserve">006. 70/4 - 24  RWC                             </v>
          </cell>
          <cell r="B11">
            <v>1</v>
          </cell>
          <cell r="C11">
            <v>1</v>
          </cell>
          <cell r="G11">
            <v>1</v>
          </cell>
          <cell r="H11">
            <v>2.7391954676709012</v>
          </cell>
          <cell r="I11">
            <v>0.37628931898864065</v>
          </cell>
          <cell r="J11">
            <v>6.857142857142857E-4</v>
          </cell>
          <cell r="K11">
            <v>4.8410061699098235E-2</v>
          </cell>
          <cell r="L11">
            <v>0.78207329305474138</v>
          </cell>
          <cell r="M11">
            <v>0.16590084423716939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S11">
            <v>2.1096345514950168E-2</v>
          </cell>
          <cell r="T11">
            <v>3.536</v>
          </cell>
          <cell r="V11">
            <v>0</v>
          </cell>
        </row>
        <row r="12">
          <cell r="A12" t="str">
            <v xml:space="preserve">007. 70/1 -24 - NMD                              </v>
          </cell>
          <cell r="B12">
            <v>1</v>
          </cell>
          <cell r="E12">
            <v>1</v>
          </cell>
          <cell r="F12">
            <v>1</v>
          </cell>
          <cell r="G12">
            <v>1</v>
          </cell>
          <cell r="H12">
            <v>2.7391954676709012</v>
          </cell>
          <cell r="I12">
            <v>0.37628931898864065</v>
          </cell>
          <cell r="J12">
            <v>6.857142857142857E-4</v>
          </cell>
          <cell r="K12">
            <v>4.8410061699098235E-2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4.1870915660823238</v>
          </cell>
          <cell r="Q12">
            <v>1.046036775863608</v>
          </cell>
          <cell r="S12">
            <v>8.4385382059800673E-2</v>
          </cell>
          <cell r="T12">
            <v>3.536</v>
          </cell>
          <cell r="V12">
            <v>0</v>
          </cell>
        </row>
        <row r="13">
          <cell r="A13" t="str">
            <v xml:space="preserve">008. 70/2 -24 - RWC </v>
          </cell>
          <cell r="B13">
            <v>1</v>
          </cell>
          <cell r="C13">
            <v>1</v>
          </cell>
          <cell r="G13">
            <v>1</v>
          </cell>
          <cell r="H13">
            <v>2.7391954676709012</v>
          </cell>
          <cell r="I13">
            <v>0.37628931898864065</v>
          </cell>
          <cell r="J13">
            <v>6.857142857142857E-4</v>
          </cell>
          <cell r="K13">
            <v>4.8410061699098235E-2</v>
          </cell>
          <cell r="L13">
            <v>1.6866631496268354</v>
          </cell>
          <cell r="M13">
            <v>0.33180168847433877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S13">
            <v>4.2192691029900337E-2</v>
          </cell>
          <cell r="T13">
            <v>3.536</v>
          </cell>
          <cell r="U13">
            <v>4.8499999999999996</v>
          </cell>
          <cell r="V13">
            <v>0</v>
          </cell>
        </row>
        <row r="14">
          <cell r="A14" t="str">
            <v xml:space="preserve">010. 70/2 - 24  DOC                                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2.7391954676709012</v>
          </cell>
          <cell r="I14">
            <v>0.37628931898864065</v>
          </cell>
          <cell r="J14">
            <v>6.857142857142857E-4</v>
          </cell>
          <cell r="K14">
            <v>4.8410061699098235E-2</v>
          </cell>
          <cell r="L14">
            <v>1.792661006782464</v>
          </cell>
          <cell r="M14">
            <v>0.33180168847433877</v>
          </cell>
          <cell r="N14">
            <v>0.78056793131839819</v>
          </cell>
          <cell r="O14">
            <v>0.17548430533031659</v>
          </cell>
          <cell r="P14">
            <v>2.0933400493753753</v>
          </cell>
          <cell r="Q14">
            <v>0.523018387931804</v>
          </cell>
          <cell r="S14">
            <v>4.2192691029900337E-2</v>
          </cell>
          <cell r="T14">
            <v>3.536</v>
          </cell>
          <cell r="V14">
            <v>0</v>
          </cell>
        </row>
        <row r="15">
          <cell r="A15" t="str">
            <v xml:space="preserve">011 70/4 - 24  DOC                               </v>
          </cell>
          <cell r="B15">
            <v>1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2.7391954676709012</v>
          </cell>
          <cell r="I15">
            <v>0.37628931898864065</v>
          </cell>
          <cell r="J15">
            <v>6.857142857142857E-4</v>
          </cell>
          <cell r="K15">
            <v>4.8410061699098235E-2</v>
          </cell>
          <cell r="L15">
            <v>0.78207329305474138</v>
          </cell>
          <cell r="M15">
            <v>0.16590084423716939</v>
          </cell>
          <cell r="N15">
            <v>0.39028396565919909</v>
          </cell>
          <cell r="O15">
            <v>8.7742152665158293E-2</v>
          </cell>
          <cell r="P15">
            <v>2.0933400493753753</v>
          </cell>
          <cell r="Q15">
            <v>0.523018387931804</v>
          </cell>
          <cell r="S15">
            <v>2.1096345514950168E-2</v>
          </cell>
          <cell r="T15">
            <v>3.536</v>
          </cell>
          <cell r="V15">
            <v>0</v>
          </cell>
        </row>
        <row r="16">
          <cell r="A16" t="str">
            <v>012. 70/2 - 24  RWDT</v>
          </cell>
          <cell r="B16">
            <v>1</v>
          </cell>
          <cell r="C16">
            <v>1</v>
          </cell>
          <cell r="G16">
            <v>1</v>
          </cell>
          <cell r="H16">
            <v>2.7391954676709012</v>
          </cell>
          <cell r="I16">
            <v>0.37628931898864065</v>
          </cell>
          <cell r="J16">
            <v>6.857142857142857E-4</v>
          </cell>
          <cell r="K16">
            <v>4.8410061699098235E-2</v>
          </cell>
          <cell r="L16">
            <v>2.1130658745205815</v>
          </cell>
          <cell r="M16">
            <v>0.33180168847433877</v>
          </cell>
          <cell r="N16">
            <v>0</v>
          </cell>
          <cell r="O16">
            <v>0</v>
          </cell>
          <cell r="P16">
            <v>4.1866800987507506</v>
          </cell>
          <cell r="Q16">
            <v>1.046036775863608</v>
          </cell>
          <cell r="S16">
            <v>4.2192691029900337E-2</v>
          </cell>
          <cell r="T16">
            <v>3.536</v>
          </cell>
          <cell r="V16">
            <v>0</v>
          </cell>
        </row>
        <row r="17">
          <cell r="A17" t="str">
            <v xml:space="preserve">013. 70/8 - 24  DOC                                 </v>
          </cell>
          <cell r="B17">
            <v>1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2.7391954676709012</v>
          </cell>
          <cell r="I17">
            <v>0.37628931898864065</v>
          </cell>
          <cell r="J17">
            <v>6.857142857142857E-4</v>
          </cell>
          <cell r="K17">
            <v>4.8410061699098235E-2</v>
          </cell>
          <cell r="L17">
            <v>0.448165251695616</v>
          </cell>
          <cell r="M17">
            <v>8.2950422118584693E-2</v>
          </cell>
          <cell r="N17">
            <v>0.19514198282959955</v>
          </cell>
          <cell r="O17">
            <v>4.3871076332579147E-2</v>
          </cell>
          <cell r="P17">
            <v>1.0468963317200528</v>
          </cell>
          <cell r="Q17">
            <v>0.261509193965902</v>
          </cell>
          <cell r="S17">
            <v>1.0548172757475084E-2</v>
          </cell>
          <cell r="T17">
            <v>3.536</v>
          </cell>
          <cell r="V17">
            <v>0</v>
          </cell>
        </row>
        <row r="18">
          <cell r="A18" t="str">
            <v xml:space="preserve">014. 100 - 24 - 205 </v>
          </cell>
          <cell r="H18">
            <v>0</v>
          </cell>
          <cell r="I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V18">
            <v>0</v>
          </cell>
        </row>
        <row r="19">
          <cell r="A19" t="str">
            <v xml:space="preserve">015. 100/6 - 24 RWC                                </v>
          </cell>
          <cell r="B19">
            <v>1</v>
          </cell>
          <cell r="C19">
            <v>1</v>
          </cell>
          <cell r="G19">
            <v>1</v>
          </cell>
          <cell r="H19">
            <v>1.866524637431793</v>
          </cell>
          <cell r="I19">
            <v>0.26340252329204838</v>
          </cell>
          <cell r="J19">
            <v>6.857142857142857E-4</v>
          </cell>
          <cell r="K19">
            <v>3.3887043189368769E-2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9.8449612403100784E-3</v>
          </cell>
          <cell r="T19">
            <v>3.536</v>
          </cell>
          <cell r="V19">
            <v>0</v>
          </cell>
        </row>
        <row r="20">
          <cell r="A20" t="str">
            <v xml:space="preserve">016. 100/1 - 24 RWT                                   </v>
          </cell>
          <cell r="B20">
            <v>1</v>
          </cell>
          <cell r="C20">
            <v>1</v>
          </cell>
          <cell r="G20">
            <v>1</v>
          </cell>
          <cell r="H20">
            <v>1.866524637431793</v>
          </cell>
          <cell r="I20">
            <v>0.26340252329204838</v>
          </cell>
          <cell r="J20">
            <v>6.857142857142857E-4</v>
          </cell>
          <cell r="K20">
            <v>3.3887043189368769E-2</v>
          </cell>
          <cell r="L20">
            <v>2.5096423133424768</v>
          </cell>
          <cell r="M20">
            <v>0.46452236386407419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5.9069767441860467E-2</v>
          </cell>
          <cell r="T20">
            <v>3.536</v>
          </cell>
          <cell r="V20">
            <v>0</v>
          </cell>
        </row>
        <row r="21">
          <cell r="A21" t="str">
            <v xml:space="preserve">017. 100/4 - 24 RWC                                  </v>
          </cell>
          <cell r="B21">
            <v>1</v>
          </cell>
          <cell r="C21">
            <v>1</v>
          </cell>
          <cell r="G21">
            <v>1</v>
          </cell>
          <cell r="H21">
            <v>1.866524637431793</v>
          </cell>
          <cell r="I21">
            <v>0.26340252329204838</v>
          </cell>
          <cell r="J21">
            <v>6.857142857142857E-4</v>
          </cell>
          <cell r="K21">
            <v>3.3887043189368769E-2</v>
          </cell>
          <cell r="L21">
            <v>0.6273759549385477</v>
          </cell>
          <cell r="M21">
            <v>0.11613059096601855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1.4767441860465117E-2</v>
          </cell>
          <cell r="T21">
            <v>3.536</v>
          </cell>
          <cell r="V21">
            <v>0</v>
          </cell>
        </row>
        <row r="22">
          <cell r="A22" t="str">
            <v xml:space="preserve">018. 100/1 - 24 RWC                                  </v>
          </cell>
          <cell r="B22">
            <v>1</v>
          </cell>
          <cell r="G22">
            <v>1</v>
          </cell>
          <cell r="H22">
            <v>1.866524637431793</v>
          </cell>
          <cell r="I22">
            <v>0.26340252329204838</v>
          </cell>
          <cell r="J22">
            <v>6.857142857142857E-4</v>
          </cell>
          <cell r="K22">
            <v>3.3887043189368769E-2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5.9069767441860467E-2</v>
          </cell>
          <cell r="T22">
            <v>3.536</v>
          </cell>
          <cell r="V22">
            <v>0</v>
          </cell>
        </row>
        <row r="23">
          <cell r="A23" t="str">
            <v xml:space="preserve">019. 100/2 - 24 RWC                                   </v>
          </cell>
          <cell r="B23">
            <v>1</v>
          </cell>
          <cell r="C23">
            <v>1</v>
          </cell>
          <cell r="G23">
            <v>1</v>
          </cell>
          <cell r="H23">
            <v>1.866524637431793</v>
          </cell>
          <cell r="I23">
            <v>0.26340252329204838</v>
          </cell>
          <cell r="J23">
            <v>6.857142857142857E-4</v>
          </cell>
          <cell r="K23">
            <v>3.3887043189368769E-2</v>
          </cell>
          <cell r="L23">
            <v>1.2547519098770954</v>
          </cell>
          <cell r="M23">
            <v>0.2322611819320371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2.9534883720930234E-2</v>
          </cell>
          <cell r="T23">
            <v>3.536</v>
          </cell>
          <cell r="U23">
            <v>4.08</v>
          </cell>
          <cell r="V23">
            <v>0.79467638612767832</v>
          </cell>
          <cell r="W23">
            <v>7195</v>
          </cell>
        </row>
        <row r="24">
          <cell r="A24" t="str">
            <v xml:space="preserve">020. 100/2 - 24 RWC  I/L                         </v>
          </cell>
          <cell r="B24">
            <v>1</v>
          </cell>
          <cell r="G24">
            <v>1</v>
          </cell>
          <cell r="H24">
            <v>1.866524637431793</v>
          </cell>
          <cell r="I24">
            <v>0.26340252329204838</v>
          </cell>
          <cell r="J24">
            <v>6.857142857142857E-4</v>
          </cell>
          <cell r="K24">
            <v>3.3887043189368769E-2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2.9534883720930234E-2</v>
          </cell>
          <cell r="T24">
            <v>3.536</v>
          </cell>
          <cell r="V24">
            <v>0</v>
          </cell>
        </row>
        <row r="25">
          <cell r="A25" t="str">
            <v xml:space="preserve">021. 100/1 - 24 NMD                                  </v>
          </cell>
          <cell r="B25">
            <v>1</v>
          </cell>
          <cell r="E25">
            <v>1</v>
          </cell>
          <cell r="F25">
            <v>1</v>
          </cell>
          <cell r="G25">
            <v>1</v>
          </cell>
          <cell r="H25">
            <v>1.866524637431793</v>
          </cell>
          <cell r="I25">
            <v>0.26340252329204838</v>
          </cell>
          <cell r="J25">
            <v>6.857142857142857E-4</v>
          </cell>
          <cell r="K25">
            <v>3.3887043189368769E-2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4.0810892479536589</v>
          </cell>
          <cell r="Q25">
            <v>1.0251160403463351</v>
          </cell>
          <cell r="S25">
            <v>5.9069767441860467E-2</v>
          </cell>
          <cell r="T25">
            <v>3.536</v>
          </cell>
          <cell r="V25">
            <v>0</v>
          </cell>
        </row>
        <row r="26">
          <cell r="A26" t="str">
            <v xml:space="preserve">022. 100/6 - 24 DOC                                  </v>
          </cell>
          <cell r="B26">
            <v>1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1.866524637431793</v>
          </cell>
          <cell r="I26">
            <v>0.26340252329204838</v>
          </cell>
          <cell r="J26">
            <v>6.857142857142857E-4</v>
          </cell>
          <cell r="K26">
            <v>3.3887043189368769E-2</v>
          </cell>
          <cell r="L26">
            <v>0.4182506366256985</v>
          </cell>
          <cell r="M26">
            <v>7.7420393977345667E-2</v>
          </cell>
          <cell r="N26">
            <v>0.18455743649609249</v>
          </cell>
          <cell r="O26">
            <v>4.09463379104072E-2</v>
          </cell>
          <cell r="P26">
            <v>0.97168791617944217</v>
          </cell>
          <cell r="Q26">
            <v>0.24407524770150857</v>
          </cell>
          <cell r="S26">
            <v>9.8449612403100784E-3</v>
          </cell>
          <cell r="T26">
            <v>3.536</v>
          </cell>
          <cell r="V26">
            <v>0</v>
          </cell>
        </row>
        <row r="27">
          <cell r="A27" t="str">
            <v xml:space="preserve">023. 100/2 - 24 DOC                                  </v>
          </cell>
          <cell r="B27">
            <v>1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1.866524637431793</v>
          </cell>
          <cell r="I27">
            <v>0.26340252329204838</v>
          </cell>
          <cell r="J27">
            <v>6.857142857142857E-4</v>
          </cell>
          <cell r="K27">
            <v>3.3887043189368769E-2</v>
          </cell>
          <cell r="L27">
            <v>1.2547519098770954</v>
          </cell>
          <cell r="M27">
            <v>0.2322611819320371</v>
          </cell>
          <cell r="N27">
            <v>0.55351416258468189</v>
          </cell>
          <cell r="O27">
            <v>0.12283901373122159</v>
          </cell>
          <cell r="P27">
            <v>2.9150637485383264</v>
          </cell>
          <cell r="Q27">
            <v>0.73222574310452548</v>
          </cell>
          <cell r="S27">
            <v>2.9534883720930234E-2</v>
          </cell>
          <cell r="T27">
            <v>3.536</v>
          </cell>
          <cell r="U27">
            <v>5.82</v>
          </cell>
          <cell r="V27">
            <v>0</v>
          </cell>
        </row>
        <row r="28">
          <cell r="A28" t="str">
            <v xml:space="preserve">024. 100/4 - 24 DOC                                   </v>
          </cell>
          <cell r="B28">
            <v>1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1.866524637431793</v>
          </cell>
          <cell r="I28">
            <v>0.26340252329204838</v>
          </cell>
          <cell r="J28">
            <v>6.857142857142857E-4</v>
          </cell>
          <cell r="K28">
            <v>3.3887043189368769E-2</v>
          </cell>
          <cell r="L28">
            <v>0.6273759549385477</v>
          </cell>
          <cell r="M28">
            <v>0.11613059096601855</v>
          </cell>
          <cell r="N28">
            <v>0.27232896799166351</v>
          </cell>
          <cell r="O28">
            <v>6.1419506865610797E-2</v>
          </cell>
          <cell r="P28">
            <v>1.4575318742691632</v>
          </cell>
          <cell r="Q28">
            <v>0.36611287155226274</v>
          </cell>
          <cell r="S28">
            <v>1.4767441860465117E-2</v>
          </cell>
          <cell r="T28">
            <v>3.536</v>
          </cell>
          <cell r="V28">
            <v>0</v>
          </cell>
        </row>
        <row r="29">
          <cell r="A29" t="str">
            <v xml:space="preserve">025. 140 - 48 - 205 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V29">
            <v>0</v>
          </cell>
        </row>
        <row r="30">
          <cell r="A30" t="str">
            <v xml:space="preserve">026. 140/1 - 48 RWC                                   </v>
          </cell>
          <cell r="B30">
            <v>1</v>
          </cell>
          <cell r="G30">
            <v>1</v>
          </cell>
          <cell r="H30">
            <v>1.3331661426626982</v>
          </cell>
          <cell r="I30">
            <v>0.18814465949432033</v>
          </cell>
          <cell r="J30">
            <v>6.857142857142857E-4</v>
          </cell>
          <cell r="K30">
            <v>2.4205030849549117E-2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4.2192691029900337E-2</v>
          </cell>
          <cell r="T30">
            <v>3.536</v>
          </cell>
          <cell r="U30">
            <v>4.6500000000000004</v>
          </cell>
          <cell r="V30">
            <v>0.6188425005522421</v>
          </cell>
          <cell r="W30">
            <v>5603</v>
          </cell>
        </row>
        <row r="31">
          <cell r="A31" t="str">
            <v xml:space="preserve">027. 140/1 - 48 RWT                                    </v>
          </cell>
          <cell r="B31">
            <v>1</v>
          </cell>
          <cell r="C31">
            <v>1</v>
          </cell>
          <cell r="G31">
            <v>1</v>
          </cell>
          <cell r="H31">
            <v>1.3331661426626982</v>
          </cell>
          <cell r="I31">
            <v>0.18814465949432033</v>
          </cell>
          <cell r="J31">
            <v>6.857142857142857E-4</v>
          </cell>
          <cell r="K31">
            <v>2.4205030849549117E-2</v>
          </cell>
          <cell r="L31">
            <v>1.792661006782464</v>
          </cell>
          <cell r="M31">
            <v>0.33180168847433877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4.2192691029900337E-2</v>
          </cell>
          <cell r="T31">
            <v>3.536</v>
          </cell>
          <cell r="U31">
            <v>5.33</v>
          </cell>
          <cell r="V31">
            <v>0.77987629776894185</v>
          </cell>
          <cell r="W31">
            <v>7061</v>
          </cell>
        </row>
        <row r="32">
          <cell r="A32" t="str">
            <v xml:space="preserve">028. 140/2 - 48 RWC                                 </v>
          </cell>
          <cell r="B32">
            <v>1</v>
          </cell>
          <cell r="C32">
            <v>1</v>
          </cell>
          <cell r="G32">
            <v>1</v>
          </cell>
          <cell r="H32">
            <v>1.3331661426626982</v>
          </cell>
          <cell r="I32">
            <v>0.18814465949432033</v>
          </cell>
          <cell r="J32">
            <v>6.857142857142857E-4</v>
          </cell>
          <cell r="K32">
            <v>2.4205030849549117E-2</v>
          </cell>
          <cell r="L32">
            <v>0.89633050339123199</v>
          </cell>
          <cell r="M32">
            <v>0.16590084423716939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2.1096345514950168E-2</v>
          </cell>
          <cell r="T32">
            <v>3.536</v>
          </cell>
          <cell r="U32">
            <v>4.6500000000000004</v>
          </cell>
          <cell r="V32">
            <v>0.71161917384581397</v>
          </cell>
          <cell r="W32">
            <v>6443</v>
          </cell>
        </row>
        <row r="33">
          <cell r="A33" t="str">
            <v xml:space="preserve">029. 210 - 34 - 205  </v>
          </cell>
          <cell r="H33">
            <v>0</v>
          </cell>
          <cell r="I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V33">
            <v>0</v>
          </cell>
        </row>
        <row r="34">
          <cell r="A34" t="str">
            <v xml:space="preserve">030. 210/1-34  RWC            </v>
          </cell>
          <cell r="B34">
            <v>1</v>
          </cell>
          <cell r="G34">
            <v>1</v>
          </cell>
          <cell r="H34">
            <v>1.3428301015843125</v>
          </cell>
          <cell r="I34">
            <v>0.1254297729962135</v>
          </cell>
          <cell r="J34">
            <v>6.857142857142857E-4</v>
          </cell>
          <cell r="K34">
            <v>1.6136687233032746E-2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2.8128460686600226E-2</v>
          </cell>
          <cell r="T34">
            <v>3.536</v>
          </cell>
          <cell r="U34">
            <v>4.6500000000000004</v>
          </cell>
          <cell r="V34">
            <v>0.6062513806052573</v>
          </cell>
          <cell r="W34">
            <v>5489</v>
          </cell>
        </row>
        <row r="35">
          <cell r="A35" t="str">
            <v xml:space="preserve">031. 210/2-34  RWC </v>
          </cell>
          <cell r="B35">
            <v>1</v>
          </cell>
          <cell r="C35">
            <v>1</v>
          </cell>
          <cell r="G35">
            <v>1</v>
          </cell>
          <cell r="H35">
            <v>1.3428301015843125</v>
          </cell>
          <cell r="I35">
            <v>0.1254297729962135</v>
          </cell>
          <cell r="J35">
            <v>6.857142857142857E-4</v>
          </cell>
          <cell r="K35">
            <v>1.6136687233032746E-2</v>
          </cell>
          <cell r="L35">
            <v>0.71434992838256717</v>
          </cell>
          <cell r="M35">
            <v>0.11060056282477961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1.4064230343300113E-2</v>
          </cell>
          <cell r="T35">
            <v>3.536</v>
          </cell>
          <cell r="U35">
            <v>4.6500000000000004</v>
          </cell>
          <cell r="V35">
            <v>0.68201899712834102</v>
          </cell>
          <cell r="W35">
            <v>6175</v>
          </cell>
        </row>
        <row r="36">
          <cell r="A36" t="str">
            <v xml:space="preserve">032. 210/4-34  RWC                                  </v>
          </cell>
          <cell r="B36">
            <v>1</v>
          </cell>
          <cell r="C36">
            <v>1</v>
          </cell>
          <cell r="G36">
            <v>1</v>
          </cell>
          <cell r="H36">
            <v>1.3428301015843125</v>
          </cell>
          <cell r="I36">
            <v>0.1254297729962135</v>
          </cell>
          <cell r="J36">
            <v>6.857142857142857E-4</v>
          </cell>
          <cell r="K36">
            <v>1.6136687233032746E-2</v>
          </cell>
          <cell r="L36">
            <v>0.35717496419128358</v>
          </cell>
          <cell r="M36">
            <v>5.5300281412389803E-2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>
            <v>7.0321151716500564E-3</v>
          </cell>
          <cell r="T36">
            <v>3.536</v>
          </cell>
          <cell r="V36">
            <v>0</v>
          </cell>
        </row>
        <row r="37">
          <cell r="A37" t="str">
            <v xml:space="preserve">033. 40 - 10 - 205  </v>
          </cell>
          <cell r="H37">
            <v>0</v>
          </cell>
          <cell r="I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V37">
            <v>0</v>
          </cell>
        </row>
        <row r="38">
          <cell r="A38" t="str">
            <v xml:space="preserve">034. 40/1 - 10  RWC                                    </v>
          </cell>
          <cell r="B38">
            <v>1</v>
          </cell>
          <cell r="G38">
            <v>1</v>
          </cell>
          <cell r="H38">
            <v>5.424548878492808</v>
          </cell>
          <cell r="I38">
            <v>0.65850630823012091</v>
          </cell>
          <cell r="J38">
            <v>6.857142857142857E-4</v>
          </cell>
          <cell r="K38">
            <v>8.4717607973421927E-2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0.14767441860465119</v>
          </cell>
          <cell r="T38">
            <v>3.536</v>
          </cell>
          <cell r="U38">
            <v>5.44</v>
          </cell>
          <cell r="V38">
            <v>1.0239673072675062</v>
          </cell>
          <cell r="W38">
            <v>9271</v>
          </cell>
        </row>
        <row r="39">
          <cell r="A39" t="str">
            <v xml:space="preserve">035. 40/2 - 10  RWC                                    </v>
          </cell>
          <cell r="B39">
            <v>1</v>
          </cell>
          <cell r="C39">
            <v>1</v>
          </cell>
          <cell r="G39">
            <v>1</v>
          </cell>
          <cell r="H39">
            <v>5.424548878492808</v>
          </cell>
          <cell r="I39">
            <v>0.65850630823012091</v>
          </cell>
          <cell r="J39">
            <v>6.857142857142857E-4</v>
          </cell>
          <cell r="K39">
            <v>8.4717607973421927E-2</v>
          </cell>
          <cell r="L39">
            <v>3.1371567618693113</v>
          </cell>
          <cell r="M39">
            <v>0.58065295483009272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>
            <v>7.3837209302325596E-2</v>
          </cell>
          <cell r="T39">
            <v>3.536</v>
          </cell>
          <cell r="U39">
            <v>5.84</v>
          </cell>
          <cell r="V39">
            <v>1.2874972387894854</v>
          </cell>
          <cell r="W39">
            <v>11657</v>
          </cell>
        </row>
        <row r="40">
          <cell r="A40" t="str">
            <v xml:space="preserve">036. 40/2 - 10  DOC                                   </v>
          </cell>
          <cell r="B40">
            <v>1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5.424548878492808</v>
          </cell>
          <cell r="I40">
            <v>0.65850630823012091</v>
          </cell>
          <cell r="J40">
            <v>6.857142857142857E-4</v>
          </cell>
          <cell r="K40">
            <v>8.4717607973421927E-2</v>
          </cell>
          <cell r="L40">
            <v>3.1371567618693113</v>
          </cell>
          <cell r="M40">
            <v>0.58065295483009272</v>
          </cell>
          <cell r="N40">
            <v>1.3837854064617048</v>
          </cell>
          <cell r="O40">
            <v>0.30709753432805398</v>
          </cell>
          <cell r="P40">
            <v>7.3274102406440678</v>
          </cell>
          <cell r="Q40">
            <v>1.830564357761314</v>
          </cell>
          <cell r="S40">
            <v>7.3837209302325596E-2</v>
          </cell>
          <cell r="T40">
            <v>3.536</v>
          </cell>
          <cell r="U40">
            <v>7.15</v>
          </cell>
          <cell r="V40">
            <v>0</v>
          </cell>
        </row>
        <row r="41">
          <cell r="A41" t="str">
            <v xml:space="preserve">037. N 85 - 24 POY  </v>
          </cell>
          <cell r="H41">
            <v>0</v>
          </cell>
          <cell r="I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 t="str">
            <v xml:space="preserve">038. 70/2 - 24  RWC                                   </v>
          </cell>
          <cell r="B42">
            <v>1</v>
          </cell>
          <cell r="C42">
            <v>1</v>
          </cell>
          <cell r="G42">
            <v>1</v>
          </cell>
          <cell r="H42">
            <v>2.7391954676709012</v>
          </cell>
          <cell r="I42">
            <v>0.37628931898864065</v>
          </cell>
          <cell r="J42">
            <v>6.857142857142857E-4</v>
          </cell>
          <cell r="K42">
            <v>4.8410061699098235E-2</v>
          </cell>
          <cell r="L42">
            <v>1.792661006782464</v>
          </cell>
          <cell r="M42">
            <v>0.33180168847433877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S42">
            <v>4.2192691029900337E-2</v>
          </cell>
          <cell r="T42">
            <v>3.4771000000000001</v>
          </cell>
          <cell r="U42">
            <v>4.3499999999999996</v>
          </cell>
          <cell r="V42">
            <v>0.92467417715926659</v>
          </cell>
          <cell r="W42">
            <v>8372</v>
          </cell>
        </row>
        <row r="43">
          <cell r="A43" t="str">
            <v xml:space="preserve">039. 70/4 - 24  RWC                                   </v>
          </cell>
          <cell r="B43">
            <v>1</v>
          </cell>
          <cell r="C43">
            <v>1</v>
          </cell>
          <cell r="G43">
            <v>1</v>
          </cell>
          <cell r="H43">
            <v>2.7391954676709012</v>
          </cell>
          <cell r="I43">
            <v>0.37628931898864065</v>
          </cell>
          <cell r="J43">
            <v>6.857142857142857E-4</v>
          </cell>
          <cell r="K43">
            <v>4.8410061699098235E-2</v>
          </cell>
          <cell r="L43">
            <v>0.78207329305474138</v>
          </cell>
          <cell r="M43">
            <v>0.16590084423716939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S43">
            <v>2.1096345514950168E-2</v>
          </cell>
          <cell r="T43">
            <v>3.4771000000000001</v>
          </cell>
          <cell r="V43">
            <v>0</v>
          </cell>
        </row>
        <row r="44">
          <cell r="A44" t="str">
            <v xml:space="preserve">040. 70/8 - 24  RWC                                   </v>
          </cell>
          <cell r="B44">
            <v>1</v>
          </cell>
          <cell r="C44">
            <v>1</v>
          </cell>
          <cell r="G44">
            <v>1</v>
          </cell>
          <cell r="H44">
            <v>2.7391954676709012</v>
          </cell>
          <cell r="I44">
            <v>0.37628931898864065</v>
          </cell>
          <cell r="J44">
            <v>6.857142857142857E-4</v>
          </cell>
          <cell r="K44">
            <v>4.8410061699098235E-2</v>
          </cell>
          <cell r="L44">
            <v>0.448165251695616</v>
          </cell>
          <cell r="M44">
            <v>8.2950422118584693E-2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>
            <v>1.0548172757475084E-2</v>
          </cell>
          <cell r="T44">
            <v>3.4771000000000001</v>
          </cell>
          <cell r="V44">
            <v>0</v>
          </cell>
        </row>
        <row r="45">
          <cell r="A45" t="str">
            <v xml:space="preserve">041. 70/1 - 24  RWC </v>
          </cell>
          <cell r="B45">
            <v>1</v>
          </cell>
          <cell r="G45">
            <v>1</v>
          </cell>
          <cell r="H45">
            <v>2.7391954676709012</v>
          </cell>
          <cell r="I45">
            <v>0.37628931898864065</v>
          </cell>
          <cell r="J45">
            <v>6.857142857142857E-4</v>
          </cell>
          <cell r="K45">
            <v>4.8410061699098235E-2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S45">
            <v>8.4385382059800673E-2</v>
          </cell>
          <cell r="T45">
            <v>3.4771000000000001</v>
          </cell>
          <cell r="U45">
            <v>4.7</v>
          </cell>
          <cell r="V45">
            <v>0.76364037994256684</v>
          </cell>
          <cell r="W45">
            <v>6914</v>
          </cell>
        </row>
        <row r="46">
          <cell r="A46" t="str">
            <v>042. 70/1 - 24  RWT</v>
          </cell>
          <cell r="B46">
            <v>1</v>
          </cell>
          <cell r="C46">
            <v>1</v>
          </cell>
          <cell r="G46">
            <v>1</v>
          </cell>
          <cell r="H46">
            <v>2.7391954676709012</v>
          </cell>
          <cell r="I46">
            <v>0.37628931898864065</v>
          </cell>
          <cell r="J46">
            <v>6.857142857142857E-4</v>
          </cell>
          <cell r="K46">
            <v>4.8410061699098235E-2</v>
          </cell>
          <cell r="L46">
            <v>3.5842140648586347</v>
          </cell>
          <cell r="M46">
            <v>0.66360337694867755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>
            <v>8.4385382059800673E-2</v>
          </cell>
          <cell r="T46">
            <v>3.4771000000000001</v>
          </cell>
          <cell r="V46">
            <v>0</v>
          </cell>
        </row>
        <row r="47">
          <cell r="A47" t="str">
            <v xml:space="preserve">043. 70/2 - 24  DOC                           </v>
          </cell>
          <cell r="B47">
            <v>1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2.7391954676709012</v>
          </cell>
          <cell r="I47">
            <v>0.37628931898864065</v>
          </cell>
          <cell r="J47">
            <v>6.857142857142857E-4</v>
          </cell>
          <cell r="K47">
            <v>4.8410061699098235E-2</v>
          </cell>
          <cell r="L47">
            <v>1.792661006782464</v>
          </cell>
          <cell r="M47">
            <v>0.33180168847433877</v>
          </cell>
          <cell r="N47">
            <v>0.78056793131839819</v>
          </cell>
          <cell r="O47">
            <v>0.17548430533031659</v>
          </cell>
          <cell r="P47">
            <v>4.1870915660823238</v>
          </cell>
          <cell r="Q47">
            <v>1.046036775863608</v>
          </cell>
          <cell r="S47">
            <v>4.2192691029900337E-2</v>
          </cell>
          <cell r="T47">
            <v>3.4771000000000001</v>
          </cell>
          <cell r="U47">
            <v>5.92</v>
          </cell>
          <cell r="V47">
            <v>0</v>
          </cell>
        </row>
        <row r="48">
          <cell r="A48" t="str">
            <v xml:space="preserve">044. 70/1 - 24  RWC                                 </v>
          </cell>
          <cell r="B48">
            <v>1</v>
          </cell>
          <cell r="G48">
            <v>1</v>
          </cell>
          <cell r="H48">
            <v>2.7391954676709012</v>
          </cell>
          <cell r="I48">
            <v>0.37628931898864065</v>
          </cell>
          <cell r="J48">
            <v>6.857142857142857E-4</v>
          </cell>
          <cell r="K48">
            <v>4.8410061699098235E-2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8.4385382059800673E-2</v>
          </cell>
          <cell r="T48">
            <v>3.4771000000000001</v>
          </cell>
          <cell r="U48">
            <v>4.7</v>
          </cell>
          <cell r="V48">
            <v>0.76364037994256684</v>
          </cell>
          <cell r="W48">
            <v>6914</v>
          </cell>
        </row>
        <row r="49">
          <cell r="A49" t="str">
            <v xml:space="preserve">045. 70/2 - 24  RWC I/L                 </v>
          </cell>
          <cell r="B49">
            <v>1</v>
          </cell>
          <cell r="G49">
            <v>1</v>
          </cell>
          <cell r="H49">
            <v>3.9204485206955129</v>
          </cell>
          <cell r="I49">
            <v>0.37628931898864065</v>
          </cell>
          <cell r="J49">
            <v>6.857142857142857E-4</v>
          </cell>
          <cell r="K49">
            <v>4.8410061699098235E-2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4.2192691029900337E-2</v>
          </cell>
          <cell r="T49">
            <v>3.4771000000000001</v>
          </cell>
          <cell r="U49">
            <v>4.93</v>
          </cell>
          <cell r="V49">
            <v>0.85188866799204777</v>
          </cell>
          <cell r="W49">
            <v>7713</v>
          </cell>
        </row>
        <row r="50">
          <cell r="A50" t="str">
            <v xml:space="preserve">046. 70/1 - 24 NMD                                   </v>
          </cell>
          <cell r="B50">
            <v>1</v>
          </cell>
          <cell r="E50">
            <v>1</v>
          </cell>
          <cell r="F50">
            <v>1</v>
          </cell>
          <cell r="G50">
            <v>1</v>
          </cell>
          <cell r="H50">
            <v>2.7391954676709012</v>
          </cell>
          <cell r="I50">
            <v>0.37628931898864065</v>
          </cell>
          <cell r="J50">
            <v>6.857142857142857E-4</v>
          </cell>
          <cell r="K50">
            <v>4.8410061699098235E-2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4.1870915660823238</v>
          </cell>
          <cell r="Q50">
            <v>1.046036775863608</v>
          </cell>
          <cell r="S50">
            <v>8.4385382059800673E-2</v>
          </cell>
          <cell r="T50">
            <v>3.4771000000000001</v>
          </cell>
          <cell r="U50">
            <v>5.82</v>
          </cell>
          <cell r="V50">
            <v>0</v>
          </cell>
        </row>
        <row r="51">
          <cell r="A51" t="str">
            <v xml:space="preserve">047. 70/8 - 24  DOC                                   </v>
          </cell>
          <cell r="B51">
            <v>1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2.7391954676709012</v>
          </cell>
          <cell r="I51">
            <v>0.37628931898864065</v>
          </cell>
          <cell r="J51">
            <v>6.857142857142857E-4</v>
          </cell>
          <cell r="K51">
            <v>4.8410061699098235E-2</v>
          </cell>
          <cell r="L51">
            <v>0.448165251695616</v>
          </cell>
          <cell r="M51">
            <v>8.2950422118584693E-2</v>
          </cell>
          <cell r="N51">
            <v>0.19514198282959955</v>
          </cell>
          <cell r="O51">
            <v>4.3871076332579147E-2</v>
          </cell>
          <cell r="P51">
            <v>1.0473489457847822</v>
          </cell>
          <cell r="Q51">
            <v>0.261509193965902</v>
          </cell>
          <cell r="S51">
            <v>1.0548172757475084E-2</v>
          </cell>
          <cell r="T51">
            <v>3.4771000000000001</v>
          </cell>
          <cell r="V51">
            <v>0</v>
          </cell>
        </row>
        <row r="52">
          <cell r="A52" t="str">
            <v xml:space="preserve">048. 70/4 - 24  DOC                                   </v>
          </cell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2.7391954676709012</v>
          </cell>
          <cell r="I52">
            <v>0.37628931898864065</v>
          </cell>
          <cell r="J52">
            <v>6.857142857142857E-4</v>
          </cell>
          <cell r="K52">
            <v>4.8410061699098235E-2</v>
          </cell>
          <cell r="L52">
            <v>0.78207329305474138</v>
          </cell>
          <cell r="M52">
            <v>0.16590084423716939</v>
          </cell>
          <cell r="N52">
            <v>0.39028396565919909</v>
          </cell>
          <cell r="O52">
            <v>8.7742152665158293E-2</v>
          </cell>
          <cell r="P52">
            <v>2.0937926634401056</v>
          </cell>
          <cell r="Q52">
            <v>0.523018387931804</v>
          </cell>
          <cell r="S52">
            <v>2.1096345514950168E-2</v>
          </cell>
          <cell r="T52">
            <v>3.4771000000000001</v>
          </cell>
          <cell r="V52">
            <v>0</v>
          </cell>
        </row>
        <row r="53">
          <cell r="A53" t="str">
            <v xml:space="preserve">049. N. 120 - 24 POY  </v>
          </cell>
          <cell r="H53">
            <v>0</v>
          </cell>
          <cell r="I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 t="str">
            <v xml:space="preserve">050. 100/1 - 24  RWC I/L                        </v>
          </cell>
          <cell r="B54">
            <v>1</v>
          </cell>
          <cell r="G54">
            <v>1</v>
          </cell>
          <cell r="H54">
            <v>1.6331616854051656</v>
          </cell>
          <cell r="I54">
            <v>0.26340252329204838</v>
          </cell>
          <cell r="J54">
            <v>6.857142857142857E-4</v>
          </cell>
          <cell r="K54">
            <v>3.3887043189368769E-2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>
            <v>5.9069767441860467E-2</v>
          </cell>
          <cell r="T54">
            <v>3.4771000000000001</v>
          </cell>
          <cell r="V54">
            <v>0</v>
          </cell>
        </row>
        <row r="55">
          <cell r="A55" t="str">
            <v xml:space="preserve">051. 100/1 - 24  NMD                                </v>
          </cell>
          <cell r="B55">
            <v>1</v>
          </cell>
          <cell r="E55">
            <v>1</v>
          </cell>
          <cell r="F55">
            <v>1</v>
          </cell>
          <cell r="G55">
            <v>1</v>
          </cell>
          <cell r="H55">
            <v>1.6331616854051656</v>
          </cell>
          <cell r="I55">
            <v>0.26340252329204838</v>
          </cell>
          <cell r="J55">
            <v>6.857142857142857E-4</v>
          </cell>
          <cell r="K55">
            <v>3.3887043189368769E-2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4.0810892479536589</v>
          </cell>
          <cell r="Q55">
            <v>1.0251160403463351</v>
          </cell>
          <cell r="S55">
            <v>5.9069767441860467E-2</v>
          </cell>
          <cell r="T55">
            <v>3.4771000000000001</v>
          </cell>
          <cell r="U55">
            <v>5.79</v>
          </cell>
          <cell r="V55">
            <v>0</v>
          </cell>
        </row>
        <row r="56">
          <cell r="A56" t="str">
            <v xml:space="preserve">052. 100/4 - 24  RWC                                </v>
          </cell>
          <cell r="B56">
            <v>1</v>
          </cell>
          <cell r="C56">
            <v>1</v>
          </cell>
          <cell r="G56">
            <v>1</v>
          </cell>
          <cell r="H56">
            <v>1.6331616854051656</v>
          </cell>
          <cell r="I56">
            <v>0.26340252329204838</v>
          </cell>
          <cell r="J56">
            <v>6.857142857142857E-4</v>
          </cell>
          <cell r="K56">
            <v>3.3887043189368769E-2</v>
          </cell>
          <cell r="L56">
            <v>0.6273759549385477</v>
          </cell>
          <cell r="M56">
            <v>0.11613059096601855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1.4767441860465117E-2</v>
          </cell>
          <cell r="T56">
            <v>3.4771000000000001</v>
          </cell>
          <cell r="U56">
            <v>4.08</v>
          </cell>
          <cell r="V56">
            <v>0.7468522200132538</v>
          </cell>
          <cell r="W56">
            <v>6762</v>
          </cell>
        </row>
        <row r="57">
          <cell r="A57" t="str">
            <v xml:space="preserve">053. 100/1 - 24 RWT </v>
          </cell>
          <cell r="B57">
            <v>1</v>
          </cell>
          <cell r="C57">
            <v>1</v>
          </cell>
          <cell r="G57">
            <v>1</v>
          </cell>
          <cell r="H57">
            <v>1.6331616854051656</v>
          </cell>
          <cell r="I57">
            <v>0.26340252329204838</v>
          </cell>
          <cell r="J57">
            <v>6.857142857142857E-4</v>
          </cell>
          <cell r="K57">
            <v>3.3887043189368769E-2</v>
          </cell>
          <cell r="L57">
            <v>2.5096423133424768</v>
          </cell>
          <cell r="M57">
            <v>0.46452236386407419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5.9069767441860467E-2</v>
          </cell>
          <cell r="T57">
            <v>3.4771000000000001</v>
          </cell>
          <cell r="V57">
            <v>0</v>
          </cell>
        </row>
        <row r="58">
          <cell r="A58" t="str">
            <v xml:space="preserve">054. 100/1 - 24 RWC </v>
          </cell>
          <cell r="B58">
            <v>1</v>
          </cell>
          <cell r="G58">
            <v>1</v>
          </cell>
          <cell r="H58">
            <v>1.6331616854051656</v>
          </cell>
          <cell r="I58">
            <v>0.26340252329204838</v>
          </cell>
          <cell r="J58">
            <v>6.857142857142857E-4</v>
          </cell>
          <cell r="K58">
            <v>3.3887043189368769E-2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5.9069767441860467E-2</v>
          </cell>
          <cell r="T58">
            <v>3.4771000000000001</v>
          </cell>
          <cell r="U58">
            <v>4.08</v>
          </cell>
          <cell r="V58">
            <v>0.67461895294897278</v>
          </cell>
          <cell r="W58">
            <v>6108</v>
          </cell>
        </row>
        <row r="59">
          <cell r="A59" t="str">
            <v>055. 100/6 - 24  DOC</v>
          </cell>
          <cell r="B59">
            <v>1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1.6331616854051656</v>
          </cell>
          <cell r="I59">
            <v>0.26340252329204838</v>
          </cell>
          <cell r="J59">
            <v>6.857142857142857E-4</v>
          </cell>
          <cell r="K59">
            <v>3.3887043189368769E-2</v>
          </cell>
          <cell r="L59">
            <v>0.4182506366256985</v>
          </cell>
          <cell r="M59">
            <v>7.7420393977345667E-2</v>
          </cell>
          <cell r="N59">
            <v>0.18455743649609249</v>
          </cell>
          <cell r="O59">
            <v>4.09463379104072E-2</v>
          </cell>
          <cell r="P59">
            <v>0.97130978291017422</v>
          </cell>
          <cell r="Q59">
            <v>0.24407524770150857</v>
          </cell>
          <cell r="S59">
            <v>9.8449612403100784E-3</v>
          </cell>
          <cell r="T59">
            <v>3.4771000000000001</v>
          </cell>
          <cell r="U59">
            <v>5.85</v>
          </cell>
          <cell r="V59">
            <v>0</v>
          </cell>
        </row>
        <row r="60">
          <cell r="A60" t="str">
            <v xml:space="preserve">056. 100/2 - 24  DOC                                </v>
          </cell>
          <cell r="B60">
            <v>1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1.6331616854051656</v>
          </cell>
          <cell r="I60">
            <v>0.26340252329204838</v>
          </cell>
          <cell r="J60">
            <v>6.857142857142857E-4</v>
          </cell>
          <cell r="K60">
            <v>3.3887043189368769E-2</v>
          </cell>
          <cell r="L60">
            <v>1.2547519098770954</v>
          </cell>
          <cell r="M60">
            <v>0.2322611819320371</v>
          </cell>
          <cell r="N60">
            <v>0.55351416258468189</v>
          </cell>
          <cell r="O60">
            <v>0.12283901373122159</v>
          </cell>
          <cell r="P60">
            <v>2.9148345768599824</v>
          </cell>
          <cell r="Q60">
            <v>0.73222574310452548</v>
          </cell>
          <cell r="S60">
            <v>2.9534883720930234E-2</v>
          </cell>
          <cell r="T60">
            <v>3.4771000000000001</v>
          </cell>
          <cell r="V60">
            <v>0</v>
          </cell>
        </row>
        <row r="61">
          <cell r="A61" t="str">
            <v xml:space="preserve">057. 100/1 - 24  DOC                                </v>
          </cell>
          <cell r="B61">
            <v>1</v>
          </cell>
          <cell r="C61">
            <v>1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1.6331616854051656</v>
          </cell>
          <cell r="I61">
            <v>0.26340252329204838</v>
          </cell>
          <cell r="J61">
            <v>6.857142857142857E-4</v>
          </cell>
          <cell r="K61">
            <v>3.3887043189368769E-2</v>
          </cell>
          <cell r="L61">
            <v>2.5096423133424768</v>
          </cell>
          <cell r="M61">
            <v>0.46452236386407419</v>
          </cell>
          <cell r="N61">
            <v>1.107344618976555</v>
          </cell>
          <cell r="O61">
            <v>0.24567802746244319</v>
          </cell>
          <cell r="P61">
            <v>4.0810892479536589</v>
          </cell>
          <cell r="Q61">
            <v>1.0251160403463351</v>
          </cell>
          <cell r="S61">
            <v>5.9069767441860467E-2</v>
          </cell>
          <cell r="T61">
            <v>3.4771000000000001</v>
          </cell>
          <cell r="V61">
            <v>0</v>
          </cell>
        </row>
        <row r="62">
          <cell r="A62" t="str">
            <v xml:space="preserve">058. 100/4 - 24  DOC                                </v>
          </cell>
          <cell r="B62">
            <v>1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1.6331616854051656</v>
          </cell>
          <cell r="I62">
            <v>0.26340252329204838</v>
          </cell>
          <cell r="J62">
            <v>6.857142857142857E-4</v>
          </cell>
          <cell r="K62">
            <v>3.3887043189368769E-2</v>
          </cell>
          <cell r="L62">
            <v>0.6273759549385477</v>
          </cell>
          <cell r="M62">
            <v>0.11613059096601855</v>
          </cell>
          <cell r="N62">
            <v>0.27683615474413875</v>
          </cell>
          <cell r="O62">
            <v>6.1419506865610797E-2</v>
          </cell>
          <cell r="P62">
            <v>1.4574172884299912</v>
          </cell>
          <cell r="Q62">
            <v>0.36611287155226274</v>
          </cell>
          <cell r="S62">
            <v>1.4767441860465117E-2</v>
          </cell>
          <cell r="T62">
            <v>3.4771000000000001</v>
          </cell>
          <cell r="V62">
            <v>0</v>
          </cell>
        </row>
        <row r="63">
          <cell r="A63" t="str">
            <v xml:space="preserve">059. 100/2 - 24  DOC                                </v>
          </cell>
          <cell r="B63">
            <v>1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1.6331616854051656</v>
          </cell>
          <cell r="I63">
            <v>0.26340252329204838</v>
          </cell>
          <cell r="J63">
            <v>6.857142857142857E-4</v>
          </cell>
          <cell r="K63">
            <v>3.3887043189368769E-2</v>
          </cell>
          <cell r="L63">
            <v>1.2547519098770954</v>
          </cell>
          <cell r="M63">
            <v>0.2322611819320371</v>
          </cell>
          <cell r="N63">
            <v>0.55351416258468189</v>
          </cell>
          <cell r="O63">
            <v>0.12283901373122159</v>
          </cell>
          <cell r="P63">
            <v>2.9148345768599824</v>
          </cell>
          <cell r="Q63">
            <v>0.73222574310452548</v>
          </cell>
          <cell r="S63">
            <v>2.9534883720930234E-2</v>
          </cell>
          <cell r="T63">
            <v>3.4771000000000001</v>
          </cell>
          <cell r="V63">
            <v>0</v>
          </cell>
        </row>
        <row r="64">
          <cell r="A64" t="str">
            <v xml:space="preserve">060. 100/2 - 24  RWC                              </v>
          </cell>
          <cell r="B64">
            <v>1</v>
          </cell>
          <cell r="C64">
            <v>1</v>
          </cell>
          <cell r="G64">
            <v>1</v>
          </cell>
          <cell r="H64">
            <v>1.6331616854051656</v>
          </cell>
          <cell r="I64">
            <v>0.26340252329204838</v>
          </cell>
          <cell r="J64">
            <v>6.857142857142857E-4</v>
          </cell>
          <cell r="K64">
            <v>3.3887043189368769E-2</v>
          </cell>
          <cell r="L64">
            <v>1.2547519098770954</v>
          </cell>
          <cell r="M64">
            <v>0.2322611819320371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S64">
            <v>2.9534883720930234E-2</v>
          </cell>
          <cell r="T64">
            <v>3.4771000000000001</v>
          </cell>
          <cell r="U64">
            <v>4.08</v>
          </cell>
          <cell r="V64">
            <v>0.79467638612767832</v>
          </cell>
          <cell r="W64">
            <v>7195</v>
          </cell>
        </row>
        <row r="65">
          <cell r="A65" t="str">
            <v xml:space="preserve">061. 110/2 - 24  RWC                              </v>
          </cell>
          <cell r="B65">
            <v>1</v>
          </cell>
          <cell r="C65">
            <v>1</v>
          </cell>
          <cell r="G65">
            <v>1</v>
          </cell>
          <cell r="H65">
            <v>1.6331616854051656</v>
          </cell>
          <cell r="I65">
            <v>0.26340252329204838</v>
          </cell>
          <cell r="J65">
            <v>6.857142857142857E-4</v>
          </cell>
          <cell r="K65">
            <v>3.3887043189368769E-2</v>
          </cell>
          <cell r="L65">
            <v>1.2547519098770954</v>
          </cell>
          <cell r="M65">
            <v>0.21114652902912467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2.6849894291754762E-2</v>
          </cell>
          <cell r="T65">
            <v>3.4771000000000001</v>
          </cell>
          <cell r="V65">
            <v>0</v>
          </cell>
        </row>
        <row r="66">
          <cell r="A66" t="str">
            <v xml:space="preserve">062. 110/2 - 24  DOC                             </v>
          </cell>
          <cell r="B66">
            <v>1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1</v>
          </cell>
          <cell r="H66">
            <v>1.6331616854051656</v>
          </cell>
          <cell r="I66">
            <v>0.26340252329204838</v>
          </cell>
          <cell r="J66">
            <v>6.857142857142857E-4</v>
          </cell>
          <cell r="K66">
            <v>3.3887043189368769E-2</v>
          </cell>
          <cell r="L66">
            <v>1.2547519098770954</v>
          </cell>
          <cell r="M66">
            <v>0.21114652902912467</v>
          </cell>
          <cell r="N66">
            <v>0.55351416258468189</v>
          </cell>
          <cell r="O66">
            <v>0.11167183066474692</v>
          </cell>
          <cell r="P66">
            <v>2.9148345768599824</v>
          </cell>
          <cell r="Q66">
            <v>0.66565976645865954</v>
          </cell>
          <cell r="S66">
            <v>2.6849894291754762E-2</v>
          </cell>
          <cell r="T66">
            <v>3.4771000000000001</v>
          </cell>
          <cell r="V66">
            <v>0</v>
          </cell>
        </row>
        <row r="67">
          <cell r="A67" t="str">
            <v xml:space="preserve">063. 100/6 - 24  RWC                              </v>
          </cell>
          <cell r="B67">
            <v>1</v>
          </cell>
          <cell r="C67">
            <v>1</v>
          </cell>
          <cell r="G67">
            <v>1</v>
          </cell>
          <cell r="H67">
            <v>1.6331616854051656</v>
          </cell>
          <cell r="I67">
            <v>0.26340252329204838</v>
          </cell>
          <cell r="J67">
            <v>6.857142857142857E-4</v>
          </cell>
          <cell r="K67">
            <v>3.3887043189368769E-2</v>
          </cell>
          <cell r="L67">
            <v>0.4182506366256985</v>
          </cell>
          <cell r="M67">
            <v>7.7420393977345667E-2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9.8449612403100784E-3</v>
          </cell>
          <cell r="T67">
            <v>3.4771000000000001</v>
          </cell>
          <cell r="U67">
            <v>4.08</v>
          </cell>
          <cell r="V67">
            <v>0.69902805389882927</v>
          </cell>
          <cell r="W67">
            <v>6329</v>
          </cell>
        </row>
        <row r="68">
          <cell r="A68" t="str">
            <v xml:space="preserve">064. 100/2 - 24  RWC                              </v>
          </cell>
          <cell r="B68">
            <v>1</v>
          </cell>
          <cell r="C68">
            <v>1</v>
          </cell>
          <cell r="G68">
            <v>1</v>
          </cell>
          <cell r="H68">
            <v>1.6331616854051656</v>
          </cell>
          <cell r="I68">
            <v>0.26340252329204838</v>
          </cell>
          <cell r="J68">
            <v>6.857142857142857E-4</v>
          </cell>
          <cell r="K68">
            <v>3.3887043189368769E-2</v>
          </cell>
          <cell r="L68">
            <v>1.2547519098770954</v>
          </cell>
          <cell r="M68">
            <v>0.2322611819320371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2.9534883720930234E-2</v>
          </cell>
          <cell r="T68">
            <v>3.4771000000000001</v>
          </cell>
          <cell r="U68">
            <v>4.08</v>
          </cell>
          <cell r="V68">
            <v>0.79467638612767832</v>
          </cell>
          <cell r="W68">
            <v>7195</v>
          </cell>
        </row>
        <row r="69">
          <cell r="A69" t="str">
            <v>065. 70/2 - 24 RWC N. 66</v>
          </cell>
          <cell r="B69">
            <v>1</v>
          </cell>
          <cell r="C69">
            <v>1</v>
          </cell>
          <cell r="G69">
            <v>1</v>
          </cell>
          <cell r="H69">
            <v>2.4362380252869609</v>
          </cell>
          <cell r="I69">
            <v>0.37628931898864065</v>
          </cell>
          <cell r="J69">
            <v>6.857142857142857E-4</v>
          </cell>
          <cell r="K69">
            <v>4.8410061699098235E-2</v>
          </cell>
          <cell r="L69">
            <v>1.792661006782464</v>
          </cell>
          <cell r="M69">
            <v>0.33180168847433877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4.2192691029900337E-2</v>
          </cell>
          <cell r="T69">
            <v>4.75</v>
          </cell>
          <cell r="U69">
            <v>6.5</v>
          </cell>
          <cell r="V69">
            <v>0.85188866799204777</v>
          </cell>
          <cell r="W69">
            <v>7713</v>
          </cell>
        </row>
        <row r="70">
          <cell r="A70" t="str">
            <v>066. 70/1 - 34 NMD N.66</v>
          </cell>
          <cell r="B70">
            <v>1</v>
          </cell>
          <cell r="F70">
            <v>1</v>
          </cell>
          <cell r="G70">
            <v>1</v>
          </cell>
          <cell r="H70">
            <v>2.4362380252869609</v>
          </cell>
          <cell r="I70">
            <v>0.37628931898864065</v>
          </cell>
          <cell r="J70">
            <v>6.857142857142857E-4</v>
          </cell>
          <cell r="K70">
            <v>4.8410061699098235E-2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8.4385382059800673E-2</v>
          </cell>
          <cell r="V70">
            <v>0</v>
          </cell>
        </row>
        <row r="71">
          <cell r="A71" t="str">
            <v>067. 100/2 - 34 RWC N. 66</v>
          </cell>
          <cell r="B71">
            <v>1</v>
          </cell>
          <cell r="C71">
            <v>1</v>
          </cell>
          <cell r="G71">
            <v>1</v>
          </cell>
          <cell r="H71">
            <v>1.6332090577528191</v>
          </cell>
          <cell r="I71">
            <v>0.26340252329204838</v>
          </cell>
          <cell r="J71">
            <v>6.857142857142857E-4</v>
          </cell>
          <cell r="K71">
            <v>3.3887043189368769E-2</v>
          </cell>
          <cell r="L71">
            <v>1.2547519098770954</v>
          </cell>
          <cell r="M71">
            <v>0.2322611819320371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S71">
            <v>2.9534883720930234E-2</v>
          </cell>
          <cell r="V71">
            <v>0</v>
          </cell>
        </row>
        <row r="72">
          <cell r="A72" t="str">
            <v>068. 40 / 2 - 11 RWC</v>
          </cell>
          <cell r="B72">
            <v>1</v>
          </cell>
          <cell r="C72">
            <v>1</v>
          </cell>
          <cell r="G72">
            <v>1</v>
          </cell>
          <cell r="H72">
            <v>5.423014916759219</v>
          </cell>
          <cell r="I72">
            <v>0.65850630823012091</v>
          </cell>
          <cell r="J72">
            <v>6.857142857142857E-4</v>
          </cell>
          <cell r="K72">
            <v>8.4717607973421927E-2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7.3837209302325596E-2</v>
          </cell>
          <cell r="V72">
            <v>0</v>
          </cell>
        </row>
        <row r="73">
          <cell r="A73" t="str">
            <v>069. 100/1-24 NTF</v>
          </cell>
          <cell r="C73">
            <v>1</v>
          </cell>
          <cell r="F73">
            <v>1</v>
          </cell>
          <cell r="G73">
            <v>1</v>
          </cell>
          <cell r="H73">
            <v>0</v>
          </cell>
          <cell r="I73">
            <v>0</v>
          </cell>
          <cell r="J73">
            <v>6.857142857142857E-4</v>
          </cell>
          <cell r="K73">
            <v>3.3887043189368769E-2</v>
          </cell>
          <cell r="L73">
            <v>2.5096423133424768</v>
          </cell>
          <cell r="M73">
            <v>0.46452236386407419</v>
          </cell>
          <cell r="N73">
            <v>0</v>
          </cell>
          <cell r="O73">
            <v>0</v>
          </cell>
          <cell r="P73">
            <v>7.5260666683272959</v>
          </cell>
          <cell r="Q73">
            <v>1.464451486209051</v>
          </cell>
          <cell r="S73">
            <v>3.9379844961240314E-2</v>
          </cell>
          <cell r="T73">
            <v>3.536</v>
          </cell>
          <cell r="V73">
            <v>0</v>
          </cell>
        </row>
        <row r="74">
          <cell r="A74" t="str">
            <v xml:space="preserve">070. WDD 70/2-24                         </v>
          </cell>
          <cell r="B74">
            <v>1</v>
          </cell>
          <cell r="C74">
            <v>1</v>
          </cell>
          <cell r="G74">
            <v>1</v>
          </cell>
          <cell r="H74">
            <v>2.4362921651128571</v>
          </cell>
          <cell r="I74">
            <v>0.37628931898864065</v>
          </cell>
          <cell r="J74">
            <v>6.857142857142857E-4</v>
          </cell>
          <cell r="K74">
            <v>4.8410061699098235E-2</v>
          </cell>
          <cell r="L74">
            <v>1.792661006782464</v>
          </cell>
          <cell r="M74">
            <v>0.33180168847433877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4.2192691029900337E-2</v>
          </cell>
          <cell r="T74">
            <v>3.9000000000000004</v>
          </cell>
          <cell r="U74">
            <v>5.18</v>
          </cell>
          <cell r="V74">
            <v>0.90214269935939917</v>
          </cell>
          <cell r="W74">
            <v>8168</v>
          </cell>
        </row>
        <row r="75">
          <cell r="A75" t="str">
            <v xml:space="preserve">071. 40/2-34 DOC N-66                             </v>
          </cell>
          <cell r="B75">
            <v>1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5.423014916759219</v>
          </cell>
          <cell r="I75">
            <v>0</v>
          </cell>
          <cell r="J75">
            <v>6.857142857142857E-4</v>
          </cell>
          <cell r="K75">
            <v>8.4717607973421927E-2</v>
          </cell>
          <cell r="L75">
            <v>3.1371567618693113</v>
          </cell>
          <cell r="M75">
            <v>0.58065295483009272</v>
          </cell>
          <cell r="N75">
            <v>1.3837854064617048</v>
          </cell>
          <cell r="O75">
            <v>0.30709753432805398</v>
          </cell>
          <cell r="P75">
            <v>7.3274102406440678</v>
          </cell>
          <cell r="Q75">
            <v>1.830564357761314</v>
          </cell>
          <cell r="S75">
            <v>7.3837209302325596E-2</v>
          </cell>
          <cell r="V75">
            <v>0</v>
          </cell>
        </row>
        <row r="76">
          <cell r="A76" t="str">
            <v xml:space="preserve">072. 75 / 1 - 36 IST  TF                        </v>
          </cell>
          <cell r="C76">
            <v>1</v>
          </cell>
          <cell r="G76">
            <v>1</v>
          </cell>
          <cell r="H76">
            <v>0</v>
          </cell>
          <cell r="I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T76">
            <v>2.2672000000000003</v>
          </cell>
          <cell r="V76">
            <v>0</v>
          </cell>
        </row>
        <row r="77">
          <cell r="A77" t="str">
            <v>073. 70/1-24 NFD</v>
          </cell>
          <cell r="B77">
            <v>1</v>
          </cell>
          <cell r="G77">
            <v>1</v>
          </cell>
          <cell r="H77">
            <v>2.7391954676709012</v>
          </cell>
          <cell r="I77">
            <v>0.37628931898864065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8.4385382059800673E-2</v>
          </cell>
          <cell r="T77">
            <v>3.4771000000000001</v>
          </cell>
          <cell r="U77">
            <v>3.89</v>
          </cell>
          <cell r="V77">
            <v>0.76364037994256684</v>
          </cell>
          <cell r="W77">
            <v>6914</v>
          </cell>
        </row>
        <row r="78">
          <cell r="A78" t="str">
            <v xml:space="preserve">074. 70/2 - 24  RWH                              </v>
          </cell>
          <cell r="B78">
            <v>1</v>
          </cell>
          <cell r="C78">
            <v>1</v>
          </cell>
          <cell r="D78">
            <v>1</v>
          </cell>
          <cell r="G78">
            <v>1</v>
          </cell>
          <cell r="H78">
            <v>2.7391954676709012</v>
          </cell>
          <cell r="I78">
            <v>0.37628931898864065</v>
          </cell>
          <cell r="J78">
            <v>6.857142857142857E-4</v>
          </cell>
          <cell r="K78">
            <v>4.8410061699098235E-2</v>
          </cell>
          <cell r="L78">
            <v>1.792661006782464</v>
          </cell>
          <cell r="M78">
            <v>0.33180168847433877</v>
          </cell>
          <cell r="N78">
            <v>0.78056793131839819</v>
          </cell>
          <cell r="O78">
            <v>0.17548430533031659</v>
          </cell>
          <cell r="P78">
            <v>0</v>
          </cell>
          <cell r="Q78">
            <v>0</v>
          </cell>
          <cell r="S78">
            <v>4.2192691029900337E-2</v>
          </cell>
          <cell r="T78">
            <v>3.4771000000000001</v>
          </cell>
          <cell r="U78">
            <v>4.2</v>
          </cell>
          <cell r="V78">
            <v>1.0568809366026066</v>
          </cell>
          <cell r="W78">
            <v>9569</v>
          </cell>
        </row>
        <row r="79">
          <cell r="A79" t="str">
            <v xml:space="preserve">075. 100/2 - 24  RWH                              </v>
          </cell>
          <cell r="B79">
            <v>1</v>
          </cell>
          <cell r="C79">
            <v>1</v>
          </cell>
          <cell r="D79">
            <v>1</v>
          </cell>
          <cell r="G79">
            <v>1</v>
          </cell>
          <cell r="H79">
            <v>1.6331616854051656</v>
          </cell>
          <cell r="I79">
            <v>0.26340252329204838</v>
          </cell>
          <cell r="J79">
            <v>6.857142857142857E-4</v>
          </cell>
          <cell r="K79">
            <v>3.3887043189368769E-2</v>
          </cell>
          <cell r="L79">
            <v>1.2547519098770954</v>
          </cell>
          <cell r="M79">
            <v>0.2322611819320371</v>
          </cell>
          <cell r="N79">
            <v>0.55351416258468189</v>
          </cell>
          <cell r="O79">
            <v>0.12283901373122159</v>
          </cell>
          <cell r="P79">
            <v>0</v>
          </cell>
          <cell r="Q79">
            <v>0</v>
          </cell>
          <cell r="S79">
            <v>2.9534883720930234E-2</v>
          </cell>
          <cell r="T79">
            <v>3.4771000000000001</v>
          </cell>
          <cell r="U79">
            <v>4.2</v>
          </cell>
          <cell r="V79">
            <v>0.87320521316545174</v>
          </cell>
          <cell r="W79">
            <v>7906</v>
          </cell>
        </row>
        <row r="80">
          <cell r="A80" t="str">
            <v xml:space="preserve">076. 100/4 - 24  RWH                              </v>
          </cell>
          <cell r="B80">
            <v>1</v>
          </cell>
          <cell r="C80">
            <v>1</v>
          </cell>
          <cell r="D80">
            <v>1</v>
          </cell>
          <cell r="G80">
            <v>1</v>
          </cell>
          <cell r="H80">
            <v>1.6331616854051656</v>
          </cell>
          <cell r="I80">
            <v>0.26340252329204838</v>
          </cell>
          <cell r="J80">
            <v>6.857142857142857E-4</v>
          </cell>
          <cell r="K80">
            <v>3.3887043189368769E-2</v>
          </cell>
          <cell r="L80">
            <v>0.6273759549385477</v>
          </cell>
          <cell r="M80">
            <v>0.11613059096601855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1.4767441860465117E-2</v>
          </cell>
          <cell r="T80">
            <v>3.4771000000000001</v>
          </cell>
          <cell r="V80">
            <v>0</v>
          </cell>
        </row>
        <row r="81">
          <cell r="A81" t="str">
            <v xml:space="preserve">077. 100/6 - 24  RWH                              </v>
          </cell>
          <cell r="B81">
            <v>1</v>
          </cell>
          <cell r="C81">
            <v>1</v>
          </cell>
          <cell r="D81">
            <v>1</v>
          </cell>
          <cell r="G81">
            <v>1</v>
          </cell>
          <cell r="H81">
            <v>1.6331616854051656</v>
          </cell>
          <cell r="I81">
            <v>0.26340252329204838</v>
          </cell>
          <cell r="J81">
            <v>6.8571428571428603E-4</v>
          </cell>
          <cell r="K81">
            <v>3.3887043189368797E-2</v>
          </cell>
          <cell r="L81">
            <v>1.2547519098770954</v>
          </cell>
          <cell r="M81">
            <v>7.7420393977345667E-2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9.8449612403100784E-3</v>
          </cell>
          <cell r="T81">
            <v>3.4771000000000001</v>
          </cell>
          <cell r="V81">
            <v>0</v>
          </cell>
        </row>
        <row r="82">
          <cell r="A82" t="str">
            <v xml:space="preserve">078. 40/2 - 10  RWH                              </v>
          </cell>
          <cell r="B82">
            <v>1</v>
          </cell>
          <cell r="C82">
            <v>1</v>
          </cell>
          <cell r="D82">
            <v>1</v>
          </cell>
          <cell r="G82">
            <v>1</v>
          </cell>
          <cell r="H82">
            <v>5.424548878492808</v>
          </cell>
          <cell r="I82">
            <v>0.65850630823012091</v>
          </cell>
          <cell r="J82">
            <v>6.857142857142857E-4</v>
          </cell>
          <cell r="K82">
            <v>8.4717607973421927E-2</v>
          </cell>
          <cell r="L82">
            <v>3.1371567618693113</v>
          </cell>
          <cell r="M82">
            <v>0.58065295483009272</v>
          </cell>
          <cell r="N82">
            <v>1.3837854064617048</v>
          </cell>
          <cell r="O82">
            <v>0.30709753432805398</v>
          </cell>
          <cell r="P82">
            <v>0</v>
          </cell>
          <cell r="Q82">
            <v>0</v>
          </cell>
          <cell r="S82">
            <v>7.3837209302325596E-2</v>
          </cell>
          <cell r="T82">
            <v>3.536</v>
          </cell>
          <cell r="V82">
            <v>0</v>
          </cell>
        </row>
        <row r="83">
          <cell r="A83" t="str">
            <v>079. 100/2 - 24 RWC ( LOT 3802 )</v>
          </cell>
          <cell r="B83">
            <v>1</v>
          </cell>
          <cell r="C83">
            <v>1</v>
          </cell>
          <cell r="G83">
            <v>1</v>
          </cell>
          <cell r="H83">
            <v>1.6331616854051656</v>
          </cell>
          <cell r="I83">
            <v>0.26340252329204838</v>
          </cell>
          <cell r="J83">
            <v>6.857142857142857E-4</v>
          </cell>
          <cell r="K83">
            <v>3.3887043189368769E-2</v>
          </cell>
          <cell r="L83">
            <v>1.2547519098770954</v>
          </cell>
          <cell r="M83">
            <v>0.2322611819320371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2.9534883720930234E-2</v>
          </cell>
          <cell r="T83">
            <v>3.4771000000000001</v>
          </cell>
          <cell r="V83">
            <v>0</v>
          </cell>
        </row>
        <row r="84">
          <cell r="A84" t="str">
            <v>079. 70/2 - 24 RWC ( SULINDAFIN )</v>
          </cell>
          <cell r="C84">
            <v>1</v>
          </cell>
          <cell r="G84">
            <v>1</v>
          </cell>
          <cell r="H84">
            <v>0</v>
          </cell>
          <cell r="I84">
            <v>0</v>
          </cell>
          <cell r="J84">
            <v>6.857142857142857E-4</v>
          </cell>
          <cell r="K84">
            <v>4.8410061699098235E-2</v>
          </cell>
          <cell r="L84">
            <v>1.792661006782464</v>
          </cell>
          <cell r="M84">
            <v>0.33180168847433877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>
            <v>4.2192691029900337E-2</v>
          </cell>
          <cell r="T84">
            <v>3.7</v>
          </cell>
          <cell r="U84">
            <v>4.7</v>
          </cell>
          <cell r="V84">
            <v>0.48310139165009941</v>
          </cell>
          <cell r="W84">
            <v>4374</v>
          </cell>
        </row>
        <row r="85">
          <cell r="A85" t="str">
            <v>080. CFN 210/2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1.4574172884299912</v>
          </cell>
          <cell r="Q85">
            <v>0.36611287155226274</v>
          </cell>
          <cell r="S85">
            <v>8.4385382059800673E-2</v>
          </cell>
          <cell r="U85">
            <v>0.25</v>
          </cell>
          <cell r="V85">
            <v>0.48751932847360285</v>
          </cell>
          <cell r="W85">
            <v>4414</v>
          </cell>
        </row>
        <row r="86">
          <cell r="A86" t="str">
            <v>081. CFN 210/3</v>
          </cell>
          <cell r="F86">
            <v>1</v>
          </cell>
          <cell r="G86">
            <v>1</v>
          </cell>
          <cell r="H86">
            <v>0</v>
          </cell>
          <cell r="I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0.97130978291017422</v>
          </cell>
          <cell r="Q86">
            <v>0.24407524770150857</v>
          </cell>
          <cell r="S86">
            <v>8.4385382059800673E-2</v>
          </cell>
          <cell r="U86">
            <v>0.25</v>
          </cell>
          <cell r="V86">
            <v>0.47006847802076429</v>
          </cell>
          <cell r="W86">
            <v>4256</v>
          </cell>
        </row>
        <row r="87">
          <cell r="A87" t="str">
            <v>082. CFN 420/3</v>
          </cell>
          <cell r="F87">
            <v>1</v>
          </cell>
          <cell r="G87">
            <v>1</v>
          </cell>
          <cell r="H87">
            <v>0</v>
          </cell>
          <cell r="I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0.48565489145508711</v>
          </cell>
          <cell r="Q87">
            <v>0.1220376238507543</v>
          </cell>
          <cell r="S87">
            <v>8.4385382059800673E-2</v>
          </cell>
          <cell r="U87">
            <v>0.25</v>
          </cell>
          <cell r="V87">
            <v>0.45250717914733818</v>
          </cell>
          <cell r="W87">
            <v>4097</v>
          </cell>
        </row>
        <row r="88">
          <cell r="A88" t="str">
            <v>083. 70/2 - 24 RWC N. 66 I / L</v>
          </cell>
          <cell r="B88">
            <v>1</v>
          </cell>
          <cell r="G88">
            <v>1</v>
          </cell>
          <cell r="H88">
            <v>2.7391954676709012</v>
          </cell>
          <cell r="I88">
            <v>0.37628931898864065</v>
          </cell>
          <cell r="J88">
            <v>6.857142857142857E-4</v>
          </cell>
          <cell r="K88">
            <v>4.8410061699098235E-2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>
            <v>4.2192691029900337E-2</v>
          </cell>
          <cell r="U88">
            <v>0.8</v>
          </cell>
          <cell r="V88">
            <v>0.65562182460790808</v>
          </cell>
          <cell r="W88">
            <v>5936</v>
          </cell>
        </row>
        <row r="89">
          <cell r="A89" t="str">
            <v xml:space="preserve">084. WDD 70/1-24                         </v>
          </cell>
          <cell r="B89">
            <v>1</v>
          </cell>
          <cell r="G89">
            <v>1</v>
          </cell>
          <cell r="H89">
            <v>2.4362921651128571</v>
          </cell>
          <cell r="I89">
            <v>0.37628931898864065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>
            <v>4.2192691029900337E-2</v>
          </cell>
          <cell r="T89">
            <v>3.4771000000000001</v>
          </cell>
          <cell r="U89">
            <v>4.7</v>
          </cell>
          <cell r="V89">
            <v>0.76364037994256684</v>
          </cell>
          <cell r="W89">
            <v>6914</v>
          </cell>
        </row>
        <row r="90">
          <cell r="A90" t="str">
            <v>085. 30 - 1 - 220</v>
          </cell>
          <cell r="G90">
            <v>1</v>
          </cell>
          <cell r="H90">
            <v>0</v>
          </cell>
          <cell r="I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V90">
            <v>0</v>
          </cell>
        </row>
        <row r="91">
          <cell r="A91" t="str">
            <v>086. Spare Nylon</v>
          </cell>
          <cell r="H91">
            <v>0</v>
          </cell>
          <cell r="I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V91">
            <v>0</v>
          </cell>
        </row>
        <row r="92">
          <cell r="A92" t="str">
            <v xml:space="preserve">087. 150/1-48- THBB I/L                           </v>
          </cell>
          <cell r="B92">
            <v>1</v>
          </cell>
          <cell r="G92">
            <v>1</v>
          </cell>
          <cell r="H92">
            <v>1.4940787285162442</v>
          </cell>
          <cell r="I92">
            <v>0.17560168219469885</v>
          </cell>
          <cell r="J92">
            <v>6.857142857142857E-4</v>
          </cell>
          <cell r="K92">
            <v>2.2591362126245844E-2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3.9379844961240314E-2</v>
          </cell>
          <cell r="V92">
            <v>0</v>
          </cell>
        </row>
        <row r="93">
          <cell r="A93" t="str">
            <v>088. B - 150 - 48 - H0  ( TIF. )</v>
          </cell>
          <cell r="H93">
            <v>0</v>
          </cell>
          <cell r="I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 xml:space="preserve">089. 150/1-48-BR  LOVIA                      </v>
          </cell>
          <cell r="B94">
            <v>1</v>
          </cell>
          <cell r="C94">
            <v>1</v>
          </cell>
          <cell r="G94">
            <v>1</v>
          </cell>
          <cell r="H94">
            <v>1.3974090616190529</v>
          </cell>
          <cell r="I94">
            <v>0.17560168219469893</v>
          </cell>
          <cell r="J94">
            <v>6.857142857142857E-4</v>
          </cell>
          <cell r="K94">
            <v>2.2591362126245844E-2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3.9379844961240314E-2</v>
          </cell>
          <cell r="T94">
            <v>2.0072000000000001</v>
          </cell>
          <cell r="U94">
            <v>3</v>
          </cell>
          <cell r="V94">
            <v>1.0647227744643251</v>
          </cell>
          <cell r="W94">
            <v>9640</v>
          </cell>
        </row>
        <row r="95">
          <cell r="A95" t="str">
            <v xml:space="preserve">090. 150/2-48-BR  LOVIA                      </v>
          </cell>
          <cell r="B95">
            <v>1</v>
          </cell>
          <cell r="G95">
            <v>1</v>
          </cell>
          <cell r="H95">
            <v>1.3974090616190529</v>
          </cell>
          <cell r="I95">
            <v>0.17560168219469885</v>
          </cell>
          <cell r="J95">
            <v>6.857142857142857E-4</v>
          </cell>
          <cell r="K95">
            <v>1.1295681063122922E-2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1.9689922480620157E-2</v>
          </cell>
          <cell r="T95">
            <v>2.0072000000000001</v>
          </cell>
          <cell r="U95">
            <v>3.15</v>
          </cell>
          <cell r="V95">
            <v>0.85509167218908766</v>
          </cell>
          <cell r="W95">
            <v>7742</v>
          </cell>
        </row>
        <row r="96">
          <cell r="A96" t="str">
            <v>091. 150 / 1 - 48 SD LOVIA</v>
          </cell>
          <cell r="B96">
            <v>1</v>
          </cell>
          <cell r="C96">
            <v>1</v>
          </cell>
          <cell r="G96">
            <v>1</v>
          </cell>
          <cell r="H96">
            <v>1.3974090616190529</v>
          </cell>
          <cell r="I96">
            <v>0.17560168219469893</v>
          </cell>
          <cell r="J96">
            <v>6.857142857142857E-4</v>
          </cell>
          <cell r="K96">
            <v>2.2591362126245844E-2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6529.8989447917702</v>
          </cell>
          <cell r="S96">
            <v>3.9379844961240314E-2</v>
          </cell>
          <cell r="T96">
            <v>2.0072000000000001</v>
          </cell>
          <cell r="U96">
            <v>3</v>
          </cell>
          <cell r="V96">
            <v>1.0647227744643251</v>
          </cell>
          <cell r="W96">
            <v>9640</v>
          </cell>
        </row>
        <row r="97">
          <cell r="A97" t="str">
            <v>092. 300 / 1 -48 BR LOVIA</v>
          </cell>
          <cell r="B97">
            <v>1</v>
          </cell>
          <cell r="G97">
            <v>1</v>
          </cell>
          <cell r="H97">
            <v>0.69795258878325583</v>
          </cell>
          <cell r="I97">
            <v>0.17560168219469885</v>
          </cell>
          <cell r="J97">
            <v>6.857142857142857E-4</v>
          </cell>
          <cell r="K97">
            <v>1.1295681063122922E-2</v>
          </cell>
          <cell r="L97">
            <v>1.6707866490902068</v>
          </cell>
          <cell r="M97">
            <v>0.15484078795469133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1.9689922480620157E-2</v>
          </cell>
          <cell r="T97">
            <v>2.0072000000000001</v>
          </cell>
          <cell r="V97">
            <v>0</v>
          </cell>
        </row>
        <row r="98">
          <cell r="A98" t="str">
            <v xml:space="preserve">093. 300/1-96-DBC                                    </v>
          </cell>
          <cell r="B98">
            <v>1</v>
          </cell>
          <cell r="E98">
            <v>1</v>
          </cell>
          <cell r="F98">
            <v>1</v>
          </cell>
          <cell r="G98">
            <v>1</v>
          </cell>
          <cell r="H98">
            <v>0.74703936425812212</v>
          </cell>
          <cell r="I98">
            <v>0.17560168219469885</v>
          </cell>
          <cell r="J98">
            <v>6.857142857142857E-4</v>
          </cell>
          <cell r="K98">
            <v>1.1295681063122922E-2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1.9991963239115746</v>
          </cell>
          <cell r="Q98">
            <v>0.48815049540301714</v>
          </cell>
          <cell r="S98">
            <v>1.9689922480620157E-2</v>
          </cell>
          <cell r="T98">
            <v>2.0072000000000001</v>
          </cell>
          <cell r="U98">
            <v>5.56</v>
          </cell>
          <cell r="V98">
            <v>6.1409321846697586E-4</v>
          </cell>
        </row>
        <row r="99">
          <cell r="A99" t="str">
            <v>094. 150/1 - 48 BR I/L WT</v>
          </cell>
          <cell r="B99">
            <v>1</v>
          </cell>
          <cell r="G99">
            <v>1</v>
          </cell>
          <cell r="H99">
            <v>1.4940787285162442</v>
          </cell>
          <cell r="I99">
            <v>0.17560168219469885</v>
          </cell>
          <cell r="J99">
            <v>6.857142857142857E-4</v>
          </cell>
          <cell r="K99">
            <v>2.2591362126245844E-2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3.9379844961240314E-2</v>
          </cell>
          <cell r="T99">
            <v>2.0072000000000001</v>
          </cell>
          <cell r="U99">
            <v>2.77</v>
          </cell>
          <cell r="V99">
            <v>0.62823061630218691</v>
          </cell>
          <cell r="W99">
            <v>5688</v>
          </cell>
        </row>
        <row r="100">
          <cell r="A100" t="str">
            <v>095. 150/2 - 48 BR  WTT</v>
          </cell>
          <cell r="B100">
            <v>1</v>
          </cell>
          <cell r="C100">
            <v>1</v>
          </cell>
          <cell r="G100">
            <v>1</v>
          </cell>
          <cell r="H100">
            <v>1.4940787285162442</v>
          </cell>
          <cell r="I100">
            <v>0.17560168219469885</v>
          </cell>
          <cell r="J100">
            <v>6.857142857142857E-4</v>
          </cell>
          <cell r="K100">
            <v>1.1295681063122922E-2</v>
          </cell>
          <cell r="L100">
            <v>1.189659923382367</v>
          </cell>
          <cell r="M100">
            <v>0.15484078795469133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1.9689922480620157E-2</v>
          </cell>
          <cell r="T100">
            <v>2.0072000000000001</v>
          </cell>
          <cell r="U100">
            <v>2.74</v>
          </cell>
          <cell r="V100">
            <v>0.73492379058979451</v>
          </cell>
          <cell r="W100">
            <v>6654</v>
          </cell>
        </row>
        <row r="101">
          <cell r="A101" t="str">
            <v>096. 150/3 - 48 BR  WTT</v>
          </cell>
          <cell r="B101">
            <v>1</v>
          </cell>
          <cell r="C101">
            <v>1</v>
          </cell>
          <cell r="G101">
            <v>1</v>
          </cell>
          <cell r="H101">
            <v>1.4940787285162442</v>
          </cell>
          <cell r="I101">
            <v>0.17560168219469885</v>
          </cell>
          <cell r="J101">
            <v>6.857142857142857E-4</v>
          </cell>
          <cell r="K101">
            <v>7.530454042081948E-3</v>
          </cell>
          <cell r="L101">
            <v>1.189659923382367</v>
          </cell>
          <cell r="M101">
            <v>0.10322719196979427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1.3126614987080105E-2</v>
          </cell>
          <cell r="T101">
            <v>2.0072000000000001</v>
          </cell>
          <cell r="U101">
            <v>2.77</v>
          </cell>
          <cell r="V101">
            <v>0.72619836536337534</v>
          </cell>
          <cell r="W101">
            <v>6575</v>
          </cell>
        </row>
        <row r="102">
          <cell r="A102" t="str">
            <v>097. 150/4 - 48 BR  WTT</v>
          </cell>
          <cell r="B102">
            <v>1</v>
          </cell>
          <cell r="C102">
            <v>1</v>
          </cell>
          <cell r="G102">
            <v>1</v>
          </cell>
          <cell r="H102">
            <v>1.4940787285162442</v>
          </cell>
          <cell r="I102">
            <v>0.17560168219469885</v>
          </cell>
          <cell r="J102">
            <v>6.857142857142857E-4</v>
          </cell>
          <cell r="K102">
            <v>5.647840531561461E-3</v>
          </cell>
          <cell r="L102">
            <v>0.59482996169118352</v>
          </cell>
          <cell r="M102">
            <v>7.7420393977345667E-2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9.8449612403100784E-3</v>
          </cell>
          <cell r="T102">
            <v>2.0072000000000001</v>
          </cell>
          <cell r="U102">
            <v>2.76</v>
          </cell>
          <cell r="V102">
            <v>0</v>
          </cell>
        </row>
        <row r="103">
          <cell r="A103" t="str">
            <v>098. 100/1-156 PANETA</v>
          </cell>
          <cell r="B103">
            <v>1</v>
          </cell>
          <cell r="G103">
            <v>1</v>
          </cell>
          <cell r="H103">
            <v>4.6724474405138334</v>
          </cell>
          <cell r="I103">
            <v>0.75257863797728153</v>
          </cell>
          <cell r="J103">
            <v>6.857142857142857E-4</v>
          </cell>
          <cell r="K103">
            <v>3.3887043189368769E-2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5.9069767441860467E-2</v>
          </cell>
          <cell r="T103">
            <v>3.91</v>
          </cell>
          <cell r="U103">
            <v>4.75</v>
          </cell>
          <cell r="V103">
            <v>0.9876297768941904</v>
          </cell>
          <cell r="W103">
            <v>8942</v>
          </cell>
        </row>
        <row r="104">
          <cell r="A104" t="str">
            <v>099. 105/1 - 156  PANETA</v>
          </cell>
          <cell r="B104">
            <v>1</v>
          </cell>
          <cell r="G104">
            <v>1</v>
          </cell>
          <cell r="H104">
            <v>4.6724474405138334</v>
          </cell>
          <cell r="I104">
            <v>0.75257863797728153</v>
          </cell>
          <cell r="J104">
            <v>6.857142857142857E-4</v>
          </cell>
          <cell r="K104">
            <v>4.8410061699098235E-2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3.9379844961240314E-2</v>
          </cell>
          <cell r="T104">
            <v>3.91</v>
          </cell>
          <cell r="U104">
            <v>4.75</v>
          </cell>
          <cell r="V104">
            <v>0.9876297768941904</v>
          </cell>
          <cell r="W104">
            <v>8942</v>
          </cell>
        </row>
        <row r="105">
          <cell r="A105" t="str">
            <v>100. 150/1 - 156   PANETA</v>
          </cell>
          <cell r="B105">
            <v>1</v>
          </cell>
          <cell r="G105">
            <v>1</v>
          </cell>
          <cell r="H105">
            <v>3.5043355803853742</v>
          </cell>
          <cell r="I105">
            <v>0.56443397848296106</v>
          </cell>
          <cell r="J105">
            <v>6.857142857142857E-4</v>
          </cell>
          <cell r="K105">
            <v>3.3887043189368769E-2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5.9069767441860467E-2</v>
          </cell>
          <cell r="T105">
            <v>4.66</v>
          </cell>
          <cell r="U105">
            <v>5.4</v>
          </cell>
          <cell r="V105">
            <v>0.86061409321846694</v>
          </cell>
          <cell r="W105">
            <v>7792</v>
          </cell>
        </row>
        <row r="106">
          <cell r="A106" t="str">
            <v>101. SD. 100 - 48 HO</v>
          </cell>
          <cell r="H106">
            <v>0</v>
          </cell>
          <cell r="I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 xml:space="preserve">102. 100/1 - 48 TMD                                  </v>
          </cell>
          <cell r="B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1.7689646711754963</v>
          </cell>
          <cell r="I107">
            <v>0.37628931898864065</v>
          </cell>
          <cell r="J107">
            <v>6.857142857142857E-4</v>
          </cell>
          <cell r="K107">
            <v>3.3887043189368769E-2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7.5260666683272959</v>
          </cell>
          <cell r="Q107">
            <v>1.464451486209051</v>
          </cell>
          <cell r="S107">
            <v>5.9069767441860467E-2</v>
          </cell>
          <cell r="T107">
            <v>2.1111999999999997</v>
          </cell>
          <cell r="V107">
            <v>0</v>
          </cell>
        </row>
        <row r="108">
          <cell r="A108" t="str">
            <v xml:space="preserve">103. 200/1 - 96  WT                                    </v>
          </cell>
          <cell r="B108">
            <v>1</v>
          </cell>
          <cell r="G108">
            <v>1</v>
          </cell>
          <cell r="H108">
            <v>2.241118092774367</v>
          </cell>
          <cell r="I108">
            <v>0.13170126164602419</v>
          </cell>
          <cell r="J108">
            <v>6.857142857142857E-4</v>
          </cell>
          <cell r="K108">
            <v>1.6943521594684385E-2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2.9534883720930234E-2</v>
          </cell>
          <cell r="T108">
            <v>2.1111999999999997</v>
          </cell>
          <cell r="U108">
            <v>3.13</v>
          </cell>
          <cell r="V108">
            <v>0.67472940136956039</v>
          </cell>
          <cell r="W108">
            <v>6109</v>
          </cell>
        </row>
        <row r="109">
          <cell r="A109" t="str">
            <v xml:space="preserve">104. 200/1 - 96  WTT                                    </v>
          </cell>
          <cell r="B109">
            <v>1</v>
          </cell>
          <cell r="C109">
            <v>1</v>
          </cell>
          <cell r="G109">
            <v>1</v>
          </cell>
          <cell r="H109">
            <v>2.241118092774367</v>
          </cell>
          <cell r="I109">
            <v>0.13170126164602419</v>
          </cell>
          <cell r="J109">
            <v>6.857142857142857E-4</v>
          </cell>
          <cell r="K109">
            <v>1.6943521594684385E-2</v>
          </cell>
          <cell r="L109">
            <v>1.2547519098770954</v>
          </cell>
          <cell r="M109">
            <v>0.2322611819320371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2.9534883720930234E-2</v>
          </cell>
          <cell r="T109">
            <v>2.1111999999999997</v>
          </cell>
          <cell r="V109">
            <v>0</v>
          </cell>
        </row>
        <row r="110">
          <cell r="A110" t="str">
            <v xml:space="preserve">105. 200/1 - 96  I/L WT                                    </v>
          </cell>
          <cell r="B110">
            <v>1</v>
          </cell>
          <cell r="G110">
            <v>1</v>
          </cell>
          <cell r="H110">
            <v>2.241118092774367</v>
          </cell>
          <cell r="I110">
            <v>0.13170126164602419</v>
          </cell>
          <cell r="J110">
            <v>6.857142857142857E-4</v>
          </cell>
          <cell r="K110">
            <v>1.6943521594684385E-2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2.9534883720930234E-2</v>
          </cell>
          <cell r="T110">
            <v>2.1111999999999997</v>
          </cell>
          <cell r="V110">
            <v>0</v>
          </cell>
        </row>
        <row r="111">
          <cell r="A111" t="str">
            <v>106. 100/2 - 48 - WT</v>
          </cell>
          <cell r="B111">
            <v>1</v>
          </cell>
          <cell r="G111">
            <v>1</v>
          </cell>
          <cell r="H111">
            <v>2.241118092774367</v>
          </cell>
          <cell r="I111">
            <v>0.26340252329204838</v>
          </cell>
          <cell r="J111">
            <v>6.857142857142857E-4</v>
          </cell>
          <cell r="K111">
            <v>3.3887043189368769E-2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2.9534883720930234E-2</v>
          </cell>
          <cell r="T111">
            <v>2.1111999999999997</v>
          </cell>
          <cell r="V111">
            <v>0</v>
          </cell>
        </row>
        <row r="112">
          <cell r="A112" t="str">
            <v xml:space="preserve">107. 100/2 - 48 - WTT                  </v>
          </cell>
          <cell r="B112">
            <v>1</v>
          </cell>
          <cell r="C112">
            <v>1</v>
          </cell>
          <cell r="G112">
            <v>1</v>
          </cell>
          <cell r="H112">
            <v>2.241118092774367</v>
          </cell>
          <cell r="I112">
            <v>0.26340252329204838</v>
          </cell>
          <cell r="J112">
            <v>6.857142857142857E-4</v>
          </cell>
          <cell r="K112">
            <v>3.3887043189368769E-2</v>
          </cell>
          <cell r="L112">
            <v>1.2547519098770954</v>
          </cell>
          <cell r="M112">
            <v>0.2322611819320371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2.9534883720930234E-2</v>
          </cell>
          <cell r="T112">
            <v>2.1111999999999997</v>
          </cell>
          <cell r="U112">
            <v>2.77</v>
          </cell>
          <cell r="V112">
            <v>0.82261983653633752</v>
          </cell>
          <cell r="W112">
            <v>7448</v>
          </cell>
        </row>
        <row r="113">
          <cell r="A113" t="str">
            <v xml:space="preserve">108. 100/2 - 48 - HDT                               </v>
          </cell>
          <cell r="B113">
            <v>1</v>
          </cell>
          <cell r="C113">
            <v>1</v>
          </cell>
          <cell r="D113">
            <v>1</v>
          </cell>
          <cell r="E113">
            <v>1</v>
          </cell>
          <cell r="F113">
            <v>1</v>
          </cell>
          <cell r="G113">
            <v>1</v>
          </cell>
          <cell r="H113">
            <v>1.7689646711754963</v>
          </cell>
          <cell r="I113">
            <v>0.26340252329204838</v>
          </cell>
          <cell r="J113">
            <v>6.857142857142857E-4</v>
          </cell>
          <cell r="K113">
            <v>3.3887043189368769E-2</v>
          </cell>
          <cell r="L113">
            <v>1.2547519098770954</v>
          </cell>
          <cell r="M113">
            <v>0.2322611819320371</v>
          </cell>
          <cell r="N113">
            <v>0.55351416258468189</v>
          </cell>
          <cell r="O113">
            <v>0.12283901373122159</v>
          </cell>
          <cell r="P113">
            <v>2.9148345768599824</v>
          </cell>
          <cell r="Q113">
            <v>0.73222574310452548</v>
          </cell>
          <cell r="S113">
            <v>2.9534883720930234E-2</v>
          </cell>
          <cell r="T113">
            <v>2.1111999999999997</v>
          </cell>
          <cell r="V113">
            <v>0</v>
          </cell>
        </row>
        <row r="114">
          <cell r="A114" t="str">
            <v xml:space="preserve">109. 100/4 - 48 - HDT                                </v>
          </cell>
          <cell r="B114">
            <v>1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1.7689646711754963</v>
          </cell>
          <cell r="I114">
            <v>0.26340252329204838</v>
          </cell>
          <cell r="J114">
            <v>6.857142857142857E-4</v>
          </cell>
          <cell r="K114">
            <v>3.3887043189368769E-2</v>
          </cell>
          <cell r="L114">
            <v>0.6273759549385477</v>
          </cell>
          <cell r="M114">
            <v>0.11613059096601855</v>
          </cell>
          <cell r="N114">
            <v>0.27675708129234095</v>
          </cell>
          <cell r="O114">
            <v>6.1419506865610797E-2</v>
          </cell>
          <cell r="P114">
            <v>0.47036363589568592</v>
          </cell>
          <cell r="Q114">
            <v>0.36611287155226274</v>
          </cell>
          <cell r="S114">
            <v>1.4767441860465117E-2</v>
          </cell>
          <cell r="T114">
            <v>2.1111999999999997</v>
          </cell>
          <cell r="V114">
            <v>0</v>
          </cell>
        </row>
        <row r="115">
          <cell r="A115" t="str">
            <v xml:space="preserve">110. 100/2 - 48 STH                                </v>
          </cell>
          <cell r="B115">
            <v>1</v>
          </cell>
          <cell r="C115">
            <v>1</v>
          </cell>
          <cell r="D115">
            <v>1</v>
          </cell>
          <cell r="G115">
            <v>1</v>
          </cell>
          <cell r="H115">
            <v>1.7689646711754963</v>
          </cell>
          <cell r="I115">
            <v>0.26340252329204838</v>
          </cell>
          <cell r="J115">
            <v>6.857142857142857E-4</v>
          </cell>
          <cell r="K115">
            <v>3.3887043189368769E-2</v>
          </cell>
          <cell r="L115">
            <v>1.2547519098770954</v>
          </cell>
          <cell r="M115">
            <v>0.2322611819320371</v>
          </cell>
          <cell r="N115">
            <v>0.55351416258468189</v>
          </cell>
          <cell r="O115">
            <v>0.12283901373122159</v>
          </cell>
          <cell r="P115">
            <v>0</v>
          </cell>
          <cell r="Q115">
            <v>0</v>
          </cell>
          <cell r="S115">
            <v>2.9534883720930234E-2</v>
          </cell>
          <cell r="T115">
            <v>2.1111999999999997</v>
          </cell>
          <cell r="V115">
            <v>0</v>
          </cell>
        </row>
        <row r="116">
          <cell r="A116" t="str">
            <v>111. 100/2-48 POLY</v>
          </cell>
          <cell r="B116">
            <v>1</v>
          </cell>
          <cell r="C116">
            <v>1</v>
          </cell>
          <cell r="E116">
            <v>1</v>
          </cell>
          <cell r="G116">
            <v>1</v>
          </cell>
          <cell r="H116">
            <v>0.81668122696308842</v>
          </cell>
          <cell r="I116">
            <v>0.26340252329204838</v>
          </cell>
          <cell r="J116">
            <v>6.857142857142857E-4</v>
          </cell>
          <cell r="K116">
            <v>3.3887043189368769E-2</v>
          </cell>
          <cell r="L116">
            <v>1.2547519098770954</v>
          </cell>
          <cell r="M116">
            <v>0.2322611819320371</v>
          </cell>
          <cell r="N116">
            <v>0</v>
          </cell>
          <cell r="O116">
            <v>0</v>
          </cell>
          <cell r="P116">
            <v>5.8296691537199647</v>
          </cell>
          <cell r="Q116">
            <v>1.4644514862090556</v>
          </cell>
          <cell r="S116">
            <v>2.9534883720930234E-2</v>
          </cell>
          <cell r="T116">
            <v>2.1111999999999997</v>
          </cell>
          <cell r="V116">
            <v>0</v>
          </cell>
        </row>
        <row r="117">
          <cell r="A117" t="str">
            <v>112. BB  150 - 72 - HT</v>
          </cell>
          <cell r="H117">
            <v>0</v>
          </cell>
          <cell r="I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A118" t="str">
            <v xml:space="preserve">113. 150/2 - 72 -  WT BB                  </v>
          </cell>
          <cell r="B118">
            <v>1</v>
          </cell>
          <cell r="G118">
            <v>1</v>
          </cell>
          <cell r="H118">
            <v>1.4940787285162442</v>
          </cell>
          <cell r="I118">
            <v>0.17560168219469885</v>
          </cell>
          <cell r="J118">
            <v>6.857142857142857E-4</v>
          </cell>
          <cell r="K118">
            <v>4.8410061699098235E-2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1.9689922480620157E-2</v>
          </cell>
          <cell r="V118">
            <v>0</v>
          </cell>
        </row>
        <row r="119">
          <cell r="A119" t="str">
            <v xml:space="preserve">114. 150/3 - 72 -  WT BB                  </v>
          </cell>
          <cell r="B119">
            <v>1</v>
          </cell>
          <cell r="G119">
            <v>1</v>
          </cell>
          <cell r="H119">
            <v>1.4940787285162442</v>
          </cell>
          <cell r="I119">
            <v>0.17560168219469885</v>
          </cell>
          <cell r="J119">
            <v>6.857142857142857E-4</v>
          </cell>
          <cell r="K119">
            <v>4.8410061699098235E-2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1.3126614987080105E-2</v>
          </cell>
          <cell r="V119">
            <v>0</v>
          </cell>
        </row>
        <row r="120">
          <cell r="A120" t="str">
            <v xml:space="preserve">115. SD. 225 - 48  PXO </v>
          </cell>
          <cell r="H120">
            <v>0</v>
          </cell>
          <cell r="I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 xml:space="preserve">116. 150 / 1 - 48 WT  HS   </v>
          </cell>
          <cell r="B121">
            <v>1</v>
          </cell>
          <cell r="G121">
            <v>1</v>
          </cell>
          <cell r="H121">
            <v>1.4940787285162442</v>
          </cell>
          <cell r="I121">
            <v>0.18814465949432013</v>
          </cell>
          <cell r="J121">
            <v>6.857142857142857E-4</v>
          </cell>
          <cell r="K121">
            <v>2.2591362126245844E-2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3.9379844961240314E-2</v>
          </cell>
          <cell r="T121">
            <v>2.0072000000000001</v>
          </cell>
          <cell r="V121">
            <v>0</v>
          </cell>
        </row>
        <row r="122">
          <cell r="A122" t="str">
            <v>117. 150 / 1 - 48 WT HS I/L</v>
          </cell>
          <cell r="B122">
            <v>1</v>
          </cell>
          <cell r="G122">
            <v>1</v>
          </cell>
          <cell r="H122">
            <v>1.4940787285162442</v>
          </cell>
          <cell r="I122">
            <v>0.18814465949432013</v>
          </cell>
          <cell r="J122">
            <v>6.857142857142857E-4</v>
          </cell>
          <cell r="K122">
            <v>2.2591362126245844E-2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3.9379844961240314E-2</v>
          </cell>
          <cell r="T122">
            <v>2.0072000000000001</v>
          </cell>
          <cell r="V122">
            <v>0.63088137839628888</v>
          </cell>
          <cell r="W122">
            <v>5712</v>
          </cell>
        </row>
        <row r="123">
          <cell r="A123" t="str">
            <v>118. 150/2 - 48 WTT  HS</v>
          </cell>
          <cell r="B123">
            <v>1</v>
          </cell>
          <cell r="C123">
            <v>1</v>
          </cell>
          <cell r="G123">
            <v>1</v>
          </cell>
          <cell r="H123">
            <v>1.4940787285162442</v>
          </cell>
          <cell r="I123">
            <v>0.18814465949432013</v>
          </cell>
          <cell r="J123">
            <v>6.857142857142857E-4</v>
          </cell>
          <cell r="K123">
            <v>2.2591362126245844E-2</v>
          </cell>
          <cell r="L123">
            <v>0.59482996169118352</v>
          </cell>
          <cell r="M123">
            <v>0.15484078795469133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1.9689922480620157E-2</v>
          </cell>
          <cell r="T123">
            <v>2.0072000000000001</v>
          </cell>
          <cell r="U123">
            <v>3.23</v>
          </cell>
          <cell r="V123">
            <v>0.73492379058979451</v>
          </cell>
          <cell r="W123">
            <v>6654</v>
          </cell>
        </row>
        <row r="124">
          <cell r="A124" t="str">
            <v xml:space="preserve">119. 150/3 - 48 WT  SD                               </v>
          </cell>
          <cell r="B124">
            <v>1</v>
          </cell>
          <cell r="G124">
            <v>1</v>
          </cell>
          <cell r="H124">
            <v>1.4940787285162442</v>
          </cell>
          <cell r="I124">
            <v>0.18814465949432013</v>
          </cell>
          <cell r="J124">
            <v>6.857142857142857E-4</v>
          </cell>
          <cell r="K124">
            <v>2.2591362126245844E-2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1.3126614987080105E-2</v>
          </cell>
          <cell r="T124">
            <v>2.0072000000000001</v>
          </cell>
          <cell r="U124">
            <v>2.76</v>
          </cell>
          <cell r="V124">
            <v>0.63088137839628888</v>
          </cell>
          <cell r="W124">
            <v>5712</v>
          </cell>
        </row>
        <row r="125">
          <cell r="A125" t="str">
            <v xml:space="preserve">120. 150/2 - 48 WT  HS                              </v>
          </cell>
          <cell r="B125">
            <v>1</v>
          </cell>
          <cell r="G125">
            <v>1</v>
          </cell>
          <cell r="H125">
            <v>1.4940787285162442</v>
          </cell>
          <cell r="I125">
            <v>0.18814465949432013</v>
          </cell>
          <cell r="J125">
            <v>6.857142857142857E-4</v>
          </cell>
          <cell r="K125">
            <v>2.2591362126245844E-2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S125">
            <v>1.9689922480620157E-2</v>
          </cell>
          <cell r="T125">
            <v>2.0072000000000001</v>
          </cell>
          <cell r="U125">
            <v>2.48</v>
          </cell>
          <cell r="V125">
            <v>0.63088137839628888</v>
          </cell>
          <cell r="W125">
            <v>5712</v>
          </cell>
        </row>
        <row r="126">
          <cell r="A126" t="str">
            <v xml:space="preserve">121. 150/2 - 48 WT  HS  I/L                     </v>
          </cell>
          <cell r="B126">
            <v>1</v>
          </cell>
          <cell r="G126">
            <v>1</v>
          </cell>
          <cell r="H126">
            <v>1.4940787285162442</v>
          </cell>
          <cell r="I126">
            <v>0.18814465949432013</v>
          </cell>
          <cell r="J126">
            <v>6.857142857142857E-4</v>
          </cell>
          <cell r="K126">
            <v>2.2591362126245844E-2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S126">
            <v>1.9689922480620157E-2</v>
          </cell>
          <cell r="T126">
            <v>2.0072000000000001</v>
          </cell>
          <cell r="V126">
            <v>0</v>
          </cell>
        </row>
        <row r="127">
          <cell r="A127" t="str">
            <v xml:space="preserve">122. 150/3 - 48  WTT                                  </v>
          </cell>
          <cell r="B127">
            <v>1</v>
          </cell>
          <cell r="C127">
            <v>1</v>
          </cell>
          <cell r="G127">
            <v>1</v>
          </cell>
          <cell r="H127">
            <v>1.4940787285162442</v>
          </cell>
          <cell r="I127">
            <v>0.18814465949432013</v>
          </cell>
          <cell r="J127">
            <v>6.857142857142857E-4</v>
          </cell>
          <cell r="K127">
            <v>2.2591362126245844E-2</v>
          </cell>
          <cell r="L127">
            <v>0.39650714326469361</v>
          </cell>
          <cell r="M127">
            <v>0.10322719196979427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S127">
            <v>1.3126614987080105E-2</v>
          </cell>
          <cell r="T127">
            <v>2.0072000000000001</v>
          </cell>
          <cell r="U127">
            <v>2.7</v>
          </cell>
          <cell r="V127">
            <v>0.72619836536337534</v>
          </cell>
          <cell r="W127">
            <v>6575</v>
          </cell>
        </row>
        <row r="128">
          <cell r="A128" t="str">
            <v xml:space="preserve">123. 150/4 - 48  WTT                                  </v>
          </cell>
          <cell r="B128">
            <v>1</v>
          </cell>
          <cell r="C128">
            <v>1</v>
          </cell>
          <cell r="G128">
            <v>1</v>
          </cell>
          <cell r="H128">
            <v>1.4940787285162442</v>
          </cell>
          <cell r="I128">
            <v>0.18814465949432013</v>
          </cell>
          <cell r="J128">
            <v>6.857142857142857E-4</v>
          </cell>
          <cell r="K128">
            <v>2.2591362126245844E-2</v>
          </cell>
          <cell r="L128">
            <v>0.29748422763973509</v>
          </cell>
          <cell r="M128">
            <v>7.7420393977345667E-2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9.8449612403100784E-3</v>
          </cell>
          <cell r="T128">
            <v>2.0072000000000001</v>
          </cell>
          <cell r="V128">
            <v>0</v>
          </cell>
        </row>
        <row r="129">
          <cell r="A129" t="str">
            <v>124. 160/1 - 48  ESPILA</v>
          </cell>
          <cell r="B129">
            <v>1</v>
          </cell>
          <cell r="G129">
            <v>1</v>
          </cell>
          <cell r="H129">
            <v>1.7027672696317899</v>
          </cell>
          <cell r="I129">
            <v>0.18814465949432013</v>
          </cell>
          <cell r="J129">
            <v>6.857142857142857E-4</v>
          </cell>
          <cell r="K129">
            <v>2.2591362126245844E-2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3.6918604651162798E-2</v>
          </cell>
          <cell r="T129">
            <v>1.93</v>
          </cell>
          <cell r="U129">
            <v>2.35</v>
          </cell>
          <cell r="V129">
            <v>0.64645460569913848</v>
          </cell>
          <cell r="W129">
            <v>5853</v>
          </cell>
        </row>
        <row r="130">
          <cell r="A130" t="str">
            <v>125. 150 / 1 - 48 POLY</v>
          </cell>
          <cell r="B130">
            <v>1</v>
          </cell>
          <cell r="C130">
            <v>1</v>
          </cell>
          <cell r="G130">
            <v>1</v>
          </cell>
          <cell r="H130">
            <v>1.4940787285162442</v>
          </cell>
          <cell r="I130">
            <v>0.18814465949432013</v>
          </cell>
          <cell r="J130">
            <v>6.857142857142857E-4</v>
          </cell>
          <cell r="K130">
            <v>2.2591362126245844E-2</v>
          </cell>
          <cell r="L130">
            <v>1.189659923382367</v>
          </cell>
          <cell r="M130">
            <v>0.30968157590938267</v>
          </cell>
          <cell r="N130">
            <v>0</v>
          </cell>
          <cell r="O130">
            <v>0</v>
          </cell>
          <cell r="P130">
            <v>3.9983926478231493</v>
          </cell>
          <cell r="Q130">
            <v>0.97630099080603427</v>
          </cell>
          <cell r="S130">
            <v>3.9379844961240314E-2</v>
          </cell>
          <cell r="T130">
            <v>2.0072000000000001</v>
          </cell>
          <cell r="V130">
            <v>0</v>
          </cell>
        </row>
        <row r="131">
          <cell r="A131" t="str">
            <v xml:space="preserve">126. 120 - 144 - SD </v>
          </cell>
          <cell r="H131">
            <v>0</v>
          </cell>
          <cell r="I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A132" t="str">
            <v xml:space="preserve">127. 75/1 - 144  THD  I/L                           </v>
          </cell>
          <cell r="B132">
            <v>1</v>
          </cell>
          <cell r="G132">
            <v>1</v>
          </cell>
          <cell r="H132">
            <v>2.3362237202569203</v>
          </cell>
          <cell r="I132">
            <v>0.37628931898864065</v>
          </cell>
          <cell r="J132">
            <v>6.857142857142857E-4</v>
          </cell>
          <cell r="K132">
            <v>4.5182724252491688E-2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7.8759689922480627E-2</v>
          </cell>
          <cell r="T132">
            <v>2.1736</v>
          </cell>
          <cell r="U132">
            <v>3.5</v>
          </cell>
          <cell r="V132">
            <v>0.73359840954274358</v>
          </cell>
          <cell r="W132">
            <v>6642</v>
          </cell>
        </row>
        <row r="133">
          <cell r="A133" t="str">
            <v xml:space="preserve">128. 75/4 - 144  THDT  I/L                     </v>
          </cell>
          <cell r="B133">
            <v>1</v>
          </cell>
          <cell r="C133">
            <v>1</v>
          </cell>
          <cell r="G133">
            <v>1</v>
          </cell>
          <cell r="H133">
            <v>2.3362237202569203</v>
          </cell>
          <cell r="I133">
            <v>0.37628931898864065</v>
          </cell>
          <cell r="J133">
            <v>6.857142857142857E-4</v>
          </cell>
          <cell r="K133">
            <v>4.5182724252491688E-2</v>
          </cell>
          <cell r="L133">
            <v>0.59482996169118352</v>
          </cell>
          <cell r="M133">
            <v>0.15484078795469133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1.9689922480620157E-2</v>
          </cell>
          <cell r="T133">
            <v>2.1736</v>
          </cell>
          <cell r="U133">
            <v>3.5</v>
          </cell>
          <cell r="V133">
            <v>0.80980781974817762</v>
          </cell>
          <cell r="W133">
            <v>7332</v>
          </cell>
        </row>
        <row r="134">
          <cell r="A134" t="str">
            <v xml:space="preserve">129. SD.  160 - 36 </v>
          </cell>
          <cell r="H134">
            <v>0</v>
          </cell>
          <cell r="I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A135" t="str">
            <v>130. 100/1 - 36  THB BR</v>
          </cell>
          <cell r="B135">
            <v>1</v>
          </cell>
          <cell r="G135">
            <v>1</v>
          </cell>
          <cell r="H135">
            <v>2.3362237202569203</v>
          </cell>
          <cell r="I135">
            <v>0.37628931898864065</v>
          </cell>
          <cell r="J135">
            <v>6.857142857142857E-4</v>
          </cell>
          <cell r="K135">
            <v>3.3887043189368769E-2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5.9069767441860467E-2</v>
          </cell>
          <cell r="T135">
            <v>1.9967999999999999</v>
          </cell>
          <cell r="U135">
            <v>3.05</v>
          </cell>
          <cell r="V135">
            <v>0.73359840954274358</v>
          </cell>
          <cell r="W135">
            <v>6642</v>
          </cell>
        </row>
        <row r="136">
          <cell r="A136" t="str">
            <v>131. STH 100 / 2 - 36 SD</v>
          </cell>
          <cell r="B136">
            <v>1</v>
          </cell>
          <cell r="C136">
            <v>1</v>
          </cell>
          <cell r="D136">
            <v>1</v>
          </cell>
          <cell r="G136">
            <v>1</v>
          </cell>
          <cell r="H136">
            <v>1.7689646711754963</v>
          </cell>
          <cell r="I136">
            <v>0.26340252329204838</v>
          </cell>
          <cell r="J136">
            <v>6.857142857142857E-4</v>
          </cell>
          <cell r="K136">
            <v>3.3887043189368769E-2</v>
          </cell>
          <cell r="L136">
            <v>1.2547519098770954</v>
          </cell>
          <cell r="M136">
            <v>0.2322611819320371</v>
          </cell>
          <cell r="N136">
            <v>1.3837854064617048</v>
          </cell>
          <cell r="O136">
            <v>0.12283901373122159</v>
          </cell>
          <cell r="P136">
            <v>0</v>
          </cell>
          <cell r="Q136">
            <v>0</v>
          </cell>
          <cell r="S136">
            <v>2.9534883720930234E-2</v>
          </cell>
          <cell r="T136">
            <v>1.9967999999999999</v>
          </cell>
          <cell r="U136">
            <v>3.5</v>
          </cell>
          <cell r="V136">
            <v>0.96741771592666226</v>
          </cell>
          <cell r="W136">
            <v>8759</v>
          </cell>
        </row>
        <row r="137">
          <cell r="A137" t="str">
            <v>132. WT  100 / 2 - 36 SD</v>
          </cell>
          <cell r="B137">
            <v>1</v>
          </cell>
          <cell r="G137">
            <v>1</v>
          </cell>
          <cell r="H137">
            <v>1.7689646711754963</v>
          </cell>
          <cell r="I137">
            <v>0.26340252329204838</v>
          </cell>
          <cell r="J137">
            <v>6.857142857142857E-4</v>
          </cell>
          <cell r="K137">
            <v>3.3887043189368769E-2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2.9534883720930234E-2</v>
          </cell>
          <cell r="T137">
            <v>1.9967999999999999</v>
          </cell>
          <cell r="U137">
            <v>3.35</v>
          </cell>
          <cell r="V137">
            <v>0.78738679036889769</v>
          </cell>
          <cell r="W137">
            <v>7129</v>
          </cell>
        </row>
        <row r="138">
          <cell r="A138" t="str">
            <v>133. WTT 100 / 2 - 36 SD</v>
          </cell>
          <cell r="B138">
            <v>1</v>
          </cell>
          <cell r="C138">
            <v>1</v>
          </cell>
          <cell r="G138">
            <v>1</v>
          </cell>
          <cell r="H138">
            <v>1.7689646711754963</v>
          </cell>
          <cell r="I138">
            <v>0.26340252329204838</v>
          </cell>
          <cell r="J138">
            <v>6.857142857142857E-4</v>
          </cell>
          <cell r="K138">
            <v>3.3887043189368769E-2</v>
          </cell>
          <cell r="L138">
            <v>1.2547519098770954</v>
          </cell>
          <cell r="M138">
            <v>0.2322611819320371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1.4767441860465117E-2</v>
          </cell>
          <cell r="T138">
            <v>1.9967999999999999</v>
          </cell>
          <cell r="V138">
            <v>0</v>
          </cell>
        </row>
        <row r="139">
          <cell r="A139" t="str">
            <v xml:space="preserve">134. 75 / 1 - 36 IST TF           </v>
          </cell>
          <cell r="G139">
            <v>1</v>
          </cell>
          <cell r="H139">
            <v>0</v>
          </cell>
          <cell r="I139">
            <v>0</v>
          </cell>
          <cell r="J139">
            <v>2.0000000000000001E-4</v>
          </cell>
          <cell r="K139">
            <v>3.0000000000000001E-3</v>
          </cell>
          <cell r="L139">
            <v>0.4176966622725517</v>
          </cell>
          <cell r="M139">
            <v>3.8720538576732237E-2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28448246</v>
          </cell>
          <cell r="S139">
            <v>5.0000000000000001E-3</v>
          </cell>
          <cell r="T139">
            <v>1.9967999999999999</v>
          </cell>
          <cell r="U139">
            <v>2.93</v>
          </cell>
          <cell r="V139">
            <v>0.48508946322067592</v>
          </cell>
          <cell r="W139">
            <v>4392</v>
          </cell>
        </row>
        <row r="140">
          <cell r="A140" t="str">
            <v>135. DFT 150/4-72 BY</v>
          </cell>
          <cell r="C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0</v>
          </cell>
          <cell r="I140">
            <v>0</v>
          </cell>
          <cell r="J140">
            <v>6.9999999999999999E-4</v>
          </cell>
          <cell r="K140">
            <v>2.2591362126245844E-2</v>
          </cell>
          <cell r="L140">
            <v>2.5061384255588255</v>
          </cell>
          <cell r="M140">
            <v>0.23232323146039346</v>
          </cell>
          <cell r="N140">
            <v>0</v>
          </cell>
          <cell r="O140">
            <v>0</v>
          </cell>
          <cell r="P140">
            <v>0.99937185492342218</v>
          </cell>
          <cell r="Q140">
            <v>2.4390182340664746</v>
          </cell>
          <cell r="S140">
            <v>9.8499999999999994E-3</v>
          </cell>
          <cell r="V140">
            <v>0</v>
          </cell>
        </row>
        <row r="141">
          <cell r="A141" t="str">
            <v>136. 120 - 36 POY</v>
          </cell>
          <cell r="B141">
            <v>1</v>
          </cell>
          <cell r="G141">
            <v>1</v>
          </cell>
          <cell r="H141">
            <v>0</v>
          </cell>
          <cell r="I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A142" t="str">
            <v>137. 75/1 - 36 TMD</v>
          </cell>
          <cell r="B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2.5064734208979962</v>
          </cell>
          <cell r="I142">
            <v>0.37628931898864065</v>
          </cell>
          <cell r="J142">
            <v>6.857142857142857E-4</v>
          </cell>
          <cell r="K142">
            <v>4.5182724252491688E-2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7.8759689922480627E-2</v>
          </cell>
          <cell r="T142">
            <v>1.6952</v>
          </cell>
          <cell r="U142">
            <v>4.04</v>
          </cell>
          <cell r="V142">
            <v>0</v>
          </cell>
        </row>
        <row r="143">
          <cell r="A143" t="str">
            <v>138. 75/1 - 36 TMDT</v>
          </cell>
          <cell r="B143">
            <v>1</v>
          </cell>
          <cell r="C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2.5064734208979962</v>
          </cell>
          <cell r="I143">
            <v>0.37628931898864065</v>
          </cell>
          <cell r="J143">
            <v>6.857142857142857E-4</v>
          </cell>
          <cell r="K143">
            <v>4.5182724252491688E-2</v>
          </cell>
          <cell r="L143">
            <v>2.3793198467647341</v>
          </cell>
          <cell r="M143">
            <v>0.30968157590938267</v>
          </cell>
          <cell r="N143">
            <v>0</v>
          </cell>
          <cell r="O143">
            <v>0</v>
          </cell>
          <cell r="P143">
            <v>3.3719747822370909</v>
          </cell>
          <cell r="Q143">
            <v>1.9526019816120685</v>
          </cell>
          <cell r="S143">
            <v>7.8759689922480627E-2</v>
          </cell>
          <cell r="T143">
            <v>1.6952</v>
          </cell>
          <cell r="V143">
            <v>0</v>
          </cell>
        </row>
        <row r="144">
          <cell r="A144" t="str">
            <v>139. 75/2 - 36 STC</v>
          </cell>
          <cell r="B144">
            <v>1</v>
          </cell>
          <cell r="C144">
            <v>1</v>
          </cell>
          <cell r="D144">
            <v>1</v>
          </cell>
          <cell r="F144">
            <v>1</v>
          </cell>
          <cell r="G144">
            <v>1</v>
          </cell>
          <cell r="H144">
            <v>2.5064734208980028</v>
          </cell>
          <cell r="I144">
            <v>0.37628931898864065</v>
          </cell>
          <cell r="J144">
            <v>6.857142857142857E-4</v>
          </cell>
          <cell r="K144">
            <v>4.5182724252491688E-2</v>
          </cell>
          <cell r="L144">
            <v>1.189659923382367</v>
          </cell>
          <cell r="M144">
            <v>0.30968157590938267</v>
          </cell>
          <cell r="N144">
            <v>1.8450472086156102</v>
          </cell>
          <cell r="O144">
            <v>0.66976825958040953</v>
          </cell>
          <cell r="P144">
            <v>4.2149684777963632</v>
          </cell>
          <cell r="Q144">
            <v>0.97630099080603427</v>
          </cell>
          <cell r="S144">
            <v>3.9379844961240314E-2</v>
          </cell>
          <cell r="T144">
            <v>1.6952</v>
          </cell>
          <cell r="U144">
            <v>3.37</v>
          </cell>
          <cell r="V144">
            <v>1.4434504086591562</v>
          </cell>
          <cell r="W144">
            <v>13069</v>
          </cell>
        </row>
        <row r="145">
          <cell r="A145" t="str">
            <v>140. 75/1 - 36 WT SD</v>
          </cell>
          <cell r="B145">
            <v>1</v>
          </cell>
          <cell r="F145">
            <v>1</v>
          </cell>
          <cell r="G145">
            <v>1</v>
          </cell>
          <cell r="H145">
            <v>1.2918364011308274</v>
          </cell>
          <cell r="I145">
            <v>0.37628931898864065</v>
          </cell>
          <cell r="J145">
            <v>6.857142857142857E-4</v>
          </cell>
          <cell r="K145">
            <v>4.5182724252491688E-2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7.8759689922480627E-2</v>
          </cell>
          <cell r="T145">
            <v>1.6952</v>
          </cell>
          <cell r="U145">
            <v>3.79</v>
          </cell>
          <cell r="V145">
            <v>0.71305500331345262</v>
          </cell>
          <cell r="W145">
            <v>6456</v>
          </cell>
        </row>
        <row r="146">
          <cell r="A146" t="str">
            <v>141. 75/2 - 36 HDT</v>
          </cell>
          <cell r="B146">
            <v>1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1.2367467537325634</v>
          </cell>
          <cell r="I146">
            <v>0.37628931898864065</v>
          </cell>
          <cell r="J146">
            <v>6.857142857142857E-4</v>
          </cell>
          <cell r="K146">
            <v>4.5182724252491688E-2</v>
          </cell>
          <cell r="L146">
            <v>1.189659923382367</v>
          </cell>
          <cell r="M146">
            <v>0.30968157590938267</v>
          </cell>
          <cell r="N146">
            <v>0.73801888344624245</v>
          </cell>
          <cell r="O146">
            <v>0.66976825958040953</v>
          </cell>
          <cell r="P146">
            <v>0</v>
          </cell>
          <cell r="Q146">
            <v>0</v>
          </cell>
          <cell r="R146">
            <v>15756.166253101737</v>
          </cell>
          <cell r="S146">
            <v>3.9379844961240314E-2</v>
          </cell>
          <cell r="T146">
            <v>1.6952</v>
          </cell>
          <cell r="V146">
            <v>0</v>
          </cell>
        </row>
        <row r="147">
          <cell r="A147" t="str">
            <v>142. 75/2 - 36 STH</v>
          </cell>
          <cell r="B147">
            <v>1</v>
          </cell>
          <cell r="C147">
            <v>1</v>
          </cell>
          <cell r="D147">
            <v>1</v>
          </cell>
          <cell r="G147">
            <v>1</v>
          </cell>
          <cell r="H147">
            <v>1.2367467537325634</v>
          </cell>
          <cell r="I147">
            <v>0.37628931898864065</v>
          </cell>
          <cell r="J147">
            <v>6.857142857142857E-4</v>
          </cell>
          <cell r="K147">
            <v>4.5182724252491688E-2</v>
          </cell>
          <cell r="L147">
            <v>1.189659923382367</v>
          </cell>
          <cell r="M147">
            <v>0.30968157590938267</v>
          </cell>
          <cell r="N147">
            <v>0.73801888344624245</v>
          </cell>
          <cell r="O147">
            <v>0.66976825958040953</v>
          </cell>
          <cell r="P147">
            <v>0</v>
          </cell>
          <cell r="Q147">
            <v>0</v>
          </cell>
          <cell r="S147">
            <v>3.9379844961240314E-2</v>
          </cell>
          <cell r="T147">
            <v>1.6952</v>
          </cell>
          <cell r="U147">
            <v>3.6</v>
          </cell>
          <cell r="V147">
            <v>1.0320300419703998</v>
          </cell>
          <cell r="W147">
            <v>9344</v>
          </cell>
        </row>
        <row r="148">
          <cell r="A148" t="str">
            <v xml:space="preserve">143. 130 - 72 PKO </v>
          </cell>
          <cell r="H148">
            <v>0</v>
          </cell>
          <cell r="I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</row>
        <row r="149">
          <cell r="A149" t="str">
            <v xml:space="preserve">144. 75/4 - 72 WTT I/L  </v>
          </cell>
          <cell r="B149">
            <v>1</v>
          </cell>
          <cell r="C149">
            <v>1</v>
          </cell>
          <cell r="G149">
            <v>1</v>
          </cell>
          <cell r="H149">
            <v>2.3361966939348164</v>
          </cell>
          <cell r="I149">
            <v>0.37628931898864065</v>
          </cell>
          <cell r="J149">
            <v>6.857142857142857E-4</v>
          </cell>
          <cell r="K149">
            <v>4.5182724252491688E-2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1.9689922480620157E-2</v>
          </cell>
          <cell r="T149">
            <v>1.9656</v>
          </cell>
          <cell r="U149">
            <v>2.85</v>
          </cell>
          <cell r="V149">
            <v>0.80980781974817762</v>
          </cell>
          <cell r="W149">
            <v>7332</v>
          </cell>
        </row>
        <row r="150">
          <cell r="A150" t="str">
            <v xml:space="preserve">145. 75/4 - 72 WT I/L  </v>
          </cell>
          <cell r="B150">
            <v>1</v>
          </cell>
          <cell r="G150">
            <v>1</v>
          </cell>
          <cell r="H150">
            <v>2.3361966939348164</v>
          </cell>
          <cell r="I150">
            <v>0.37628931898864065</v>
          </cell>
          <cell r="J150">
            <v>6.857142857142857E-4</v>
          </cell>
          <cell r="K150">
            <v>4.5182724252491688E-2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1.9689922480620157E-2</v>
          </cell>
          <cell r="T150">
            <v>1.9656</v>
          </cell>
          <cell r="V150">
            <v>0</v>
          </cell>
        </row>
        <row r="151">
          <cell r="A151" t="str">
            <v xml:space="preserve">146. 75/6 - 72 WTT I/L </v>
          </cell>
          <cell r="B151">
            <v>1</v>
          </cell>
          <cell r="C151">
            <v>1</v>
          </cell>
          <cell r="G151">
            <v>1</v>
          </cell>
          <cell r="H151">
            <v>2.3361966939348164</v>
          </cell>
          <cell r="I151">
            <v>0.37628931898864065</v>
          </cell>
          <cell r="J151">
            <v>6.857142857142857E-4</v>
          </cell>
          <cell r="K151">
            <v>4.5182724252491688E-2</v>
          </cell>
          <cell r="L151">
            <v>0.39650714326469361</v>
          </cell>
          <cell r="M151">
            <v>0.10322719196979427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1.3126614987080105E-2</v>
          </cell>
          <cell r="T151">
            <v>1.9656</v>
          </cell>
          <cell r="U151">
            <v>3.05</v>
          </cell>
          <cell r="V151">
            <v>0.79257786613651426</v>
          </cell>
          <cell r="W151">
            <v>7176</v>
          </cell>
        </row>
        <row r="152">
          <cell r="A152" t="str">
            <v>147. 75/2 - 72 HDT</v>
          </cell>
          <cell r="B152">
            <v>1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2.3361966939348164</v>
          </cell>
          <cell r="I152">
            <v>0.37628931898864065</v>
          </cell>
          <cell r="J152">
            <v>6.857142857142857E-4</v>
          </cell>
          <cell r="K152">
            <v>4.5182724252491688E-2</v>
          </cell>
          <cell r="L152">
            <v>1.189659923382367</v>
          </cell>
          <cell r="M152">
            <v>0.30968157590938267</v>
          </cell>
          <cell r="N152">
            <v>0.73801888344624245</v>
          </cell>
          <cell r="O152">
            <v>0.66976825958040953</v>
          </cell>
          <cell r="P152">
            <v>1.6864400051832757</v>
          </cell>
          <cell r="Q152">
            <v>0.97630099080603427</v>
          </cell>
          <cell r="S152">
            <v>3.9379844961240314E-2</v>
          </cell>
          <cell r="T152">
            <v>1.9656</v>
          </cell>
          <cell r="V152">
            <v>0.74486414844267723</v>
          </cell>
          <cell r="W152">
            <v>6744</v>
          </cell>
        </row>
        <row r="153">
          <cell r="A153" t="str">
            <v>148. 75/2 - 72 POLY</v>
          </cell>
          <cell r="B153">
            <v>1</v>
          </cell>
          <cell r="E153">
            <v>1</v>
          </cell>
          <cell r="G153">
            <v>1</v>
          </cell>
          <cell r="H153">
            <v>2.3361966939348164</v>
          </cell>
          <cell r="I153">
            <v>0.37628931898864065</v>
          </cell>
          <cell r="J153">
            <v>6.857142857142857E-4</v>
          </cell>
          <cell r="K153">
            <v>4.5182724252491688E-2</v>
          </cell>
          <cell r="L153">
            <v>0.59482996169118352</v>
          </cell>
          <cell r="M153">
            <v>0.15484078795469133</v>
          </cell>
          <cell r="N153">
            <v>0</v>
          </cell>
          <cell r="O153">
            <v>0</v>
          </cell>
          <cell r="P153">
            <v>3.9983926478231493</v>
          </cell>
          <cell r="Q153">
            <v>0.97630099080603427</v>
          </cell>
          <cell r="S153">
            <v>1.9689922480620157E-2</v>
          </cell>
          <cell r="T153">
            <v>1.9656</v>
          </cell>
          <cell r="V153">
            <v>0</v>
          </cell>
        </row>
        <row r="154">
          <cell r="A154" t="str">
            <v>149. 75 / 2 - 72 SD L I/L</v>
          </cell>
          <cell r="B154">
            <v>1</v>
          </cell>
          <cell r="G154">
            <v>1</v>
          </cell>
          <cell r="H154">
            <v>2.3361966939348164</v>
          </cell>
          <cell r="I154">
            <v>0.37628931898864065</v>
          </cell>
          <cell r="J154">
            <v>6.857142857142857E-4</v>
          </cell>
          <cell r="K154">
            <v>4.5182724252491688E-2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1.9689922480620157E-2</v>
          </cell>
          <cell r="T154">
            <v>1.9656</v>
          </cell>
          <cell r="U154">
            <v>3.25</v>
          </cell>
          <cell r="V154">
            <v>0.74486414844267723</v>
          </cell>
          <cell r="W154">
            <v>6744</v>
          </cell>
        </row>
        <row r="155">
          <cell r="A155" t="str">
            <v xml:space="preserve">150. 150/1 - 72 BB  </v>
          </cell>
          <cell r="B155">
            <v>1</v>
          </cell>
          <cell r="G155">
            <v>1</v>
          </cell>
          <cell r="H155">
            <v>1.4940787285162442</v>
          </cell>
          <cell r="I155">
            <v>0.37628931898864065</v>
          </cell>
          <cell r="J155">
            <v>6.857142857142857E-4</v>
          </cell>
          <cell r="K155">
            <v>2.2591362126245844E-2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3.9379844961240314E-2</v>
          </cell>
          <cell r="V155">
            <v>0</v>
          </cell>
        </row>
        <row r="156">
          <cell r="A156" t="str">
            <v xml:space="preserve">151. 75/2 - 72 WTT I/L  </v>
          </cell>
          <cell r="B156">
            <v>1</v>
          </cell>
          <cell r="C156">
            <v>1</v>
          </cell>
          <cell r="G156">
            <v>1</v>
          </cell>
          <cell r="H156">
            <v>2.3361966939348164</v>
          </cell>
          <cell r="I156">
            <v>0.37628931898864065</v>
          </cell>
          <cell r="J156">
            <v>6.857142857142857E-4</v>
          </cell>
          <cell r="K156">
            <v>4.5182724252491688E-2</v>
          </cell>
          <cell r="L156">
            <v>1.189659923382367</v>
          </cell>
          <cell r="M156">
            <v>0.30968157590938267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1.9689922480620157E-2</v>
          </cell>
          <cell r="V156">
            <v>0</v>
          </cell>
        </row>
        <row r="157">
          <cell r="A157" t="str">
            <v>152. 232 - 48 POY</v>
          </cell>
          <cell r="H157">
            <v>0</v>
          </cell>
          <cell r="I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A158" t="str">
            <v xml:space="preserve">153. 150/1 - 48 TMD </v>
          </cell>
          <cell r="B158">
            <v>1</v>
          </cell>
          <cell r="E158">
            <v>1</v>
          </cell>
          <cell r="F158">
            <v>1</v>
          </cell>
          <cell r="G158">
            <v>1</v>
          </cell>
          <cell r="H158">
            <v>1.3255663720234834</v>
          </cell>
          <cell r="I158">
            <v>0.37628931898864065</v>
          </cell>
          <cell r="J158">
            <v>6.857142857142857E-4</v>
          </cell>
          <cell r="K158">
            <v>2.2591362126245844E-2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3.9983926478231493</v>
          </cell>
          <cell r="Q158">
            <v>0.97630099080603427</v>
          </cell>
          <cell r="S158">
            <v>3.9379844961240314E-2</v>
          </cell>
          <cell r="T158">
            <v>1.5912000000000002</v>
          </cell>
          <cell r="U158">
            <v>3.68</v>
          </cell>
          <cell r="V158">
            <v>0</v>
          </cell>
        </row>
        <row r="159">
          <cell r="A159" t="str">
            <v xml:space="preserve">154. 150/1 - 48 TMDT                                     </v>
          </cell>
          <cell r="B159">
            <v>1</v>
          </cell>
          <cell r="C159">
            <v>1</v>
          </cell>
          <cell r="E159">
            <v>1</v>
          </cell>
          <cell r="F159">
            <v>1</v>
          </cell>
          <cell r="G159">
            <v>1</v>
          </cell>
          <cell r="H159">
            <v>1.3255663720234834</v>
          </cell>
          <cell r="I159">
            <v>0.37628931898864065</v>
          </cell>
          <cell r="J159">
            <v>6.857142857142857E-4</v>
          </cell>
          <cell r="K159">
            <v>2.2591362126245844E-2</v>
          </cell>
          <cell r="L159">
            <v>1.189659923382367</v>
          </cell>
          <cell r="M159">
            <v>0.30968157590938267</v>
          </cell>
          <cell r="N159">
            <v>0</v>
          </cell>
          <cell r="O159">
            <v>0</v>
          </cell>
          <cell r="P159">
            <v>3.9983926478231493</v>
          </cell>
          <cell r="Q159">
            <v>0.97630099080603427</v>
          </cell>
          <cell r="S159">
            <v>3.9379844961240314E-2</v>
          </cell>
          <cell r="T159">
            <v>1.5912000000000002</v>
          </cell>
          <cell r="U159">
            <v>3.94</v>
          </cell>
          <cell r="V159">
            <v>0</v>
          </cell>
        </row>
        <row r="160">
          <cell r="A160" t="str">
            <v xml:space="preserve">155. 150/2 - 48 TMDT                                     </v>
          </cell>
          <cell r="B160">
            <v>1</v>
          </cell>
          <cell r="C160">
            <v>1</v>
          </cell>
          <cell r="E160">
            <v>1</v>
          </cell>
          <cell r="F160">
            <v>1</v>
          </cell>
          <cell r="G160">
            <v>1</v>
          </cell>
          <cell r="H160">
            <v>1.3255663720234834</v>
          </cell>
          <cell r="I160">
            <v>0.37628931898864065</v>
          </cell>
          <cell r="J160">
            <v>6.857142857142857E-4</v>
          </cell>
          <cell r="K160">
            <v>2.2591362126245844E-2</v>
          </cell>
          <cell r="L160">
            <v>0.59482996169118352</v>
          </cell>
          <cell r="M160">
            <v>0.15484078795469133</v>
          </cell>
          <cell r="N160">
            <v>0</v>
          </cell>
          <cell r="O160">
            <v>0</v>
          </cell>
          <cell r="P160">
            <v>1.9991963239115746</v>
          </cell>
          <cell r="Q160">
            <v>0.48815049540301714</v>
          </cell>
          <cell r="S160">
            <v>1.9689922480620157E-2</v>
          </cell>
          <cell r="T160">
            <v>1.5912000000000002</v>
          </cell>
          <cell r="U160">
            <v>3.94</v>
          </cell>
          <cell r="V160">
            <v>0</v>
          </cell>
        </row>
        <row r="161">
          <cell r="A161" t="str">
            <v xml:space="preserve">156 .150/2 - 48 HDT                                     </v>
          </cell>
          <cell r="B161">
            <v>1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1</v>
          </cell>
          <cell r="H161">
            <v>1.2367467537325634</v>
          </cell>
          <cell r="I161">
            <v>0.37628931898864065</v>
          </cell>
          <cell r="J161">
            <v>6.857142857142857E-4</v>
          </cell>
          <cell r="K161">
            <v>2.2591362126245844E-2</v>
          </cell>
          <cell r="L161">
            <v>0.59482996169118352</v>
          </cell>
          <cell r="M161">
            <v>0.15484078795469133</v>
          </cell>
          <cell r="N161">
            <v>0.36900944172312122</v>
          </cell>
          <cell r="O161">
            <v>8.1892675820814401E-2</v>
          </cell>
          <cell r="P161">
            <v>1.9996489379763043</v>
          </cell>
          <cell r="Q161">
            <v>0.48815049540301714</v>
          </cell>
          <cell r="S161">
            <v>1.9689922480620157E-2</v>
          </cell>
          <cell r="T161">
            <v>1.5912000000000002</v>
          </cell>
          <cell r="V161">
            <v>0</v>
          </cell>
        </row>
        <row r="162">
          <cell r="A162" t="str">
            <v>157. 150/1 - 48 THD ( PX 22 )</v>
          </cell>
          <cell r="B162">
            <v>1</v>
          </cell>
          <cell r="G162">
            <v>1</v>
          </cell>
          <cell r="H162">
            <v>2.9003478156105378</v>
          </cell>
          <cell r="I162">
            <v>0.37628931898864065</v>
          </cell>
          <cell r="J162">
            <v>6.857142857142857E-4</v>
          </cell>
          <cell r="K162">
            <v>2.2591362126245844E-2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S162">
            <v>3.9379844961240314E-2</v>
          </cell>
          <cell r="T162">
            <v>1.5912000000000002</v>
          </cell>
          <cell r="U162">
            <v>2.4500000000000002</v>
          </cell>
          <cell r="V162">
            <v>0.77567925778661362</v>
          </cell>
          <cell r="W162">
            <v>7023</v>
          </cell>
        </row>
        <row r="163">
          <cell r="A163" t="str">
            <v xml:space="preserve">158. 150/1 - 48 SD WT </v>
          </cell>
          <cell r="B163">
            <v>1</v>
          </cell>
          <cell r="G163">
            <v>1</v>
          </cell>
          <cell r="H163">
            <v>1.4940787285162442</v>
          </cell>
          <cell r="I163">
            <v>0.37628931898864065</v>
          </cell>
          <cell r="J163">
            <v>6.857142857142857E-4</v>
          </cell>
          <cell r="K163">
            <v>2.2591362126245844E-2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S163">
            <v>3.9379844961240314E-2</v>
          </cell>
          <cell r="T163">
            <v>1.5912000000000002</v>
          </cell>
          <cell r="U163">
            <v>2.6</v>
          </cell>
          <cell r="V163">
            <v>0.67064280980781976</v>
          </cell>
          <cell r="W163">
            <v>6072</v>
          </cell>
        </row>
        <row r="164">
          <cell r="A164" t="str">
            <v xml:space="preserve">159. 150/1 - 48 SD WT </v>
          </cell>
          <cell r="B164">
            <v>1</v>
          </cell>
          <cell r="G164">
            <v>1</v>
          </cell>
          <cell r="H164">
            <v>1.4940787285162442</v>
          </cell>
          <cell r="I164">
            <v>0.37628931898864065</v>
          </cell>
          <cell r="J164">
            <v>6.857142857142857E-4</v>
          </cell>
          <cell r="K164">
            <v>2.2591362126245844E-2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3.9379844961240314E-2</v>
          </cell>
          <cell r="T164">
            <v>1.5912000000000002</v>
          </cell>
          <cell r="U164">
            <v>2.6</v>
          </cell>
          <cell r="V164">
            <v>0.67064280980781976</v>
          </cell>
          <cell r="W164">
            <v>6072</v>
          </cell>
        </row>
        <row r="165">
          <cell r="A165" t="str">
            <v>160. 150/4 - 48 SD WTT</v>
          </cell>
          <cell r="B165">
            <v>1</v>
          </cell>
          <cell r="C165">
            <v>1</v>
          </cell>
          <cell r="G165">
            <v>1</v>
          </cell>
          <cell r="H165">
            <v>1.4940787285162442</v>
          </cell>
          <cell r="I165">
            <v>0.37628931898864065</v>
          </cell>
          <cell r="J165">
            <v>6.857142857142857E-4</v>
          </cell>
          <cell r="K165">
            <v>2.2591362126245844E-2</v>
          </cell>
          <cell r="L165">
            <v>0.29748422763973509</v>
          </cell>
          <cell r="M165">
            <v>7.7420393977345667E-2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1.9689922480620157E-2</v>
          </cell>
          <cell r="T165">
            <v>1.5912000000000002</v>
          </cell>
          <cell r="U165">
            <v>2.76</v>
          </cell>
          <cell r="V165">
            <v>0.72100728959575877</v>
          </cell>
          <cell r="W165">
            <v>6528</v>
          </cell>
        </row>
        <row r="166">
          <cell r="A166" t="str">
            <v xml:space="preserve">161. 150/1 - 48 SD WTT </v>
          </cell>
          <cell r="B166">
            <v>1</v>
          </cell>
          <cell r="C166">
            <v>1</v>
          </cell>
          <cell r="G166">
            <v>1</v>
          </cell>
          <cell r="H166">
            <v>1.3255663720234834</v>
          </cell>
          <cell r="I166">
            <v>0.37628931898864065</v>
          </cell>
          <cell r="J166">
            <v>6.857142857142857E-4</v>
          </cell>
          <cell r="K166">
            <v>2.2591362126245844E-2</v>
          </cell>
          <cell r="L166">
            <v>1.189659923382367</v>
          </cell>
          <cell r="M166">
            <v>0.30968157590938267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3.9379844961240314E-2</v>
          </cell>
          <cell r="T166">
            <v>1.5912000000000002</v>
          </cell>
          <cell r="U166">
            <v>2.76</v>
          </cell>
          <cell r="V166">
            <v>0.78628230616302186</v>
          </cell>
          <cell r="W166">
            <v>7119</v>
          </cell>
        </row>
        <row r="167">
          <cell r="A167" t="str">
            <v>162. 150/4 - 48 HDT</v>
          </cell>
          <cell r="B167">
            <v>1</v>
          </cell>
          <cell r="C167">
            <v>1</v>
          </cell>
          <cell r="D167">
            <v>1</v>
          </cell>
          <cell r="E167">
            <v>1</v>
          </cell>
          <cell r="F167">
            <v>1</v>
          </cell>
          <cell r="G167">
            <v>1</v>
          </cell>
          <cell r="H167">
            <v>1.4940787285162442</v>
          </cell>
          <cell r="I167">
            <v>0.37628931898864065</v>
          </cell>
          <cell r="J167">
            <v>6.857142857142857E-4</v>
          </cell>
          <cell r="K167">
            <v>2.2591362126245844E-2</v>
          </cell>
          <cell r="L167">
            <v>0.29748422763973509</v>
          </cell>
          <cell r="M167">
            <v>7.7420393977345667E-2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1.9689922480620157E-2</v>
          </cell>
          <cell r="T167">
            <v>1.5912000000000002</v>
          </cell>
          <cell r="V167">
            <v>0</v>
          </cell>
        </row>
        <row r="168">
          <cell r="A168" t="str">
            <v>163. 100/1 - 48 SD</v>
          </cell>
          <cell r="B168">
            <v>1</v>
          </cell>
          <cell r="C168">
            <v>1</v>
          </cell>
          <cell r="G168">
            <v>1</v>
          </cell>
          <cell r="H168">
            <v>2.3362237202569203</v>
          </cell>
          <cell r="I168">
            <v>0.37628931898864065</v>
          </cell>
          <cell r="J168">
            <v>6.857142857142857E-4</v>
          </cell>
          <cell r="K168">
            <v>3.3887043189368769E-2</v>
          </cell>
          <cell r="L168">
            <v>2.5095038197541899</v>
          </cell>
          <cell r="M168">
            <v>0.2322611819320371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S168">
            <v>2.9534883720930234E-2</v>
          </cell>
          <cell r="T168">
            <v>3.536</v>
          </cell>
          <cell r="V168">
            <v>0</v>
          </cell>
        </row>
        <row r="169">
          <cell r="A169" t="str">
            <v>164. 75/1-36  TFD</v>
          </cell>
          <cell r="B169">
            <v>1</v>
          </cell>
          <cell r="G169">
            <v>1</v>
          </cell>
          <cell r="H169">
            <v>2.5064734208979962</v>
          </cell>
          <cell r="I169">
            <v>0.37628931898864065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7.8759689922480627E-2</v>
          </cell>
          <cell r="T169">
            <v>1.9656</v>
          </cell>
          <cell r="U169">
            <v>2.2000000000000002</v>
          </cell>
          <cell r="V169">
            <v>0.74629997791031588</v>
          </cell>
          <cell r="W169">
            <v>6757</v>
          </cell>
        </row>
        <row r="170">
          <cell r="A170" t="str">
            <v>165. 150/1-48 TFD</v>
          </cell>
          <cell r="B170">
            <v>1</v>
          </cell>
          <cell r="G170">
            <v>1</v>
          </cell>
          <cell r="H170">
            <v>1.3255663720234834</v>
          </cell>
          <cell r="I170">
            <v>0.37628931898864065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3.9379844961240314E-2</v>
          </cell>
          <cell r="V170">
            <v>0</v>
          </cell>
        </row>
        <row r="171">
          <cell r="A171" t="str">
            <v>166. 300/1 - 144 BBT I/L WTT</v>
          </cell>
          <cell r="B171">
            <v>1</v>
          </cell>
          <cell r="C171">
            <v>1</v>
          </cell>
          <cell r="G171">
            <v>1</v>
          </cell>
          <cell r="H171">
            <v>2.3361966939348164</v>
          </cell>
          <cell r="I171">
            <v>0.37628931898864065</v>
          </cell>
          <cell r="J171">
            <v>6.857142857142857E-4</v>
          </cell>
          <cell r="K171">
            <v>4.5182724252491688E-2</v>
          </cell>
          <cell r="L171">
            <v>0.59482996169118352</v>
          </cell>
          <cell r="M171">
            <v>0.15484078795469133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1.9689922480620157E-2</v>
          </cell>
          <cell r="U171">
            <v>3.19</v>
          </cell>
          <cell r="V171">
            <v>0.74629997791031588</v>
          </cell>
          <cell r="W171">
            <v>6757</v>
          </cell>
        </row>
        <row r="172">
          <cell r="A172" t="str">
            <v>167. 75/4 - 36 HDT</v>
          </cell>
          <cell r="B172">
            <v>1</v>
          </cell>
          <cell r="C172">
            <v>1</v>
          </cell>
          <cell r="D172">
            <v>1</v>
          </cell>
          <cell r="E172">
            <v>1</v>
          </cell>
          <cell r="F172">
            <v>1</v>
          </cell>
          <cell r="G172">
            <v>1</v>
          </cell>
          <cell r="H172">
            <v>1.2367467537325634</v>
          </cell>
          <cell r="I172">
            <v>0.37628931898864065</v>
          </cell>
          <cell r="J172">
            <v>6.857142857142857E-4</v>
          </cell>
          <cell r="K172">
            <v>4.5182724252491688E-2</v>
          </cell>
          <cell r="L172">
            <v>0.59482996169118352</v>
          </cell>
          <cell r="M172">
            <v>0.15484078795469133</v>
          </cell>
          <cell r="N172">
            <v>0.36900944172312122</v>
          </cell>
          <cell r="O172">
            <v>0.33488412979020482</v>
          </cell>
          <cell r="P172">
            <v>1.6864400051832757</v>
          </cell>
          <cell r="Q172">
            <v>0.97630099080603427</v>
          </cell>
          <cell r="S172">
            <v>3.9379844961240314E-2</v>
          </cell>
          <cell r="T172">
            <v>1.9656</v>
          </cell>
          <cell r="V172">
            <v>0</v>
          </cell>
        </row>
        <row r="173">
          <cell r="A173" t="str">
            <v>168  75/1 - 36 TMD ( MAKLOON )</v>
          </cell>
          <cell r="F173">
            <v>1</v>
          </cell>
          <cell r="G173">
            <v>1</v>
          </cell>
          <cell r="H173">
            <v>2.5064734208979962</v>
          </cell>
          <cell r="I173">
            <v>0.37628931898864065</v>
          </cell>
          <cell r="J173">
            <v>6.857142857142857E-4</v>
          </cell>
          <cell r="K173">
            <v>4.5182724252491688E-2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3.3716037871020665</v>
          </cell>
          <cell r="Q173">
            <v>1.9526019816120685</v>
          </cell>
          <cell r="R173">
            <v>0</v>
          </cell>
          <cell r="S173">
            <v>7.8759689922480627E-2</v>
          </cell>
          <cell r="V173">
            <v>0</v>
          </cell>
        </row>
        <row r="174">
          <cell r="A174" t="str">
            <v>169. 150/1 - 48 TMD (MAKLOON )</v>
          </cell>
          <cell r="B174">
            <v>1</v>
          </cell>
          <cell r="F174">
            <v>1</v>
          </cell>
          <cell r="G174">
            <v>1</v>
          </cell>
          <cell r="H174">
            <v>1.3255663720234834</v>
          </cell>
          <cell r="I174">
            <v>0.37628931898864065</v>
          </cell>
          <cell r="J174">
            <v>6.857142857142857E-4</v>
          </cell>
          <cell r="K174">
            <v>2.2591362126245844E-2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3.9983926478231493</v>
          </cell>
          <cell r="Q174">
            <v>0.97630099080603427</v>
          </cell>
          <cell r="R174">
            <v>0</v>
          </cell>
          <cell r="S174">
            <v>3.9379844961240314E-2</v>
          </cell>
          <cell r="V174">
            <v>0</v>
          </cell>
        </row>
        <row r="175">
          <cell r="A175" t="str">
            <v>170. 150/1-48- WTT   33H</v>
          </cell>
          <cell r="B175">
            <v>1</v>
          </cell>
          <cell r="C175">
            <v>1</v>
          </cell>
          <cell r="G175">
            <v>1</v>
          </cell>
          <cell r="H175">
            <v>1.4940787285162442</v>
          </cell>
          <cell r="I175">
            <v>0.18814465949432013</v>
          </cell>
          <cell r="L175">
            <v>1.189659923382367</v>
          </cell>
          <cell r="M175">
            <v>0.30968157590938267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T175">
            <v>1.5912000000000002</v>
          </cell>
          <cell r="U175">
            <v>2.76</v>
          </cell>
          <cell r="V175">
            <v>0.78628230616302186</v>
          </cell>
          <cell r="W175">
            <v>7119</v>
          </cell>
        </row>
        <row r="176">
          <cell r="A176" t="str">
            <v>171. 150/2-48- WTT   33H</v>
          </cell>
          <cell r="B176">
            <v>1</v>
          </cell>
          <cell r="C176">
            <v>1</v>
          </cell>
          <cell r="G176">
            <v>1</v>
          </cell>
          <cell r="H176">
            <v>1.4940787285162442</v>
          </cell>
          <cell r="I176">
            <v>0.18814465949432013</v>
          </cell>
          <cell r="L176">
            <v>0.59482996169118352</v>
          </cell>
          <cell r="M176">
            <v>0.15484078795469133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T176">
            <v>1.5912000000000002</v>
          </cell>
          <cell r="U176">
            <v>2.76</v>
          </cell>
          <cell r="V176">
            <v>0.78628230616302186</v>
          </cell>
          <cell r="W176">
            <v>7119</v>
          </cell>
        </row>
        <row r="177">
          <cell r="A177" t="str">
            <v>172. 150/1-60- LOXY</v>
          </cell>
          <cell r="B177">
            <v>1</v>
          </cell>
          <cell r="G177">
            <v>1</v>
          </cell>
          <cell r="H177">
            <v>1.4940787285162442</v>
          </cell>
          <cell r="I177">
            <v>0.18814465949432013</v>
          </cell>
          <cell r="J177">
            <v>6.857142857142857E-4</v>
          </cell>
          <cell r="K177">
            <v>2.2591362126245844E-2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3.9379844961240314E-2</v>
          </cell>
          <cell r="V177">
            <v>0</v>
          </cell>
        </row>
        <row r="178">
          <cell r="A178" t="str">
            <v>173. STH 100 / 4 - 36 SD</v>
          </cell>
          <cell r="H178">
            <v>0</v>
          </cell>
          <cell r="I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V178">
            <v>0</v>
          </cell>
        </row>
        <row r="179">
          <cell r="A179" t="str">
            <v xml:space="preserve">174. 75/4 - 72 WTT I/L  </v>
          </cell>
          <cell r="B179">
            <v>1</v>
          </cell>
          <cell r="C179">
            <v>1</v>
          </cell>
          <cell r="G179">
            <v>1</v>
          </cell>
          <cell r="H179">
            <v>2.3361966939348164</v>
          </cell>
          <cell r="I179">
            <v>0.37628931898864065</v>
          </cell>
          <cell r="J179">
            <v>6.857142857142857E-4</v>
          </cell>
          <cell r="K179">
            <v>4.5182724252491688E-2</v>
          </cell>
          <cell r="L179">
            <v>1.189659923382367</v>
          </cell>
          <cell r="M179">
            <v>0.30968157590938267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S179">
            <v>1.9689922480620157E-2</v>
          </cell>
          <cell r="T179">
            <v>1.9656</v>
          </cell>
          <cell r="U179">
            <v>2.85</v>
          </cell>
          <cell r="V179">
            <v>0.80980781974817762</v>
          </cell>
          <cell r="W179">
            <v>7332</v>
          </cell>
        </row>
        <row r="180">
          <cell r="A180" t="str">
            <v xml:space="preserve">175. 60/1 - 144  THD  I/L                           </v>
          </cell>
          <cell r="B180">
            <v>1</v>
          </cell>
          <cell r="G180">
            <v>1</v>
          </cell>
          <cell r="H180">
            <v>2.3362237202569203</v>
          </cell>
          <cell r="I180">
            <v>0.37628931898864065</v>
          </cell>
          <cell r="J180">
            <v>6.857142857142857E-4</v>
          </cell>
          <cell r="K180">
            <v>4.5182724252491688E-2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S180">
            <v>7.8759689922480627E-2</v>
          </cell>
          <cell r="T180">
            <v>2.1736</v>
          </cell>
          <cell r="U180">
            <v>3.5</v>
          </cell>
          <cell r="V180">
            <v>0.73359840954274358</v>
          </cell>
          <cell r="W180">
            <v>6642</v>
          </cell>
        </row>
        <row r="181">
          <cell r="A181" t="str">
            <v>176. 150/1 - 48 BR  WTT</v>
          </cell>
          <cell r="B181">
            <v>1</v>
          </cell>
          <cell r="C181">
            <v>1</v>
          </cell>
          <cell r="G181">
            <v>1</v>
          </cell>
          <cell r="H181">
            <v>1.4940787285162442</v>
          </cell>
          <cell r="I181">
            <v>0.17560168219469885</v>
          </cell>
          <cell r="J181">
            <v>6.857142857142857E-4</v>
          </cell>
          <cell r="K181">
            <v>1.1295681063122922E-2</v>
          </cell>
          <cell r="L181">
            <v>1.189659923382367</v>
          </cell>
          <cell r="M181">
            <v>0.15484078795469133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1.9689922480620157E-2</v>
          </cell>
          <cell r="T181">
            <v>2.0072000000000001</v>
          </cell>
          <cell r="U181">
            <v>2.74</v>
          </cell>
          <cell r="V181">
            <v>0.73492379058979451</v>
          </cell>
          <cell r="W181">
            <v>6654</v>
          </cell>
        </row>
        <row r="182">
          <cell r="A182" t="str">
            <v>177. 75/4 - 72 WTT I/L   (MAKLOON)</v>
          </cell>
          <cell r="B182">
            <v>1</v>
          </cell>
          <cell r="G182">
            <v>1</v>
          </cell>
          <cell r="H182">
            <v>2.3361966939348164</v>
          </cell>
          <cell r="I182">
            <v>0.37628931898864065</v>
          </cell>
          <cell r="J182">
            <v>6.857142857142857E-4</v>
          </cell>
          <cell r="K182">
            <v>4.5182724252491688E-2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1751.6852594086165</v>
          </cell>
          <cell r="S182">
            <v>1.9689922480620157E-2</v>
          </cell>
          <cell r="T182">
            <v>1.9656</v>
          </cell>
          <cell r="U182">
            <v>2.85</v>
          </cell>
          <cell r="V182">
            <v>0.80980781974817762</v>
          </cell>
          <cell r="W182">
            <v>7332</v>
          </cell>
        </row>
        <row r="183">
          <cell r="A183" t="str">
            <v xml:space="preserve">178. 200/1 - 96  WT RETURN                                   </v>
          </cell>
          <cell r="F183">
            <v>1</v>
          </cell>
          <cell r="G183">
            <v>1</v>
          </cell>
          <cell r="H183">
            <v>0</v>
          </cell>
          <cell r="I183">
            <v>0</v>
          </cell>
          <cell r="J183">
            <v>6.857142857142857E-4</v>
          </cell>
          <cell r="K183">
            <v>1.6943521594684385E-2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2.9534883720930234E-2</v>
          </cell>
          <cell r="T183">
            <v>2.1111999999999997</v>
          </cell>
          <cell r="U183">
            <v>3.13</v>
          </cell>
          <cell r="V183">
            <v>0</v>
          </cell>
          <cell r="W183">
            <v>6109</v>
          </cell>
        </row>
        <row r="184">
          <cell r="A184" t="str">
            <v>179. Spare Polyester</v>
          </cell>
          <cell r="H184">
            <v>0</v>
          </cell>
          <cell r="I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V184">
            <v>0</v>
          </cell>
        </row>
        <row r="185">
          <cell r="A185" t="str">
            <v xml:space="preserve">180. MAXELA   18 X 70 ND             </v>
          </cell>
          <cell r="B185">
            <v>1</v>
          </cell>
          <cell r="C185">
            <v>1</v>
          </cell>
          <cell r="F185">
            <v>1</v>
          </cell>
          <cell r="G185">
            <v>1</v>
          </cell>
          <cell r="H185">
            <v>2.7391954676709012</v>
          </cell>
          <cell r="I185">
            <v>0.37628931898864065</v>
          </cell>
          <cell r="J185">
            <v>6.857142857142857E-4</v>
          </cell>
          <cell r="K185">
            <v>4.5182724252491688E-2</v>
          </cell>
          <cell r="L185">
            <v>3.5347172508747642</v>
          </cell>
          <cell r="M185">
            <v>0.66360337694867755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S185">
            <v>8.4385382059800673E-2</v>
          </cell>
          <cell r="V185">
            <v>0</v>
          </cell>
        </row>
        <row r="186">
          <cell r="A186" t="str">
            <v xml:space="preserve">181. MAXELA   20 X 70 ND                </v>
          </cell>
          <cell r="B186">
            <v>1</v>
          </cell>
          <cell r="C186">
            <v>1</v>
          </cell>
          <cell r="F186">
            <v>1</v>
          </cell>
          <cell r="G186">
            <v>1</v>
          </cell>
          <cell r="H186">
            <v>2.7391954676709012</v>
          </cell>
          <cell r="I186">
            <v>0.37628931898864065</v>
          </cell>
          <cell r="J186">
            <v>6.857142857142857E-4</v>
          </cell>
          <cell r="K186">
            <v>4.5182724252491688E-2</v>
          </cell>
          <cell r="L186">
            <v>5.5192464803997785</v>
          </cell>
          <cell r="M186">
            <v>0.66360337694867755</v>
          </cell>
          <cell r="N186">
            <v>0</v>
          </cell>
          <cell r="O186">
            <v>0</v>
          </cell>
          <cell r="P186">
            <v>8.6186770205850589</v>
          </cell>
          <cell r="Q186">
            <v>2.824299294831742</v>
          </cell>
          <cell r="S186">
            <v>8.4385382059800673E-2</v>
          </cell>
          <cell r="V186">
            <v>0</v>
          </cell>
        </row>
        <row r="187">
          <cell r="A187" t="str">
            <v xml:space="preserve">182. MAXELA   20 X 70 N                  </v>
          </cell>
          <cell r="B187">
            <v>1</v>
          </cell>
          <cell r="C187">
            <v>1</v>
          </cell>
          <cell r="G187">
            <v>1</v>
          </cell>
          <cell r="H187">
            <v>2.4373117985004726</v>
          </cell>
          <cell r="I187">
            <v>0.52658117333474486</v>
          </cell>
          <cell r="J187">
            <v>6.857142857142857E-4</v>
          </cell>
          <cell r="K187">
            <v>4.5182724252491688E-2</v>
          </cell>
          <cell r="L187">
            <v>5.5192464803997785</v>
          </cell>
          <cell r="M187">
            <v>0.66360337694867755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S187">
            <v>8.4385382059800673E-2</v>
          </cell>
          <cell r="V187">
            <v>0</v>
          </cell>
        </row>
        <row r="188">
          <cell r="A188" t="str">
            <v xml:space="preserve">183. MAXELA   20 X 75 TD                  </v>
          </cell>
          <cell r="B188">
            <v>1</v>
          </cell>
          <cell r="C188">
            <v>1</v>
          </cell>
          <cell r="F188">
            <v>1</v>
          </cell>
          <cell r="G188">
            <v>1</v>
          </cell>
          <cell r="H188">
            <v>2.5064734208979962</v>
          </cell>
          <cell r="I188">
            <v>0.37628931898864065</v>
          </cell>
          <cell r="J188">
            <v>6.857142857142857E-4</v>
          </cell>
          <cell r="K188">
            <v>4.5182724252491688E-2</v>
          </cell>
          <cell r="L188">
            <v>3.6110818209862456</v>
          </cell>
          <cell r="M188">
            <v>0.49948641275706895</v>
          </cell>
          <cell r="N188">
            <v>0</v>
          </cell>
          <cell r="O188">
            <v>0</v>
          </cell>
          <cell r="P188">
            <v>3.3716037871020665</v>
          </cell>
          <cell r="Q188">
            <v>1.9526019816120685</v>
          </cell>
          <cell r="S188">
            <v>6.3515878969742437E-2</v>
          </cell>
          <cell r="V188">
            <v>0</v>
          </cell>
        </row>
        <row r="189">
          <cell r="A189" t="str">
            <v xml:space="preserve">184. MAXELA   20 X 70 ND  </v>
          </cell>
          <cell r="B189">
            <v>1</v>
          </cell>
          <cell r="C189">
            <v>1</v>
          </cell>
          <cell r="F189">
            <v>1</v>
          </cell>
          <cell r="G189">
            <v>1</v>
          </cell>
          <cell r="H189">
            <v>2.731520593858157</v>
          </cell>
          <cell r="I189">
            <v>0.37628884701039406</v>
          </cell>
          <cell r="J189">
            <v>6.857142857142857E-4</v>
          </cell>
          <cell r="K189">
            <v>4.5182724252491688E-2</v>
          </cell>
          <cell r="L189">
            <v>5.4895655296525261</v>
          </cell>
          <cell r="M189">
            <v>0.66035293618661284</v>
          </cell>
          <cell r="N189">
            <v>0</v>
          </cell>
          <cell r="O189">
            <v>0</v>
          </cell>
          <cell r="P189">
            <v>7.1115926967418002</v>
          </cell>
          <cell r="Q189">
            <v>2.092073551727216</v>
          </cell>
          <cell r="S189">
            <v>8.4385382059800673E-2</v>
          </cell>
          <cell r="V189">
            <v>0</v>
          </cell>
        </row>
        <row r="190">
          <cell r="A190" t="str">
            <v xml:space="preserve">185. MAXELA   30 X 70 ND               </v>
          </cell>
          <cell r="B190">
            <v>1</v>
          </cell>
          <cell r="C190">
            <v>1</v>
          </cell>
          <cell r="F190">
            <v>1</v>
          </cell>
          <cell r="G190">
            <v>1</v>
          </cell>
          <cell r="H190">
            <v>2.7391954676709012</v>
          </cell>
          <cell r="I190">
            <v>0.37628931898864065</v>
          </cell>
          <cell r="J190">
            <v>6.857142857142857E-4</v>
          </cell>
          <cell r="K190">
            <v>4.5182724252491688E-2</v>
          </cell>
          <cell r="L190">
            <v>5.8656189447047025</v>
          </cell>
          <cell r="M190">
            <v>0.58065295483009272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S190">
            <v>7.3837209302325596E-2</v>
          </cell>
          <cell r="V190">
            <v>0</v>
          </cell>
        </row>
        <row r="191">
          <cell r="A191" t="str">
            <v xml:space="preserve">186. MAXELA   30 X 70 N                  </v>
          </cell>
          <cell r="B191">
            <v>1</v>
          </cell>
          <cell r="C191">
            <v>1</v>
          </cell>
          <cell r="G191">
            <v>1</v>
          </cell>
          <cell r="H191">
            <v>2.4373117985004726</v>
          </cell>
          <cell r="I191">
            <v>0.52658117333474486</v>
          </cell>
          <cell r="J191">
            <v>6.857142857142857E-4</v>
          </cell>
          <cell r="K191">
            <v>4.5182724252491688E-2</v>
          </cell>
          <cell r="L191">
            <v>5.8656189447047025</v>
          </cell>
          <cell r="M191">
            <v>0.58065295483009272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7.3837209302325596E-2</v>
          </cell>
          <cell r="V191">
            <v>0</v>
          </cell>
        </row>
        <row r="192">
          <cell r="A192" t="str">
            <v xml:space="preserve">187. MAXELA   30 X 75 TD               </v>
          </cell>
          <cell r="B192">
            <v>1</v>
          </cell>
          <cell r="C192">
            <v>1</v>
          </cell>
          <cell r="F192">
            <v>1</v>
          </cell>
          <cell r="G192">
            <v>1</v>
          </cell>
          <cell r="H192">
            <v>2.5064734208979962</v>
          </cell>
          <cell r="I192">
            <v>0.37628931898864065</v>
          </cell>
          <cell r="J192">
            <v>6.857142857142857E-4</v>
          </cell>
          <cell r="K192">
            <v>4.5182724252491688E-2</v>
          </cell>
          <cell r="L192">
            <v>3.4266083613884204</v>
          </cell>
          <cell r="M192">
            <v>0.4740024121061982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6.0275272899857631E-2</v>
          </cell>
          <cell r="V192">
            <v>0</v>
          </cell>
        </row>
        <row r="193">
          <cell r="A193" t="str">
            <v xml:space="preserve">188. MAXELA   30 X 75 T                  </v>
          </cell>
          <cell r="B193">
            <v>1</v>
          </cell>
          <cell r="C193">
            <v>1</v>
          </cell>
          <cell r="G193">
            <v>1</v>
          </cell>
          <cell r="H193">
            <v>2.5064734208979962</v>
          </cell>
          <cell r="I193">
            <v>0.37628931898864065</v>
          </cell>
          <cell r="J193">
            <v>6.857142857142857E-4</v>
          </cell>
          <cell r="K193">
            <v>4.5182724252491688E-2</v>
          </cell>
          <cell r="L193">
            <v>3.4266083613884204</v>
          </cell>
          <cell r="M193">
            <v>0.4889709093306045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6.2178702570379447E-2</v>
          </cell>
          <cell r="V193">
            <v>0</v>
          </cell>
        </row>
        <row r="194">
          <cell r="A194" t="str">
            <v xml:space="preserve">189. MAXELA   70 X 40  N                </v>
          </cell>
          <cell r="B194">
            <v>1</v>
          </cell>
          <cell r="C194">
            <v>1</v>
          </cell>
          <cell r="G194">
            <v>1</v>
          </cell>
          <cell r="H194">
            <v>5.4240886899727307</v>
          </cell>
          <cell r="I194">
            <v>0.92146048036917971</v>
          </cell>
          <cell r="J194">
            <v>6.857142857142857E-4</v>
          </cell>
          <cell r="K194">
            <v>4.5182724252491688E-2</v>
          </cell>
          <cell r="L194">
            <v>9.3657674014733363</v>
          </cell>
          <cell r="M194">
            <v>0.66360337694867755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S194">
            <v>8.4385382059800673E-2</v>
          </cell>
          <cell r="V194">
            <v>0</v>
          </cell>
        </row>
        <row r="195">
          <cell r="A195" t="str">
            <v>190. MAXELA   70 X 40 N.66</v>
          </cell>
          <cell r="C195">
            <v>1</v>
          </cell>
          <cell r="G195">
            <v>1</v>
          </cell>
          <cell r="H195">
            <v>5.4240886899727307</v>
          </cell>
          <cell r="I195">
            <v>0.92146048036917971</v>
          </cell>
          <cell r="J195">
            <v>6.857142857142857E-4</v>
          </cell>
          <cell r="K195">
            <v>4.5182724252491688E-2</v>
          </cell>
          <cell r="L195">
            <v>9.3657674014733363</v>
          </cell>
          <cell r="M195">
            <v>0.66360337694867755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8.4385382059800673E-2</v>
          </cell>
          <cell r="V195">
            <v>0</v>
          </cell>
        </row>
        <row r="196">
          <cell r="A196" t="str">
            <v>191. MAXELA   140 X 40 N</v>
          </cell>
          <cell r="B196">
            <v>1</v>
          </cell>
          <cell r="C196">
            <v>1</v>
          </cell>
          <cell r="G196">
            <v>1</v>
          </cell>
          <cell r="H196">
            <v>5.4240886899727307</v>
          </cell>
          <cell r="I196">
            <v>0.92146048036917971</v>
          </cell>
          <cell r="J196">
            <v>6.857142857142857E-4</v>
          </cell>
          <cell r="K196">
            <v>4.5182724252491688E-2</v>
          </cell>
          <cell r="L196">
            <v>4.6828837007366682</v>
          </cell>
          <cell r="M196">
            <v>0.66360337694867755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8.4385382059800673E-2</v>
          </cell>
          <cell r="V196">
            <v>0</v>
          </cell>
        </row>
        <row r="197">
          <cell r="A197" t="str">
            <v xml:space="preserve">192. MAXELA   70 X 70 N  </v>
          </cell>
          <cell r="B197">
            <v>1</v>
          </cell>
          <cell r="C197">
            <v>1</v>
          </cell>
          <cell r="G197">
            <v>1</v>
          </cell>
          <cell r="H197">
            <v>2.4373117985004726</v>
          </cell>
          <cell r="I197">
            <v>0.52658117333474486</v>
          </cell>
          <cell r="J197">
            <v>6.857142857142857E-4</v>
          </cell>
          <cell r="K197">
            <v>4.5182724252491688E-2</v>
          </cell>
          <cell r="L197">
            <v>3.9746274902387149</v>
          </cell>
          <cell r="M197">
            <v>0.42306226217128801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5.3797602406066007E-2</v>
          </cell>
          <cell r="V197">
            <v>0</v>
          </cell>
        </row>
        <row r="198">
          <cell r="A198" t="str">
            <v xml:space="preserve">193. MAXELA   70 X 40  N                </v>
          </cell>
          <cell r="C198">
            <v>1</v>
          </cell>
          <cell r="G198">
            <v>1</v>
          </cell>
          <cell r="H198">
            <v>5.4240886899727307</v>
          </cell>
          <cell r="I198">
            <v>0.92146048036917971</v>
          </cell>
          <cell r="J198">
            <v>6.857142857142857E-4</v>
          </cell>
          <cell r="K198">
            <v>4.5182724252491688E-2</v>
          </cell>
          <cell r="L198">
            <v>9.3657674014733363</v>
          </cell>
          <cell r="M198">
            <v>0.7954150066165655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S198">
            <v>0.10114686205798026</v>
          </cell>
          <cell r="V198">
            <v>0</v>
          </cell>
        </row>
        <row r="199">
          <cell r="A199" t="str">
            <v>194. MAXELA 140 X 70 N6</v>
          </cell>
          <cell r="B199">
            <v>1</v>
          </cell>
          <cell r="C199">
            <v>1</v>
          </cell>
          <cell r="G199">
            <v>1</v>
          </cell>
          <cell r="H199">
            <v>2.4373117985004726</v>
          </cell>
          <cell r="I199">
            <v>0.52658117333474486</v>
          </cell>
          <cell r="J199">
            <v>6.857142857142857E-4</v>
          </cell>
          <cell r="K199">
            <v>4.5182724252491688E-2</v>
          </cell>
          <cell r="L199">
            <v>3.9746274902387149</v>
          </cell>
          <cell r="M199">
            <v>0.42306226217128801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S199">
            <v>5.3797602406066007E-2</v>
          </cell>
          <cell r="V199">
            <v>0</v>
          </cell>
        </row>
        <row r="200">
          <cell r="A200" t="str">
            <v>195. MAXELA 140 X 40 N66</v>
          </cell>
          <cell r="C200">
            <v>1</v>
          </cell>
          <cell r="G200">
            <v>1</v>
          </cell>
          <cell r="H200">
            <v>5.4240886899727307</v>
          </cell>
          <cell r="I200">
            <v>0.92146048036917971</v>
          </cell>
          <cell r="J200">
            <v>6.857142857142857E-4</v>
          </cell>
          <cell r="K200">
            <v>4.5182724252491688E-2</v>
          </cell>
          <cell r="L200">
            <v>4.6828837007366682</v>
          </cell>
          <cell r="M200">
            <v>0.66360337694867755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S200">
            <v>8.4385382059800673E-2</v>
          </cell>
          <cell r="V200">
            <v>0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  <sheetName val="Pro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-0601"/>
      <sheetName val="data06"/>
      <sheetName val="rincian 2"/>
      <sheetName val="TOKO"/>
      <sheetName val="TWM"/>
      <sheetName val="BLK"/>
      <sheetName val="Sheet1"/>
      <sheetName val="NURSA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ove Langsir"/>
      <sheetName val="Improve Drainase"/>
      <sheetName val="langsir 04"/>
      <sheetName val="Time frame"/>
      <sheetName val="Map KTU"/>
      <sheetName val="Data langsir"/>
      <sheetName val="master plan"/>
      <sheetName val="ACT KA.TEKNIK"/>
      <sheetName val="KPI Asst Teknik "/>
      <sheetName val="KPI Ka Teknik"/>
      <sheetName val="IPP Asst Teknik"/>
      <sheetName val="IPP Ka Teknik"/>
      <sheetName val="INVES (2)"/>
      <sheetName val="KPI"/>
      <sheetName val="INVES"/>
      <sheetName val="PRE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Cs (2)"/>
      <sheetName val="TB Cs"/>
      <sheetName val="Contra "/>
      <sheetName val="Journal "/>
      <sheetName val="Payment "/>
      <sheetName val="Receipt "/>
      <sheetName val="Sales "/>
      <sheetName val="Sheet1"/>
      <sheetName val="Sheet2"/>
      <sheetName val="Sheet4"/>
    </sheetNames>
    <sheetDataSet>
      <sheetData sheetId="0" refreshError="1"/>
      <sheetData sheetId="1" refreshError="1"/>
      <sheetData sheetId="2">
        <row r="9">
          <cell r="C9" t="str">
            <v>Bank Mandiri Rp - A/c 114.0002150616</v>
          </cell>
          <cell r="L9">
            <v>1500000000</v>
          </cell>
        </row>
        <row r="10">
          <cell r="C10" t="str">
            <v>Kas Pusat</v>
          </cell>
          <cell r="K10">
            <v>1500000000</v>
          </cell>
        </row>
        <row r="11">
          <cell r="C11" t="str">
            <v>Pencairan cek mandiri Rek.Giro</v>
          </cell>
        </row>
        <row r="12">
          <cell r="C12" t="str">
            <v>Bank Mandiri KMK 3548 USD</v>
          </cell>
          <cell r="L12">
            <v>2434000000</v>
          </cell>
        </row>
        <row r="13">
          <cell r="C13" t="str">
            <v>Bank Mandiri KMK R 8653</v>
          </cell>
          <cell r="K13">
            <v>2434000000</v>
          </cell>
        </row>
        <row r="14">
          <cell r="C14" t="str">
            <v>Penjualan Dollar $ 200,000@ Rp 12,170 Pinbuk</v>
          </cell>
        </row>
        <row r="15">
          <cell r="C15" t="str">
            <v>Bank Mandiri KMK R 8653</v>
          </cell>
          <cell r="L15">
            <v>1396401211</v>
          </cell>
        </row>
        <row r="16">
          <cell r="C16" t="str">
            <v>Kas Pusat</v>
          </cell>
          <cell r="K16">
            <v>1396401211</v>
          </cell>
        </row>
        <row r="17">
          <cell r="C17" t="str">
            <v>Pencairan cek Mandiri  Rek. Pinjaman</v>
          </cell>
        </row>
        <row r="18">
          <cell r="C18" t="str">
            <v>Kas Pusat</v>
          </cell>
          <cell r="L18">
            <v>1000000000</v>
          </cell>
        </row>
        <row r="19">
          <cell r="C19" t="str">
            <v>Bank Mandiri KMK R 8653</v>
          </cell>
          <cell r="K19">
            <v>1000000000</v>
          </cell>
        </row>
        <row r="20">
          <cell r="C20" t="str">
            <v>Stor ke Rek. Pinjaman Bank Mandiri</v>
          </cell>
        </row>
        <row r="21">
          <cell r="C21" t="str">
            <v>Bank Mandiri KMK R 8653</v>
          </cell>
          <cell r="L21">
            <v>957265294</v>
          </cell>
        </row>
        <row r="22">
          <cell r="C22" t="str">
            <v>Kas Pusat</v>
          </cell>
          <cell r="K22">
            <v>957265294</v>
          </cell>
        </row>
        <row r="23">
          <cell r="C23" t="str">
            <v>Pencairan cek Mandiri Rek. Pinjaman</v>
          </cell>
        </row>
        <row r="24">
          <cell r="C24" t="str">
            <v>Bank Mandiri KMK R 8653</v>
          </cell>
          <cell r="L24">
            <v>528673675</v>
          </cell>
        </row>
        <row r="25">
          <cell r="C25" t="str">
            <v>Kas Pusat</v>
          </cell>
          <cell r="K25">
            <v>528673675</v>
          </cell>
        </row>
        <row r="26">
          <cell r="C26" t="str">
            <v>Pencairan cek Mandiri Rek. Pinjaman</v>
          </cell>
        </row>
        <row r="27">
          <cell r="C27" t="str">
            <v>Bank Mandiri KMK 3548 USD</v>
          </cell>
          <cell r="L27">
            <v>6142500000</v>
          </cell>
        </row>
        <row r="28">
          <cell r="C28" t="str">
            <v>Bank Mandiri KMK R 8653</v>
          </cell>
          <cell r="K28">
            <v>6142500000</v>
          </cell>
        </row>
        <row r="29">
          <cell r="C29" t="str">
            <v>Terima Penjualan Dollar $ 500,000@ Rp 12,285 Pinbuk</v>
          </cell>
        </row>
        <row r="30">
          <cell r="C30" t="str">
            <v>Bank Mandiri KMK R 8653</v>
          </cell>
          <cell r="L30">
            <v>3027085911</v>
          </cell>
        </row>
        <row r="31">
          <cell r="C31" t="str">
            <v>Kas Pusat</v>
          </cell>
          <cell r="K31">
            <v>3027085911</v>
          </cell>
        </row>
        <row r="32">
          <cell r="C32" t="str">
            <v>Pencairan cek mandiri Rek. Pinjaman</v>
          </cell>
        </row>
        <row r="33">
          <cell r="C33" t="str">
            <v>Bank Mandiri KMK R 8653</v>
          </cell>
          <cell r="L33">
            <v>1694803351</v>
          </cell>
        </row>
        <row r="34">
          <cell r="C34" t="str">
            <v>Kas Pusat</v>
          </cell>
          <cell r="K34">
            <v>1694803351</v>
          </cell>
        </row>
        <row r="35">
          <cell r="C35" t="str">
            <v>Pencairan cek mandiri Rek. Pinjaman</v>
          </cell>
        </row>
        <row r="36">
          <cell r="C36" t="str">
            <v>Bank Mandiri KMK R 8653</v>
          </cell>
          <cell r="L36">
            <v>1270115027</v>
          </cell>
        </row>
        <row r="37">
          <cell r="C37" t="str">
            <v>Kas Pusat</v>
          </cell>
          <cell r="K37">
            <v>1270115027</v>
          </cell>
        </row>
        <row r="38">
          <cell r="C38" t="str">
            <v>Pencairan cek mandiri Rek. Pinjaman</v>
          </cell>
        </row>
        <row r="39">
          <cell r="C39" t="str">
            <v>Bank Mandiri KMK R 8653</v>
          </cell>
          <cell r="L39">
            <v>180599839</v>
          </cell>
        </row>
        <row r="40">
          <cell r="C40" t="str">
            <v>Kas Pusat</v>
          </cell>
          <cell r="K40">
            <v>180599839</v>
          </cell>
        </row>
        <row r="41">
          <cell r="C41" t="str">
            <v>Pencairan cek mandiri Rek. Pinjaman</v>
          </cell>
        </row>
        <row r="42">
          <cell r="C42" t="str">
            <v>Bank Mandiri KMK 3548 USD</v>
          </cell>
          <cell r="L42">
            <v>3015000000</v>
          </cell>
        </row>
        <row r="43">
          <cell r="C43" t="str">
            <v>Bank Mandiri KMK R 8653</v>
          </cell>
          <cell r="K43">
            <v>3015000000</v>
          </cell>
        </row>
        <row r="44">
          <cell r="C44" t="str">
            <v>Penjualan Dollar $ 250,000@Rp 12,060 Pinbuk</v>
          </cell>
        </row>
        <row r="45">
          <cell r="C45" t="str">
            <v>Bank Mandiri KMK R 8653</v>
          </cell>
          <cell r="L45">
            <v>2153386048</v>
          </cell>
        </row>
        <row r="46">
          <cell r="C46" t="str">
            <v>Kas Pusat</v>
          </cell>
          <cell r="K46">
            <v>2153386048</v>
          </cell>
        </row>
        <row r="47">
          <cell r="C47" t="str">
            <v>Pencairan cek Mandiri Rek. Pinjaman</v>
          </cell>
        </row>
        <row r="48">
          <cell r="C48" t="str">
            <v>Bank Mandiri KMK 3548 USD</v>
          </cell>
          <cell r="L48">
            <v>1815000000</v>
          </cell>
        </row>
        <row r="49">
          <cell r="C49" t="str">
            <v>Bank Mandiri KMK R 8653</v>
          </cell>
          <cell r="K49">
            <v>1815000000</v>
          </cell>
        </row>
        <row r="50">
          <cell r="C50" t="str">
            <v>Penjualan Dollar $ 150,000@Rp 12,100</v>
          </cell>
        </row>
        <row r="51">
          <cell r="C51" t="str">
            <v>Bank Mandiri KMK R 8653</v>
          </cell>
          <cell r="L51">
            <v>1928330353</v>
          </cell>
        </row>
        <row r="52">
          <cell r="C52" t="str">
            <v>Kas Pusat</v>
          </cell>
          <cell r="K52">
            <v>1928330353</v>
          </cell>
        </row>
        <row r="53">
          <cell r="C53" t="str">
            <v>Pencairan cek mandiri Rek. Pinjaman</v>
          </cell>
        </row>
        <row r="54">
          <cell r="C54" t="str">
            <v>Bank Mandiri KMK 3548 USD</v>
          </cell>
          <cell r="L54">
            <v>1818000000</v>
          </cell>
        </row>
        <row r="55">
          <cell r="C55" t="str">
            <v>Bank Mandiri KMK R 8653</v>
          </cell>
          <cell r="K55">
            <v>1818000000</v>
          </cell>
        </row>
        <row r="56">
          <cell r="C56" t="str">
            <v>Penjaualan Dollar $ 150,000@Rp 12,120</v>
          </cell>
        </row>
        <row r="57">
          <cell r="C57" t="str">
            <v>Bank Mandiri KMK R 8653</v>
          </cell>
          <cell r="L57">
            <v>1631815619</v>
          </cell>
        </row>
        <row r="58">
          <cell r="C58" t="str">
            <v>Kas Pusat</v>
          </cell>
          <cell r="K58">
            <v>1631815619</v>
          </cell>
        </row>
        <row r="59">
          <cell r="C59" t="str">
            <v>Pencairan cek mandiri Rek. Pinjaman</v>
          </cell>
        </row>
        <row r="60">
          <cell r="C60" t="str">
            <v>Bank Mandiri KMK R 8653</v>
          </cell>
          <cell r="L60">
            <v>939292060</v>
          </cell>
        </row>
        <row r="61">
          <cell r="C61" t="str">
            <v>Kas Pusat</v>
          </cell>
          <cell r="K61">
            <v>939292060</v>
          </cell>
        </row>
        <row r="62">
          <cell r="C62" t="str">
            <v>Pencairan cek mandiri Rek. Pinjaman</v>
          </cell>
        </row>
        <row r="63">
          <cell r="C63" t="str">
            <v>Bank Mandiri KMK 3548 USD</v>
          </cell>
          <cell r="L63">
            <v>4243750000</v>
          </cell>
        </row>
        <row r="64">
          <cell r="C64" t="str">
            <v>Bank Mandiri KMK R 8653</v>
          </cell>
          <cell r="K64">
            <v>4243750000</v>
          </cell>
        </row>
        <row r="65">
          <cell r="C65" t="str">
            <v>Penjualan Dollar $ 350,000@Rp 12,125</v>
          </cell>
        </row>
        <row r="66">
          <cell r="C66" t="str">
            <v>Bank Mandiri KMK R 8653</v>
          </cell>
          <cell r="L66">
            <v>3200000000</v>
          </cell>
        </row>
        <row r="67">
          <cell r="C67" t="str">
            <v>Kas Pusat</v>
          </cell>
          <cell r="K67">
            <v>3200000000</v>
          </cell>
        </row>
        <row r="68">
          <cell r="C68" t="str">
            <v>Pencairan cek Mandiri Rek. Pinjaman</v>
          </cell>
        </row>
        <row r="69">
          <cell r="C69" t="str">
            <v>Bank Mandiri KMK R 8653</v>
          </cell>
          <cell r="L69">
            <v>1248770124</v>
          </cell>
        </row>
        <row r="70">
          <cell r="C70" t="str">
            <v>Kas Pusat</v>
          </cell>
          <cell r="K70">
            <v>1248770124</v>
          </cell>
        </row>
        <row r="71">
          <cell r="C71" t="str">
            <v>Pencairan Cek Mandiri Rek. Pinjaman</v>
          </cell>
        </row>
        <row r="72">
          <cell r="C72" t="str">
            <v>Bank Mandiri KMK R 8653</v>
          </cell>
          <cell r="L72">
            <v>1445520574</v>
          </cell>
        </row>
        <row r="73">
          <cell r="C73" t="str">
            <v>Kas Pusat</v>
          </cell>
          <cell r="K73">
            <v>1445520574</v>
          </cell>
        </row>
        <row r="74">
          <cell r="C74" t="str">
            <v>Pencairan Cek Mandiri Rek. Pinjaman</v>
          </cell>
        </row>
        <row r="75">
          <cell r="C75" t="str">
            <v>Bank Mandiri KMK 3548 USD</v>
          </cell>
          <cell r="L75">
            <v>2432000000</v>
          </cell>
        </row>
        <row r="76">
          <cell r="C76" t="str">
            <v>Bank Mandiri KMK R 8653</v>
          </cell>
          <cell r="K76">
            <v>2432000000</v>
          </cell>
        </row>
        <row r="77">
          <cell r="C77" t="str">
            <v>Penjualan Dollar $ 200,000@Rp 12,160</v>
          </cell>
        </row>
        <row r="78">
          <cell r="C78" t="str">
            <v>Bank Mandiri KMK R 8653</v>
          </cell>
          <cell r="L78">
            <v>855582129</v>
          </cell>
        </row>
        <row r="79">
          <cell r="C79" t="str">
            <v>Kas Pusat</v>
          </cell>
          <cell r="K79">
            <v>855582129</v>
          </cell>
        </row>
        <row r="80">
          <cell r="C80" t="str">
            <v>Pencairan Cek Mandiri Rek. Pinjaman</v>
          </cell>
        </row>
        <row r="81">
          <cell r="C81" t="str">
            <v>Bank Mandiri KMK 3548 USD</v>
          </cell>
          <cell r="L81">
            <v>3657000000</v>
          </cell>
        </row>
        <row r="82">
          <cell r="C82" t="str">
            <v>Bank Mandiri KMK R 8653</v>
          </cell>
          <cell r="K82">
            <v>3657000000</v>
          </cell>
        </row>
        <row r="83">
          <cell r="C83" t="str">
            <v>Penjualan Dollar $ 300,000@Rp 12,190</v>
          </cell>
        </row>
        <row r="84">
          <cell r="C84" t="str">
            <v>Bank Mandiri KMK R 8653</v>
          </cell>
          <cell r="L84">
            <v>672372929</v>
          </cell>
        </row>
        <row r="85">
          <cell r="C85" t="str">
            <v>Kas Pusat</v>
          </cell>
          <cell r="K85">
            <v>672372929</v>
          </cell>
        </row>
        <row r="86">
          <cell r="C86" t="str">
            <v>Pencairan Cek Mandiri Rek. Pinjaman</v>
          </cell>
        </row>
        <row r="87">
          <cell r="C87" t="str">
            <v>Bank Mandiri KMK R 8653</v>
          </cell>
          <cell r="L87">
            <v>2077351679</v>
          </cell>
        </row>
        <row r="88">
          <cell r="C88" t="str">
            <v>Kas Pusat</v>
          </cell>
          <cell r="K88">
            <v>2077351679</v>
          </cell>
        </row>
        <row r="89">
          <cell r="C89" t="str">
            <v>Pencairan cek mandiri Rek. Pinjaman</v>
          </cell>
        </row>
        <row r="90">
          <cell r="C90" t="str">
            <v>Bank Mandiri KMK R 8653</v>
          </cell>
          <cell r="L90">
            <v>2395770000</v>
          </cell>
        </row>
        <row r="91">
          <cell r="C91" t="str">
            <v>Kas Pusat</v>
          </cell>
          <cell r="K91">
            <v>2395770000</v>
          </cell>
        </row>
        <row r="92">
          <cell r="C92" t="str">
            <v>Pencairan cek mandri Rek pinjaman</v>
          </cell>
        </row>
        <row r="93">
          <cell r="C93" t="str">
            <v>Kas Pusat</v>
          </cell>
          <cell r="L93">
            <v>50000000</v>
          </cell>
        </row>
        <row r="94">
          <cell r="C94" t="str">
            <v>Bank Mandiri KMK R 8653</v>
          </cell>
          <cell r="K94">
            <v>50000000</v>
          </cell>
        </row>
        <row r="95">
          <cell r="C95" t="str">
            <v>Setor ke Rek. Pinjaman Bank Mandiri</v>
          </cell>
        </row>
        <row r="96">
          <cell r="C96" t="str">
            <v>Bank Mandiri KMK 3548 USD</v>
          </cell>
          <cell r="L96">
            <v>3067500000</v>
          </cell>
        </row>
        <row r="97">
          <cell r="C97" t="str">
            <v>Bank Mandiri KMK R 8653</v>
          </cell>
          <cell r="K97">
            <v>3067500000</v>
          </cell>
        </row>
        <row r="98">
          <cell r="C98" t="str">
            <v>Terima penjualan Dollar sebanyak $ 250,000@Rp 12,270</v>
          </cell>
        </row>
        <row r="99">
          <cell r="C99" t="str">
            <v>Bank Mandiri KMK R 8653</v>
          </cell>
          <cell r="L99">
            <v>1413457271</v>
          </cell>
        </row>
        <row r="100">
          <cell r="C100" t="str">
            <v>Kas Pusat</v>
          </cell>
          <cell r="K100">
            <v>1413457271</v>
          </cell>
        </row>
        <row r="101">
          <cell r="C101" t="str">
            <v>Pencairan cek mandiri Rek. Pinjaman</v>
          </cell>
        </row>
        <row r="102">
          <cell r="C102" t="str">
            <v>Kas Pusat</v>
          </cell>
          <cell r="L102">
            <v>1000000000</v>
          </cell>
        </row>
        <row r="103">
          <cell r="C103" t="str">
            <v>Bank Mandiri KMK R 8653</v>
          </cell>
          <cell r="K103">
            <v>1000000000</v>
          </cell>
        </row>
        <row r="104">
          <cell r="C104" t="str">
            <v>Setor ke Rek. Pinjaman Bank Mandiri</v>
          </cell>
        </row>
        <row r="105">
          <cell r="C105" t="str">
            <v>Bank Mandiri KMK R 8653</v>
          </cell>
          <cell r="L105">
            <v>1195190482</v>
          </cell>
        </row>
        <row r="106">
          <cell r="C106" t="str">
            <v>Kas Pusat</v>
          </cell>
          <cell r="K106">
            <v>1195190482</v>
          </cell>
        </row>
        <row r="107">
          <cell r="C107" t="str">
            <v>Pencairan cek mandiri Rek. PInjaman</v>
          </cell>
        </row>
        <row r="108">
          <cell r="C108" t="str">
            <v>Bank Mandiri KMK 3548 USD</v>
          </cell>
          <cell r="L108">
            <v>2445000000</v>
          </cell>
        </row>
        <row r="109">
          <cell r="C109" t="str">
            <v>Bank Mandiri KMK R 8653</v>
          </cell>
          <cell r="K109">
            <v>2445000000</v>
          </cell>
        </row>
        <row r="110">
          <cell r="C110" t="str">
            <v>Terima Penjualan Dollar sebanyak $ 200,000@Rp 12,225</v>
          </cell>
        </row>
        <row r="111">
          <cell r="C111" t="str">
            <v>Bank Mandiri KMK R 8653</v>
          </cell>
          <cell r="L111">
            <v>1882743925</v>
          </cell>
        </row>
        <row r="112">
          <cell r="C112" t="str">
            <v>Kas Pusat</v>
          </cell>
          <cell r="K112">
            <v>1882743925</v>
          </cell>
        </row>
        <row r="113">
          <cell r="C113" t="str">
            <v>Pencairan cek Mandiri Rek. Pinjaman</v>
          </cell>
        </row>
        <row r="114">
          <cell r="C114" t="str">
            <v>Bank Mandiri KMK 3548 USD</v>
          </cell>
          <cell r="L114">
            <v>2446000000</v>
          </cell>
        </row>
        <row r="115">
          <cell r="C115" t="str">
            <v>Bank Mandiri KMK R 8653</v>
          </cell>
          <cell r="K115">
            <v>2446000000</v>
          </cell>
        </row>
        <row r="116">
          <cell r="C116" t="str">
            <v>Terima penjualan Dollar sebanyak $ 200,000@Rp 12,230</v>
          </cell>
        </row>
        <row r="117">
          <cell r="C117" t="str">
            <v>Bank Mandiri KMK R 8653</v>
          </cell>
          <cell r="L117">
            <v>1391808452</v>
          </cell>
        </row>
        <row r="118">
          <cell r="C118" t="str">
            <v>Kas Pusat</v>
          </cell>
          <cell r="K118">
            <v>1391808452</v>
          </cell>
        </row>
        <row r="119">
          <cell r="C119" t="str">
            <v>Pencairan cek mandiri Rek. Pinjaman</v>
          </cell>
        </row>
        <row r="120">
          <cell r="C120" t="str">
            <v>Bank Mandiri KMK R 8653</v>
          </cell>
          <cell r="L120">
            <v>1185367519</v>
          </cell>
        </row>
        <row r="121">
          <cell r="C121" t="str">
            <v>Kas Pusat</v>
          </cell>
          <cell r="K121">
            <v>1185367519</v>
          </cell>
        </row>
        <row r="122">
          <cell r="C122" t="str">
            <v>Pencairan cek Mandiri Rek. Pinjaman</v>
          </cell>
        </row>
        <row r="123">
          <cell r="C123" t="str">
            <v>Bank Mandiri KMK 3548 USD</v>
          </cell>
          <cell r="L123">
            <v>1827000000</v>
          </cell>
        </row>
        <row r="124">
          <cell r="C124" t="str">
            <v>Bank Mandiri KMK R 8653</v>
          </cell>
          <cell r="K124">
            <v>1827000000</v>
          </cell>
        </row>
        <row r="125">
          <cell r="C125" t="str">
            <v>Terima penjualan Dollar sebanyak $ 150,000@Rp 12,180</v>
          </cell>
        </row>
        <row r="126">
          <cell r="C126" t="str">
            <v>Bank Mandiri KMK R 8653</v>
          </cell>
          <cell r="L126">
            <v>293000000</v>
          </cell>
        </row>
        <row r="127">
          <cell r="C127" t="str">
            <v>Kas Pusat</v>
          </cell>
          <cell r="K127">
            <v>293000000</v>
          </cell>
        </row>
        <row r="128">
          <cell r="C128" t="str">
            <v>Pencairan cek Mandiri Rek. Pinjaman</v>
          </cell>
        </row>
        <row r="129">
          <cell r="C129" t="str">
            <v>Bank Mandiri KMK R 8653</v>
          </cell>
          <cell r="L129">
            <v>498445797</v>
          </cell>
        </row>
        <row r="130">
          <cell r="C130" t="str">
            <v>Kas Pusat</v>
          </cell>
          <cell r="K130">
            <v>498445797</v>
          </cell>
        </row>
        <row r="131">
          <cell r="C131" t="str">
            <v>Pecairan cek Mandiri Rek. pinjaman</v>
          </cell>
        </row>
        <row r="132">
          <cell r="C132" t="str">
            <v>Bank Mandiri Rp - A/c 114.0002150616</v>
          </cell>
          <cell r="L132">
            <v>500000000</v>
          </cell>
        </row>
        <row r="133">
          <cell r="C133" t="str">
            <v>Kas Pusat</v>
          </cell>
          <cell r="K133">
            <v>500000000</v>
          </cell>
        </row>
        <row r="134">
          <cell r="C134" t="str">
            <v>Pencairan cek Mandiri Rek. Giro</v>
          </cell>
        </row>
        <row r="135">
          <cell r="C135" t="str">
            <v>Bank Mandiri KMK R 8653</v>
          </cell>
          <cell r="L135">
            <v>3051560629</v>
          </cell>
        </row>
        <row r="136">
          <cell r="C136" t="str">
            <v>Kas Pusat</v>
          </cell>
          <cell r="K136">
            <v>3051560629</v>
          </cell>
        </row>
        <row r="137">
          <cell r="C137" t="str">
            <v>Pencairan cek mandiri Rek. Pinjaman</v>
          </cell>
        </row>
        <row r="138">
          <cell r="C138" t="str">
            <v>Bank Mandiri KMK 3548 USD</v>
          </cell>
          <cell r="L138">
            <v>3651000000</v>
          </cell>
        </row>
        <row r="139">
          <cell r="C139" t="str">
            <v>Bank Mandiri KMK R 8653</v>
          </cell>
          <cell r="K139">
            <v>3651000000</v>
          </cell>
        </row>
        <row r="140">
          <cell r="C140" t="str">
            <v>Terima penjualan Dollar sebanyak $ 300,000@Rp 12,170</v>
          </cell>
        </row>
        <row r="141">
          <cell r="C141" t="str">
            <v>Bank Mandiri KMK R 8653</v>
          </cell>
          <cell r="L141">
            <v>1530526570</v>
          </cell>
        </row>
        <row r="142">
          <cell r="C142" t="str">
            <v>Kas Pusat</v>
          </cell>
          <cell r="K142">
            <v>1530526570</v>
          </cell>
        </row>
        <row r="143">
          <cell r="C143" t="str">
            <v>Pencairan Cek Mandiri Rek Pinjaman</v>
          </cell>
        </row>
        <row r="144">
          <cell r="C144" t="str">
            <v>Bank Mandiri KMK R 8653</v>
          </cell>
          <cell r="L144">
            <v>300000000</v>
          </cell>
        </row>
        <row r="145">
          <cell r="C145" t="str">
            <v>Kas Pusat</v>
          </cell>
          <cell r="K145">
            <v>300000000</v>
          </cell>
        </row>
        <row r="146">
          <cell r="C146" t="str">
            <v>Pencairan cek mandiri rek. pinjaman</v>
          </cell>
        </row>
        <row r="147">
          <cell r="C147" t="str">
            <v>Bank Mandiri KMK R 8653</v>
          </cell>
          <cell r="L147">
            <v>1100000000</v>
          </cell>
        </row>
        <row r="148">
          <cell r="C148" t="str">
            <v>Kas Pusat</v>
          </cell>
          <cell r="K148">
            <v>1100000000</v>
          </cell>
        </row>
        <row r="149">
          <cell r="C149" t="str">
            <v>Pencairan Cek Mandiri Rek Pinjaman</v>
          </cell>
        </row>
        <row r="150">
          <cell r="C150" t="str">
            <v>Bank Mandiri KMK 3548 USD</v>
          </cell>
          <cell r="L150">
            <v>2410400000</v>
          </cell>
        </row>
        <row r="151">
          <cell r="C151" t="str">
            <v>Bank Mandiri KMK R 8653</v>
          </cell>
          <cell r="K151">
            <v>2410400000</v>
          </cell>
        </row>
        <row r="152">
          <cell r="C152" t="str">
            <v>Terima penjualan Dollar sebanyak $ 200,000@Rp 12,052</v>
          </cell>
        </row>
        <row r="153">
          <cell r="C153" t="str">
            <v>Bank Mandiri KMK R 8653</v>
          </cell>
          <cell r="L153">
            <v>841949181</v>
          </cell>
        </row>
        <row r="154">
          <cell r="C154" t="str">
            <v>Kas Pusat</v>
          </cell>
          <cell r="K154">
            <v>841949181</v>
          </cell>
        </row>
        <row r="155">
          <cell r="C155" t="str">
            <v>Pencairan cek Mandiri Rek. Pinjaman</v>
          </cell>
        </row>
        <row r="156">
          <cell r="C156" t="str">
            <v>Bank Mandiri KMK R 8653</v>
          </cell>
          <cell r="L156">
            <v>791447675</v>
          </cell>
        </row>
        <row r="157">
          <cell r="C157" t="str">
            <v>Kas Pusat</v>
          </cell>
          <cell r="K157">
            <v>791447675</v>
          </cell>
        </row>
        <row r="158">
          <cell r="C158" t="str">
            <v>Pencairan cek Mandiri Rek. Pinjaman</v>
          </cell>
        </row>
        <row r="159">
          <cell r="C159" t="str">
            <v>Bank Mandiri Rp - A/c 114.0002150616</v>
          </cell>
          <cell r="L159">
            <v>500000000</v>
          </cell>
        </row>
        <row r="160">
          <cell r="C160" t="str">
            <v>Kas Pusat</v>
          </cell>
          <cell r="K160">
            <v>500000000</v>
          </cell>
        </row>
        <row r="161">
          <cell r="C161" t="str">
            <v>Pencairan cek Mandiri Rek. Giro</v>
          </cell>
        </row>
        <row r="162">
          <cell r="C162" t="str">
            <v>Bank Mandiri KMK 3548 USD</v>
          </cell>
          <cell r="L162">
            <v>1752000000</v>
          </cell>
        </row>
        <row r="163">
          <cell r="C163" t="str">
            <v>Bank Mandiri KMK R 8653</v>
          </cell>
          <cell r="K163">
            <v>1752000000</v>
          </cell>
        </row>
        <row r="164">
          <cell r="C164" t="str">
            <v>Terima penjualan Dollar sebanyak $ 150,000@Rp 11,680</v>
          </cell>
        </row>
        <row r="165">
          <cell r="C165" t="str">
            <v>Bank Mandiri KMK R 8653</v>
          </cell>
          <cell r="L165">
            <v>1786000000</v>
          </cell>
        </row>
        <row r="166">
          <cell r="C166" t="str">
            <v>Kas Pusat</v>
          </cell>
          <cell r="K166">
            <v>1786000000</v>
          </cell>
        </row>
        <row r="167">
          <cell r="C167" t="str">
            <v>Pencairan Cek Mandiri Rek. Pinjaman</v>
          </cell>
        </row>
        <row r="168">
          <cell r="C168" t="str">
            <v>Bank Mandiri KMK 3548 USD</v>
          </cell>
          <cell r="L168">
            <v>2368000000</v>
          </cell>
        </row>
        <row r="169">
          <cell r="C169" t="str">
            <v>Bank Mandiri KMK R 8653</v>
          </cell>
          <cell r="K169">
            <v>2368000000</v>
          </cell>
        </row>
        <row r="170">
          <cell r="C170" t="str">
            <v>Terima penjualan Dollar sebanyak $ 200,000@Rp 11,840</v>
          </cell>
        </row>
        <row r="171">
          <cell r="C171" t="str">
            <v>Bank Mandiri KMK R 8653</v>
          </cell>
          <cell r="L171">
            <v>609342434</v>
          </cell>
        </row>
        <row r="172">
          <cell r="C172" t="str">
            <v>Kas Pusat</v>
          </cell>
          <cell r="K172">
            <v>609342434</v>
          </cell>
        </row>
        <row r="173">
          <cell r="C173" t="str">
            <v>Pencairan Cek Mandiri Rek. Pinjaman</v>
          </cell>
        </row>
        <row r="174">
          <cell r="C174" t="str">
            <v>Bank Mandiri KMK R 8653</v>
          </cell>
          <cell r="L174">
            <v>158200047</v>
          </cell>
        </row>
        <row r="175">
          <cell r="C175" t="str">
            <v>Kas Pusat</v>
          </cell>
          <cell r="K175">
            <v>158200047</v>
          </cell>
        </row>
        <row r="176">
          <cell r="C176" t="str">
            <v>Pencairan Cek Mandiri Rek. Pinjaman</v>
          </cell>
        </row>
        <row r="177">
          <cell r="C177" t="str">
            <v>Bank Mandiri KMK R 8653</v>
          </cell>
          <cell r="L177">
            <v>1400381053</v>
          </cell>
        </row>
        <row r="178">
          <cell r="C178" t="str">
            <v>Kas Pusat</v>
          </cell>
          <cell r="K178">
            <v>1400381053</v>
          </cell>
        </row>
        <row r="179">
          <cell r="C179" t="str">
            <v>Pencairan Cek Mandiri Rek. Pinjaman</v>
          </cell>
        </row>
        <row r="180">
          <cell r="C180" t="str">
            <v>Bank Mandiri KMK 3548 USD</v>
          </cell>
          <cell r="L180">
            <v>3531000000</v>
          </cell>
        </row>
        <row r="181">
          <cell r="C181" t="str">
            <v>Bank Mandiri KMK R 8653</v>
          </cell>
          <cell r="K181">
            <v>3531000000</v>
          </cell>
        </row>
        <row r="182">
          <cell r="C182" t="str">
            <v>Terima penjualan Dollar sebanyak $ 300,000@Rp 11,770</v>
          </cell>
        </row>
        <row r="183">
          <cell r="C183" t="str">
            <v>Bank Mandiri KMK R 8653</v>
          </cell>
          <cell r="L183">
            <v>215000000</v>
          </cell>
        </row>
        <row r="184">
          <cell r="C184" t="str">
            <v>Kas Pusat</v>
          </cell>
          <cell r="K184">
            <v>215000000</v>
          </cell>
        </row>
        <row r="185">
          <cell r="C185" t="str">
            <v>Pencairan Cek Mandiri Rek. Pinjaman</v>
          </cell>
        </row>
        <row r="186">
          <cell r="C186" t="str">
            <v>Bank Mandiri KMK 3548 USD</v>
          </cell>
          <cell r="L186">
            <v>2340000000</v>
          </cell>
        </row>
        <row r="187">
          <cell r="C187" t="str">
            <v>Bank Mandiri KMK R 8653</v>
          </cell>
          <cell r="K187">
            <v>2340000000</v>
          </cell>
        </row>
        <row r="188">
          <cell r="C188" t="str">
            <v>Terima penjualan Dollar sebanyak $ 200,000@Rp 11,700</v>
          </cell>
        </row>
        <row r="189">
          <cell r="C189" t="str">
            <v>Bank Mandiri KMK R 8653</v>
          </cell>
          <cell r="L189">
            <v>2615879417</v>
          </cell>
        </row>
        <row r="190">
          <cell r="C190" t="str">
            <v>Kas Pusat</v>
          </cell>
          <cell r="K190">
            <v>2615879417</v>
          </cell>
        </row>
        <row r="191">
          <cell r="C191" t="str">
            <v>Pencairan Cek Mandiri Rek. Pinjaman</v>
          </cell>
        </row>
        <row r="192">
          <cell r="C192" t="str">
            <v>Bank Mandiri KMK 3548 USD</v>
          </cell>
          <cell r="L192">
            <v>1161500000</v>
          </cell>
        </row>
        <row r="193">
          <cell r="C193" t="str">
            <v>Bank Mandiri KMK R 8653</v>
          </cell>
          <cell r="K193">
            <v>1161500000</v>
          </cell>
        </row>
        <row r="194">
          <cell r="C194" t="str">
            <v>Terima penjualan Dollar sebanyak $ 100,000@Rp 11,615</v>
          </cell>
        </row>
        <row r="195">
          <cell r="C195" t="str">
            <v>Bank Mandiri KMK 3548 USD</v>
          </cell>
          <cell r="L195">
            <v>2332000000</v>
          </cell>
        </row>
        <row r="196">
          <cell r="C196" t="str">
            <v>Bank Mandiri KMK R 8653</v>
          </cell>
          <cell r="K196">
            <v>2332000000</v>
          </cell>
        </row>
        <row r="197">
          <cell r="C197" t="str">
            <v>Terima penjualan Dollar sebanyak $ 200,000@Rp 11,660</v>
          </cell>
        </row>
        <row r="198">
          <cell r="C198" t="str">
            <v>Bank Mandiri KMK 3548 USD</v>
          </cell>
          <cell r="L198">
            <v>1747500000</v>
          </cell>
        </row>
        <row r="199">
          <cell r="C199" t="str">
            <v>Bank Mandiri KMK R 8653</v>
          </cell>
          <cell r="K199">
            <v>1747500000</v>
          </cell>
        </row>
        <row r="200">
          <cell r="C200" t="str">
            <v>Terima penjualan Dollar sebanyak $ 150,000@Rp 11,650</v>
          </cell>
        </row>
        <row r="201">
          <cell r="C201" t="str">
            <v>Bank Mandiri KMK R 8653</v>
          </cell>
          <cell r="L201">
            <v>7953001682</v>
          </cell>
        </row>
        <row r="202">
          <cell r="C202" t="str">
            <v>Kas Pusat</v>
          </cell>
          <cell r="K202">
            <v>7953001682</v>
          </cell>
        </row>
        <row r="203">
          <cell r="C203" t="str">
            <v>Pencairan Cek Mandiri Rek. Pinjaman</v>
          </cell>
        </row>
        <row r="204">
          <cell r="C204" t="str">
            <v>Kas Pusat</v>
          </cell>
          <cell r="L204">
            <v>5700000000</v>
          </cell>
        </row>
        <row r="205">
          <cell r="C205" t="str">
            <v>Bank Mandiri Rp - A/c 114.0002150616</v>
          </cell>
          <cell r="K205">
            <v>5700000000</v>
          </cell>
        </row>
        <row r="206">
          <cell r="C206" t="str">
            <v>Stor ke Rek. Giro Bank Mandiri</v>
          </cell>
        </row>
        <row r="207">
          <cell r="C207" t="str">
            <v>Bank Mandiri Rp - A/c 114.0002150616</v>
          </cell>
          <cell r="L207">
            <v>5700000000</v>
          </cell>
        </row>
        <row r="208">
          <cell r="C208" t="str">
            <v>Kas Pusat</v>
          </cell>
          <cell r="K208">
            <v>5700000000</v>
          </cell>
        </row>
        <row r="209">
          <cell r="C209" t="str">
            <v>Pencairan Cek Mandiri Rek. Giro</v>
          </cell>
        </row>
        <row r="210">
          <cell r="C210" t="str">
            <v>Bank Mandiri KMK R 8653</v>
          </cell>
          <cell r="L210">
            <v>358536646</v>
          </cell>
        </row>
        <row r="211">
          <cell r="C211" t="str">
            <v>Kas Pusat</v>
          </cell>
          <cell r="K211">
            <v>358536646</v>
          </cell>
        </row>
        <row r="212">
          <cell r="C212" t="str">
            <v>Pencairan Cek Mandiri Rek. Pinjaman</v>
          </cell>
        </row>
        <row r="213">
          <cell r="C213" t="str">
            <v>Bank Mandiri KMK 3548 USD</v>
          </cell>
          <cell r="L213">
            <v>1157000000</v>
          </cell>
        </row>
        <row r="214">
          <cell r="C214" t="str">
            <v>Bank Mandiri KMK R 8653</v>
          </cell>
          <cell r="K214">
            <v>1157000000</v>
          </cell>
        </row>
        <row r="215">
          <cell r="C215" t="str">
            <v>Penjualan Dollar sebanyak $ 100,000@Rp 11,570</v>
          </cell>
        </row>
        <row r="216">
          <cell r="C216" t="str">
            <v>Kas Pusat</v>
          </cell>
          <cell r="L216">
            <v>4903000000</v>
          </cell>
        </row>
        <row r="217">
          <cell r="C217" t="str">
            <v>Bank Mandiri KMK R 8653</v>
          </cell>
          <cell r="K217">
            <v>4903000000</v>
          </cell>
        </row>
        <row r="218">
          <cell r="C218" t="str">
            <v>Setor Ke Rek. Pinjaman Bank Mandiri</v>
          </cell>
        </row>
        <row r="219">
          <cell r="C219" t="str">
            <v>Bank Mandiri KMK R 8653</v>
          </cell>
          <cell r="L219">
            <v>366937366</v>
          </cell>
        </row>
        <row r="220">
          <cell r="C220" t="str">
            <v>Kas Pusat</v>
          </cell>
          <cell r="K220">
            <v>366937366</v>
          </cell>
        </row>
        <row r="221">
          <cell r="C221" t="str">
            <v>Pencairan Cek Mandiri Rek. Pinjaman</v>
          </cell>
        </row>
        <row r="222">
          <cell r="C222" t="str">
            <v>Bank Mandiri KMK 3548 USD</v>
          </cell>
          <cell r="L222">
            <v>1162000000</v>
          </cell>
        </row>
        <row r="223">
          <cell r="C223" t="str">
            <v>Bank Mandiri KMK R 8653</v>
          </cell>
          <cell r="K223">
            <v>1162000000</v>
          </cell>
        </row>
        <row r="224">
          <cell r="C224" t="str">
            <v>Penjualan Dollar sebanyak $ 100,000@Rp 11,620</v>
          </cell>
        </row>
        <row r="225">
          <cell r="C225" t="str">
            <v>Kas Pusat</v>
          </cell>
          <cell r="L225">
            <v>5000000000</v>
          </cell>
        </row>
        <row r="226">
          <cell r="C226" t="str">
            <v>Bank Mandiri KMK R 8653</v>
          </cell>
          <cell r="K226">
            <v>5000000000</v>
          </cell>
        </row>
        <row r="227">
          <cell r="C227" t="str">
            <v>Setor ke Rek. Pinjaman Bank Mandiri</v>
          </cell>
        </row>
        <row r="228">
          <cell r="C228" t="str">
            <v>Bank Mandiri KMK R 8653</v>
          </cell>
          <cell r="L228">
            <v>1271532231</v>
          </cell>
        </row>
        <row r="229">
          <cell r="C229" t="str">
            <v>Kas Pusat</v>
          </cell>
          <cell r="K229">
            <v>1271532231</v>
          </cell>
        </row>
        <row r="230">
          <cell r="C230" t="str">
            <v>Pencairan cek Mandiri Rek. Pinjaman</v>
          </cell>
        </row>
        <row r="231">
          <cell r="C231" t="str">
            <v>Bank Mandiri KMK R 8653</v>
          </cell>
          <cell r="L231">
            <v>1334072709</v>
          </cell>
        </row>
        <row r="232">
          <cell r="C232" t="str">
            <v>Kas Pusat</v>
          </cell>
          <cell r="K232">
            <v>1334072709</v>
          </cell>
        </row>
        <row r="233">
          <cell r="C233" t="str">
            <v>Pencairan Cek Mandiri Rek. Pinjaman</v>
          </cell>
        </row>
        <row r="234">
          <cell r="C234" t="str">
            <v>Bank Mandiri KMK 3548 USD</v>
          </cell>
          <cell r="L234">
            <v>3420000000</v>
          </cell>
        </row>
        <row r="235">
          <cell r="C235" t="str">
            <v>Bank Mandiri KMK R 8653</v>
          </cell>
          <cell r="K235">
            <v>3420000000</v>
          </cell>
        </row>
        <row r="236">
          <cell r="C236" t="str">
            <v>Penjualan Dollar sebanyak $ 300,000@Rp 11,400</v>
          </cell>
        </row>
        <row r="237">
          <cell r="C237" t="str">
            <v>Bank Mandiri KMK R 8653</v>
          </cell>
          <cell r="L237">
            <v>408000000</v>
          </cell>
        </row>
        <row r="238">
          <cell r="C238" t="str">
            <v>Kas Pusat</v>
          </cell>
          <cell r="K238">
            <v>408000000</v>
          </cell>
        </row>
        <row r="239">
          <cell r="C239" t="str">
            <v>Pencairan Cek Mandiri Rek. Pinjaman</v>
          </cell>
        </row>
        <row r="240">
          <cell r="C240" t="str">
            <v>Bank Mandiri KMK 3548 USD</v>
          </cell>
          <cell r="L240">
            <v>4572000000</v>
          </cell>
        </row>
        <row r="241">
          <cell r="C241" t="str">
            <v>Bank Mandiri KMK R 8653</v>
          </cell>
          <cell r="K241">
            <v>4572000000</v>
          </cell>
        </row>
        <row r="242">
          <cell r="C242" t="str">
            <v>Penjualan Dollar sebanyak $ 400,000@Rp 11,430</v>
          </cell>
        </row>
        <row r="243">
          <cell r="C243" t="str">
            <v>Bank Mandiri KMK R 8653</v>
          </cell>
          <cell r="L243">
            <v>1171093198</v>
          </cell>
        </row>
        <row r="244">
          <cell r="C244" t="str">
            <v>Kas Pusat</v>
          </cell>
          <cell r="K244">
            <v>1171093198</v>
          </cell>
        </row>
        <row r="245">
          <cell r="C245" t="str">
            <v>Pencairan Cek Mandiri Rek. Pinjaman</v>
          </cell>
        </row>
        <row r="246">
          <cell r="C246" t="str">
            <v>Bank Mandiri KMK R 8653</v>
          </cell>
          <cell r="L246">
            <v>1421000000</v>
          </cell>
        </row>
        <row r="247">
          <cell r="C247" t="str">
            <v>Kas Pusat</v>
          </cell>
          <cell r="K247">
            <v>1421000000</v>
          </cell>
        </row>
        <row r="248">
          <cell r="C248" t="str">
            <v>Pencairan Cek Mandiri Rek. Pinjaman</v>
          </cell>
        </row>
        <row r="249">
          <cell r="C249" t="str">
            <v>Bank Mandiri KMK 3548 USD</v>
          </cell>
          <cell r="L249">
            <v>2860000000</v>
          </cell>
        </row>
        <row r="250">
          <cell r="C250" t="str">
            <v>Bank Mandiri KMK R 8653</v>
          </cell>
          <cell r="K250">
            <v>2860000000</v>
          </cell>
        </row>
        <row r="251">
          <cell r="C251" t="str">
            <v>Penjualan Dollar sebanyak $ 250,000@Rp 11,440</v>
          </cell>
        </row>
        <row r="252">
          <cell r="C252" t="str">
            <v>Bank Mandiri KMK R 8653</v>
          </cell>
          <cell r="L252">
            <v>1257555072</v>
          </cell>
        </row>
        <row r="253">
          <cell r="C253" t="str">
            <v>Kas Pusat</v>
          </cell>
          <cell r="K253">
            <v>1257555072</v>
          </cell>
        </row>
        <row r="254">
          <cell r="C254" t="str">
            <v>Pencairan Cek Mandiri Rek. Pinjaman</v>
          </cell>
        </row>
        <row r="255">
          <cell r="C255" t="str">
            <v>Bank Mandiri KMK R 8653</v>
          </cell>
          <cell r="L255">
            <v>1320000000</v>
          </cell>
        </row>
        <row r="256">
          <cell r="C256" t="str">
            <v>Kas Pusat</v>
          </cell>
          <cell r="K256">
            <v>1320000000</v>
          </cell>
        </row>
        <row r="257">
          <cell r="C257" t="str">
            <v>Pencairan Cek Mandiri Rek. Pinjaman</v>
          </cell>
        </row>
        <row r="258">
          <cell r="C258" t="str">
            <v>Bank Mandiri Rp - A/c 114.0002150616</v>
          </cell>
          <cell r="L258">
            <v>635000000</v>
          </cell>
        </row>
        <row r="259">
          <cell r="C259" t="str">
            <v>Kas Pusat</v>
          </cell>
          <cell r="K259">
            <v>635000000</v>
          </cell>
        </row>
        <row r="260">
          <cell r="C260" t="str">
            <v>Pencairan Cek Mandiri Rek. Giro</v>
          </cell>
        </row>
        <row r="261">
          <cell r="C261" t="str">
            <v>Bank Mandiri KMK R 8653</v>
          </cell>
          <cell r="L261">
            <v>863000000</v>
          </cell>
        </row>
        <row r="262">
          <cell r="C262" t="str">
            <v>Kas Pusat</v>
          </cell>
          <cell r="K262">
            <v>863000000</v>
          </cell>
        </row>
        <row r="263">
          <cell r="C263" t="str">
            <v>Pencairan Cek Mandiri Rek. Pinjaman</v>
          </cell>
        </row>
        <row r="264">
          <cell r="C264" t="str">
            <v>Bank Mandiri Rp - A/c 114.0002150616</v>
          </cell>
          <cell r="L264">
            <v>400000000</v>
          </cell>
        </row>
        <row r="265">
          <cell r="C265" t="str">
            <v>Kas Pusat</v>
          </cell>
          <cell r="K265">
            <v>400000000</v>
          </cell>
        </row>
        <row r="266">
          <cell r="C266" t="str">
            <v>Pencairan Cek Mandiri Rek. Giro</v>
          </cell>
        </row>
        <row r="267">
          <cell r="C267" t="str">
            <v>Bank Mandiri KMK R 8653</v>
          </cell>
          <cell r="L267">
            <v>921830790</v>
          </cell>
        </row>
        <row r="268">
          <cell r="C268" t="str">
            <v>Kas Pusat</v>
          </cell>
          <cell r="K268">
            <v>921830790</v>
          </cell>
        </row>
        <row r="269">
          <cell r="C269" t="str">
            <v>Pencairan Cek Mandiri Rek. Pinjaman</v>
          </cell>
        </row>
        <row r="270">
          <cell r="C270" t="str">
            <v>Bank Mandiri KMK 3548 USD</v>
          </cell>
          <cell r="L270">
            <v>5641000000</v>
          </cell>
        </row>
        <row r="271">
          <cell r="C271" t="str">
            <v>Bank Mandiri KMK R 8653</v>
          </cell>
          <cell r="K271">
            <v>5641000000</v>
          </cell>
        </row>
        <row r="272">
          <cell r="C272" t="str">
            <v>Penjualan Dollar sebanyak $ 500,000@Rp 11,282</v>
          </cell>
        </row>
        <row r="273">
          <cell r="C273" t="str">
            <v>Bank Mandiri KMK R 8653</v>
          </cell>
          <cell r="L273">
            <v>2664482492</v>
          </cell>
        </row>
        <row r="274">
          <cell r="C274" t="str">
            <v>Kas Pusat</v>
          </cell>
          <cell r="K274">
            <v>2664482492</v>
          </cell>
        </row>
        <row r="275">
          <cell r="C275" t="str">
            <v>Pencairan Cek Mandiri Rek. Pinjaman</v>
          </cell>
        </row>
        <row r="276">
          <cell r="C276" t="str">
            <v>Bank Mandiri KMK 3548 USD</v>
          </cell>
          <cell r="L276">
            <v>3399000000</v>
          </cell>
        </row>
        <row r="277">
          <cell r="C277" t="str">
            <v>Bank Mandiri KMK R 8653</v>
          </cell>
          <cell r="K277">
            <v>3399000000</v>
          </cell>
        </row>
        <row r="278">
          <cell r="C278" t="str">
            <v>Penjualan Dollar sebanyak $ 300,000@Rp 11,330</v>
          </cell>
        </row>
        <row r="279">
          <cell r="C279" t="str">
            <v>Bank Mandiri KMK R 8653</v>
          </cell>
          <cell r="L279">
            <v>3041723796</v>
          </cell>
        </row>
        <row r="280">
          <cell r="C280" t="str">
            <v>Kas Pusat</v>
          </cell>
          <cell r="K280">
            <v>3041723796</v>
          </cell>
        </row>
        <row r="281">
          <cell r="C281" t="str">
            <v>Pencairan Cek Mandiri Rek. Pinjaman</v>
          </cell>
        </row>
        <row r="282">
          <cell r="C282" t="str">
            <v>Bank Mandiri KMK 3548 USD</v>
          </cell>
          <cell r="L282">
            <v>4566000000</v>
          </cell>
        </row>
        <row r="283">
          <cell r="C283" t="str">
            <v>Bank Mandiri KMK R 8653</v>
          </cell>
          <cell r="K283">
            <v>4566000000</v>
          </cell>
        </row>
        <row r="284">
          <cell r="C284" t="str">
            <v>Penjualan Dollar sebanyak $ 400,000@Rp 11,415</v>
          </cell>
        </row>
        <row r="285">
          <cell r="C285" t="str">
            <v>Bank Mandiri KMK R 8653</v>
          </cell>
          <cell r="L285">
            <v>2135000000</v>
          </cell>
        </row>
        <row r="286">
          <cell r="C286" t="str">
            <v>Kas Pusat</v>
          </cell>
          <cell r="K286">
            <v>2135000000</v>
          </cell>
        </row>
        <row r="287">
          <cell r="C287" t="str">
            <v>Pencairan Cek Mandiri Rek. Pinjaman</v>
          </cell>
        </row>
        <row r="288">
          <cell r="C288" t="str">
            <v>Bank Mandiri KMK 3548 USD</v>
          </cell>
          <cell r="L288">
            <v>1714500000</v>
          </cell>
        </row>
        <row r="289">
          <cell r="C289" t="str">
            <v>Bank Mandiri KMK R 8653</v>
          </cell>
          <cell r="K289">
            <v>1714500000</v>
          </cell>
        </row>
        <row r="290">
          <cell r="C290" t="str">
            <v>Penjualan Dollar sebanyak $ 150,000@Rp 11,430</v>
          </cell>
        </row>
        <row r="291">
          <cell r="C291" t="str">
            <v>Bank Mandiri KMK R 8653</v>
          </cell>
          <cell r="L291">
            <v>1445642718</v>
          </cell>
        </row>
        <row r="292">
          <cell r="C292" t="str">
            <v>Kas Pusat</v>
          </cell>
          <cell r="K292">
            <v>1445642718</v>
          </cell>
        </row>
        <row r="293">
          <cell r="C293" t="str">
            <v>Pencairan Cek Mandiri Rek. Pinjaman</v>
          </cell>
        </row>
        <row r="294">
          <cell r="C294" t="str">
            <v>Bank Mandiri KMK R 8653</v>
          </cell>
          <cell r="L294">
            <v>684488967</v>
          </cell>
        </row>
        <row r="295">
          <cell r="C295" t="str">
            <v>Kas Pusat</v>
          </cell>
          <cell r="K295">
            <v>684488967</v>
          </cell>
        </row>
        <row r="296">
          <cell r="C296" t="str">
            <v>Pencairan Cek Mandiri Rek. Pinjaman</v>
          </cell>
        </row>
        <row r="297">
          <cell r="C297" t="str">
            <v>Kas Pusat</v>
          </cell>
          <cell r="L297">
            <v>1000000000</v>
          </cell>
        </row>
        <row r="298">
          <cell r="C298" t="str">
            <v>Bank Mandiri KMK R 8653</v>
          </cell>
          <cell r="K298">
            <v>1000000000</v>
          </cell>
        </row>
        <row r="299">
          <cell r="C299" t="str">
            <v>Setor ke Bank Mandiri Rek. Pinjaman</v>
          </cell>
        </row>
        <row r="300">
          <cell r="C300" t="str">
            <v>Bank Mandiri KMK R 8653</v>
          </cell>
          <cell r="L300">
            <v>1291665750</v>
          </cell>
        </row>
        <row r="301">
          <cell r="C301" t="str">
            <v>Kas Pusat</v>
          </cell>
          <cell r="K301">
            <v>1291665750</v>
          </cell>
        </row>
        <row r="302">
          <cell r="C302" t="str">
            <v>Pencairan Cek Mandiri Rek. Pinjaman</v>
          </cell>
        </row>
        <row r="303">
          <cell r="C303" t="str">
            <v>Bank Mandiri KMK 3548 USD</v>
          </cell>
          <cell r="L303">
            <v>3418500000</v>
          </cell>
        </row>
        <row r="304">
          <cell r="C304" t="str">
            <v>Bank Mandiri KMK R 8653</v>
          </cell>
          <cell r="K304">
            <v>3418500000</v>
          </cell>
        </row>
        <row r="305">
          <cell r="C305" t="str">
            <v>Penjualan Dollar sebanyak  $ 300,000@Rp 11,395</v>
          </cell>
        </row>
        <row r="306">
          <cell r="C306" t="str">
            <v>Bank Mandiri KMK R 8653</v>
          </cell>
          <cell r="L306">
            <v>1040410102</v>
          </cell>
        </row>
        <row r="307">
          <cell r="C307" t="str">
            <v>Kas Pusat</v>
          </cell>
          <cell r="K307">
            <v>1040410102</v>
          </cell>
        </row>
        <row r="308">
          <cell r="C308" t="str">
            <v>Pencairan Cek Mandiri Rek. Pinjaman</v>
          </cell>
        </row>
        <row r="309">
          <cell r="C309" t="str">
            <v>Bank Mandiri KMK 3548 USD</v>
          </cell>
          <cell r="L309">
            <v>1143000000</v>
          </cell>
        </row>
        <row r="310">
          <cell r="C310" t="str">
            <v>Bank Mandiri KMK R 8653</v>
          </cell>
          <cell r="K310">
            <v>1143000000</v>
          </cell>
        </row>
        <row r="311">
          <cell r="C311" t="str">
            <v>Penjualan Dollar sebanyak $ 100,000@Rp 11,430</v>
          </cell>
        </row>
        <row r="312">
          <cell r="C312" t="str">
            <v>Bank Mandiri KMK R 8653</v>
          </cell>
          <cell r="L312">
            <v>190000000</v>
          </cell>
        </row>
        <row r="313">
          <cell r="C313" t="str">
            <v>Kas Pusat</v>
          </cell>
          <cell r="K313">
            <v>190000000</v>
          </cell>
        </row>
        <row r="314">
          <cell r="C314" t="str">
            <v>Pencairan Cek Mandiri Rek. Pinjaman</v>
          </cell>
        </row>
        <row r="315">
          <cell r="C315" t="str">
            <v>Bank Mandiri KMK R 8653</v>
          </cell>
          <cell r="L315">
            <v>19056624815</v>
          </cell>
        </row>
        <row r="316">
          <cell r="C316" t="str">
            <v>Kas Pusat</v>
          </cell>
          <cell r="K316">
            <v>19056624815</v>
          </cell>
        </row>
        <row r="317">
          <cell r="C317" t="str">
            <v>Pencairan Cek Mandiri Rek. Pinjaman</v>
          </cell>
        </row>
        <row r="318">
          <cell r="C318" t="str">
            <v>Kas Pusat</v>
          </cell>
          <cell r="L318">
            <v>15000000000</v>
          </cell>
        </row>
        <row r="319">
          <cell r="C319" t="str">
            <v>Bank Mandiri Rp - A/c 114.0002150616</v>
          </cell>
          <cell r="K319">
            <v>15000000000</v>
          </cell>
        </row>
        <row r="320">
          <cell r="C320" t="str">
            <v>Setor Ke Rek. Giro Bank Mandiri</v>
          </cell>
        </row>
        <row r="321">
          <cell r="C321" t="str">
            <v>Bank Mandiri Rp - A/c 114.0002150616</v>
          </cell>
          <cell r="L321">
            <v>15000000000</v>
          </cell>
        </row>
        <row r="322">
          <cell r="C322" t="str">
            <v>Kas Pusat</v>
          </cell>
          <cell r="K322">
            <v>15000000000</v>
          </cell>
        </row>
        <row r="323">
          <cell r="C323" t="str">
            <v>Pencairan Cek Mandiri Rek. Giro</v>
          </cell>
        </row>
        <row r="324">
          <cell r="C324" t="str">
            <v>Bank Mandiri KMK R 8653</v>
          </cell>
          <cell r="L324">
            <v>960150324</v>
          </cell>
        </row>
        <row r="325">
          <cell r="C325" t="str">
            <v>Kas Pusat</v>
          </cell>
          <cell r="K325">
            <v>960150324</v>
          </cell>
        </row>
        <row r="326">
          <cell r="C326" t="str">
            <v>Pencairan Cek Mandiri Rek. Pinjaman</v>
          </cell>
        </row>
        <row r="327">
          <cell r="C327" t="str">
            <v>Kas Pusat</v>
          </cell>
          <cell r="L327">
            <v>14899000000</v>
          </cell>
        </row>
        <row r="328">
          <cell r="C328" t="str">
            <v>Bank Mandiri KMK R 8653</v>
          </cell>
          <cell r="K328">
            <v>14899000000</v>
          </cell>
        </row>
        <row r="329">
          <cell r="C329" t="str">
            <v>Setor ke Rek. Pinjaman Bank Mandiri</v>
          </cell>
        </row>
        <row r="330">
          <cell r="C330" t="str">
            <v>Bank Mandiri KMK R 8653</v>
          </cell>
          <cell r="L330">
            <v>618589827</v>
          </cell>
        </row>
        <row r="331">
          <cell r="C331" t="str">
            <v>Kas Pusat</v>
          </cell>
          <cell r="K331">
            <v>618589827</v>
          </cell>
        </row>
        <row r="332">
          <cell r="C332" t="str">
            <v>Pencairan Cek Mandiri Rek. Pinjaman</v>
          </cell>
        </row>
        <row r="333">
          <cell r="C333" t="str">
            <v>Bank Mandiri KMK R 8653</v>
          </cell>
          <cell r="L333">
            <v>1461056455</v>
          </cell>
        </row>
        <row r="334">
          <cell r="C334" t="str">
            <v>Kas Pusat</v>
          </cell>
          <cell r="K334">
            <v>1461056455</v>
          </cell>
        </row>
        <row r="335">
          <cell r="C335" t="str">
            <v>Pencairan Cek Mandiri Rek. Pinjaman</v>
          </cell>
        </row>
        <row r="336">
          <cell r="C336" t="str">
            <v>Bank Mandiri KMK 3548 USD</v>
          </cell>
          <cell r="L336">
            <v>3390600000</v>
          </cell>
        </row>
        <row r="337">
          <cell r="C337" t="str">
            <v>Bank Mandiri KMK R 8653</v>
          </cell>
          <cell r="K337">
            <v>3390600000</v>
          </cell>
        </row>
        <row r="338">
          <cell r="C338" t="str">
            <v>Penjualan Dollar sebanyak $ 300,000@Rp 11,302</v>
          </cell>
        </row>
        <row r="339">
          <cell r="C339" t="str">
            <v>Bank Mandiri KMK R 8653</v>
          </cell>
          <cell r="L339">
            <v>2192349974</v>
          </cell>
        </row>
        <row r="340">
          <cell r="C340" t="str">
            <v>Kas Pusat</v>
          </cell>
          <cell r="K340">
            <v>2192349974</v>
          </cell>
        </row>
        <row r="341">
          <cell r="C341" t="str">
            <v>Pencairan Cek Mandiri Rek. Pinjaman</v>
          </cell>
        </row>
        <row r="342">
          <cell r="C342" t="str">
            <v>Bank Mandiri KMK R 8653</v>
          </cell>
          <cell r="L342">
            <v>1476670640</v>
          </cell>
        </row>
        <row r="343">
          <cell r="C343" t="str">
            <v>Kas Pusat</v>
          </cell>
          <cell r="K343">
            <v>1476670640</v>
          </cell>
        </row>
        <row r="344">
          <cell r="C344" t="str">
            <v>Pencairan Cek Mandiri Rek. Pinjaman</v>
          </cell>
        </row>
        <row r="345">
          <cell r="C345" t="str">
            <v>Bank Mandiri KMK R 8653</v>
          </cell>
          <cell r="L345">
            <v>1379957787</v>
          </cell>
        </row>
        <row r="346">
          <cell r="C346" t="str">
            <v>Kas Pusat</v>
          </cell>
          <cell r="K346">
            <v>1379957787</v>
          </cell>
        </row>
        <row r="347">
          <cell r="C347" t="str">
            <v>Pencairan Cek Mandiri Rek. Pinjaman</v>
          </cell>
        </row>
        <row r="348">
          <cell r="C348" t="str">
            <v>Bank Mandiri KMK 3548 USD</v>
          </cell>
          <cell r="L348">
            <v>3965500000</v>
          </cell>
        </row>
        <row r="349">
          <cell r="C349" t="str">
            <v>Bank Mandiri KMK R 8653</v>
          </cell>
          <cell r="K349">
            <v>3965500000</v>
          </cell>
        </row>
        <row r="350">
          <cell r="C350" t="str">
            <v>Penjualan Dollar sebanyak $ 350,000@Rp 11,330</v>
          </cell>
        </row>
        <row r="351">
          <cell r="C351" t="str">
            <v>Bank Mandiri KMK R 8653</v>
          </cell>
          <cell r="L351">
            <v>1748456661</v>
          </cell>
        </row>
        <row r="352">
          <cell r="C352" t="str">
            <v>Kas Pusat</v>
          </cell>
          <cell r="K352">
            <v>1748456661</v>
          </cell>
        </row>
        <row r="353">
          <cell r="C353" t="str">
            <v>Pencairan Cek Mandiri Rek. Pinjaman</v>
          </cell>
        </row>
        <row r="354">
          <cell r="C354" t="str">
            <v>Bank Mandiri KMK 3548 USD</v>
          </cell>
          <cell r="L354">
            <v>4578000000</v>
          </cell>
        </row>
        <row r="355">
          <cell r="C355" t="str">
            <v>Bank Mandiri KMK R 8653</v>
          </cell>
          <cell r="K355">
            <v>4578000000</v>
          </cell>
        </row>
        <row r="356">
          <cell r="C356" t="str">
            <v>Penjualan Dollar sebanyak $ 400,000@Rp 11,445</v>
          </cell>
        </row>
        <row r="357">
          <cell r="C357" t="str">
            <v>Bank Mandiri KMK R 8653</v>
          </cell>
          <cell r="L357">
            <v>2725983071</v>
          </cell>
        </row>
        <row r="358">
          <cell r="C358" t="str">
            <v>Kas Pusat</v>
          </cell>
          <cell r="K358">
            <v>2725983071</v>
          </cell>
        </row>
        <row r="359">
          <cell r="C359" t="str">
            <v>Pencairan Cek Mandiri Rek. Pinjaman</v>
          </cell>
        </row>
        <row r="360">
          <cell r="C360" t="str">
            <v>Bank Mandiri KMK 3548 USD</v>
          </cell>
          <cell r="L360">
            <v>3429000000</v>
          </cell>
        </row>
        <row r="361">
          <cell r="C361" t="str">
            <v>Bank Mandiri KMK R 8653</v>
          </cell>
          <cell r="K361">
            <v>3429000000</v>
          </cell>
        </row>
        <row r="362">
          <cell r="C362" t="str">
            <v>Penjualan Dollar sebanyak $ 300,000@Rp 11,430</v>
          </cell>
        </row>
        <row r="363">
          <cell r="C363" t="str">
            <v>Bank Mandiri KMK R 8653</v>
          </cell>
          <cell r="L363">
            <v>1737461091</v>
          </cell>
        </row>
        <row r="364">
          <cell r="C364" t="str">
            <v>Kas Pusat</v>
          </cell>
          <cell r="K364">
            <v>1737461091</v>
          </cell>
        </row>
        <row r="365">
          <cell r="C365" t="str">
            <v>Pencairan cek Mandiri Rek. Pinjaman</v>
          </cell>
        </row>
        <row r="366">
          <cell r="C366" t="str">
            <v>Bank Mandiri KMK 3548 USD</v>
          </cell>
          <cell r="L366">
            <v>3429900000</v>
          </cell>
        </row>
        <row r="367">
          <cell r="C367" t="str">
            <v>Bank Mandiri KMK R 8653</v>
          </cell>
          <cell r="K367">
            <v>3429900000</v>
          </cell>
        </row>
        <row r="368">
          <cell r="C368" t="str">
            <v>Penjualan Dollar sebanyak $ 300,000@Rp 11,433</v>
          </cell>
        </row>
        <row r="369">
          <cell r="C369" t="str">
            <v>Bank Mandiri KMK R 8653</v>
          </cell>
          <cell r="L369">
            <v>1934573329</v>
          </cell>
        </row>
        <row r="370">
          <cell r="C370" t="str">
            <v>Kas Pusat</v>
          </cell>
          <cell r="K370">
            <v>1934573329</v>
          </cell>
        </row>
        <row r="371">
          <cell r="C371" t="str">
            <v>Pencairan Cek Mandiri Rek. Pinjaman</v>
          </cell>
        </row>
        <row r="372">
          <cell r="C372" t="str">
            <v>Bank Mandiri KMK R 8653</v>
          </cell>
          <cell r="L372">
            <v>1291174947</v>
          </cell>
        </row>
        <row r="373">
          <cell r="C373" t="str">
            <v>Kas Pusat</v>
          </cell>
          <cell r="K373">
            <v>1291174947</v>
          </cell>
        </row>
        <row r="374">
          <cell r="C374" t="str">
            <v>Pencairan Cek Mandiri Rek. Pinjaman</v>
          </cell>
        </row>
        <row r="375">
          <cell r="C375" t="str">
            <v>Bank Mandiri KMK R 8653</v>
          </cell>
          <cell r="L375">
            <v>2912350332</v>
          </cell>
        </row>
        <row r="376">
          <cell r="C376" t="str">
            <v>Kas Pusat</v>
          </cell>
          <cell r="K376">
            <v>2912350332</v>
          </cell>
        </row>
        <row r="377">
          <cell r="C377" t="str">
            <v>Pencairan Cek Mandiri Rek. Pinjaman</v>
          </cell>
        </row>
        <row r="378">
          <cell r="C378" t="str">
            <v>Bank Mandiri KMK 3548 USD</v>
          </cell>
          <cell r="L378">
            <v>571500000</v>
          </cell>
        </row>
        <row r="379">
          <cell r="C379" t="str">
            <v>Bank Mandiri KMK R 8653</v>
          </cell>
          <cell r="K379">
            <v>571500000</v>
          </cell>
        </row>
        <row r="380">
          <cell r="C380" t="str">
            <v>Penjualan Dollar sebanyak $ 50,000@Rp 11,430</v>
          </cell>
        </row>
        <row r="381">
          <cell r="C381" t="str">
            <v>Bank Mandiri KMK R 8653</v>
          </cell>
          <cell r="L381">
            <v>2469175987</v>
          </cell>
        </row>
        <row r="382">
          <cell r="C382" t="str">
            <v>Kas Pusat</v>
          </cell>
          <cell r="K382">
            <v>2469175987</v>
          </cell>
        </row>
        <row r="383">
          <cell r="C383" t="str">
            <v>Pencairan Cek Mandiri Rek. Pinjaman</v>
          </cell>
        </row>
        <row r="384">
          <cell r="C384" t="str">
            <v>Bank Mandiri KMK 3548 USD</v>
          </cell>
          <cell r="L384">
            <v>4588000000</v>
          </cell>
        </row>
        <row r="385">
          <cell r="C385" t="str">
            <v>Bank Mandiri KMK R 8653</v>
          </cell>
          <cell r="K385">
            <v>4588000000</v>
          </cell>
        </row>
        <row r="386">
          <cell r="C386" t="str">
            <v>Penjualan Dollar sebanyak $ 400,000@Rp 11,470</v>
          </cell>
        </row>
        <row r="387">
          <cell r="C387" t="str">
            <v>Bank Mandiri KMK R 8653</v>
          </cell>
          <cell r="L387">
            <v>1946183195</v>
          </cell>
        </row>
        <row r="388">
          <cell r="C388" t="str">
            <v>Kas Pusat</v>
          </cell>
          <cell r="K388">
            <v>1946183195</v>
          </cell>
        </row>
        <row r="389">
          <cell r="C389" t="str">
            <v>Pencairan Cek Mandiri Rek. Pinjaman</v>
          </cell>
        </row>
        <row r="390">
          <cell r="C390" t="str">
            <v>Bank Mandiri Rp - A/c 114.0002150616</v>
          </cell>
          <cell r="L390">
            <v>3500000000</v>
          </cell>
        </row>
        <row r="391">
          <cell r="C391" t="str">
            <v>Kas Pusat</v>
          </cell>
          <cell r="K391">
            <v>3500000000</v>
          </cell>
        </row>
        <row r="392">
          <cell r="C392" t="str">
            <v>Pencairan Cek Mandiri Rek. Giro</v>
          </cell>
        </row>
        <row r="393">
          <cell r="C393" t="str">
            <v>Bank Mandiri KMK 3548 USD</v>
          </cell>
          <cell r="L393">
            <v>2907500000</v>
          </cell>
        </row>
        <row r="394">
          <cell r="C394" t="str">
            <v>Bank Mandiri KMK R 8653</v>
          </cell>
          <cell r="K394">
            <v>2907500000</v>
          </cell>
        </row>
        <row r="395">
          <cell r="C395" t="str">
            <v>Penjualan Dollar sebanyak $ 250,000@Rp 11,630</v>
          </cell>
        </row>
        <row r="396">
          <cell r="C396" t="str">
            <v>Kas Pusat</v>
          </cell>
          <cell r="L396">
            <v>2070000000</v>
          </cell>
        </row>
        <row r="397">
          <cell r="C397" t="str">
            <v>Bank Mandiri KMK R 8653</v>
          </cell>
          <cell r="K397">
            <v>2070000000</v>
          </cell>
        </row>
        <row r="398">
          <cell r="C398" t="str">
            <v>Setor ke Rek. Pinjaman Bank Mandiri</v>
          </cell>
        </row>
        <row r="399">
          <cell r="C399" t="str">
            <v>Bank Mandiri KMK R 8653</v>
          </cell>
          <cell r="L399">
            <v>10855782380</v>
          </cell>
        </row>
        <row r="400">
          <cell r="C400" t="str">
            <v>Kas Pusat</v>
          </cell>
          <cell r="K400">
            <v>10855782380</v>
          </cell>
        </row>
        <row r="401">
          <cell r="C401" t="str">
            <v>Pencairan Cek Mandiri Rek. Pinjaman</v>
          </cell>
        </row>
        <row r="402">
          <cell r="C402" t="str">
            <v>Bank Mandiri Rp - A/c 114.0002150616</v>
          </cell>
          <cell r="L402">
            <v>59428677</v>
          </cell>
        </row>
        <row r="403">
          <cell r="C403" t="str">
            <v>Kas Pusat</v>
          </cell>
          <cell r="K403">
            <v>59428677</v>
          </cell>
        </row>
        <row r="404">
          <cell r="C404" t="str">
            <v>Pencairan Cek Mandiri Rek. Giro</v>
          </cell>
        </row>
        <row r="405">
          <cell r="C405" t="str">
            <v>Bank Mandiri KMK R 8653</v>
          </cell>
          <cell r="L405">
            <v>190964818</v>
          </cell>
        </row>
        <row r="406">
          <cell r="C406" t="str">
            <v>Kas Pusat</v>
          </cell>
          <cell r="K406">
            <v>190964818</v>
          </cell>
        </row>
        <row r="407">
          <cell r="C407" t="str">
            <v>Pencairan Cek Mandiri Rek. Pinjaman</v>
          </cell>
        </row>
        <row r="408">
          <cell r="C408" t="str">
            <v>Bank Mandiri Rp - A/c 114.0002150616</v>
          </cell>
          <cell r="L408">
            <v>454707431</v>
          </cell>
        </row>
        <row r="409">
          <cell r="C409" t="str">
            <v>Kas Pusat</v>
          </cell>
          <cell r="K409">
            <v>454707431</v>
          </cell>
        </row>
        <row r="410">
          <cell r="C410" t="str">
            <v>Pencairan Cek Mandiri Rek. Giro</v>
          </cell>
        </row>
        <row r="411">
          <cell r="C411" t="str">
            <v>Bank Mandiri KMK 3548 USD</v>
          </cell>
          <cell r="L411">
            <v>4053000000</v>
          </cell>
        </row>
        <row r="412">
          <cell r="C412" t="str">
            <v>Bank Mandiri KMK R 8653</v>
          </cell>
          <cell r="K412">
            <v>4053000000</v>
          </cell>
        </row>
        <row r="413">
          <cell r="C413" t="str">
            <v>Penjualan Dollar sebanyak $ 350,000@Rp 11,580</v>
          </cell>
        </row>
        <row r="414">
          <cell r="C414" t="str">
            <v>Bank Mandiri KMK R 8653</v>
          </cell>
          <cell r="L414">
            <v>11423286717</v>
          </cell>
        </row>
        <row r="415">
          <cell r="C415" t="str">
            <v>Kas Pusat</v>
          </cell>
          <cell r="K415">
            <v>11423286717</v>
          </cell>
        </row>
        <row r="416">
          <cell r="C416" t="str">
            <v>Pencairan Cek Mandiri Rek. Pinjaman</v>
          </cell>
        </row>
        <row r="417">
          <cell r="C417" t="str">
            <v>Kas Pusat</v>
          </cell>
          <cell r="L417">
            <v>1000000000</v>
          </cell>
        </row>
        <row r="418">
          <cell r="C418" t="str">
            <v>Bank Mandiri Rp - A/c 114.0002150616</v>
          </cell>
          <cell r="K418">
            <v>1000000000</v>
          </cell>
        </row>
        <row r="419">
          <cell r="C419" t="str">
            <v>Setor ke Rek. Giro Bank Mandiri</v>
          </cell>
        </row>
        <row r="420">
          <cell r="C420" t="str">
            <v>Bank Mandiri Rp - A/c 114.0002150616</v>
          </cell>
          <cell r="L420">
            <v>1183774924</v>
          </cell>
        </row>
        <row r="421">
          <cell r="C421" t="str">
            <v>Kas Pusat</v>
          </cell>
          <cell r="K421">
            <v>1183774924</v>
          </cell>
        </row>
        <row r="422">
          <cell r="C422" t="str">
            <v>Pencairan Cek Mandiri Rek. Giro</v>
          </cell>
        </row>
        <row r="423">
          <cell r="C423" t="str">
            <v>Bank Mandiri KMK 3548 USD</v>
          </cell>
          <cell r="L423">
            <v>4035500000</v>
          </cell>
        </row>
        <row r="424">
          <cell r="C424" t="str">
            <v>Bank Mandiri KMK R 8653</v>
          </cell>
          <cell r="K424">
            <v>4035500000</v>
          </cell>
        </row>
        <row r="425">
          <cell r="C425" t="str">
            <v>Penjualan Dollar</v>
          </cell>
        </row>
        <row r="426">
          <cell r="C426" t="str">
            <v>Bank Mandiri Rp - A/c 114.0002150616</v>
          </cell>
          <cell r="L426">
            <v>780000000</v>
          </cell>
        </row>
        <row r="427">
          <cell r="C427" t="str">
            <v>Kas Pusat</v>
          </cell>
          <cell r="K427">
            <v>780000000</v>
          </cell>
        </row>
        <row r="428">
          <cell r="C428" t="str">
            <v>Terima pencairan cek mandiri Rek giro</v>
          </cell>
        </row>
        <row r="429">
          <cell r="C429" t="str">
            <v>Kas Pusat</v>
          </cell>
          <cell r="L429">
            <v>120000000</v>
          </cell>
        </row>
        <row r="430">
          <cell r="C430" t="str">
            <v>Bank Mandiri Rp - A/c 114.0002150616</v>
          </cell>
          <cell r="K430">
            <v>120000000</v>
          </cell>
        </row>
        <row r="431">
          <cell r="C431" t="str">
            <v>Setor ke Rek. Giro Bank Mandiri 616</v>
          </cell>
        </row>
        <row r="432">
          <cell r="C432" t="str">
            <v>Bank Mandiri KMK R 8653</v>
          </cell>
          <cell r="L432">
            <v>658387207</v>
          </cell>
        </row>
        <row r="433">
          <cell r="C433" t="str">
            <v>Kas Pusat</v>
          </cell>
          <cell r="K433">
            <v>658387207</v>
          </cell>
        </row>
        <row r="434">
          <cell r="C434" t="str">
            <v>Pencairan Cek mandiri 8653</v>
          </cell>
        </row>
        <row r="435">
          <cell r="C435" t="str">
            <v>Bank Mandiri KMK 3548 USD</v>
          </cell>
          <cell r="L435">
            <v>4622000000</v>
          </cell>
        </row>
        <row r="436">
          <cell r="C436" t="str">
            <v>Bank Mandiri KMK R 8653</v>
          </cell>
          <cell r="K436">
            <v>4622000000</v>
          </cell>
        </row>
        <row r="437">
          <cell r="C437" t="str">
            <v>Penjualan Dollar</v>
          </cell>
        </row>
        <row r="438">
          <cell r="C438" t="str">
            <v>Bank Mandiri KMK R 8653</v>
          </cell>
          <cell r="L438">
            <v>650000000</v>
          </cell>
        </row>
        <row r="439">
          <cell r="C439" t="str">
            <v>Kas Pusat</v>
          </cell>
          <cell r="K439">
            <v>650000000</v>
          </cell>
        </row>
        <row r="440">
          <cell r="C440" t="str">
            <v>Pencairan cek madiri ke 8653</v>
          </cell>
        </row>
        <row r="441">
          <cell r="C441" t="str">
            <v>Bank Mandiri KMK 3548 USD</v>
          </cell>
          <cell r="L441">
            <v>3486000000</v>
          </cell>
        </row>
        <row r="442">
          <cell r="C442" t="str">
            <v>Bank Mandiri KMK R 8653</v>
          </cell>
          <cell r="K442">
            <v>3486000000</v>
          </cell>
        </row>
        <row r="443">
          <cell r="C443" t="str">
            <v>Penjualan Dollar</v>
          </cell>
        </row>
        <row r="444">
          <cell r="C444" t="str">
            <v>Bank Mandiri KMK R 8653</v>
          </cell>
          <cell r="L444">
            <v>2509401754</v>
          </cell>
        </row>
        <row r="445">
          <cell r="C445" t="str">
            <v>Kas Pusat</v>
          </cell>
          <cell r="K445">
            <v>2509401754</v>
          </cell>
        </row>
        <row r="446">
          <cell r="C446" t="str">
            <v>Pencairan cek mandiri ke 8653</v>
          </cell>
        </row>
        <row r="447">
          <cell r="C447" t="str">
            <v>Bank Mandiri KMK R 8653</v>
          </cell>
          <cell r="L447">
            <v>1420606274</v>
          </cell>
        </row>
        <row r="448">
          <cell r="C448" t="str">
            <v>Kas Pusat</v>
          </cell>
          <cell r="K448">
            <v>1420606274</v>
          </cell>
        </row>
        <row r="449">
          <cell r="C449" t="str">
            <v>Pencairan Cek Mandiri ke 8653</v>
          </cell>
        </row>
        <row r="450">
          <cell r="C450" t="str">
            <v>Bank Mandiri Rp - A/c 114.0002150616</v>
          </cell>
          <cell r="L450">
            <v>456534111</v>
          </cell>
        </row>
        <row r="451">
          <cell r="C451" t="str">
            <v>Kas Pusat</v>
          </cell>
          <cell r="K451">
            <v>456534111</v>
          </cell>
        </row>
        <row r="452">
          <cell r="C452" t="str">
            <v>Pencairan cek Rek giro 616</v>
          </cell>
        </row>
        <row r="453">
          <cell r="C453" t="str">
            <v>Bank Mandiri KMK R 8653</v>
          </cell>
          <cell r="L453">
            <v>1755000000</v>
          </cell>
        </row>
        <row r="454">
          <cell r="C454" t="str">
            <v>Kas Pusat</v>
          </cell>
          <cell r="K454">
            <v>1755000000</v>
          </cell>
        </row>
        <row r="455">
          <cell r="C455" t="str">
            <v>Pencairan cek Mandiri 8653</v>
          </cell>
        </row>
        <row r="456">
          <cell r="C456" t="str">
            <v>Bank Mandiri KMK 3548 USD</v>
          </cell>
          <cell r="L456">
            <v>3458100000</v>
          </cell>
        </row>
        <row r="457">
          <cell r="C457" t="str">
            <v>Bank Mandiri KMK R 8653</v>
          </cell>
          <cell r="K457">
            <v>3458100000</v>
          </cell>
        </row>
        <row r="458">
          <cell r="C458" t="str">
            <v>Penjualan Dollar</v>
          </cell>
        </row>
        <row r="459">
          <cell r="C459" t="str">
            <v>Bank Mandiri KMK R 8653</v>
          </cell>
          <cell r="L459">
            <v>935000000</v>
          </cell>
        </row>
        <row r="460">
          <cell r="C460" t="str">
            <v>Kas Pusat</v>
          </cell>
          <cell r="K460">
            <v>935000000</v>
          </cell>
        </row>
        <row r="461">
          <cell r="C461" t="str">
            <v>Pencairan cek mandiri 8653</v>
          </cell>
        </row>
        <row r="462">
          <cell r="C462" t="str">
            <v>Bank Mandiri Rp - A/c 114.0002150616</v>
          </cell>
          <cell r="L462">
            <v>15500000</v>
          </cell>
        </row>
        <row r="463">
          <cell r="C463" t="str">
            <v>Kas Pusat</v>
          </cell>
          <cell r="K463">
            <v>15500000</v>
          </cell>
        </row>
        <row r="464">
          <cell r="C464" t="str">
            <v>Pencairan rek mandiri 616</v>
          </cell>
        </row>
        <row r="465">
          <cell r="C465" t="str">
            <v>Bank Mandiri KMK R 8653</v>
          </cell>
          <cell r="L465">
            <v>2630217274</v>
          </cell>
        </row>
        <row r="466">
          <cell r="C466" t="str">
            <v>Kas Pusat</v>
          </cell>
          <cell r="K466">
            <v>2630217274</v>
          </cell>
        </row>
        <row r="467">
          <cell r="C467" t="str">
            <v>Pencairan rek mandiri 8653</v>
          </cell>
        </row>
        <row r="468">
          <cell r="C468" t="str">
            <v>Bank Mandiri KMK R 8653</v>
          </cell>
          <cell r="L468">
            <v>2235850024</v>
          </cell>
        </row>
        <row r="469">
          <cell r="C469" t="str">
            <v>Kas Pusat</v>
          </cell>
          <cell r="K469">
            <v>2235850024</v>
          </cell>
        </row>
        <row r="470">
          <cell r="C470" t="str">
            <v>Pencairan cek mandiri 8653</v>
          </cell>
        </row>
        <row r="471">
          <cell r="C471" t="str">
            <v>Bank Mandiri KMK 3548 USD</v>
          </cell>
          <cell r="L471">
            <v>4543200000</v>
          </cell>
        </row>
        <row r="472">
          <cell r="C472" t="str">
            <v>Bank Mandiri KMK R 8653</v>
          </cell>
          <cell r="K472">
            <v>4543200000</v>
          </cell>
        </row>
        <row r="473">
          <cell r="C473" t="str">
            <v>Penjualan Dollar</v>
          </cell>
        </row>
        <row r="474">
          <cell r="C474" t="str">
            <v>Bank Mandiri KMK R 8653</v>
          </cell>
          <cell r="L474">
            <v>1929181347</v>
          </cell>
        </row>
        <row r="475">
          <cell r="C475" t="str">
            <v>Kas Pusat</v>
          </cell>
          <cell r="K475">
            <v>1929181347</v>
          </cell>
        </row>
        <row r="476">
          <cell r="C476" t="str">
            <v>Pencairan rek mandiri 8653</v>
          </cell>
        </row>
        <row r="477">
          <cell r="C477" t="str">
            <v>Bank Mandiri KMK 3548 USD</v>
          </cell>
          <cell r="L477">
            <v>2866250000</v>
          </cell>
        </row>
        <row r="478">
          <cell r="C478" t="str">
            <v>Bank Mandiri KMK R 8653</v>
          </cell>
          <cell r="K478">
            <v>2866250000</v>
          </cell>
        </row>
        <row r="479">
          <cell r="C479" t="str">
            <v>Penjualan Dollar</v>
          </cell>
        </row>
        <row r="480">
          <cell r="C480" t="str">
            <v>Bank Mandiri Rp - A/c 114.0002150616</v>
          </cell>
          <cell r="L480">
            <v>760000000</v>
          </cell>
        </row>
        <row r="481">
          <cell r="C481" t="str">
            <v>Kas Pusat</v>
          </cell>
          <cell r="K481">
            <v>760000000</v>
          </cell>
        </row>
        <row r="482">
          <cell r="C482" t="str">
            <v>Pecairan cek rek giro 616</v>
          </cell>
        </row>
        <row r="483">
          <cell r="C483" t="str">
            <v>Bank Mandiri KMK R 8653</v>
          </cell>
          <cell r="L483">
            <v>388209836</v>
          </cell>
        </row>
        <row r="484">
          <cell r="C484" t="str">
            <v>Kas Pusat</v>
          </cell>
          <cell r="K484">
            <v>388209836</v>
          </cell>
        </row>
        <row r="485">
          <cell r="C485" t="str">
            <v>Pencairan rek mandiri 8653</v>
          </cell>
        </row>
        <row r="486">
          <cell r="C486" t="str">
            <v>Bank Mandiri KMK 3548 USD</v>
          </cell>
          <cell r="L486">
            <v>2875000000</v>
          </cell>
        </row>
        <row r="487">
          <cell r="C487" t="str">
            <v>Bank Mandiri KMK R 8653</v>
          </cell>
          <cell r="K487">
            <v>2875000000</v>
          </cell>
        </row>
        <row r="488">
          <cell r="C488" t="str">
            <v>Penjualan Dollar</v>
          </cell>
        </row>
        <row r="489">
          <cell r="C489" t="str">
            <v>Bank Mandiri KMK R 8653</v>
          </cell>
          <cell r="L489">
            <v>1532730858</v>
          </cell>
        </row>
        <row r="490">
          <cell r="C490" t="str">
            <v>Kas Pusat</v>
          </cell>
          <cell r="K490">
            <v>1532730858</v>
          </cell>
        </row>
        <row r="491">
          <cell r="C491" t="str">
            <v>Pencairan cek Mandiri 8653</v>
          </cell>
        </row>
        <row r="492">
          <cell r="C492" t="str">
            <v>Bank Mandiri KMK 3548 USD</v>
          </cell>
          <cell r="L492">
            <v>2876250000</v>
          </cell>
        </row>
        <row r="493">
          <cell r="C493" t="str">
            <v>Bank Mandiri KMK R 8653</v>
          </cell>
          <cell r="K493">
            <v>2876250000</v>
          </cell>
        </row>
        <row r="494">
          <cell r="C494" t="str">
            <v>Penjualan Dollar</v>
          </cell>
        </row>
        <row r="495">
          <cell r="C495" t="str">
            <v>Bank Mandiri KMK R 8653</v>
          </cell>
          <cell r="L495">
            <v>743842217</v>
          </cell>
        </row>
        <row r="496">
          <cell r="C496" t="str">
            <v>Kas Pusat</v>
          </cell>
          <cell r="K496">
            <v>743842217</v>
          </cell>
        </row>
        <row r="497">
          <cell r="C497" t="str">
            <v>Pencairan Cek mandiri 8653</v>
          </cell>
        </row>
        <row r="498">
          <cell r="C498" t="str">
            <v>Bank Mandiri KMK 3548 USD</v>
          </cell>
          <cell r="L498">
            <v>2887500000</v>
          </cell>
        </row>
        <row r="499">
          <cell r="C499" t="str">
            <v>Bank Mandiri KMK R 8653</v>
          </cell>
          <cell r="K499">
            <v>2887500000</v>
          </cell>
        </row>
        <row r="500">
          <cell r="C500" t="str">
            <v>Penjualan Dollar</v>
          </cell>
        </row>
        <row r="501">
          <cell r="C501" t="str">
            <v>Bank Mandiri Rp - A/c 114.0002150616</v>
          </cell>
          <cell r="L501">
            <v>528064202</v>
          </cell>
        </row>
        <row r="502">
          <cell r="C502" t="str">
            <v>Kas Pusat</v>
          </cell>
          <cell r="K502">
            <v>528064202</v>
          </cell>
        </row>
        <row r="503">
          <cell r="C503" t="str">
            <v>Pencairan rek Giro 616</v>
          </cell>
        </row>
        <row r="504">
          <cell r="C504" t="str">
            <v>Bank Mandiri KMK R 8653</v>
          </cell>
          <cell r="L504">
            <v>1604000000</v>
          </cell>
        </row>
        <row r="505">
          <cell r="C505" t="str">
            <v>Kas Pusat</v>
          </cell>
          <cell r="K505">
            <v>1604000000</v>
          </cell>
        </row>
        <row r="506">
          <cell r="C506" t="str">
            <v>Pencairan cek mandiri 8653</v>
          </cell>
        </row>
        <row r="507">
          <cell r="C507" t="str">
            <v>Bank Mandiri KMK 3548 USD</v>
          </cell>
          <cell r="L507">
            <v>3486000000</v>
          </cell>
        </row>
        <row r="508">
          <cell r="C508" t="str">
            <v>Bank Mandiri KMK R 8653</v>
          </cell>
          <cell r="K508">
            <v>3486000000</v>
          </cell>
        </row>
        <row r="509">
          <cell r="C509" t="str">
            <v>Penjualan Dollar</v>
          </cell>
        </row>
        <row r="510">
          <cell r="C510" t="str">
            <v>Bank Mandiri KMK R 8653</v>
          </cell>
          <cell r="L510">
            <v>4310601754</v>
          </cell>
        </row>
        <row r="511">
          <cell r="C511" t="str">
            <v>Kas Pusat</v>
          </cell>
          <cell r="K511">
            <v>4310601754</v>
          </cell>
        </row>
        <row r="512">
          <cell r="C512" t="str">
            <v>Pencairan cek mandiri 8653</v>
          </cell>
        </row>
        <row r="513">
          <cell r="C513" t="str">
            <v>Bank Mandiri KMK R 8653</v>
          </cell>
          <cell r="L513">
            <v>4083103540</v>
          </cell>
        </row>
        <row r="514">
          <cell r="C514" t="str">
            <v>Kas Pusat</v>
          </cell>
          <cell r="K514">
            <v>4083103540</v>
          </cell>
        </row>
        <row r="515">
          <cell r="C515" t="str">
            <v>Pencairan cek mandiri 8653</v>
          </cell>
        </row>
        <row r="516">
          <cell r="C516" t="str">
            <v>Bank Mandiri KMK R 8653</v>
          </cell>
          <cell r="L516">
            <v>2064166787</v>
          </cell>
        </row>
        <row r="517">
          <cell r="C517" t="str">
            <v>Kas Pusat</v>
          </cell>
          <cell r="K517">
            <v>2064166787</v>
          </cell>
        </row>
        <row r="518">
          <cell r="C518" t="str">
            <v>Pencairan cek mandiri rek pinjaman</v>
          </cell>
        </row>
        <row r="519">
          <cell r="C519" t="str">
            <v>Bank Mandiri KMK 3548 USD</v>
          </cell>
          <cell r="L519">
            <v>3517500000</v>
          </cell>
        </row>
        <row r="520">
          <cell r="C520" t="str">
            <v>Bank Mandiri KMK R 8653</v>
          </cell>
          <cell r="K520">
            <v>3517500000</v>
          </cell>
        </row>
        <row r="521">
          <cell r="C521" t="str">
            <v>Penjualan Dollar</v>
          </cell>
        </row>
        <row r="522">
          <cell r="C522" t="str">
            <v>Bank Mandiri KMK R 8653</v>
          </cell>
          <cell r="L522">
            <v>1081908647</v>
          </cell>
        </row>
        <row r="523">
          <cell r="C523" t="str">
            <v>Kas Pusat</v>
          </cell>
          <cell r="K523">
            <v>1081908647</v>
          </cell>
        </row>
        <row r="524">
          <cell r="C524" t="str">
            <v>Pencairan cek mandiri 8653</v>
          </cell>
        </row>
        <row r="525">
          <cell r="C525" t="str">
            <v>Bank Mandiri KMK R 8653</v>
          </cell>
          <cell r="L525">
            <v>971034572</v>
          </cell>
        </row>
        <row r="526">
          <cell r="C526" t="str">
            <v>Kas Pusat</v>
          </cell>
          <cell r="K526">
            <v>971034572</v>
          </cell>
        </row>
        <row r="527">
          <cell r="C527" t="str">
            <v>Pencairan cek Mandiri 8653</v>
          </cell>
        </row>
        <row r="528">
          <cell r="C528" t="str">
            <v>Bank Mandiri KMK R 8653</v>
          </cell>
          <cell r="L528">
            <v>160000000</v>
          </cell>
        </row>
        <row r="529">
          <cell r="C529" t="str">
            <v>Kas Pusat</v>
          </cell>
          <cell r="K529">
            <v>160000000</v>
          </cell>
        </row>
        <row r="530">
          <cell r="C530" t="str">
            <v>pencairan Cek Mandiri 8653</v>
          </cell>
        </row>
        <row r="531">
          <cell r="C531" t="str">
            <v>Bank Mandiri KMK R 8653</v>
          </cell>
          <cell r="L531">
            <v>1120613717</v>
          </cell>
        </row>
        <row r="532">
          <cell r="C532" t="str">
            <v>Kas Pusat</v>
          </cell>
          <cell r="K532">
            <v>1120613717</v>
          </cell>
        </row>
        <row r="533">
          <cell r="C533" t="str">
            <v>pencairan cek mandiri 8653</v>
          </cell>
        </row>
        <row r="534">
          <cell r="C534" t="str">
            <v>Bank Mandiri KMK R 8653</v>
          </cell>
          <cell r="L534">
            <v>2352617085</v>
          </cell>
        </row>
        <row r="535">
          <cell r="C535" t="str">
            <v>Kas Pusat</v>
          </cell>
          <cell r="K535">
            <v>2352617085</v>
          </cell>
        </row>
        <row r="536">
          <cell r="C536" t="str">
            <v>Pencairan cek Mandiri 8653</v>
          </cell>
        </row>
        <row r="537">
          <cell r="C537" t="str">
            <v>Bank Mandiri KMK R 8653</v>
          </cell>
          <cell r="L537">
            <v>2120000000</v>
          </cell>
        </row>
        <row r="538">
          <cell r="C538" t="str">
            <v>Kas Pusat</v>
          </cell>
          <cell r="K538">
            <v>2120000000</v>
          </cell>
        </row>
        <row r="539">
          <cell r="C539" t="str">
            <v>Pencairan Cek mandiri 8653</v>
          </cell>
        </row>
        <row r="540">
          <cell r="C540" t="str">
            <v>Bank Mandiri KMK 3548 USD</v>
          </cell>
          <cell r="L540">
            <v>4130000000</v>
          </cell>
        </row>
        <row r="541">
          <cell r="C541" t="str">
            <v>Bank Mandiri KMK R 8653</v>
          </cell>
          <cell r="K541">
            <v>4130000000</v>
          </cell>
        </row>
        <row r="542">
          <cell r="C542" t="str">
            <v>Penjualan Dollar usd 350,000 x Rp 11,800</v>
          </cell>
        </row>
        <row r="543">
          <cell r="C543" t="str">
            <v>Bank Mandiri KMK R 8653</v>
          </cell>
          <cell r="L543">
            <v>1275633727</v>
          </cell>
        </row>
        <row r="544">
          <cell r="C544" t="str">
            <v>Kas Pusat</v>
          </cell>
          <cell r="K544">
            <v>1275633727</v>
          </cell>
        </row>
        <row r="545">
          <cell r="C545" t="str">
            <v>Pencairan cek mandiri 8653</v>
          </cell>
        </row>
        <row r="546">
          <cell r="C546" t="str">
            <v>Bank Mandiri Rp - A/c 114.0002150616</v>
          </cell>
          <cell r="L546">
            <v>1690000000</v>
          </cell>
        </row>
        <row r="547">
          <cell r="C547" t="str">
            <v>Kas Pusat</v>
          </cell>
          <cell r="K547">
            <v>1690000000</v>
          </cell>
        </row>
        <row r="548">
          <cell r="C548" t="str">
            <v>Pencairan cek mandiri Rek giro 616</v>
          </cell>
        </row>
        <row r="549">
          <cell r="C549" t="str">
            <v>Bank Mandiri KMK 3548 USD</v>
          </cell>
          <cell r="L549">
            <v>2360400000</v>
          </cell>
        </row>
        <row r="550">
          <cell r="C550" t="str">
            <v>Bank Mandiri KMK R 8653</v>
          </cell>
          <cell r="K550">
            <v>2360400000</v>
          </cell>
        </row>
        <row r="551">
          <cell r="C551" t="str">
            <v>Penjualan Dollar $ 200,000 x Rp 11,802</v>
          </cell>
        </row>
        <row r="552">
          <cell r="C552" t="str">
            <v>Bank Mandiri KMK R 8653</v>
          </cell>
          <cell r="L552">
            <v>1739309496</v>
          </cell>
        </row>
        <row r="553">
          <cell r="C553" t="str">
            <v>Kas Pusat</v>
          </cell>
          <cell r="K553">
            <v>1739309496</v>
          </cell>
        </row>
        <row r="554">
          <cell r="C554" t="str">
            <v>Pencairan cek mandiri 8653</v>
          </cell>
        </row>
        <row r="555">
          <cell r="C555" t="str">
            <v>Bank Mandiri KMK R 8653</v>
          </cell>
          <cell r="L555">
            <v>1694191874</v>
          </cell>
        </row>
        <row r="556">
          <cell r="C556" t="str">
            <v>Kas Pusat</v>
          </cell>
          <cell r="K556">
            <v>1694191874</v>
          </cell>
        </row>
        <row r="557">
          <cell r="C557" t="str">
            <v>Pencairan cek Mandiri 8653</v>
          </cell>
        </row>
        <row r="558">
          <cell r="C558" t="str">
            <v>Bank Mandiri KMK 3548 USD</v>
          </cell>
          <cell r="L558">
            <v>2362000000</v>
          </cell>
        </row>
        <row r="559">
          <cell r="C559" t="str">
            <v>Bank Mandiri KMK R 8653</v>
          </cell>
          <cell r="K559">
            <v>2362000000</v>
          </cell>
        </row>
        <row r="560">
          <cell r="C560" t="str">
            <v>Penjualan Dollar $ 200,000 x Rp 11,810</v>
          </cell>
        </row>
        <row r="561">
          <cell r="C561" t="str">
            <v>Bank Mandiri KMK R 8653</v>
          </cell>
          <cell r="L561">
            <v>2037289233</v>
          </cell>
        </row>
        <row r="562">
          <cell r="C562" t="str">
            <v>Kas Pusat</v>
          </cell>
          <cell r="K562">
            <v>2037289233</v>
          </cell>
        </row>
        <row r="563">
          <cell r="C563" t="str">
            <v>Pencairan cek mandiri 8653</v>
          </cell>
        </row>
        <row r="564">
          <cell r="C564" t="str">
            <v>Bank Mandiri KMK 3548 USD</v>
          </cell>
          <cell r="L564">
            <v>2372000000</v>
          </cell>
        </row>
        <row r="565">
          <cell r="C565" t="str">
            <v>Bank Mandiri KMK R 8653</v>
          </cell>
          <cell r="K565">
            <v>2372000000</v>
          </cell>
        </row>
        <row r="566">
          <cell r="C566" t="str">
            <v>Penjualan Dollar $ 200,000 x Rp 11,860</v>
          </cell>
        </row>
        <row r="567">
          <cell r="C567" t="str">
            <v>Bank Mandiri KMK R 8653</v>
          </cell>
          <cell r="L567">
            <v>1975414879</v>
          </cell>
        </row>
        <row r="568">
          <cell r="C568" t="str">
            <v>Kas Pusat</v>
          </cell>
          <cell r="K568">
            <v>1975414879</v>
          </cell>
        </row>
        <row r="569">
          <cell r="C569" t="str">
            <v>Pencairan cek mandiri 8653</v>
          </cell>
        </row>
        <row r="570">
          <cell r="C570" t="str">
            <v>Bank Mandiri KMK R 8653</v>
          </cell>
          <cell r="L570">
            <v>1126369380</v>
          </cell>
        </row>
        <row r="571">
          <cell r="C571" t="str">
            <v>Kas Pusat</v>
          </cell>
          <cell r="K571">
            <v>1126369380</v>
          </cell>
        </row>
        <row r="572">
          <cell r="C572" t="str">
            <v>Pencairan cek mandiri 8653</v>
          </cell>
        </row>
        <row r="573">
          <cell r="C573" t="str">
            <v>Bank Mandiri KMK 3548 USD</v>
          </cell>
          <cell r="L573">
            <v>1788000000</v>
          </cell>
        </row>
        <row r="574">
          <cell r="C574" t="str">
            <v>Bank Mandiri KMK R 8653</v>
          </cell>
          <cell r="K574">
            <v>1788000000</v>
          </cell>
        </row>
        <row r="575">
          <cell r="C575" t="str">
            <v>Penjualan Dollar $ 150,000 x Rp 11,920</v>
          </cell>
        </row>
        <row r="576">
          <cell r="C576" t="str">
            <v>Bank Mandiri Rp - A/c 114.0002150616</v>
          </cell>
          <cell r="L576">
            <v>1085000000</v>
          </cell>
        </row>
        <row r="577">
          <cell r="C577" t="str">
            <v>Kas Pusat</v>
          </cell>
          <cell r="K577">
            <v>1085000000</v>
          </cell>
        </row>
        <row r="578">
          <cell r="C578" t="str">
            <v>Pencairan cek rek mandiri 616</v>
          </cell>
        </row>
        <row r="579">
          <cell r="C579" t="str">
            <v>Bank Mandiri KMK R 8653</v>
          </cell>
          <cell r="L579">
            <v>185694912</v>
          </cell>
        </row>
        <row r="580">
          <cell r="C580" t="str">
            <v>Kas Pusat</v>
          </cell>
          <cell r="K580">
            <v>185694912</v>
          </cell>
        </row>
        <row r="581">
          <cell r="C581" t="str">
            <v>Pencairan cek rek mandiri 8653</v>
          </cell>
        </row>
        <row r="582">
          <cell r="C582" t="str">
            <v>Bank Mandiri KMK R 8653</v>
          </cell>
          <cell r="L582">
            <v>2328740894</v>
          </cell>
        </row>
        <row r="583">
          <cell r="C583" t="str">
            <v>Kas Pusat</v>
          </cell>
          <cell r="K583">
            <v>2328740894</v>
          </cell>
        </row>
        <row r="584">
          <cell r="C584" t="str">
            <v>Pencairan cek mandiri 8653</v>
          </cell>
        </row>
        <row r="585">
          <cell r="C585" t="str">
            <v>Bank Mandiri KMK 3548 USD</v>
          </cell>
          <cell r="L585">
            <v>3588600000</v>
          </cell>
        </row>
        <row r="586">
          <cell r="C586" t="str">
            <v>Bank Mandiri KMK R 8653</v>
          </cell>
          <cell r="K586">
            <v>3588600000</v>
          </cell>
        </row>
        <row r="587">
          <cell r="C587" t="str">
            <v>Penjualan Dollar $ 300,000 X Rp 11,962</v>
          </cell>
        </row>
        <row r="588">
          <cell r="C588" t="str">
            <v>Bank Mandiri KMK R 8653</v>
          </cell>
          <cell r="L588">
            <v>1638500000</v>
          </cell>
        </row>
        <row r="589">
          <cell r="C589" t="str">
            <v>Kas Pusat</v>
          </cell>
          <cell r="K589">
            <v>1638500000</v>
          </cell>
        </row>
        <row r="590">
          <cell r="C590" t="str">
            <v>Pencairan cek mandiri 8653</v>
          </cell>
        </row>
        <row r="591">
          <cell r="C591" t="str">
            <v>Bank Mandiri KMK 3548 USD</v>
          </cell>
          <cell r="L591">
            <v>2399000000</v>
          </cell>
        </row>
        <row r="592">
          <cell r="C592" t="str">
            <v>Bank Mandiri KMK R 8653</v>
          </cell>
          <cell r="K592">
            <v>2399000000</v>
          </cell>
        </row>
        <row r="593">
          <cell r="C593" t="str">
            <v>Penjualan Dollar $ 200,000 X Rp 11,995</v>
          </cell>
        </row>
        <row r="594">
          <cell r="C594" t="str">
            <v>Bank Mandiri KMK R 8653</v>
          </cell>
          <cell r="L594">
            <v>1590083035</v>
          </cell>
        </row>
        <row r="595">
          <cell r="C595" t="str">
            <v>Kas Pusat</v>
          </cell>
          <cell r="K595">
            <v>1590083035</v>
          </cell>
        </row>
        <row r="596">
          <cell r="C596" t="str">
            <v>Pencairan cek mandiri 8653</v>
          </cell>
        </row>
        <row r="597">
          <cell r="C597" t="str">
            <v>Kas Pusat</v>
          </cell>
          <cell r="L597">
            <v>400000000</v>
          </cell>
        </row>
        <row r="598">
          <cell r="C598" t="str">
            <v>Bank Mandiri KMK R 8653</v>
          </cell>
          <cell r="K598">
            <v>400000000</v>
          </cell>
        </row>
        <row r="599">
          <cell r="C599" t="str">
            <v>Setor ke rek bank mandiri 8653</v>
          </cell>
        </row>
        <row r="600">
          <cell r="C600" t="str">
            <v>Bank Mandiri KMK 3548 USD</v>
          </cell>
          <cell r="L600">
            <v>2414000000</v>
          </cell>
        </row>
        <row r="601">
          <cell r="C601" t="str">
            <v>Bank Mandiri KMK R 8653</v>
          </cell>
          <cell r="K601">
            <v>2414000000</v>
          </cell>
        </row>
        <row r="602">
          <cell r="C602" t="str">
            <v>Penjualan Dollar $ 200,000 X Rp 12,070</v>
          </cell>
        </row>
        <row r="603">
          <cell r="C603" t="str">
            <v>Bank Mandiri KMK R 8653</v>
          </cell>
          <cell r="L603">
            <v>1530000000</v>
          </cell>
        </row>
        <row r="604">
          <cell r="C604" t="str">
            <v>Kas Pusat</v>
          </cell>
          <cell r="K604">
            <v>1530000000</v>
          </cell>
        </row>
        <row r="605">
          <cell r="C605" t="str">
            <v>Pencairan cek mandiri 8653</v>
          </cell>
        </row>
        <row r="606">
          <cell r="C606" t="str">
            <v>Bank Mandiri KMK 3548 USD</v>
          </cell>
          <cell r="L606">
            <v>2417000000</v>
          </cell>
        </row>
        <row r="607">
          <cell r="C607" t="str">
            <v>Bank Mandiri KMK R 8653</v>
          </cell>
          <cell r="K607">
            <v>2417000000</v>
          </cell>
        </row>
        <row r="608">
          <cell r="C608" t="str">
            <v>Penjualan Dollar $ 200,000 X Rp 12,085</v>
          </cell>
        </row>
        <row r="609">
          <cell r="C609" t="str">
            <v>Bank Mandiri KMK R 8653</v>
          </cell>
          <cell r="L609">
            <v>2153217378</v>
          </cell>
        </row>
        <row r="610">
          <cell r="C610" t="str">
            <v>Kas Pusat</v>
          </cell>
          <cell r="K610">
            <v>2153217378</v>
          </cell>
        </row>
        <row r="611">
          <cell r="C611" t="str">
            <v>Pencairan cek mandiri 8653</v>
          </cell>
        </row>
        <row r="612">
          <cell r="C612" t="str">
            <v>Bank Mandiri KMK R 8653</v>
          </cell>
          <cell r="L612">
            <v>1035380334</v>
          </cell>
        </row>
        <row r="613">
          <cell r="C613" t="str">
            <v>Kas Pusat</v>
          </cell>
          <cell r="K613">
            <v>1035380334</v>
          </cell>
        </row>
        <row r="614">
          <cell r="C614" t="str">
            <v>Pencairan cek mandiri 8653</v>
          </cell>
        </row>
        <row r="615">
          <cell r="C615" t="str">
            <v>Bank Mandiri KMK R 8653</v>
          </cell>
          <cell r="L615">
            <v>1089686157</v>
          </cell>
        </row>
        <row r="616">
          <cell r="C616" t="str">
            <v>Kas Pusat</v>
          </cell>
          <cell r="K616">
            <v>1089686157</v>
          </cell>
        </row>
        <row r="617">
          <cell r="C617" t="str">
            <v>Pncairan ck mandiri 8653</v>
          </cell>
        </row>
        <row r="618">
          <cell r="C618" t="str">
            <v>Bank Mandiri KMK R 8653</v>
          </cell>
          <cell r="L618">
            <v>810960462</v>
          </cell>
        </row>
        <row r="619">
          <cell r="C619" t="str">
            <v>Kas Pusat</v>
          </cell>
          <cell r="K619">
            <v>810960462</v>
          </cell>
        </row>
        <row r="620">
          <cell r="C620" t="str">
            <v>Pencairan cek mandiri 8653</v>
          </cell>
        </row>
        <row r="621">
          <cell r="C621" t="str">
            <v>Bank Mandiri KMK 3548 USD</v>
          </cell>
          <cell r="L621">
            <v>2384000000</v>
          </cell>
        </row>
        <row r="622">
          <cell r="C622" t="str">
            <v>Bank Mandiri KMK R 8653</v>
          </cell>
          <cell r="K622">
            <v>2384000000</v>
          </cell>
        </row>
        <row r="623">
          <cell r="C623" t="str">
            <v>Penjualan Dollar sebesar USD 200,000</v>
          </cell>
        </row>
        <row r="624">
          <cell r="C624" t="str">
            <v>Bank Mandiri KMK R 8653</v>
          </cell>
          <cell r="L624">
            <v>70407382</v>
          </cell>
        </row>
        <row r="625">
          <cell r="C625" t="str">
            <v>Kas Pusat</v>
          </cell>
          <cell r="K625">
            <v>70407382</v>
          </cell>
        </row>
        <row r="626">
          <cell r="C626" t="str">
            <v>Pencairan cek mandiri 8653</v>
          </cell>
        </row>
        <row r="627">
          <cell r="C627" t="str">
            <v>Bank Mandiri KMK R 8653</v>
          </cell>
          <cell r="L627">
            <v>2267261589</v>
          </cell>
        </row>
        <row r="628">
          <cell r="C628" t="str">
            <v>Kas Pusat</v>
          </cell>
          <cell r="K628">
            <v>2267261589</v>
          </cell>
        </row>
        <row r="629">
          <cell r="C629" t="str">
            <v>pencairan cek mandiri R8653</v>
          </cell>
        </row>
        <row r="630">
          <cell r="C630" t="str">
            <v>Bank Mandiri KMK R 8653</v>
          </cell>
          <cell r="L630">
            <v>6051870598</v>
          </cell>
        </row>
        <row r="631">
          <cell r="C631" t="str">
            <v>Kas Pusat</v>
          </cell>
          <cell r="K631">
            <v>6051870598</v>
          </cell>
        </row>
        <row r="632">
          <cell r="C632" t="str">
            <v>pencairan cek mandiri 8653</v>
          </cell>
        </row>
        <row r="633">
          <cell r="C633" t="str">
            <v>Bank Mandiri KMK 3548 USD</v>
          </cell>
          <cell r="L633">
            <v>3523500000</v>
          </cell>
        </row>
        <row r="634">
          <cell r="C634" t="str">
            <v>Bank Mandiri KMK R 8653</v>
          </cell>
          <cell r="K634">
            <v>3523500000</v>
          </cell>
        </row>
        <row r="635">
          <cell r="C635" t="str">
            <v>Penjualan Dollar sebanyak USD 300,000</v>
          </cell>
        </row>
        <row r="636">
          <cell r="C636" t="str">
            <v>Bank Mandiri KMK R 8653</v>
          </cell>
          <cell r="L636">
            <v>7130025088</v>
          </cell>
        </row>
        <row r="637">
          <cell r="C637" t="str">
            <v>Kas Pusat</v>
          </cell>
          <cell r="K637">
            <v>7130025088</v>
          </cell>
        </row>
        <row r="638">
          <cell r="C638" t="str">
            <v>pencairan cek mandiri 8653</v>
          </cell>
        </row>
        <row r="639">
          <cell r="C639" t="str">
            <v>Bank Mandiri KMK 3548 USD</v>
          </cell>
          <cell r="L639">
            <v>5852500000</v>
          </cell>
        </row>
        <row r="640">
          <cell r="C640" t="str">
            <v>Bank Mandiri KMK R 8653</v>
          </cell>
          <cell r="K640">
            <v>5852500000</v>
          </cell>
        </row>
        <row r="641">
          <cell r="C641" t="str">
            <v>Penjualan Dollar sebanyak USD 500,000</v>
          </cell>
        </row>
        <row r="642">
          <cell r="C642" t="str">
            <v>Bank Mandiri KMK 3548 USD</v>
          </cell>
          <cell r="L642">
            <v>3504000000</v>
          </cell>
        </row>
        <row r="643">
          <cell r="C643" t="str">
            <v>Bank Mandiri KMK R 8653</v>
          </cell>
          <cell r="K643">
            <v>3504000000</v>
          </cell>
        </row>
        <row r="644">
          <cell r="C644" t="str">
            <v>Penjualan Dollar sebanyak USD 300,000</v>
          </cell>
        </row>
        <row r="645">
          <cell r="C645" t="str">
            <v>Bank Mandiri KMK R 8653</v>
          </cell>
          <cell r="L645">
            <v>2294601828</v>
          </cell>
        </row>
        <row r="646">
          <cell r="C646" t="str">
            <v>Kas Pusat</v>
          </cell>
          <cell r="K646">
            <v>2294601828</v>
          </cell>
        </row>
        <row r="647">
          <cell r="C647" t="str">
            <v>pencairan cek mandiri 8653</v>
          </cell>
        </row>
        <row r="648">
          <cell r="C648" t="str">
            <v>Bank Mandiri KMK 3548 USD</v>
          </cell>
          <cell r="L648">
            <v>3463500000</v>
          </cell>
        </row>
        <row r="649">
          <cell r="C649" t="str">
            <v>Bank Mandiri KMK R 8653</v>
          </cell>
          <cell r="K649">
            <v>3463500000</v>
          </cell>
        </row>
        <row r="650">
          <cell r="C650" t="str">
            <v>Penjualan Dollar sebanyak USD 300,000</v>
          </cell>
        </row>
        <row r="651">
          <cell r="C651" t="str">
            <v>Bank Mandiri KMK R 8653</v>
          </cell>
          <cell r="L651">
            <v>4385018363</v>
          </cell>
        </row>
        <row r="652">
          <cell r="C652" t="str">
            <v>Kas Pusat</v>
          </cell>
          <cell r="K652">
            <v>4385018363</v>
          </cell>
        </row>
        <row r="653">
          <cell r="C653" t="str">
            <v>pencairan cek mandiri 8653</v>
          </cell>
        </row>
        <row r="654">
          <cell r="C654" t="str">
            <v>Bank Mandiri KMK 3548 USD</v>
          </cell>
          <cell r="L654">
            <v>3484500000</v>
          </cell>
        </row>
        <row r="655">
          <cell r="C655" t="str">
            <v>Bank Mandiri KMK R 8653</v>
          </cell>
          <cell r="K655">
            <v>3484500000</v>
          </cell>
        </row>
        <row r="656">
          <cell r="C656" t="str">
            <v>Penjualan Dollar sebanyak USD 300,000</v>
          </cell>
        </row>
        <row r="657">
          <cell r="C657" t="str">
            <v>Bank Mandiri KMK R 8653</v>
          </cell>
          <cell r="L657">
            <v>2043116130</v>
          </cell>
        </row>
        <row r="658">
          <cell r="C658" t="str">
            <v>Kas Pusat</v>
          </cell>
          <cell r="K658">
            <v>2043116130</v>
          </cell>
        </row>
        <row r="659">
          <cell r="C659" t="str">
            <v>pencairan cek mandiri 8653</v>
          </cell>
        </row>
        <row r="660">
          <cell r="C660" t="str">
            <v>Bank Mandiri KMK 3548 USD</v>
          </cell>
          <cell r="L660">
            <v>3486000000</v>
          </cell>
        </row>
        <row r="661">
          <cell r="C661" t="str">
            <v>Bank Mandiri KMK R 8653</v>
          </cell>
          <cell r="K661">
            <v>3486000000</v>
          </cell>
        </row>
        <row r="662">
          <cell r="C662" t="str">
            <v>Penjualan Dollar sebanyak USD 300,000</v>
          </cell>
        </row>
        <row r="663">
          <cell r="C663" t="str">
            <v>Bank Mandiri KMK R 8653</v>
          </cell>
          <cell r="L663">
            <v>974800232</v>
          </cell>
        </row>
        <row r="664">
          <cell r="C664" t="str">
            <v>Kas Pusat</v>
          </cell>
          <cell r="K664">
            <v>974800232</v>
          </cell>
        </row>
        <row r="665">
          <cell r="C665" t="str">
            <v>pencairan cek mandiri 8653</v>
          </cell>
        </row>
        <row r="666">
          <cell r="C666" t="str">
            <v>Bank Mandiri KMK 3548 USD</v>
          </cell>
          <cell r="L666">
            <v>1757250000</v>
          </cell>
        </row>
        <row r="667">
          <cell r="C667" t="str">
            <v>Bank Mandiri KMK R 8653</v>
          </cell>
          <cell r="K667">
            <v>1757250000</v>
          </cell>
        </row>
        <row r="668">
          <cell r="C668" t="str">
            <v>Penjualan Dollar sebanyak USD 150,000</v>
          </cell>
        </row>
        <row r="669">
          <cell r="C669" t="str">
            <v>Bank Mandiri KMK R 8653</v>
          </cell>
          <cell r="L669">
            <v>2374573461</v>
          </cell>
        </row>
        <row r="670">
          <cell r="C670" t="str">
            <v>Kas Pusat</v>
          </cell>
          <cell r="K670">
            <v>2374573461</v>
          </cell>
        </row>
        <row r="671">
          <cell r="C671" t="str">
            <v>pencairan cek mandiri R 8653</v>
          </cell>
        </row>
        <row r="672">
          <cell r="C672" t="str">
            <v>Bank Mandiri KMK 3548 USD</v>
          </cell>
          <cell r="L672">
            <v>2354000000</v>
          </cell>
        </row>
        <row r="673">
          <cell r="C673" t="str">
            <v>Bank Mandiri KMK R 8653</v>
          </cell>
          <cell r="K673">
            <v>2354000000</v>
          </cell>
        </row>
        <row r="674">
          <cell r="C674" t="str">
            <v>Penjualan Dollar sebanyak USD 200,000</v>
          </cell>
        </row>
        <row r="675">
          <cell r="C675" t="str">
            <v>Bank Mandiri KMK R 8653</v>
          </cell>
          <cell r="L675">
            <v>2978000000</v>
          </cell>
        </row>
        <row r="676">
          <cell r="C676" t="str">
            <v>Kas Pusat</v>
          </cell>
          <cell r="K676">
            <v>2978000000</v>
          </cell>
        </row>
        <row r="677">
          <cell r="C677" t="str">
            <v>pencairan cek mandiri R 8653</v>
          </cell>
        </row>
        <row r="678">
          <cell r="C678" t="str">
            <v>Bank Mandiri Rp - A/c 114.0002150616</v>
          </cell>
          <cell r="L678">
            <v>1110209300</v>
          </cell>
        </row>
        <row r="679">
          <cell r="C679" t="str">
            <v>Kas Pusat</v>
          </cell>
          <cell r="K679">
            <v>1110209300</v>
          </cell>
        </row>
        <row r="680">
          <cell r="C680" t="str">
            <v>pencairan cek mandiri giro</v>
          </cell>
        </row>
        <row r="681">
          <cell r="C681" t="str">
            <v>Bank Mandiri KMK 3548 USD</v>
          </cell>
          <cell r="L681">
            <v>2916250000</v>
          </cell>
        </row>
        <row r="682">
          <cell r="C682" t="str">
            <v>Bank Mandiri KMK R 8653</v>
          </cell>
          <cell r="K682">
            <v>2916250000</v>
          </cell>
        </row>
        <row r="683">
          <cell r="C683" t="str">
            <v>Penjualan Dollar sebanyak USD 250,000</v>
          </cell>
        </row>
        <row r="684">
          <cell r="C684" t="str">
            <v>Bank Mandiri KMK R 8653</v>
          </cell>
          <cell r="L684">
            <v>3944422705</v>
          </cell>
        </row>
        <row r="685">
          <cell r="C685" t="str">
            <v>Kas Pusat</v>
          </cell>
          <cell r="K685">
            <v>3944422705</v>
          </cell>
        </row>
        <row r="686">
          <cell r="C686" t="str">
            <v>PENCAIRAN CEK MANDIRI R 8653</v>
          </cell>
        </row>
        <row r="687">
          <cell r="C687" t="str">
            <v>Bank Mandiri KMK R 8653</v>
          </cell>
          <cell r="L687">
            <v>1924994131</v>
          </cell>
        </row>
        <row r="688">
          <cell r="C688" t="str">
            <v>Kas Pusat</v>
          </cell>
          <cell r="K688">
            <v>1924994131</v>
          </cell>
        </row>
        <row r="689">
          <cell r="C689" t="str">
            <v>Pencairan cek mandiri</v>
          </cell>
        </row>
        <row r="690">
          <cell r="C690" t="str">
            <v>Bank Mandiri Rp - A/c 114.0002150616</v>
          </cell>
          <cell r="L690">
            <v>300003000</v>
          </cell>
        </row>
        <row r="691">
          <cell r="C691" t="str">
            <v>Kas Pusat</v>
          </cell>
          <cell r="K691">
            <v>300003000</v>
          </cell>
        </row>
        <row r="692">
          <cell r="C692" t="str">
            <v>Pencairan cek mandiri giro</v>
          </cell>
        </row>
        <row r="693">
          <cell r="C693" t="str">
            <v>Bank Mandiri KMK 3548 USD</v>
          </cell>
          <cell r="L693">
            <v>2889250000</v>
          </cell>
        </row>
        <row r="694">
          <cell r="C694" t="str">
            <v>Bank Mandiri KMK R 8653</v>
          </cell>
          <cell r="K694">
            <v>2889250000</v>
          </cell>
        </row>
        <row r="695">
          <cell r="C695" t="str">
            <v>Penjualan Dollar sebanyak USD 250,000</v>
          </cell>
        </row>
        <row r="696">
          <cell r="C696" t="str">
            <v>Bank Mandiri KMK R 8653</v>
          </cell>
          <cell r="L696">
            <v>400000000</v>
          </cell>
        </row>
        <row r="697">
          <cell r="C697" t="str">
            <v>Kas Pusat</v>
          </cell>
          <cell r="K697">
            <v>400000000</v>
          </cell>
        </row>
        <row r="698">
          <cell r="C698" t="str">
            <v>Pencairan cek mandiri</v>
          </cell>
        </row>
        <row r="699">
          <cell r="C699" t="str">
            <v>Bank Mandiri KMK 3548 USD</v>
          </cell>
          <cell r="L699">
            <v>2306000000</v>
          </cell>
        </row>
        <row r="700">
          <cell r="C700" t="str">
            <v>Bank Mandiri KMK R 8653</v>
          </cell>
          <cell r="K700">
            <v>2306000000</v>
          </cell>
        </row>
        <row r="701">
          <cell r="C701" t="str">
            <v>Penjualan Dollar sebanyak USD 200,000</v>
          </cell>
        </row>
        <row r="702">
          <cell r="C702" t="str">
            <v>Bank Mandiri KMK R 8653</v>
          </cell>
          <cell r="L702">
            <v>746215632</v>
          </cell>
        </row>
        <row r="703">
          <cell r="C703" t="str">
            <v>Kas Pusat</v>
          </cell>
          <cell r="K703">
            <v>746215632</v>
          </cell>
        </row>
        <row r="704">
          <cell r="C704" t="str">
            <v>Pencairan Cek Mandiri No.113796,113797</v>
          </cell>
        </row>
        <row r="705">
          <cell r="C705" t="str">
            <v>Bank Mandiri KMK R 8653</v>
          </cell>
          <cell r="L705">
            <v>2639370108</v>
          </cell>
        </row>
        <row r="706">
          <cell r="C706" t="str">
            <v>Kas Pusat</v>
          </cell>
          <cell r="K706">
            <v>2639370108</v>
          </cell>
        </row>
        <row r="707">
          <cell r="C707" t="str">
            <v>pencairan cek mandiri KMK R 8653</v>
          </cell>
        </row>
        <row r="708">
          <cell r="C708" t="str">
            <v>Kas Pusat</v>
          </cell>
          <cell r="L708">
            <v>700000000</v>
          </cell>
        </row>
        <row r="709">
          <cell r="C709" t="str">
            <v>Bank Mandiri KMK R 8653</v>
          </cell>
          <cell r="K709">
            <v>700000000</v>
          </cell>
        </row>
        <row r="710">
          <cell r="C710" t="str">
            <v>setoran ke rek. pinjaman 8653</v>
          </cell>
        </row>
        <row r="711">
          <cell r="C711" t="str">
            <v>Bank Mandiri KMK 3548 USD</v>
          </cell>
          <cell r="L711">
            <v>2876250000</v>
          </cell>
        </row>
        <row r="712">
          <cell r="C712" t="str">
            <v>Bank Mandiri KMK R 8653</v>
          </cell>
          <cell r="K712">
            <v>2876250000</v>
          </cell>
        </row>
        <row r="713">
          <cell r="C713" t="str">
            <v>Penjualan Dollar sebanyak USD 250,000</v>
          </cell>
        </row>
        <row r="714">
          <cell r="C714" t="str">
            <v>Bank Mandiri KMK R 8653</v>
          </cell>
          <cell r="L714">
            <v>6199875757</v>
          </cell>
        </row>
        <row r="715">
          <cell r="C715" t="str">
            <v>Kas Pusat</v>
          </cell>
          <cell r="K715">
            <v>6199875757</v>
          </cell>
        </row>
        <row r="716">
          <cell r="C716" t="str">
            <v>Pencairan cek mandiri KMK Revolving</v>
          </cell>
        </row>
        <row r="717">
          <cell r="C717" t="str">
            <v>Bank Mandiri Rp - A/c 114.0002150616</v>
          </cell>
          <cell r="L717">
            <v>139102281</v>
          </cell>
        </row>
        <row r="718">
          <cell r="C718" t="str">
            <v>Kas Pusat</v>
          </cell>
          <cell r="K718">
            <v>139102281</v>
          </cell>
        </row>
        <row r="719">
          <cell r="C719" t="str">
            <v>Pencairan Cek Mandiri Giro</v>
          </cell>
        </row>
        <row r="720">
          <cell r="C720" t="str">
            <v>Bank Mandiri KMK 3548 USD</v>
          </cell>
          <cell r="L720">
            <v>4049500000</v>
          </cell>
        </row>
        <row r="721">
          <cell r="C721" t="str">
            <v>Bank Mandiri KMK R 8653</v>
          </cell>
          <cell r="K721">
            <v>4049500000</v>
          </cell>
        </row>
        <row r="722">
          <cell r="C722" t="str">
            <v>Penjualan Dollar sebanyak USD 350,000</v>
          </cell>
        </row>
        <row r="723">
          <cell r="C723" t="str">
            <v>Bank Mandiri KMK 3548 USD</v>
          </cell>
          <cell r="L723">
            <v>3471000000</v>
          </cell>
        </row>
        <row r="724">
          <cell r="C724" t="str">
            <v>Bank Mandiri KMK R 8653</v>
          </cell>
          <cell r="K724">
            <v>3471000000</v>
          </cell>
        </row>
        <row r="725">
          <cell r="C725" t="str">
            <v>Penjualan Dollar sebanyak USD 300,000</v>
          </cell>
        </row>
        <row r="726">
          <cell r="C726" t="str">
            <v>Bank Mandiri KMK R 8653</v>
          </cell>
          <cell r="L726">
            <v>805292418</v>
          </cell>
        </row>
        <row r="727">
          <cell r="C727" t="str">
            <v>Kas Pusat</v>
          </cell>
          <cell r="K727">
            <v>805292418</v>
          </cell>
        </row>
        <row r="728">
          <cell r="C728" t="str">
            <v>PENCAIRAN CEK MANDIRI KMK R</v>
          </cell>
        </row>
        <row r="729">
          <cell r="C729" t="str">
            <v>Bank Mandiri Rp - A/c 114.0002150616</v>
          </cell>
          <cell r="L729">
            <v>6825501.0999999996</v>
          </cell>
        </row>
        <row r="730">
          <cell r="C730" t="str">
            <v>Kas Pusat</v>
          </cell>
          <cell r="K730">
            <v>6825501.0999999996</v>
          </cell>
        </row>
        <row r="731">
          <cell r="C731" t="str">
            <v>PENCAIRAN CEK GIRO</v>
          </cell>
        </row>
        <row r="732">
          <cell r="C732" t="str">
            <v>Bank Mandiri KMK R 8653</v>
          </cell>
          <cell r="L732">
            <v>2085000000</v>
          </cell>
        </row>
        <row r="733">
          <cell r="C733" t="str">
            <v>Kas Pusat</v>
          </cell>
          <cell r="K733">
            <v>2085000000</v>
          </cell>
        </row>
        <row r="734">
          <cell r="C734" t="str">
            <v>PENCAIRAN CEK MANDIRI KMK R</v>
          </cell>
        </row>
        <row r="735">
          <cell r="C735" t="str">
            <v>Bank Mandiri KMK R 8653</v>
          </cell>
          <cell r="L735">
            <v>643020839</v>
          </cell>
        </row>
        <row r="736">
          <cell r="C736" t="str">
            <v>Kas Pusat</v>
          </cell>
          <cell r="K736">
            <v>643020839</v>
          </cell>
        </row>
        <row r="737">
          <cell r="C737" t="str">
            <v>PENCAIRAN CEK MANDIRI KMK R</v>
          </cell>
        </row>
        <row r="738">
          <cell r="C738" t="str">
            <v>Kas Pusat</v>
          </cell>
          <cell r="L738">
            <v>5300000000</v>
          </cell>
        </row>
        <row r="739">
          <cell r="C739" t="str">
            <v>Bank Mandiri KMK R 8653</v>
          </cell>
          <cell r="K739">
            <v>5300000000</v>
          </cell>
        </row>
        <row r="740">
          <cell r="C740" t="str">
            <v>SETORAN KE REKENING PINJAMAN R 8653</v>
          </cell>
        </row>
        <row r="741">
          <cell r="C741" t="str">
            <v>Bank Mandiri KMK R 8653</v>
          </cell>
          <cell r="L741">
            <v>320295547</v>
          </cell>
        </row>
        <row r="742">
          <cell r="C742" t="str">
            <v>Kas Pusat</v>
          </cell>
          <cell r="K742">
            <v>320295547</v>
          </cell>
        </row>
        <row r="743">
          <cell r="C743" t="str">
            <v>Pencairan Cek Mandiri KMK Revilving</v>
          </cell>
        </row>
        <row r="744">
          <cell r="C744" t="str">
            <v>Bank Mandiri KMK R 8653</v>
          </cell>
          <cell r="L744">
            <v>860000000</v>
          </cell>
        </row>
        <row r="745">
          <cell r="C745" t="str">
            <v>Kas Pusat</v>
          </cell>
          <cell r="K745">
            <v>860000000</v>
          </cell>
        </row>
        <row r="746">
          <cell r="C746" t="str">
            <v>PENCAIRAN CEK MANDIRI KMK R</v>
          </cell>
        </row>
        <row r="747">
          <cell r="C747" t="str">
            <v>Bank Mandiri KMK R 8653</v>
          </cell>
          <cell r="L747">
            <v>2403647164</v>
          </cell>
        </row>
        <row r="748">
          <cell r="C748" t="str">
            <v>Kas Pusat</v>
          </cell>
          <cell r="K748">
            <v>2403647164</v>
          </cell>
        </row>
        <row r="749">
          <cell r="C749" t="str">
            <v>Pencairan Cek Mandiri KMK Revolving</v>
          </cell>
        </row>
        <row r="750">
          <cell r="C750" t="str">
            <v>Bank Mandiri KMK R 8653</v>
          </cell>
          <cell r="L750">
            <v>915992276</v>
          </cell>
        </row>
        <row r="751">
          <cell r="C751" t="str">
            <v>Kas Pusat</v>
          </cell>
          <cell r="K751">
            <v>915992276</v>
          </cell>
        </row>
        <row r="752">
          <cell r="C752" t="str">
            <v>PENCAIRAN CEK MANDIRI KMK R 8653</v>
          </cell>
        </row>
        <row r="753">
          <cell r="C753" t="str">
            <v>Bank Mandiri KMK R 8653</v>
          </cell>
          <cell r="L753">
            <v>1720671129</v>
          </cell>
        </row>
        <row r="754">
          <cell r="C754" t="str">
            <v>Kas Pusat</v>
          </cell>
          <cell r="K754">
            <v>1720671129</v>
          </cell>
        </row>
        <row r="755">
          <cell r="C755" t="str">
            <v>Pencairan Cek Mandiri KMK Revolving</v>
          </cell>
        </row>
        <row r="756">
          <cell r="C756" t="str">
            <v>Bank Mandiri KMK 3548 USD</v>
          </cell>
          <cell r="L756">
            <v>4674000000</v>
          </cell>
        </row>
        <row r="757">
          <cell r="C757" t="str">
            <v>Bank Mandiri KMK R 8653</v>
          </cell>
          <cell r="K757">
            <v>4674000000</v>
          </cell>
        </row>
        <row r="758">
          <cell r="C758" t="str">
            <v>Penjualan Dollar sebesar $ 400,000@ Rp 11,685</v>
          </cell>
        </row>
        <row r="759">
          <cell r="C759" t="str">
            <v>Bank Mandiri KMK R 8653</v>
          </cell>
          <cell r="L759">
            <v>1405000000</v>
          </cell>
        </row>
        <row r="760">
          <cell r="C760" t="str">
            <v>Kas Pusat</v>
          </cell>
          <cell r="K760">
            <v>1405000000</v>
          </cell>
        </row>
        <row r="761">
          <cell r="C761" t="str">
            <v>Pencairan Cek Mandiri KMK Revolving</v>
          </cell>
        </row>
        <row r="762">
          <cell r="C762" t="str">
            <v>Bank Mandiri Rp - A/c 114.0002150616</v>
          </cell>
          <cell r="L762">
            <v>203969567</v>
          </cell>
        </row>
        <row r="763">
          <cell r="C763" t="str">
            <v>Kas Pusat</v>
          </cell>
          <cell r="K763">
            <v>203969567</v>
          </cell>
        </row>
        <row r="764">
          <cell r="C764" t="str">
            <v>Pencairan Cek Mandiri Giro</v>
          </cell>
        </row>
        <row r="765">
          <cell r="C765" t="str">
            <v>Bank Mandiri KMK R 8653</v>
          </cell>
          <cell r="L765">
            <v>1957803007</v>
          </cell>
        </row>
        <row r="766">
          <cell r="C766" t="str">
            <v>Kas Pusat</v>
          </cell>
          <cell r="K766">
            <v>1957803007</v>
          </cell>
        </row>
        <row r="767">
          <cell r="C767" t="str">
            <v>Pencairan Cek Mandiri R 8653</v>
          </cell>
        </row>
        <row r="768">
          <cell r="C768" t="str">
            <v>Bank Mandiri KMK R 8653</v>
          </cell>
          <cell r="L768">
            <v>3273884011</v>
          </cell>
        </row>
        <row r="769">
          <cell r="C769" t="str">
            <v>Kas Pusat</v>
          </cell>
          <cell r="K769">
            <v>3273884011</v>
          </cell>
        </row>
        <row r="770">
          <cell r="C770" t="str">
            <v>Pencairan Cek Mandiri R 8653</v>
          </cell>
        </row>
        <row r="771">
          <cell r="C771" t="str">
            <v>Bank Mandiri KMK 3548 USD</v>
          </cell>
          <cell r="L771">
            <v>4670000000</v>
          </cell>
        </row>
        <row r="772">
          <cell r="C772" t="str">
            <v>Bank Mandiri KMK R 8653</v>
          </cell>
          <cell r="K772">
            <v>4670000000</v>
          </cell>
        </row>
        <row r="773">
          <cell r="C773" t="str">
            <v>Penjualan Dollar sebesar $ 400,000@Rp 11,675</v>
          </cell>
        </row>
        <row r="774">
          <cell r="C774" t="str">
            <v>Bank Mandiri KMK R 8653</v>
          </cell>
          <cell r="L774">
            <v>1225113981</v>
          </cell>
        </row>
        <row r="775">
          <cell r="C775" t="str">
            <v>Kas Pusat</v>
          </cell>
          <cell r="K775">
            <v>1225113981</v>
          </cell>
        </row>
        <row r="776">
          <cell r="C776" t="str">
            <v>PENCAIRAN CEK MANDIRI R 8653</v>
          </cell>
        </row>
        <row r="777">
          <cell r="C777" t="str">
            <v>Bank Mandiri KMK R 8653</v>
          </cell>
          <cell r="L777">
            <v>722485602</v>
          </cell>
        </row>
        <row r="778">
          <cell r="C778" t="str">
            <v>Kas Pusat</v>
          </cell>
          <cell r="K778">
            <v>722485602</v>
          </cell>
        </row>
        <row r="779">
          <cell r="C779" t="str">
            <v>Pencairan Cek Mandiri KMK Revolving</v>
          </cell>
        </row>
        <row r="780">
          <cell r="C780" t="str">
            <v>Bank Mandiri KMK 3548 USD</v>
          </cell>
          <cell r="L780">
            <v>4095700000</v>
          </cell>
        </row>
        <row r="781">
          <cell r="C781" t="str">
            <v>Bank Mandiri KMK R 8653</v>
          </cell>
          <cell r="K781">
            <v>4095700000</v>
          </cell>
        </row>
        <row r="782">
          <cell r="C782" t="str">
            <v>Penjualan Dollar sebesar $ 350,000@Rp 11,702</v>
          </cell>
        </row>
        <row r="783">
          <cell r="C783" t="str">
            <v>Bank Mandiri KMK R 8653</v>
          </cell>
          <cell r="L783">
            <v>371000000</v>
          </cell>
        </row>
        <row r="784">
          <cell r="C784" t="str">
            <v>Kas Pusat</v>
          </cell>
          <cell r="K784">
            <v>371000000</v>
          </cell>
        </row>
        <row r="785">
          <cell r="C785" t="str">
            <v>Pencairan Cek Mandiri KMK Revolving</v>
          </cell>
        </row>
        <row r="786">
          <cell r="C786" t="str">
            <v>Bank Mandiri KMK R 8653</v>
          </cell>
          <cell r="L786">
            <v>580767410</v>
          </cell>
        </row>
        <row r="787">
          <cell r="C787" t="str">
            <v>Kas Pusat</v>
          </cell>
          <cell r="K787">
            <v>580767410</v>
          </cell>
        </row>
        <row r="788">
          <cell r="C788" t="str">
            <v>Pencairan Cek Mandiri KMK Revolving</v>
          </cell>
        </row>
        <row r="789">
          <cell r="C789" t="str">
            <v>Bank Mandiri KMK R 8653</v>
          </cell>
          <cell r="L789">
            <v>1146606616</v>
          </cell>
        </row>
        <row r="790">
          <cell r="C790" t="str">
            <v>Kas Pusat</v>
          </cell>
          <cell r="K790">
            <v>1146606616</v>
          </cell>
        </row>
        <row r="791">
          <cell r="C791" t="str">
            <v>Pencairan Cek Mandiri KMK R 8653</v>
          </cell>
        </row>
        <row r="792">
          <cell r="C792" t="str">
            <v>Bank Mandiri KMK 3548 USD</v>
          </cell>
          <cell r="L792">
            <v>2927500000</v>
          </cell>
        </row>
        <row r="793">
          <cell r="C793" t="str">
            <v>Bank Mandiri KMK R 8653</v>
          </cell>
          <cell r="K793">
            <v>2927500000</v>
          </cell>
        </row>
        <row r="794">
          <cell r="C794" t="str">
            <v>Penjualan Dollar sebesar $ 250,000@Rp 11,710</v>
          </cell>
        </row>
        <row r="795">
          <cell r="C795" t="str">
            <v>Bank Mandiri KMK R 8653</v>
          </cell>
          <cell r="L795">
            <v>773854145</v>
          </cell>
        </row>
        <row r="796">
          <cell r="C796" t="str">
            <v>Kas Pusat</v>
          </cell>
          <cell r="K796">
            <v>773854145</v>
          </cell>
        </row>
        <row r="797">
          <cell r="C797" t="str">
            <v>Pencairan Cek Mandiri KMK R 8653</v>
          </cell>
        </row>
        <row r="798">
          <cell r="C798" t="str">
            <v>Bank Mandiri KMK R 8653</v>
          </cell>
          <cell r="L798">
            <v>912000000</v>
          </cell>
        </row>
        <row r="799">
          <cell r="C799" t="str">
            <v>Kas Pusat</v>
          </cell>
          <cell r="K799">
            <v>912000000</v>
          </cell>
        </row>
        <row r="800">
          <cell r="C800" t="str">
            <v>Pencairan Cek Mandiri KMK R 8653</v>
          </cell>
        </row>
        <row r="801">
          <cell r="C801" t="str">
            <v>Bank Mandiri Rp - A/c 114.0002150616</v>
          </cell>
          <cell r="L801">
            <v>2508883963</v>
          </cell>
        </row>
        <row r="802">
          <cell r="C802" t="str">
            <v>Kas Pusat</v>
          </cell>
          <cell r="K802">
            <v>2508883963</v>
          </cell>
        </row>
        <row r="803">
          <cell r="C803" t="str">
            <v>Pencairan Cek Giro</v>
          </cell>
        </row>
        <row r="804">
          <cell r="C804" t="str">
            <v>Bank Mandiri KMK R 8653</v>
          </cell>
          <cell r="L804">
            <v>1302000000</v>
          </cell>
        </row>
        <row r="805">
          <cell r="C805" t="str">
            <v>Kas Pusat</v>
          </cell>
          <cell r="K805">
            <v>1302000000</v>
          </cell>
        </row>
        <row r="806">
          <cell r="C806" t="str">
            <v>Pencairan Cek Mandiri KMK R 8653</v>
          </cell>
        </row>
        <row r="807">
          <cell r="C807" t="str">
            <v>Bank Mandiri Rp - A/c 114.0002150616</v>
          </cell>
          <cell r="L807">
            <v>2283609530</v>
          </cell>
        </row>
        <row r="808">
          <cell r="C808" t="str">
            <v>Kas Pusat</v>
          </cell>
          <cell r="K808">
            <v>2283609530</v>
          </cell>
        </row>
        <row r="809">
          <cell r="C809" t="str">
            <v>Pencairan Cek Giro</v>
          </cell>
        </row>
        <row r="810">
          <cell r="C810" t="str">
            <v>Bank Mandiri KMK R 8653</v>
          </cell>
          <cell r="L810">
            <v>1893000000</v>
          </cell>
        </row>
        <row r="811">
          <cell r="C811" t="str">
            <v>Kas Pusat</v>
          </cell>
          <cell r="K811">
            <v>1893000000</v>
          </cell>
        </row>
        <row r="812">
          <cell r="C812" t="str">
            <v>Pencairan Cek Mandiri KMK Revolving</v>
          </cell>
        </row>
        <row r="813">
          <cell r="C813" t="str">
            <v>Bank Mandiri Rp - A/c 114.0002150616</v>
          </cell>
          <cell r="L813">
            <v>297804965</v>
          </cell>
        </row>
        <row r="814">
          <cell r="C814" t="str">
            <v>Kas Pusat</v>
          </cell>
          <cell r="K814">
            <v>297804965</v>
          </cell>
        </row>
        <row r="815">
          <cell r="C815" t="str">
            <v>Pencairan Cek Mandiri Giro</v>
          </cell>
        </row>
        <row r="816">
          <cell r="C816" t="str">
            <v>Bank Mandiri KMK 3548 USD</v>
          </cell>
          <cell r="L816">
            <v>2340000000</v>
          </cell>
        </row>
        <row r="817">
          <cell r="C817" t="str">
            <v>Bank Mandiri KMK R 8653</v>
          </cell>
          <cell r="K817">
            <v>2340000000</v>
          </cell>
        </row>
        <row r="818">
          <cell r="C818" t="str">
            <v>Penjualan Dollar sebesar $ 200,000@Rp 11,700</v>
          </cell>
        </row>
        <row r="819">
          <cell r="C819" t="str">
            <v>Bank Mandiri KMK R 8653</v>
          </cell>
          <cell r="L819">
            <v>2500000000</v>
          </cell>
        </row>
        <row r="820">
          <cell r="C820" t="str">
            <v>Bank Mandiri Rp - A/c 114.0002150616</v>
          </cell>
          <cell r="K820">
            <v>2500000000</v>
          </cell>
        </row>
        <row r="821">
          <cell r="C821" t="str">
            <v>TERIMA PEMINDAHAN DARI REK PINJAMAN 8653.</v>
          </cell>
        </row>
        <row r="822">
          <cell r="C822" t="str">
            <v>Bank Mandiri Rp - A/c 114.0002150616</v>
          </cell>
          <cell r="L822">
            <v>1949245716</v>
          </cell>
        </row>
        <row r="823">
          <cell r="C823" t="str">
            <v>Kas Pusat</v>
          </cell>
          <cell r="K823">
            <v>1949245716</v>
          </cell>
        </row>
        <row r="824">
          <cell r="C824" t="str">
            <v>Pencairan Cek Giro</v>
          </cell>
        </row>
        <row r="825">
          <cell r="C825" t="str">
            <v>Kas Pusat</v>
          </cell>
          <cell r="L825">
            <v>1150000000</v>
          </cell>
        </row>
        <row r="826">
          <cell r="C826" t="str">
            <v>Bank Mandiri KMK R 8653</v>
          </cell>
          <cell r="K826">
            <v>1150000000</v>
          </cell>
        </row>
        <row r="827">
          <cell r="C827" t="str">
            <v>Setor ke Rek. Pinjaman 8653</v>
          </cell>
        </row>
        <row r="828">
          <cell r="C828" t="str">
            <v>Bank Mandiri Rp - A/c 114.0002150616</v>
          </cell>
          <cell r="L828">
            <v>3195813726</v>
          </cell>
        </row>
        <row r="829">
          <cell r="C829" t="str">
            <v>Kas Pusat</v>
          </cell>
          <cell r="K829">
            <v>3195813726</v>
          </cell>
        </row>
        <row r="830">
          <cell r="C830" t="str">
            <v>Pencairan Cek Giro</v>
          </cell>
        </row>
        <row r="831">
          <cell r="C831" t="str">
            <v>Bank Mandiri KMK 3548 USD</v>
          </cell>
          <cell r="L831">
            <v>1759500000</v>
          </cell>
        </row>
        <row r="832">
          <cell r="C832" t="str">
            <v>Bank Mandiri KMK R 8653</v>
          </cell>
          <cell r="K832">
            <v>1759500000</v>
          </cell>
        </row>
        <row r="833">
          <cell r="C833" t="str">
            <v>Penjualan Dollar sebanyak $ 150,000 x Rp 11,730</v>
          </cell>
        </row>
        <row r="834">
          <cell r="C834" t="str">
            <v>Bank Mandiri KMK R 8653</v>
          </cell>
          <cell r="L834">
            <v>480000000</v>
          </cell>
        </row>
        <row r="835">
          <cell r="C835" t="str">
            <v>Kas Pusat</v>
          </cell>
          <cell r="K835">
            <v>480000000</v>
          </cell>
        </row>
        <row r="836">
          <cell r="C836" t="str">
            <v>Pencairan Cek Mandiri KMK Revolving</v>
          </cell>
        </row>
        <row r="837">
          <cell r="C837" t="str">
            <v>Bank Mandiri Rp - A/c 114.0002150616</v>
          </cell>
          <cell r="L837">
            <v>1825000000</v>
          </cell>
        </row>
        <row r="838">
          <cell r="C838" t="str">
            <v>Kas Pusat</v>
          </cell>
          <cell r="K838">
            <v>1825000000</v>
          </cell>
        </row>
        <row r="839">
          <cell r="C839" t="str">
            <v>Pencairan Cek Mandiri Giro</v>
          </cell>
        </row>
        <row r="840">
          <cell r="C840" t="str">
            <v>Bank Mandiri KMK R 8653</v>
          </cell>
          <cell r="L840">
            <v>756053726</v>
          </cell>
        </row>
        <row r="841">
          <cell r="C841" t="str">
            <v>Kas Pusat</v>
          </cell>
          <cell r="K841">
            <v>756053726</v>
          </cell>
        </row>
        <row r="842">
          <cell r="C842" t="str">
            <v>Pencairan Cek Mandiri KMK Revolving</v>
          </cell>
        </row>
        <row r="843">
          <cell r="C843" t="str">
            <v>Bank Mandiri KMK R 8653</v>
          </cell>
          <cell r="L843">
            <v>2156120200</v>
          </cell>
        </row>
        <row r="844">
          <cell r="C844" t="str">
            <v>Kas Pusat</v>
          </cell>
          <cell r="K844">
            <v>2156120200</v>
          </cell>
        </row>
        <row r="845">
          <cell r="C845" t="str">
            <v>PENCAIRAN CEK KMK REVOLVING BANK MANDIRI</v>
          </cell>
        </row>
        <row r="846">
          <cell r="C846" t="str">
            <v>Bank Mandiri KMK 3548 USD</v>
          </cell>
          <cell r="L846">
            <v>1763700000</v>
          </cell>
        </row>
        <row r="847">
          <cell r="C847" t="str">
            <v>Bank Mandiri KMK R 8653</v>
          </cell>
          <cell r="K847">
            <v>1763700000</v>
          </cell>
        </row>
        <row r="848">
          <cell r="C848" t="str">
            <v>Penjualan Dollar sebanyak $ 150,000 x Rp 11,758</v>
          </cell>
        </row>
        <row r="849">
          <cell r="C849" t="str">
            <v>Bank Mandiri KMK R 8653</v>
          </cell>
          <cell r="L849">
            <v>1157000000</v>
          </cell>
        </row>
        <row r="850">
          <cell r="C850" t="str">
            <v>Kas Pusat</v>
          </cell>
          <cell r="K850">
            <v>1157000000</v>
          </cell>
        </row>
        <row r="851">
          <cell r="C851" t="str">
            <v>PENCAIRAN CEK KMK REVOLVING</v>
          </cell>
        </row>
        <row r="852">
          <cell r="C852" t="str">
            <v>Bank Mandiri Rp - A/c 114.0002150616</v>
          </cell>
          <cell r="L852">
            <v>473283954</v>
          </cell>
        </row>
        <row r="853">
          <cell r="C853" t="str">
            <v>Kas Pusat</v>
          </cell>
          <cell r="K853">
            <v>473283954</v>
          </cell>
        </row>
        <row r="854">
          <cell r="C854" t="str">
            <v>PENCAIRAN CEK REK GIRO</v>
          </cell>
        </row>
        <row r="855">
          <cell r="C855" t="str">
            <v>Kas Pusat</v>
          </cell>
          <cell r="L855">
            <v>600000000</v>
          </cell>
        </row>
        <row r="856">
          <cell r="C856" t="str">
            <v>Bank Mandiri KMK R 8653</v>
          </cell>
          <cell r="K856">
            <v>600000000</v>
          </cell>
        </row>
        <row r="857">
          <cell r="C857" t="str">
            <v>SETOR REK PINJAMAN 8653</v>
          </cell>
        </row>
        <row r="858">
          <cell r="C858" t="str">
            <v>Bank Mandiri KMK 3548 USD</v>
          </cell>
          <cell r="L858">
            <v>2344000000</v>
          </cell>
        </row>
        <row r="859">
          <cell r="C859" t="str">
            <v>Bank Mandiri KMK R 8653</v>
          </cell>
          <cell r="K859">
            <v>2344000000</v>
          </cell>
        </row>
        <row r="860">
          <cell r="C860" t="str">
            <v>Penjualan Dollar sebanyak $ 200,000 x Rp 11,720</v>
          </cell>
        </row>
        <row r="861">
          <cell r="C861" t="str">
            <v>Bank Mandiri KMK R 8653</v>
          </cell>
          <cell r="L861">
            <v>3542245296</v>
          </cell>
        </row>
        <row r="862">
          <cell r="C862" t="str">
            <v>Kas Pusat</v>
          </cell>
          <cell r="K862">
            <v>3542245296</v>
          </cell>
        </row>
        <row r="863">
          <cell r="C863" t="str">
            <v>Pencairan cek KMK revolving</v>
          </cell>
        </row>
        <row r="864">
          <cell r="C864" t="str">
            <v>Bank Mandiri Rp - A/c 114.0002150616</v>
          </cell>
          <cell r="L864">
            <v>110000000</v>
          </cell>
        </row>
        <row r="865">
          <cell r="C865" t="str">
            <v>Kas Pusat</v>
          </cell>
          <cell r="K865">
            <v>110000000</v>
          </cell>
        </row>
        <row r="866">
          <cell r="C866" t="str">
            <v>Pencairan cek rek giro</v>
          </cell>
        </row>
        <row r="867">
          <cell r="C867" t="str">
            <v>Bank Mandiri KMK 3548 USD</v>
          </cell>
          <cell r="L867">
            <v>4411875000</v>
          </cell>
        </row>
        <row r="868">
          <cell r="C868" t="str">
            <v>Bank Mandiri KMK R 8653</v>
          </cell>
          <cell r="K868">
            <v>4411875000</v>
          </cell>
        </row>
        <row r="869">
          <cell r="C869" t="str">
            <v>Penjualan Dollar sebanyak $ 375,000 x Rp 11,765</v>
          </cell>
        </row>
        <row r="870">
          <cell r="C870" t="str">
            <v>Bank Mandiri KMK R 8653</v>
          </cell>
          <cell r="L870">
            <v>2941673437</v>
          </cell>
        </row>
        <row r="871">
          <cell r="C871" t="str">
            <v>Kas Pusat</v>
          </cell>
          <cell r="K871">
            <v>2941673437</v>
          </cell>
        </row>
        <row r="872">
          <cell r="C872" t="str">
            <v>PENCAIRAN CEK KMK</v>
          </cell>
        </row>
        <row r="873">
          <cell r="C873" t="str">
            <v>Bank Mandiri KMK 3548 USD</v>
          </cell>
          <cell r="L873">
            <v>3532500000</v>
          </cell>
        </row>
        <row r="874">
          <cell r="C874" t="str">
            <v>Bank Mandiri KMK R 8653</v>
          </cell>
          <cell r="K874">
            <v>3532500000</v>
          </cell>
        </row>
        <row r="875">
          <cell r="C875" t="str">
            <v>Penjualan Dollar sebanyak $ 300,000 x Rp 11,775</v>
          </cell>
        </row>
        <row r="876">
          <cell r="C876" t="str">
            <v>Bank Mandiri KMK R 8653</v>
          </cell>
          <cell r="L876">
            <v>1170973937</v>
          </cell>
        </row>
        <row r="877">
          <cell r="C877" t="str">
            <v>Kas Pusat</v>
          </cell>
          <cell r="K877">
            <v>1170973937</v>
          </cell>
        </row>
        <row r="878">
          <cell r="C878" t="str">
            <v>Pencairan cek KMK</v>
          </cell>
        </row>
        <row r="879">
          <cell r="C879" t="str">
            <v>Bank Mandiri Rp - A/c 114.0002150616</v>
          </cell>
          <cell r="L879">
            <v>32759500</v>
          </cell>
        </row>
        <row r="880">
          <cell r="C880" t="str">
            <v>Kas Pusat</v>
          </cell>
          <cell r="K880">
            <v>32759500</v>
          </cell>
        </row>
        <row r="881">
          <cell r="C881" t="str">
            <v>Pencairan cek rek giro</v>
          </cell>
        </row>
        <row r="882">
          <cell r="C882" t="str">
            <v>Bank Mandiri KMK R 8653</v>
          </cell>
          <cell r="L882">
            <v>1878657292</v>
          </cell>
        </row>
        <row r="883">
          <cell r="C883" t="str">
            <v>Kas Pusat</v>
          </cell>
          <cell r="K883">
            <v>1878657292</v>
          </cell>
        </row>
        <row r="884">
          <cell r="C884" t="str">
            <v>PENCAIRAN CEK KMK</v>
          </cell>
        </row>
        <row r="885">
          <cell r="C885" t="str">
            <v>Bank Mandiri KMK 3548 USD</v>
          </cell>
          <cell r="L885">
            <v>4135250000</v>
          </cell>
        </row>
        <row r="886">
          <cell r="C886" t="str">
            <v>Bank Mandiri KMK R 8653</v>
          </cell>
          <cell r="K886">
            <v>4135250000</v>
          </cell>
        </row>
        <row r="887">
          <cell r="C887" t="str">
            <v>Penjualan Dollar sebanyak $ 350,000 x 11,815</v>
          </cell>
        </row>
        <row r="888">
          <cell r="C888" t="str">
            <v>Bank Mandiri KMK R 8653</v>
          </cell>
          <cell r="L888">
            <v>3561563879</v>
          </cell>
        </row>
        <row r="889">
          <cell r="C889" t="str">
            <v>Kas Pusat</v>
          </cell>
          <cell r="K889">
            <v>3561563879</v>
          </cell>
        </row>
        <row r="890">
          <cell r="C890" t="str">
            <v>Pencairan cek revolving</v>
          </cell>
        </row>
        <row r="891">
          <cell r="C891" t="str">
            <v>Bank Mandiri KMK R 8653</v>
          </cell>
          <cell r="L891">
            <v>1811173377</v>
          </cell>
        </row>
        <row r="892">
          <cell r="C892" t="str">
            <v>Kas Pusat</v>
          </cell>
          <cell r="K892">
            <v>1811173377</v>
          </cell>
        </row>
        <row r="893">
          <cell r="C893" t="str">
            <v>PENCAIRAN CEK REVOLVING</v>
          </cell>
        </row>
        <row r="894">
          <cell r="C894" t="str">
            <v>Bank Mandiri KMK 3548 USD</v>
          </cell>
          <cell r="L894">
            <v>2380000000</v>
          </cell>
        </row>
        <row r="895">
          <cell r="C895" t="str">
            <v>Bank Mandiri KMK R 8653</v>
          </cell>
          <cell r="K895">
            <v>2380000000</v>
          </cell>
        </row>
        <row r="896">
          <cell r="C896" t="str">
            <v>Penjualan Dollar sebanyak $ 200,000 x Rp 11,900</v>
          </cell>
        </row>
        <row r="897">
          <cell r="C897" t="str">
            <v>Bank Mandiri KMK R 8653</v>
          </cell>
          <cell r="L897">
            <v>1090000000</v>
          </cell>
        </row>
        <row r="898">
          <cell r="C898" t="str">
            <v>Kas Pusat</v>
          </cell>
          <cell r="K898">
            <v>1090000000</v>
          </cell>
        </row>
        <row r="899">
          <cell r="C899" t="str">
            <v>PENCAIRAN KMK REVOLVING</v>
          </cell>
        </row>
        <row r="900">
          <cell r="C900" t="str">
            <v>Bank Mandiri KMK R 8653</v>
          </cell>
          <cell r="L900">
            <v>1360781950</v>
          </cell>
        </row>
        <row r="901">
          <cell r="C901" t="str">
            <v>Kas Pusat</v>
          </cell>
          <cell r="K901">
            <v>1360781950</v>
          </cell>
        </row>
        <row r="902">
          <cell r="C902" t="str">
            <v>PENCAIRAN CEK KMK REVOLVING</v>
          </cell>
        </row>
        <row r="903">
          <cell r="C903" t="str">
            <v>Bank Mandiri Rp - A/c 114.0002150616</v>
          </cell>
          <cell r="L903">
            <v>1100000000</v>
          </cell>
        </row>
        <row r="904">
          <cell r="C904" t="str">
            <v>Kas Pusat</v>
          </cell>
          <cell r="K904">
            <v>1100000000</v>
          </cell>
        </row>
        <row r="905">
          <cell r="C905" t="str">
            <v>PENCAIRAN CEK GIRO</v>
          </cell>
        </row>
        <row r="906">
          <cell r="C906" t="str">
            <v>Bank Mandiri KMK 3548 USD</v>
          </cell>
          <cell r="L906">
            <v>2104375000</v>
          </cell>
        </row>
        <row r="907">
          <cell r="C907" t="str">
            <v>Bank Mandiri KMK R 8653</v>
          </cell>
          <cell r="K907">
            <v>2104375000</v>
          </cell>
        </row>
        <row r="908">
          <cell r="C908" t="str">
            <v>Penjualan Dollar sebanyak $ 175,000 x Rp 12,025</v>
          </cell>
        </row>
        <row r="909">
          <cell r="C909" t="str">
            <v>Bank Mandiri KMK R 8653</v>
          </cell>
          <cell r="L909">
            <v>2174713628</v>
          </cell>
        </row>
        <row r="910">
          <cell r="C910" t="str">
            <v>Kas Pusat</v>
          </cell>
          <cell r="K910">
            <v>2174713628</v>
          </cell>
        </row>
        <row r="911">
          <cell r="C911" t="str">
            <v>PENCAIRAN CEK KMK REVOLVING</v>
          </cell>
        </row>
        <row r="912">
          <cell r="C912" t="str">
            <v>Bank Mandiri Rp - A/c 114.0002150616</v>
          </cell>
          <cell r="L912">
            <v>350000000</v>
          </cell>
        </row>
        <row r="913">
          <cell r="C913" t="str">
            <v>Kas Pusat</v>
          </cell>
          <cell r="K913">
            <v>350000000</v>
          </cell>
        </row>
        <row r="914">
          <cell r="C914" t="str">
            <v>PENCAIRAN REK GIRO</v>
          </cell>
        </row>
        <row r="915">
          <cell r="C915" t="str">
            <v>Kas Pusat</v>
          </cell>
          <cell r="L915">
            <v>575000000</v>
          </cell>
        </row>
        <row r="916">
          <cell r="C916" t="str">
            <v>Bank Mandiri KMK R 8653</v>
          </cell>
          <cell r="K916">
            <v>575000000</v>
          </cell>
        </row>
        <row r="917">
          <cell r="C917" t="str">
            <v>SETOR KE REK PINJAMAN 8653</v>
          </cell>
        </row>
        <row r="918">
          <cell r="C918" t="str">
            <v>Bank Mandiri KMK R 8653</v>
          </cell>
          <cell r="L918">
            <v>968933793</v>
          </cell>
        </row>
        <row r="919">
          <cell r="C919" t="str">
            <v>Kas Pusat</v>
          </cell>
          <cell r="K919">
            <v>968933793</v>
          </cell>
        </row>
        <row r="920">
          <cell r="C920" t="str">
            <v>PENCAIRAN CEK KMK REVOLVING</v>
          </cell>
        </row>
        <row r="921">
          <cell r="C921" t="str">
            <v>Bank Mandiri KMK 3548 USD</v>
          </cell>
          <cell r="L921">
            <v>2391000000</v>
          </cell>
        </row>
        <row r="922">
          <cell r="C922" t="str">
            <v>Bank Mandiri KMK R 8653</v>
          </cell>
          <cell r="K922">
            <v>2391000000</v>
          </cell>
        </row>
        <row r="923">
          <cell r="C923" t="str">
            <v>Penjualan Dollar sebanyak $ 200,000 x Rp 11,955</v>
          </cell>
        </row>
        <row r="924">
          <cell r="C924" t="str">
            <v>Bank Mandiri KMK R 8653</v>
          </cell>
          <cell r="L924">
            <v>814000000</v>
          </cell>
        </row>
        <row r="925">
          <cell r="C925" t="str">
            <v>Kas Pusat</v>
          </cell>
          <cell r="K925">
            <v>814000000</v>
          </cell>
        </row>
        <row r="926">
          <cell r="C926" t="str">
            <v>PENCAIRAN CEK KMK REVOLVING</v>
          </cell>
        </row>
        <row r="927">
          <cell r="C927" t="str">
            <v>Bank Mandiri KMK 3548 USD</v>
          </cell>
          <cell r="L927">
            <v>1796100000</v>
          </cell>
        </row>
        <row r="928">
          <cell r="C928" t="str">
            <v>Bank Mandiri KMK R 8653</v>
          </cell>
          <cell r="K928">
            <v>1796100000</v>
          </cell>
        </row>
        <row r="929">
          <cell r="C929" t="str">
            <v>Penjualan Dollar sebanyak $ 150,000 x Rp 11,974</v>
          </cell>
        </row>
        <row r="930">
          <cell r="C930" t="str">
            <v>Bank Mandiri KMK R 8653</v>
          </cell>
          <cell r="L930">
            <v>1567444057</v>
          </cell>
        </row>
        <row r="931">
          <cell r="C931" t="str">
            <v>Kas Pusat</v>
          </cell>
          <cell r="K931">
            <v>1567444057</v>
          </cell>
        </row>
        <row r="932">
          <cell r="C932" t="str">
            <v>PENCAIRAN CEK KMK REVOLVING</v>
          </cell>
        </row>
        <row r="933">
          <cell r="C933" t="str">
            <v>Kas Pusat</v>
          </cell>
          <cell r="L933">
            <v>655000000</v>
          </cell>
        </row>
        <row r="934">
          <cell r="C934" t="str">
            <v>Bank Mandiri KMK R 8653</v>
          </cell>
          <cell r="K934">
            <v>655000000</v>
          </cell>
        </row>
        <row r="935">
          <cell r="C935" t="str">
            <v>SETOR KE REK 8653</v>
          </cell>
        </row>
        <row r="936">
          <cell r="C936" t="str">
            <v>Bank Mandiri KMK R 8653</v>
          </cell>
          <cell r="L936">
            <v>2766000000</v>
          </cell>
        </row>
        <row r="937">
          <cell r="C937" t="str">
            <v>Kas Pusat</v>
          </cell>
          <cell r="K937">
            <v>2766000000</v>
          </cell>
        </row>
        <row r="938">
          <cell r="C938" t="str">
            <v>Pencairan cek kmk revolving</v>
          </cell>
        </row>
        <row r="939">
          <cell r="C939" t="str">
            <v>Bank Mandiri Rp - A/c 114.0002150616</v>
          </cell>
          <cell r="L939">
            <v>74761560</v>
          </cell>
        </row>
        <row r="940">
          <cell r="C940" t="str">
            <v>Kas Pusat</v>
          </cell>
          <cell r="K940">
            <v>74761560</v>
          </cell>
        </row>
        <row r="941">
          <cell r="C941" t="str">
            <v>Pencairan cek rek giro</v>
          </cell>
        </row>
        <row r="942">
          <cell r="C942" t="str">
            <v>Bank Mandiri KMK 3548 USD</v>
          </cell>
          <cell r="L942">
            <v>2983750000</v>
          </cell>
        </row>
        <row r="943">
          <cell r="C943" t="str">
            <v>Bank Mandiri KMK R 8653</v>
          </cell>
          <cell r="K943">
            <v>2983750000</v>
          </cell>
        </row>
        <row r="944">
          <cell r="C944" t="str">
            <v>Penjualan Dollar sebanyak $ 250,000 x Rp 11,935</v>
          </cell>
        </row>
        <row r="945">
          <cell r="C945" t="str">
            <v>Bank Mandiri KMK R 8653</v>
          </cell>
          <cell r="L945">
            <v>986642348</v>
          </cell>
        </row>
        <row r="946">
          <cell r="C946" t="str">
            <v>Kas Pusat</v>
          </cell>
          <cell r="K946">
            <v>986642348</v>
          </cell>
        </row>
        <row r="947">
          <cell r="C947" t="str">
            <v>PENCAIRAN CEK KMK REVOLVING</v>
          </cell>
        </row>
        <row r="948">
          <cell r="C948" t="str">
            <v>Bank Mandiri Rp - A/c 114.0002150616</v>
          </cell>
          <cell r="L948">
            <v>82500000</v>
          </cell>
        </row>
        <row r="949">
          <cell r="C949" t="str">
            <v>Kas Pusat</v>
          </cell>
          <cell r="K949">
            <v>82500000</v>
          </cell>
        </row>
        <row r="950">
          <cell r="C950" t="str">
            <v>PENCAIRAN CEK REK GIRO</v>
          </cell>
        </row>
        <row r="951">
          <cell r="C951" t="str">
            <v>Bank Mandiri KMK 3548 USD</v>
          </cell>
          <cell r="L951">
            <v>3603000000</v>
          </cell>
        </row>
        <row r="952">
          <cell r="C952" t="str">
            <v>Bank Mandiri KMK R 8653</v>
          </cell>
          <cell r="K952">
            <v>3603000000</v>
          </cell>
        </row>
        <row r="953">
          <cell r="C953" t="str">
            <v>Penjualan Dollar sebanyak $ 300,000 x Rp 12,010</v>
          </cell>
        </row>
        <row r="954">
          <cell r="C954" t="str">
            <v>Bank Mandiri KMK R 8653</v>
          </cell>
          <cell r="L954">
            <v>4811673806</v>
          </cell>
        </row>
        <row r="955">
          <cell r="C955" t="str">
            <v>Kas Pusat</v>
          </cell>
          <cell r="K955">
            <v>4811673806</v>
          </cell>
        </row>
        <row r="956">
          <cell r="C956" t="str">
            <v>Pencairan cek KMK revolving</v>
          </cell>
        </row>
        <row r="957">
          <cell r="C957" t="str">
            <v>Bank Mandiri KMK 3548 USD</v>
          </cell>
          <cell r="L957">
            <v>3030000000</v>
          </cell>
        </row>
        <row r="958">
          <cell r="C958" t="str">
            <v>Bank Mandiri KMK R 8653</v>
          </cell>
          <cell r="K958">
            <v>3030000000</v>
          </cell>
        </row>
        <row r="959">
          <cell r="C959" t="str">
            <v>Penjualan Dollar sebanyak $ 250,000 x Rp 12,120</v>
          </cell>
        </row>
        <row r="960">
          <cell r="C960" t="str">
            <v>Bank Mandiri KMK R 8653</v>
          </cell>
          <cell r="L960">
            <v>2067000000</v>
          </cell>
        </row>
        <row r="961">
          <cell r="C961" t="str">
            <v>Kas Pusat</v>
          </cell>
          <cell r="K961">
            <v>2067000000</v>
          </cell>
        </row>
        <row r="962">
          <cell r="C962" t="str">
            <v>Pencairan cek KMK revolving</v>
          </cell>
        </row>
        <row r="963">
          <cell r="C963" t="str">
            <v>Bank Mandiri KMK R 8653</v>
          </cell>
          <cell r="L963">
            <v>3500000000</v>
          </cell>
        </row>
        <row r="964">
          <cell r="C964" t="str">
            <v>Bank Mandiri Rp - A/c 114.0002150616</v>
          </cell>
          <cell r="K964">
            <v>3500000000</v>
          </cell>
        </row>
        <row r="965">
          <cell r="C965" t="str">
            <v>Pemindahan ke Rek. Giro 0616</v>
          </cell>
        </row>
        <row r="966">
          <cell r="C966" t="str">
            <v>Bank Mandiri KMK 3548 USD</v>
          </cell>
          <cell r="L966">
            <v>1220000000</v>
          </cell>
        </row>
        <row r="967">
          <cell r="C967" t="str">
            <v>Bank Mandiri KMK R 8653</v>
          </cell>
          <cell r="K967">
            <v>1220000000</v>
          </cell>
        </row>
        <row r="968">
          <cell r="C968" t="str">
            <v>Penjualan Dollar sebanyak $ 100,000 x 12,200</v>
          </cell>
        </row>
        <row r="969">
          <cell r="C969" t="str">
            <v>Kas Pusat</v>
          </cell>
          <cell r="L969">
            <v>1830000000</v>
          </cell>
        </row>
        <row r="970">
          <cell r="C970" t="str">
            <v>Bank Mandiri KMK R 8653</v>
          </cell>
          <cell r="K970">
            <v>1830000000</v>
          </cell>
        </row>
        <row r="971">
          <cell r="C971" t="str">
            <v>Setor ke rek 8653</v>
          </cell>
        </row>
        <row r="972">
          <cell r="C972" t="str">
            <v>Bank Mandiri Rp - A/c 114.0002150616</v>
          </cell>
          <cell r="L972">
            <v>3526701148</v>
          </cell>
        </row>
        <row r="973">
          <cell r="C973" t="str">
            <v>Kas Pusat</v>
          </cell>
          <cell r="K973">
            <v>3526701148</v>
          </cell>
        </row>
        <row r="974">
          <cell r="C974" t="str">
            <v>Pencairan cek mandiri giro 616</v>
          </cell>
        </row>
        <row r="975">
          <cell r="C975" t="str">
            <v>Kas Pusat</v>
          </cell>
          <cell r="L975">
            <v>1730000000</v>
          </cell>
        </row>
        <row r="976">
          <cell r="C976" t="str">
            <v>Bank Mandiri KMK R 8653</v>
          </cell>
          <cell r="K976">
            <v>1730000000</v>
          </cell>
        </row>
        <row r="977">
          <cell r="C977" t="str">
            <v>Setor ke rek pinjaman 8653</v>
          </cell>
        </row>
        <row r="978">
          <cell r="C978" t="str">
            <v>Bank Mandiri KMK 3548 USD</v>
          </cell>
          <cell r="L978">
            <v>3046250000</v>
          </cell>
        </row>
        <row r="979">
          <cell r="C979">
            <v>250000</v>
          </cell>
        </row>
        <row r="980">
          <cell r="C980" t="str">
            <v>Bank Mandiri KMK R 8653</v>
          </cell>
          <cell r="K980">
            <v>3046250000</v>
          </cell>
        </row>
        <row r="981">
          <cell r="C981">
            <v>250000</v>
          </cell>
        </row>
        <row r="982">
          <cell r="C982" t="str">
            <v>Penjualan dollar @ $ 250.000 x Rp 12.185</v>
          </cell>
        </row>
        <row r="983">
          <cell r="C983" t="str">
            <v>Bank Mandiri KMK R 8653</v>
          </cell>
          <cell r="L983">
            <v>1170000000</v>
          </cell>
        </row>
        <row r="984">
          <cell r="C984" t="str">
            <v>Kas Pusat</v>
          </cell>
          <cell r="K984">
            <v>1170000000</v>
          </cell>
        </row>
        <row r="985">
          <cell r="C985" t="str">
            <v>PENCAIRAN CEK 8653</v>
          </cell>
        </row>
        <row r="986">
          <cell r="C986" t="str">
            <v>Bank Mandiri KMK R 8653</v>
          </cell>
          <cell r="L986">
            <v>1061817384</v>
          </cell>
        </row>
        <row r="987">
          <cell r="C987" t="str">
            <v>Kas Pusat</v>
          </cell>
          <cell r="K987">
            <v>1061817384</v>
          </cell>
        </row>
        <row r="988">
          <cell r="C988" t="str">
            <v>Terima pencairan cek kmk revolving</v>
          </cell>
        </row>
        <row r="989">
          <cell r="C989" t="str">
            <v>Bank Mandiri KMK R 8653</v>
          </cell>
          <cell r="L989">
            <v>715074322</v>
          </cell>
        </row>
        <row r="990">
          <cell r="C990" t="str">
            <v>Kas Pusat</v>
          </cell>
          <cell r="K990">
            <v>715074322</v>
          </cell>
        </row>
        <row r="991">
          <cell r="C991" t="str">
            <v>Pencairan cek kmk revolving</v>
          </cell>
        </row>
        <row r="992">
          <cell r="C992" t="str">
            <v>Bank Mandiri KMK R 8653</v>
          </cell>
          <cell r="L992">
            <v>762000000</v>
          </cell>
        </row>
        <row r="993">
          <cell r="C993" t="str">
            <v>Kas Pusat</v>
          </cell>
          <cell r="K993">
            <v>762000000</v>
          </cell>
        </row>
        <row r="994">
          <cell r="C994" t="str">
            <v>PENCAIRAN CEK KMK REVOLVING</v>
          </cell>
        </row>
        <row r="995">
          <cell r="C995" t="str">
            <v>Bank Mandiri KMK R 8653</v>
          </cell>
          <cell r="L995">
            <v>904000000</v>
          </cell>
        </row>
        <row r="996">
          <cell r="C996" t="str">
            <v>Kas Pusat</v>
          </cell>
          <cell r="K996">
            <v>904000000</v>
          </cell>
        </row>
        <row r="997">
          <cell r="C997" t="str">
            <v>PENCAIRAN CEK KMK REVOLVING</v>
          </cell>
        </row>
        <row r="998">
          <cell r="C998" t="str">
            <v>Bank Mandiri KMK 3548 USD</v>
          </cell>
          <cell r="L998">
            <v>612000000</v>
          </cell>
        </row>
        <row r="999">
          <cell r="C999">
            <v>50000</v>
          </cell>
        </row>
        <row r="1000">
          <cell r="C1000" t="str">
            <v>Bank Mandiri KMK R 8653</v>
          </cell>
          <cell r="K1000">
            <v>612000000</v>
          </cell>
        </row>
        <row r="1001">
          <cell r="C1001">
            <v>50000</v>
          </cell>
        </row>
        <row r="1002">
          <cell r="C1002" t="str">
            <v>Penjualan Dollar @ $ 50.000 x Rp 12.240</v>
          </cell>
        </row>
        <row r="1003">
          <cell r="C1003" t="str">
            <v>Bank Mandiri Rp - A/c 114.0002150616</v>
          </cell>
          <cell r="L1003">
            <v>732000000</v>
          </cell>
        </row>
        <row r="1004">
          <cell r="C1004" t="str">
            <v>Kas Pusat</v>
          </cell>
          <cell r="K1004">
            <v>732000000</v>
          </cell>
        </row>
        <row r="1005">
          <cell r="C1005" t="str">
            <v>PENCAIRAN CEK 616</v>
          </cell>
        </row>
        <row r="1006">
          <cell r="C1006" t="str">
            <v>Kas Pusat</v>
          </cell>
          <cell r="L1006">
            <v>1500000000</v>
          </cell>
        </row>
        <row r="1007">
          <cell r="C1007" t="str">
            <v>Bank Mandiri KMK R 8653</v>
          </cell>
          <cell r="K1007">
            <v>1500000000</v>
          </cell>
        </row>
        <row r="1008">
          <cell r="C1008" t="str">
            <v>SETORAN KE REK 8653</v>
          </cell>
        </row>
        <row r="1009">
          <cell r="C1009" t="str">
            <v>Bank Mandiri KMK R 8653</v>
          </cell>
          <cell r="L1009">
            <v>1067269491</v>
          </cell>
        </row>
        <row r="1010">
          <cell r="C1010" t="str">
            <v>Kas Pusat</v>
          </cell>
          <cell r="K1010">
            <v>1067269491</v>
          </cell>
        </row>
        <row r="1011">
          <cell r="C1011" t="str">
            <v>Pencairan cek KMK revolving</v>
          </cell>
        </row>
        <row r="1012">
          <cell r="C1012" t="str">
            <v>Bank Mandiri Rp - A/c 114.0002150616</v>
          </cell>
          <cell r="L1012">
            <v>70000000</v>
          </cell>
        </row>
        <row r="1013">
          <cell r="C1013" t="str">
            <v>Kas Pusat</v>
          </cell>
          <cell r="K1013">
            <v>70000000</v>
          </cell>
        </row>
        <row r="1014">
          <cell r="C1014" t="str">
            <v>Pencairan cek rek giro</v>
          </cell>
        </row>
        <row r="1015">
          <cell r="C1015" t="str">
            <v>Bank Mandiri KMK R 8653</v>
          </cell>
          <cell r="L1015">
            <v>743000000</v>
          </cell>
        </row>
        <row r="1016">
          <cell r="C1016" t="str">
            <v>Kas Pusat</v>
          </cell>
          <cell r="K1016">
            <v>743000000</v>
          </cell>
        </row>
        <row r="1017">
          <cell r="C1017" t="str">
            <v>Pencairan cek kmk revolving</v>
          </cell>
        </row>
        <row r="1018">
          <cell r="C1018" t="str">
            <v>Bank Mandiri Rp - A/c 114.0002150616</v>
          </cell>
          <cell r="L1018">
            <v>254617282</v>
          </cell>
        </row>
        <row r="1019">
          <cell r="C1019" t="str">
            <v>Kas Pusat</v>
          </cell>
          <cell r="K1019">
            <v>254617282</v>
          </cell>
        </row>
        <row r="1020">
          <cell r="C1020" t="str">
            <v>Pencairan cek rek giro</v>
          </cell>
        </row>
        <row r="1021">
          <cell r="C1021" t="str">
            <v>Bank Mandiri KMK 3548 USD</v>
          </cell>
          <cell r="L1021">
            <v>2133250000</v>
          </cell>
        </row>
        <row r="1022">
          <cell r="C1022">
            <v>175000</v>
          </cell>
        </row>
        <row r="1023">
          <cell r="C1023" t="str">
            <v>Bank Mandiri KMK R 8653</v>
          </cell>
          <cell r="K1023">
            <v>2133250000</v>
          </cell>
        </row>
        <row r="1024">
          <cell r="C1024">
            <v>175000</v>
          </cell>
        </row>
        <row r="1025">
          <cell r="C1025" t="str">
            <v>Penjualan dollar @ $ 175.000 x Rp 12.190.</v>
          </cell>
        </row>
        <row r="1026">
          <cell r="C1026" t="str">
            <v>Bank Mandiri KMK 3548 USD</v>
          </cell>
          <cell r="L1026">
            <v>4273500000</v>
          </cell>
        </row>
        <row r="1027">
          <cell r="C1027">
            <v>350000</v>
          </cell>
        </row>
        <row r="1028">
          <cell r="C1028" t="str">
            <v>Bank Mandiri KMK R 8653</v>
          </cell>
          <cell r="K1028">
            <v>4273500000</v>
          </cell>
        </row>
        <row r="1029">
          <cell r="C1029">
            <v>350000</v>
          </cell>
        </row>
        <row r="1030">
          <cell r="C1030" t="str">
            <v>Penjualan dollar @ $ 350.000 x Rp 12.210</v>
          </cell>
        </row>
        <row r="1031">
          <cell r="C1031" t="str">
            <v>Bank Mandiri KMK R 8653</v>
          </cell>
          <cell r="L1031">
            <v>3172092339</v>
          </cell>
        </row>
        <row r="1032">
          <cell r="C1032" t="str">
            <v>Kas Pusat</v>
          </cell>
          <cell r="K1032">
            <v>3172092339</v>
          </cell>
        </row>
        <row r="1033">
          <cell r="C1033" t="str">
            <v>Pencaian cek kmk revolving</v>
          </cell>
        </row>
        <row r="1034">
          <cell r="C1034" t="str">
            <v>Bank Mandiri KMK 3548 USD</v>
          </cell>
          <cell r="L1034">
            <v>1219000000</v>
          </cell>
        </row>
        <row r="1035">
          <cell r="C1035">
            <v>100000</v>
          </cell>
        </row>
        <row r="1036">
          <cell r="C1036" t="str">
            <v>Bank Mandiri KMK R 8653</v>
          </cell>
          <cell r="K1036">
            <v>1219000000</v>
          </cell>
        </row>
        <row r="1037">
          <cell r="C1037">
            <v>100000</v>
          </cell>
        </row>
        <row r="1038">
          <cell r="C1038" t="str">
            <v>Penjualan dollar @ $ 100.000 x Rp 12.190.</v>
          </cell>
        </row>
        <row r="1039">
          <cell r="C1039" t="str">
            <v>Bank Mandiri KMK R 8653</v>
          </cell>
          <cell r="L1039">
            <v>456000000</v>
          </cell>
        </row>
        <row r="1040">
          <cell r="C1040" t="str">
            <v>Kas Pusat</v>
          </cell>
          <cell r="K1040">
            <v>456000000</v>
          </cell>
        </row>
        <row r="1041">
          <cell r="C1041" t="str">
            <v>Pencairan cek kmk revolving</v>
          </cell>
        </row>
        <row r="1042">
          <cell r="C1042" t="str">
            <v>Bank Mandiri KMK 3548 USD</v>
          </cell>
          <cell r="L1042">
            <v>2444000000</v>
          </cell>
        </row>
        <row r="1043">
          <cell r="C1043">
            <v>200000</v>
          </cell>
        </row>
        <row r="1044">
          <cell r="C1044" t="str">
            <v>Bank Mandiri KMK R 8653</v>
          </cell>
          <cell r="K1044">
            <v>2444000000</v>
          </cell>
        </row>
        <row r="1045">
          <cell r="C1045">
            <v>200000</v>
          </cell>
        </row>
        <row r="1046">
          <cell r="C1046" t="str">
            <v>Penjualan dollar @ $200.000 x Rp12.220</v>
          </cell>
        </row>
        <row r="1047">
          <cell r="C1047" t="str">
            <v>Bank Mandiri KMK R 8653</v>
          </cell>
          <cell r="L1047">
            <v>407000000</v>
          </cell>
        </row>
        <row r="1048">
          <cell r="C1048" t="str">
            <v>Kas Pusat</v>
          </cell>
          <cell r="K1048">
            <v>407000000</v>
          </cell>
        </row>
        <row r="1049">
          <cell r="C1049" t="str">
            <v>Pencairan cek kmk revolving</v>
          </cell>
        </row>
        <row r="1050">
          <cell r="C1050" t="str">
            <v>Bank Mandiri KMK R 8653</v>
          </cell>
          <cell r="L1050">
            <v>2517000000</v>
          </cell>
        </row>
        <row r="1051">
          <cell r="C1051" t="str">
            <v>Kas Pusat</v>
          </cell>
          <cell r="K1051">
            <v>2517000000</v>
          </cell>
        </row>
        <row r="1052">
          <cell r="C1052" t="str">
            <v>pENCAIRAN CEK KMK REVOLVING</v>
          </cell>
        </row>
        <row r="1053">
          <cell r="C1053" t="str">
            <v>Bank Mandiri KMK 3548 USD</v>
          </cell>
          <cell r="L1053">
            <v>3053750000</v>
          </cell>
        </row>
        <row r="1054">
          <cell r="C1054">
            <v>250000</v>
          </cell>
        </row>
        <row r="1055">
          <cell r="C1055" t="str">
            <v>Bank Mandiri KMK R 8653</v>
          </cell>
          <cell r="K1055">
            <v>3053750000</v>
          </cell>
        </row>
        <row r="1056">
          <cell r="C1056">
            <v>250000</v>
          </cell>
        </row>
        <row r="1057">
          <cell r="C1057" t="str">
            <v>Penjualan dollar @ $250.000 x Rp12.215.</v>
          </cell>
        </row>
        <row r="1058">
          <cell r="C1058" t="str">
            <v>Bank Mandiri KMK R 8653</v>
          </cell>
          <cell r="L1058">
            <v>1227781578</v>
          </cell>
        </row>
        <row r="1059">
          <cell r="C1059" t="str">
            <v>Kas Pusat</v>
          </cell>
          <cell r="K1059">
            <v>1227781578</v>
          </cell>
        </row>
        <row r="1060">
          <cell r="C1060" t="str">
            <v>Pencairan cek kmk revolving</v>
          </cell>
        </row>
        <row r="1061">
          <cell r="C1061" t="str">
            <v>Bank Mandiri KMK R 8653</v>
          </cell>
          <cell r="L1061">
            <v>1713000000</v>
          </cell>
        </row>
        <row r="1062">
          <cell r="C1062" t="str">
            <v>Kas Pusat</v>
          </cell>
          <cell r="K1062">
            <v>1713000000</v>
          </cell>
        </row>
        <row r="1063">
          <cell r="C1063" t="str">
            <v>Pencairan cek Kmk Revolving</v>
          </cell>
        </row>
        <row r="1064">
          <cell r="C1064" t="str">
            <v>Bank Mandiri Rp - A/c 114.0002150616</v>
          </cell>
          <cell r="L1064">
            <v>112000000</v>
          </cell>
        </row>
        <row r="1065">
          <cell r="C1065" t="str">
            <v>Kas Pusat</v>
          </cell>
          <cell r="K1065">
            <v>112000000</v>
          </cell>
        </row>
        <row r="1066">
          <cell r="C1066" t="str">
            <v>Pencairan cek giro</v>
          </cell>
        </row>
        <row r="1067">
          <cell r="C1067" t="str">
            <v>Bank Mandiri KMK 3548 USD</v>
          </cell>
          <cell r="L1067">
            <v>2698200000</v>
          </cell>
        </row>
        <row r="1068">
          <cell r="C1068">
            <v>225000</v>
          </cell>
        </row>
        <row r="1069">
          <cell r="C1069" t="str">
            <v>Bank Mandiri KMK R 8653</v>
          </cell>
          <cell r="K1069">
            <v>2698200000</v>
          </cell>
        </row>
        <row r="1070">
          <cell r="C1070">
            <v>225000</v>
          </cell>
        </row>
        <row r="1071">
          <cell r="C1071" t="str">
            <v>Penjualan dollar @ $225.000 x Rp11.992</v>
          </cell>
        </row>
        <row r="1072">
          <cell r="C1072" t="str">
            <v>Bank Mandiri KMK R 8653</v>
          </cell>
          <cell r="L1072">
            <v>334000000</v>
          </cell>
        </row>
        <row r="1073">
          <cell r="C1073" t="str">
            <v>Kas Pusat</v>
          </cell>
          <cell r="K1073">
            <v>334000000</v>
          </cell>
        </row>
        <row r="1074">
          <cell r="C1074" t="str">
            <v>Pencairan cek kmk revolving</v>
          </cell>
        </row>
        <row r="1075">
          <cell r="C1075" t="str">
            <v>Bank Mandiri KMK R 8653</v>
          </cell>
          <cell r="L1075">
            <v>52661385</v>
          </cell>
        </row>
        <row r="1076">
          <cell r="C1076" t="str">
            <v>Kas Pusat</v>
          </cell>
          <cell r="K1076">
            <v>52661385</v>
          </cell>
        </row>
        <row r="1077">
          <cell r="C1077" t="str">
            <v>Pencairan cek KMK revolving</v>
          </cell>
        </row>
        <row r="1078">
          <cell r="C1078" t="str">
            <v>Bank Mandiri Rp - A/c 114.0002150616</v>
          </cell>
          <cell r="L1078">
            <v>100000000</v>
          </cell>
        </row>
        <row r="1079">
          <cell r="C1079" t="str">
            <v>Kas Pusat</v>
          </cell>
          <cell r="K1079">
            <v>100000000</v>
          </cell>
        </row>
        <row r="1080">
          <cell r="C1080" t="str">
            <v>Pencairan cek giro</v>
          </cell>
        </row>
        <row r="1081">
          <cell r="C1081" t="str">
            <v>Bank Mandiri KMK 3548 USD</v>
          </cell>
          <cell r="L1081">
            <v>2406400000</v>
          </cell>
        </row>
        <row r="1082">
          <cell r="C1082">
            <v>200000</v>
          </cell>
        </row>
        <row r="1083">
          <cell r="C1083" t="str">
            <v>Bank Mandiri KMK R 8653</v>
          </cell>
          <cell r="K1083">
            <v>2406400000</v>
          </cell>
        </row>
        <row r="1084">
          <cell r="C1084">
            <v>200000</v>
          </cell>
        </row>
        <row r="1085">
          <cell r="C1085" t="str">
            <v>Penjualan ollar @ $200.000 x Rp12.032</v>
          </cell>
        </row>
        <row r="1086">
          <cell r="C1086" t="str">
            <v>Bank Mandiri KMK R 8653</v>
          </cell>
          <cell r="L1086">
            <v>37955665</v>
          </cell>
        </row>
        <row r="1087">
          <cell r="C1087" t="str">
            <v>Kas Pusat</v>
          </cell>
          <cell r="K1087">
            <v>37955665</v>
          </cell>
        </row>
        <row r="1088">
          <cell r="C1088" t="str">
            <v>Pencairan cek KMK revolving</v>
          </cell>
        </row>
        <row r="1089">
          <cell r="C1089" t="str">
            <v>Bank Mandiri KMK 3548 USD</v>
          </cell>
          <cell r="L1089">
            <v>2412000000</v>
          </cell>
        </row>
        <row r="1090">
          <cell r="C1090">
            <v>200000</v>
          </cell>
        </row>
        <row r="1091">
          <cell r="C1091" t="str">
            <v>Bank Mandiri KMK R 8653</v>
          </cell>
          <cell r="K1091">
            <v>2412000000</v>
          </cell>
        </row>
        <row r="1092">
          <cell r="C1092">
            <v>200000</v>
          </cell>
        </row>
        <row r="1093">
          <cell r="C1093" t="str">
            <v>Penjualan dollar @ $200.000 x Rp12.060</v>
          </cell>
        </row>
        <row r="1094">
          <cell r="C1094" t="str">
            <v>Bank Mandiri KMK R 8653</v>
          </cell>
          <cell r="L1094">
            <v>699469164</v>
          </cell>
        </row>
        <row r="1095">
          <cell r="C1095" t="str">
            <v>Kas Pusat</v>
          </cell>
          <cell r="K1095">
            <v>699469164</v>
          </cell>
        </row>
        <row r="1096">
          <cell r="C1096" t="str">
            <v>Pencairan cek KMK Revolving</v>
          </cell>
        </row>
        <row r="1097">
          <cell r="C1097" t="str">
            <v>Bank Mandiri KMK 3548 USD</v>
          </cell>
          <cell r="L1097">
            <v>2410000000</v>
          </cell>
        </row>
        <row r="1098">
          <cell r="C1098">
            <v>200000</v>
          </cell>
        </row>
        <row r="1099">
          <cell r="C1099" t="str">
            <v>Bank Mandiri KMK R 8653</v>
          </cell>
          <cell r="K1099">
            <v>2410000000</v>
          </cell>
        </row>
        <row r="1100">
          <cell r="C1100">
            <v>200000</v>
          </cell>
        </row>
        <row r="1101">
          <cell r="C1101" t="str">
            <v>Penjualan dollar @ $200.000 x Rp12.050.</v>
          </cell>
        </row>
        <row r="1102">
          <cell r="C1102" t="str">
            <v>Bank Mandiri KMK R 8653</v>
          </cell>
          <cell r="L1102">
            <v>713454567</v>
          </cell>
        </row>
        <row r="1103">
          <cell r="C1103" t="str">
            <v>Kas Pusat</v>
          </cell>
          <cell r="K1103">
            <v>713454567</v>
          </cell>
        </row>
        <row r="1104">
          <cell r="C1104" t="str">
            <v>Pencairan cek KMk Revolving</v>
          </cell>
        </row>
        <row r="1105">
          <cell r="C1105" t="str">
            <v>Bank Mandiri Rp - A/c 114.0002150616</v>
          </cell>
          <cell r="L1105">
            <v>140500000</v>
          </cell>
        </row>
        <row r="1106">
          <cell r="C1106" t="str">
            <v>Kas Pusat</v>
          </cell>
          <cell r="K1106">
            <v>140500000</v>
          </cell>
        </row>
        <row r="1107">
          <cell r="C1107" t="str">
            <v>Pencairan cek rek giro</v>
          </cell>
        </row>
        <row r="1108">
          <cell r="C1108" t="str">
            <v>Bank Mandiri KMK 3548 USD</v>
          </cell>
          <cell r="L1108">
            <v>1822500000</v>
          </cell>
        </row>
        <row r="1109">
          <cell r="C1109">
            <v>150000</v>
          </cell>
        </row>
        <row r="1110">
          <cell r="C1110" t="str">
            <v>Bank Mandiri KMK R 8653</v>
          </cell>
          <cell r="K1110">
            <v>1822500000</v>
          </cell>
        </row>
        <row r="1111">
          <cell r="C1111">
            <v>150000</v>
          </cell>
        </row>
        <row r="1112">
          <cell r="C1112" t="str">
            <v>Penjualan dollar @ $150.000 x Rp.12.150</v>
          </cell>
        </row>
        <row r="1113">
          <cell r="C1113" t="str">
            <v>Bank Mandiri KMK R 8653</v>
          </cell>
          <cell r="L1113">
            <v>534000000</v>
          </cell>
        </row>
        <row r="1114">
          <cell r="C1114" t="str">
            <v>Kas Pusat</v>
          </cell>
          <cell r="K1114">
            <v>534000000</v>
          </cell>
        </row>
        <row r="1115">
          <cell r="C1115" t="str">
            <v>Pencairan cek KMK revolving</v>
          </cell>
        </row>
        <row r="1116">
          <cell r="C1116" t="str">
            <v>Bank Mandiri KMK R 8653</v>
          </cell>
          <cell r="L1116">
            <v>2782989877</v>
          </cell>
        </row>
        <row r="1117">
          <cell r="C1117" t="str">
            <v>Kas Pusat</v>
          </cell>
          <cell r="K1117">
            <v>2782989877</v>
          </cell>
        </row>
        <row r="1118">
          <cell r="C1118" t="str">
            <v>Pencairan cek KMK Revolving</v>
          </cell>
        </row>
        <row r="1119">
          <cell r="C1119" t="str">
            <v>Bank Mandiri KMK R 8653</v>
          </cell>
          <cell r="L1119">
            <v>825679243</v>
          </cell>
        </row>
        <row r="1120">
          <cell r="C1120" t="str">
            <v>Kas Pusat</v>
          </cell>
          <cell r="K1120">
            <v>825679243</v>
          </cell>
        </row>
        <row r="1121">
          <cell r="C1121" t="str">
            <v>Pencairan cek mandiri KMK Revolving 8653</v>
          </cell>
        </row>
        <row r="1122">
          <cell r="C1122" t="str">
            <v>Bank Mandiri KMK R 8653</v>
          </cell>
          <cell r="L1122">
            <v>1560865200</v>
          </cell>
        </row>
        <row r="1123">
          <cell r="C1123" t="str">
            <v>Kas Pusat</v>
          </cell>
          <cell r="K1123">
            <v>1560865200</v>
          </cell>
        </row>
        <row r="1124">
          <cell r="C1124" t="str">
            <v>Pencairan Cek mandiri KM Revolving No. 474572,474573-Bank Mandiri</v>
          </cell>
        </row>
        <row r="1125">
          <cell r="C1125" t="str">
            <v>Bank Mandiri KMK R 8653</v>
          </cell>
          <cell r="L1125">
            <v>2968000000</v>
          </cell>
        </row>
        <row r="1126">
          <cell r="C1126" t="str">
            <v>Kas Pusat</v>
          </cell>
          <cell r="K1126">
            <v>2968000000</v>
          </cell>
        </row>
        <row r="1127">
          <cell r="C1127" t="str">
            <v>Pencairan cek KMK revolving</v>
          </cell>
        </row>
        <row r="1128">
          <cell r="C1128" t="str">
            <v>Bank Mandiri KMK R 8653</v>
          </cell>
          <cell r="L1128">
            <v>949018749</v>
          </cell>
        </row>
        <row r="1129">
          <cell r="C1129" t="str">
            <v>Kas Pusat</v>
          </cell>
          <cell r="K1129">
            <v>949018749</v>
          </cell>
        </row>
        <row r="1130">
          <cell r="C1130" t="str">
            <v>Pencairan cek mandiri KMK Revolving No Cek 474575 &amp; 053801- Bank mandiri</v>
          </cell>
        </row>
        <row r="1131">
          <cell r="C1131" t="str">
            <v>Bank Mandiri KMK 3548 USD</v>
          </cell>
          <cell r="L1131">
            <v>2424000000</v>
          </cell>
        </row>
        <row r="1132">
          <cell r="C1132" t="str">
            <v>Bank Mandiri KMK R 8653</v>
          </cell>
          <cell r="K1132">
            <v>2424000000</v>
          </cell>
        </row>
        <row r="1133">
          <cell r="C1133" t="str">
            <v>PENJUALAN DOLLAR @ $200.000 X RP 12.120</v>
          </cell>
        </row>
        <row r="1134">
          <cell r="C1134" t="str">
            <v>Bank Mandiri KMK R 8653</v>
          </cell>
          <cell r="L1134">
            <v>59426676</v>
          </cell>
        </row>
        <row r="1135">
          <cell r="C1135" t="str">
            <v>Kas Pusat</v>
          </cell>
          <cell r="K1135">
            <v>59426676</v>
          </cell>
        </row>
        <row r="1136">
          <cell r="C1136" t="str">
            <v>Pencairan cek mandiri KMK revolving</v>
          </cell>
        </row>
        <row r="1137">
          <cell r="C1137" t="str">
            <v>Bank Mandiri KMK 3548 USD</v>
          </cell>
          <cell r="L1137">
            <v>2432000000</v>
          </cell>
        </row>
        <row r="1138">
          <cell r="C1138" t="str">
            <v>Bank Mandiri KMK R 8653</v>
          </cell>
          <cell r="K1138">
            <v>2432000000</v>
          </cell>
        </row>
        <row r="1139">
          <cell r="C1139" t="str">
            <v>PENJUALAN DOLLAR @ $200.000 X RP 12.160</v>
          </cell>
        </row>
        <row r="1140">
          <cell r="C1140" t="str">
            <v>Bank Mandiri KMK R 8653</v>
          </cell>
          <cell r="L1140">
            <v>2999357279</v>
          </cell>
        </row>
        <row r="1141">
          <cell r="C1141" t="str">
            <v>Kas Pusat</v>
          </cell>
          <cell r="K1141">
            <v>2999357279</v>
          </cell>
        </row>
        <row r="1142">
          <cell r="C1142" t="str">
            <v>Pencairan cek mandiri Kmk Revolving No 053803,053804 &amp;053805</v>
          </cell>
        </row>
        <row r="1143">
          <cell r="C1143" t="str">
            <v>Bank Mandiri KMK R 8653</v>
          </cell>
          <cell r="L1143">
            <v>2521594684</v>
          </cell>
        </row>
        <row r="1144">
          <cell r="C1144" t="str">
            <v>Kas Pusat</v>
          </cell>
          <cell r="K1144">
            <v>2521594684</v>
          </cell>
        </row>
        <row r="1145">
          <cell r="C1145" t="str">
            <v>Pencairan cek mandiri KMK Revolving</v>
          </cell>
        </row>
        <row r="1146">
          <cell r="C1146" t="str">
            <v>Bank Mandiri KMK R 8653</v>
          </cell>
          <cell r="L1146">
            <v>1508000000</v>
          </cell>
        </row>
        <row r="1147">
          <cell r="C1147" t="str">
            <v>Kas Pusat</v>
          </cell>
          <cell r="K1147">
            <v>1508000000</v>
          </cell>
        </row>
        <row r="1148">
          <cell r="C1148" t="str">
            <v>Pencairan cek mandiri KMK Revolving</v>
          </cell>
        </row>
        <row r="1149">
          <cell r="C1149" t="str">
            <v>Bank Mandiri KMK 3548 USD</v>
          </cell>
          <cell r="L1149">
            <v>608250000</v>
          </cell>
        </row>
        <row r="1150">
          <cell r="C1150" t="str">
            <v>Bank Mandiri KMK R 8653</v>
          </cell>
          <cell r="K1150">
            <v>608250000</v>
          </cell>
        </row>
        <row r="1151">
          <cell r="C1151" t="str">
            <v>PENJUALAN DOLLAR @ $50.000 X RP12.165</v>
          </cell>
        </row>
        <row r="1152">
          <cell r="C1152" t="str">
            <v>Bank Mandiri Rp - A/c 114.0002150616</v>
          </cell>
          <cell r="L1152">
            <v>1954000000</v>
          </cell>
        </row>
        <row r="1153">
          <cell r="C1153" t="str">
            <v>Kas Pusat</v>
          </cell>
          <cell r="K1153">
            <v>1954000000</v>
          </cell>
        </row>
        <row r="1154">
          <cell r="C1154" t="str">
            <v>Pencairan cek mandiri giro-Bank mandiri</v>
          </cell>
        </row>
        <row r="1155">
          <cell r="C1155" t="str">
            <v>Kas Pusat</v>
          </cell>
          <cell r="L1155">
            <v>1055000000</v>
          </cell>
        </row>
        <row r="1156">
          <cell r="C1156" t="str">
            <v>Bank Mandiri KMK R 8653</v>
          </cell>
          <cell r="K1156">
            <v>1055000000</v>
          </cell>
        </row>
        <row r="1157">
          <cell r="C1157" t="str">
            <v>SETOR KE REK BANK 8653</v>
          </cell>
        </row>
        <row r="1158">
          <cell r="C1158" t="str">
            <v>Bank Mandiri KMK 3548 USD</v>
          </cell>
          <cell r="L1158">
            <v>2441000000</v>
          </cell>
        </row>
        <row r="1159">
          <cell r="C1159" t="str">
            <v>Bank Mandiri KMK R 8653</v>
          </cell>
          <cell r="K1159">
            <v>2441000000</v>
          </cell>
        </row>
        <row r="1160">
          <cell r="C1160" t="str">
            <v>PENJUALAN DOLLAR @ $200.000 X RP12.205</v>
          </cell>
        </row>
        <row r="1161">
          <cell r="C1161" t="str">
            <v>Bank Mandiri KMK R 8653</v>
          </cell>
          <cell r="L1161">
            <v>1431000000</v>
          </cell>
        </row>
        <row r="1162">
          <cell r="C1162" t="str">
            <v>Kas Pusat</v>
          </cell>
          <cell r="K1162">
            <v>1431000000</v>
          </cell>
        </row>
        <row r="1163">
          <cell r="C1163" t="str">
            <v>Pencairan cek KMK Revolving</v>
          </cell>
        </row>
        <row r="1164">
          <cell r="C1164" t="str">
            <v>Bank Mandiri KMK R 8653</v>
          </cell>
          <cell r="L1164">
            <v>789108680</v>
          </cell>
        </row>
        <row r="1165">
          <cell r="C1165" t="str">
            <v>Kas Pusat</v>
          </cell>
          <cell r="K1165">
            <v>789108680</v>
          </cell>
        </row>
        <row r="1166">
          <cell r="C1166" t="str">
            <v>Pencairan cek mandiri KMK Revolving</v>
          </cell>
        </row>
        <row r="1167">
          <cell r="C1167" t="str">
            <v>Bank Mandiri KMK R 8653</v>
          </cell>
          <cell r="L1167">
            <v>2329570294</v>
          </cell>
        </row>
        <row r="1168">
          <cell r="C1168" t="str">
            <v>Kas Pusat</v>
          </cell>
          <cell r="K1168">
            <v>2329570294</v>
          </cell>
        </row>
        <row r="1169">
          <cell r="C1169" t="str">
            <v>Pencairan cek mandiri KMK Revolving</v>
          </cell>
        </row>
        <row r="1170">
          <cell r="C1170" t="str">
            <v>Bank Mandiri KMK R 8653</v>
          </cell>
          <cell r="L1170">
            <v>770000000</v>
          </cell>
        </row>
        <row r="1171">
          <cell r="C1171" t="str">
            <v>Kas Pusat</v>
          </cell>
          <cell r="K1171">
            <v>770000000</v>
          </cell>
        </row>
        <row r="1172">
          <cell r="C1172" t="str">
            <v>Pencairan cek KMK Revolving</v>
          </cell>
        </row>
        <row r="1173">
          <cell r="C1173" t="str">
            <v>Bank Mandiri Rp - A/c 114.0002150616</v>
          </cell>
          <cell r="L1173">
            <v>496000000</v>
          </cell>
        </row>
        <row r="1174">
          <cell r="C1174" t="str">
            <v>Kas Pusat</v>
          </cell>
          <cell r="K1174">
            <v>496000000</v>
          </cell>
        </row>
        <row r="1175">
          <cell r="C1175" t="str">
            <v>Pencairan Cek mandiri  Giro</v>
          </cell>
        </row>
        <row r="1176">
          <cell r="C1176" t="str">
            <v>Bank Mandiri KMK R 8653</v>
          </cell>
          <cell r="L1176">
            <v>740047358</v>
          </cell>
        </row>
        <row r="1177">
          <cell r="C1177" t="str">
            <v>Kas Pusat</v>
          </cell>
          <cell r="K1177">
            <v>740047358</v>
          </cell>
        </row>
        <row r="1178">
          <cell r="C1178" t="str">
            <v>Pencairan cek mandiri KMK Revolving</v>
          </cell>
        </row>
        <row r="1179">
          <cell r="C1179" t="str">
            <v>Bank Mandiri KMK 3548 USD</v>
          </cell>
          <cell r="L1179">
            <v>2428000000</v>
          </cell>
        </row>
        <row r="1180">
          <cell r="C1180" t="str">
            <v>Bank Mandiri KMK R 8653</v>
          </cell>
          <cell r="K1180">
            <v>2428000000</v>
          </cell>
        </row>
        <row r="1181">
          <cell r="C1181" t="str">
            <v>PENJUALAN DOLLAR @ $200.000 X RP12.140</v>
          </cell>
        </row>
        <row r="1182">
          <cell r="C1182" t="str">
            <v>Bank Mandiri KMK R 8653</v>
          </cell>
          <cell r="L1182">
            <v>1023000000</v>
          </cell>
        </row>
        <row r="1183">
          <cell r="C1183" t="str">
            <v>Kas Pusat</v>
          </cell>
          <cell r="K1183">
            <v>1023000000</v>
          </cell>
        </row>
        <row r="1184">
          <cell r="C1184" t="str">
            <v>Pencairan cek KMK Revolving</v>
          </cell>
        </row>
        <row r="1185">
          <cell r="C1185" t="str">
            <v>Bank Mandiri KMK 3548 USD</v>
          </cell>
          <cell r="L1185">
            <v>2432000000</v>
          </cell>
        </row>
        <row r="1186">
          <cell r="C1186" t="str">
            <v>Bank Mandiri KMK R 8653</v>
          </cell>
          <cell r="K1186">
            <v>2432000000</v>
          </cell>
        </row>
        <row r="1187">
          <cell r="C1187" t="str">
            <v>PENJUALAN DOLLAR @ $200.000 X RP12.160</v>
          </cell>
        </row>
        <row r="1188">
          <cell r="C1188" t="str">
            <v>Bank Mandiri KMK R 8653</v>
          </cell>
          <cell r="L1188">
            <v>1240265482</v>
          </cell>
        </row>
        <row r="1189">
          <cell r="C1189" t="str">
            <v>Kas Pusat</v>
          </cell>
          <cell r="K1189">
            <v>1240265482</v>
          </cell>
        </row>
        <row r="1190">
          <cell r="C1190" t="str">
            <v>Pencairan cek mandiri KMK Revolving</v>
          </cell>
        </row>
        <row r="1191">
          <cell r="C1191" t="str">
            <v>Bank Mandiri Rp - A/c 114.0002150616</v>
          </cell>
          <cell r="L1191">
            <v>392000000</v>
          </cell>
        </row>
        <row r="1192">
          <cell r="C1192" t="str">
            <v>Kas Pusat</v>
          </cell>
          <cell r="K1192">
            <v>392000000</v>
          </cell>
        </row>
        <row r="1193">
          <cell r="C1193" t="str">
            <v>Pencairan cek giro ISP</v>
          </cell>
        </row>
        <row r="1194">
          <cell r="C1194" t="str">
            <v>Bank Mandiri KMK 3548 USD</v>
          </cell>
          <cell r="L1194">
            <v>1824750000</v>
          </cell>
        </row>
        <row r="1195">
          <cell r="C1195" t="str">
            <v>Bank Mandiri KMK R 8653</v>
          </cell>
          <cell r="K1195">
            <v>1824750000</v>
          </cell>
        </row>
        <row r="1196">
          <cell r="C1196" t="str">
            <v>PENJUALAN DOLLAR @ $150.000 X RP12.165</v>
          </cell>
        </row>
        <row r="1197">
          <cell r="C1197" t="str">
            <v>Bank Mandiri KMK R 8653</v>
          </cell>
          <cell r="L1197">
            <v>1489444938</v>
          </cell>
        </row>
        <row r="1198">
          <cell r="C1198" t="str">
            <v>Kas Pusat</v>
          </cell>
          <cell r="K1198">
            <v>1489444938</v>
          </cell>
        </row>
        <row r="1199">
          <cell r="C1199" t="str">
            <v>Pencairan cek mandiri KMK Revolving</v>
          </cell>
        </row>
        <row r="1200">
          <cell r="C1200" t="str">
            <v>Bank Mandiri Rp - A/c 114.0002150616</v>
          </cell>
          <cell r="L1200">
            <v>590000000</v>
          </cell>
        </row>
        <row r="1201">
          <cell r="C1201" t="str">
            <v>Kas Pusat</v>
          </cell>
          <cell r="K1201">
            <v>590000000</v>
          </cell>
        </row>
        <row r="1202">
          <cell r="C1202" t="str">
            <v>Pencairan cek giro ISP</v>
          </cell>
        </row>
        <row r="1203">
          <cell r="C1203" t="str">
            <v>Bank Mandiri KMK R 8653</v>
          </cell>
          <cell r="L1203">
            <v>1190000000</v>
          </cell>
        </row>
        <row r="1204">
          <cell r="C1204" t="str">
            <v>Kas Pusat</v>
          </cell>
          <cell r="K1204">
            <v>1190000000</v>
          </cell>
        </row>
        <row r="1205">
          <cell r="C1205" t="str">
            <v>Pencairan cek mandiri KMK Revolving</v>
          </cell>
        </row>
        <row r="1206">
          <cell r="C1206" t="str">
            <v>Bank Mandiri KMK 3548 USD</v>
          </cell>
          <cell r="L1206">
            <v>1216500000</v>
          </cell>
        </row>
        <row r="1207">
          <cell r="C1207" t="str">
            <v>Bank Mandiri KMK R 8653</v>
          </cell>
          <cell r="K1207">
            <v>1216500000</v>
          </cell>
        </row>
        <row r="1208">
          <cell r="C1208" t="str">
            <v>PENJUALAN DOLLAR @ $100.000 X RP12.165</v>
          </cell>
        </row>
        <row r="1209">
          <cell r="C1209" t="str">
            <v>Bank Mandiri KMK R 8653</v>
          </cell>
          <cell r="L1209">
            <v>1406118979</v>
          </cell>
        </row>
        <row r="1210">
          <cell r="C1210" t="str">
            <v>Kas Pusat</v>
          </cell>
          <cell r="K1210">
            <v>1406118979</v>
          </cell>
        </row>
        <row r="1211">
          <cell r="C1211" t="str">
            <v>Pencairan Cek Mandiri KMK Revolving</v>
          </cell>
        </row>
        <row r="1212">
          <cell r="C1212" t="str">
            <v>Bank Mandiri KMK R 8653</v>
          </cell>
          <cell r="L1212">
            <v>552000000</v>
          </cell>
        </row>
        <row r="1213">
          <cell r="C1213" t="str">
            <v>Kas Pusat</v>
          </cell>
          <cell r="K1213">
            <v>552000000</v>
          </cell>
        </row>
        <row r="1214">
          <cell r="C1214" t="str">
            <v>Pencairan cek mandiri KMK Revolving</v>
          </cell>
        </row>
        <row r="1215">
          <cell r="C1215" t="str">
            <v>Bank Mandiri KMK 3548 USD</v>
          </cell>
          <cell r="L1215">
            <v>3652500000</v>
          </cell>
        </row>
        <row r="1216">
          <cell r="C1216" t="str">
            <v>Bank Mandiri KMK R 8653</v>
          </cell>
          <cell r="K1216">
            <v>3652500000</v>
          </cell>
        </row>
        <row r="1217">
          <cell r="C1217" t="str">
            <v>PENJUALAN DOLLAR @ $300.000 X RP12.175</v>
          </cell>
        </row>
        <row r="1218">
          <cell r="C1218" t="str">
            <v>Bank Mandiri KMK R 8653</v>
          </cell>
          <cell r="L1218">
            <v>2694000000</v>
          </cell>
        </row>
        <row r="1219">
          <cell r="C1219" t="str">
            <v>Kas Pusat</v>
          </cell>
          <cell r="K1219">
            <v>2694000000</v>
          </cell>
        </row>
        <row r="1220">
          <cell r="C1220" t="str">
            <v>Pencairan cek mandiri KMK Revolving</v>
          </cell>
        </row>
        <row r="1221">
          <cell r="C1221" t="str">
            <v>Bank Mandiri KMK 3548 USD</v>
          </cell>
          <cell r="L1221">
            <v>2439000000</v>
          </cell>
        </row>
        <row r="1222">
          <cell r="C1222" t="str">
            <v>Bank Mandiri KMK R 8653</v>
          </cell>
          <cell r="K1222">
            <v>2439000000</v>
          </cell>
        </row>
        <row r="1223">
          <cell r="C1223" t="str">
            <v>PENJUALAN DOLLAR @ $200.000 X RP12.195</v>
          </cell>
        </row>
        <row r="1224">
          <cell r="C1224" t="str">
            <v>Bank Mandiri KMK R 8653</v>
          </cell>
          <cell r="L1224">
            <v>2657080676</v>
          </cell>
        </row>
        <row r="1225">
          <cell r="C1225" t="str">
            <v>Kas Pusat</v>
          </cell>
          <cell r="K1225">
            <v>2657080676</v>
          </cell>
        </row>
        <row r="1226">
          <cell r="C1226" t="str">
            <v>Pencairan cek KMK Revolving</v>
          </cell>
        </row>
        <row r="1227">
          <cell r="C1227" t="str">
            <v>Bank Mandiri KMK 3548 USD</v>
          </cell>
          <cell r="L1227">
            <v>2452400000</v>
          </cell>
        </row>
        <row r="1228">
          <cell r="C1228" t="str">
            <v>Bank Mandiri KMK R 8653</v>
          </cell>
          <cell r="K1228">
            <v>2452400000</v>
          </cell>
        </row>
        <row r="1229">
          <cell r="C1229" t="str">
            <v>Penj dollar $ 200.000</v>
          </cell>
        </row>
        <row r="1230">
          <cell r="C1230" t="str">
            <v>Bank Mandiri KMK R 8653</v>
          </cell>
          <cell r="L1230">
            <v>2085500000</v>
          </cell>
        </row>
        <row r="1231">
          <cell r="C1231" t="str">
            <v>Kas Pusat</v>
          </cell>
          <cell r="K1231">
            <v>2085500000</v>
          </cell>
        </row>
        <row r="1232">
          <cell r="C1232" t="str">
            <v>Pencairan cek mandiri KMK Revolving</v>
          </cell>
        </row>
        <row r="1233">
          <cell r="C1233" t="str">
            <v>Bank Mandiri KMK 3548 USD</v>
          </cell>
          <cell r="L1233">
            <v>1227200000</v>
          </cell>
        </row>
        <row r="1234">
          <cell r="C1234" t="str">
            <v>Bank Mandiri KMK R 8653</v>
          </cell>
          <cell r="K1234">
            <v>1227200000</v>
          </cell>
        </row>
        <row r="1235">
          <cell r="C1235" t="str">
            <v>Penj dollar @ 100.000</v>
          </cell>
        </row>
        <row r="1236">
          <cell r="C1236" t="str">
            <v>Bank Mandiri KMK R 8653</v>
          </cell>
          <cell r="L1236">
            <v>1274433097</v>
          </cell>
        </row>
        <row r="1237">
          <cell r="C1237" t="str">
            <v>Kas Pusat</v>
          </cell>
          <cell r="K1237">
            <v>1274433097</v>
          </cell>
        </row>
        <row r="1238">
          <cell r="C1238" t="str">
            <v>Pencairan cek mandiri KMK Revolving</v>
          </cell>
        </row>
        <row r="1239">
          <cell r="C1239" t="str">
            <v>Bank Mandiri KMK 3548 USD</v>
          </cell>
          <cell r="L1239">
            <v>1229000000</v>
          </cell>
        </row>
        <row r="1240">
          <cell r="C1240" t="str">
            <v>Bank Mandiri KMK R 8653</v>
          </cell>
          <cell r="K1240">
            <v>1229000000</v>
          </cell>
        </row>
        <row r="1241">
          <cell r="C1241" t="str">
            <v>Penj Dollar @ 100.000</v>
          </cell>
        </row>
        <row r="1242">
          <cell r="C1242" t="str">
            <v>Bank Mandiri KMK R 8653</v>
          </cell>
          <cell r="L1242">
            <v>883018678</v>
          </cell>
        </row>
        <row r="1243">
          <cell r="C1243" t="str">
            <v>Kas Pusat</v>
          </cell>
          <cell r="K1243">
            <v>883018678</v>
          </cell>
        </row>
        <row r="1244">
          <cell r="C1244" t="str">
            <v>Pencairan cek mandiri KMK Revolving</v>
          </cell>
        </row>
        <row r="1245">
          <cell r="C1245" t="str">
            <v>Bank Mandiri KMK 3548 USD</v>
          </cell>
          <cell r="L1245">
            <v>4924000000</v>
          </cell>
        </row>
        <row r="1246">
          <cell r="C1246" t="str">
            <v>Bank Mandiri KMK R 8653</v>
          </cell>
          <cell r="K1246">
            <v>4924000000</v>
          </cell>
        </row>
        <row r="1247">
          <cell r="C1247" t="str">
            <v>Penj Dollar @ 400.000</v>
          </cell>
        </row>
        <row r="1248">
          <cell r="C1248" t="str">
            <v>Bank Mandiri KMK R 8653</v>
          </cell>
          <cell r="L1248">
            <v>796811215</v>
          </cell>
        </row>
        <row r="1249">
          <cell r="C1249" t="str">
            <v>Kas Pusat</v>
          </cell>
          <cell r="K1249">
            <v>796811215</v>
          </cell>
        </row>
        <row r="1250">
          <cell r="C1250" t="str">
            <v>Pencairan cek mandiri KMK Revolving</v>
          </cell>
        </row>
        <row r="1251">
          <cell r="C1251" t="str">
            <v>Bank Mandiri KMK R 8653</v>
          </cell>
          <cell r="L1251">
            <v>1448694761</v>
          </cell>
        </row>
        <row r="1252">
          <cell r="C1252" t="str">
            <v>Kas Pusat</v>
          </cell>
          <cell r="K1252">
            <v>1448694761</v>
          </cell>
        </row>
        <row r="1253">
          <cell r="C1253" t="str">
            <v>Pencairan cek mandiri KMK Revolving</v>
          </cell>
        </row>
        <row r="1254">
          <cell r="C1254" t="str">
            <v>Bank Mandiri KMK R 8653</v>
          </cell>
          <cell r="L1254">
            <v>392166588</v>
          </cell>
        </row>
        <row r="1255">
          <cell r="C1255" t="str">
            <v>Kas Pusat</v>
          </cell>
          <cell r="K1255">
            <v>392166588</v>
          </cell>
        </row>
        <row r="1256">
          <cell r="C1256" t="str">
            <v>Pencairan cek mandiri Rek KMK Revolving</v>
          </cell>
        </row>
        <row r="1257">
          <cell r="C1257" t="str">
            <v>Bank Mandiri KMK R 8653</v>
          </cell>
          <cell r="L1257">
            <v>814048295</v>
          </cell>
        </row>
        <row r="1258">
          <cell r="C1258" t="str">
            <v>Kas Pusat</v>
          </cell>
          <cell r="K1258">
            <v>814048295</v>
          </cell>
        </row>
        <row r="1259">
          <cell r="C1259" t="str">
            <v>Pencairan cek mandiri KMK Revolving</v>
          </cell>
        </row>
        <row r="1260">
          <cell r="C1260" t="str">
            <v>Bank Mandiri KMK R 8653</v>
          </cell>
          <cell r="L1260">
            <v>469382347</v>
          </cell>
        </row>
        <row r="1261">
          <cell r="C1261" t="str">
            <v>Kas Pusat</v>
          </cell>
          <cell r="K1261">
            <v>469382347</v>
          </cell>
        </row>
        <row r="1262">
          <cell r="C1262" t="str">
            <v>Pencairan cek mandiri KMK Revolving</v>
          </cell>
        </row>
        <row r="1263">
          <cell r="C1263" t="str">
            <v>Bank Mandiri Rp - A/c 114.0002150616</v>
          </cell>
          <cell r="L1263">
            <v>250000000</v>
          </cell>
        </row>
        <row r="1264">
          <cell r="C1264" t="str">
            <v>Kas Pusat</v>
          </cell>
          <cell r="K1264">
            <v>250000000</v>
          </cell>
        </row>
        <row r="1265">
          <cell r="C1265" t="str">
            <v>Pencairan cek mandiri giro ISP</v>
          </cell>
        </row>
        <row r="1266">
          <cell r="C1266" t="str">
            <v>Bank Mandiri KMK 3548 USD</v>
          </cell>
          <cell r="L1266">
            <v>2467000000</v>
          </cell>
        </row>
        <row r="1267">
          <cell r="C1267" t="str">
            <v>Bank Mandiri KMK R 8653</v>
          </cell>
          <cell r="K1267">
            <v>2467000000</v>
          </cell>
        </row>
        <row r="1268">
          <cell r="C1268" t="str">
            <v>Penj Dollar @ 200.000</v>
          </cell>
        </row>
        <row r="1269">
          <cell r="C1269" t="str">
            <v>Bank Mandiri KMK R 8653</v>
          </cell>
          <cell r="L1269">
            <v>500000000</v>
          </cell>
        </row>
        <row r="1270">
          <cell r="C1270" t="str">
            <v>Kas Pusat</v>
          </cell>
          <cell r="K1270">
            <v>500000000</v>
          </cell>
        </row>
        <row r="1271">
          <cell r="C1271" t="str">
            <v>Pencairan Cek mandiri KMK Revolving</v>
          </cell>
        </row>
        <row r="1272">
          <cell r="C1272" t="str">
            <v>Bank Mandiri Rp - A/c 114.0002150616</v>
          </cell>
          <cell r="L1272">
            <v>250000000</v>
          </cell>
        </row>
        <row r="1273">
          <cell r="C1273" t="str">
            <v>Kas Pusat</v>
          </cell>
          <cell r="K1273">
            <v>250000000</v>
          </cell>
        </row>
        <row r="1274">
          <cell r="C1274" t="str">
            <v>Pencairan cek mandiri Giro</v>
          </cell>
        </row>
        <row r="1275">
          <cell r="C1275" t="str">
            <v>Bank Mandiri KMK R 8653</v>
          </cell>
          <cell r="L1275">
            <v>953114791</v>
          </cell>
        </row>
        <row r="1276">
          <cell r="C1276" t="str">
            <v>Kas Pusat</v>
          </cell>
          <cell r="K1276">
            <v>953114791</v>
          </cell>
        </row>
        <row r="1277">
          <cell r="C1277" t="str">
            <v>Pencairan cek Mandiri KMK Revolving</v>
          </cell>
        </row>
        <row r="1278">
          <cell r="C1278" t="str">
            <v>Bank Mandiri KMK 3548 USD</v>
          </cell>
          <cell r="L1278">
            <v>3805500000</v>
          </cell>
        </row>
        <row r="1279">
          <cell r="C1279" t="str">
            <v>Bank Mandiri KMK R 8653</v>
          </cell>
          <cell r="K1279">
            <v>3805500000</v>
          </cell>
        </row>
        <row r="1280">
          <cell r="C1280" t="str">
            <v>Penj Dollar @ 300.000</v>
          </cell>
        </row>
        <row r="1281">
          <cell r="C1281" t="str">
            <v>Bank Mandiri KMK R 8653</v>
          </cell>
          <cell r="L1281">
            <v>637000000</v>
          </cell>
        </row>
        <row r="1282">
          <cell r="C1282" t="str">
            <v>Kas Pusat</v>
          </cell>
          <cell r="K1282">
            <v>637000000</v>
          </cell>
        </row>
        <row r="1283">
          <cell r="C1283" t="str">
            <v>Pencairan Cek Mandiri KMK Revolving</v>
          </cell>
        </row>
        <row r="1284">
          <cell r="C1284" t="str">
            <v>Bank Mandiri KMK R 8653</v>
          </cell>
          <cell r="L1284">
            <v>2761222568</v>
          </cell>
        </row>
        <row r="1285">
          <cell r="C1285" t="str">
            <v>Kas Pusat</v>
          </cell>
          <cell r="K1285">
            <v>2761222568</v>
          </cell>
        </row>
        <row r="1286">
          <cell r="C1286" t="str">
            <v>Pencairan cek Mandiri KMK Revolving</v>
          </cell>
        </row>
        <row r="1287">
          <cell r="C1287" t="str">
            <v>Bank Mandiri Rp - A/c 114.0002150616</v>
          </cell>
          <cell r="L1287">
            <v>140000000</v>
          </cell>
        </row>
        <row r="1288">
          <cell r="C1288" t="str">
            <v>Kas Pusat</v>
          </cell>
          <cell r="K1288">
            <v>140000000</v>
          </cell>
        </row>
        <row r="1289">
          <cell r="C1289" t="str">
            <v>Pencairan cek Mandiri Giro</v>
          </cell>
        </row>
        <row r="1290">
          <cell r="C1290" t="str">
            <v>Bank Mandiri KMK R 8653</v>
          </cell>
          <cell r="L1290">
            <v>458000000</v>
          </cell>
        </row>
        <row r="1291">
          <cell r="C1291" t="str">
            <v>Kas Pusat</v>
          </cell>
          <cell r="K1291">
            <v>458000000</v>
          </cell>
        </row>
        <row r="1292">
          <cell r="C1292" t="str">
            <v>Pencairan cek mandiri KM revolving</v>
          </cell>
        </row>
        <row r="1293">
          <cell r="C1293" t="str">
            <v>Bank Mandiri KMK R 8653</v>
          </cell>
          <cell r="L1293">
            <v>595000000</v>
          </cell>
        </row>
        <row r="1294">
          <cell r="C1294" t="str">
            <v>Kas Pusat</v>
          </cell>
          <cell r="K1294">
            <v>595000000</v>
          </cell>
        </row>
        <row r="1295">
          <cell r="C1295" t="str">
            <v>Pencairan cek Mandiri KMK Revolving tgl 19/12/2014</v>
          </cell>
        </row>
        <row r="1296">
          <cell r="C1296" t="str">
            <v>Bank Mandiri Rp - A/c 114.0002150616</v>
          </cell>
          <cell r="L1296">
            <v>175000000</v>
          </cell>
        </row>
        <row r="1297">
          <cell r="C1297" t="str">
            <v>Kas Pusat</v>
          </cell>
          <cell r="K1297">
            <v>175000000</v>
          </cell>
        </row>
        <row r="1298">
          <cell r="C1298" t="str">
            <v>Pencairan cek Mandiri Giro tgl 19/12/2014</v>
          </cell>
        </row>
        <row r="1299">
          <cell r="C1299" t="str">
            <v>Bank Mandiri KMK R 8653</v>
          </cell>
          <cell r="L1299">
            <v>823539014</v>
          </cell>
        </row>
        <row r="1300">
          <cell r="C1300" t="str">
            <v>Kas Pusat</v>
          </cell>
          <cell r="K1300">
            <v>823539014</v>
          </cell>
        </row>
        <row r="1301">
          <cell r="C1301" t="str">
            <v>Pencairan cek mandiri KMK Revolving</v>
          </cell>
        </row>
        <row r="1302">
          <cell r="C1302" t="str">
            <v>Bank Mandiri Rp - A/c 114.0002150616</v>
          </cell>
          <cell r="L1302">
            <v>650000000</v>
          </cell>
        </row>
        <row r="1303">
          <cell r="C1303" t="str">
            <v>Kas Pusat</v>
          </cell>
          <cell r="K1303">
            <v>650000000</v>
          </cell>
        </row>
        <row r="1304">
          <cell r="C1304" t="str">
            <v>Pencairan cek giro mandiri ISP</v>
          </cell>
        </row>
        <row r="1305">
          <cell r="C1305" t="str">
            <v>Bank Mandiri KMK R 8653</v>
          </cell>
          <cell r="L1305">
            <v>1123000000</v>
          </cell>
        </row>
        <row r="1306">
          <cell r="C1306" t="str">
            <v>Kas Pusat</v>
          </cell>
          <cell r="K1306">
            <v>1123000000</v>
          </cell>
        </row>
        <row r="1307">
          <cell r="C1307" t="str">
            <v>Pencairan Cek mandiri KMK Revolving</v>
          </cell>
        </row>
        <row r="1308">
          <cell r="C1308" t="str">
            <v>Bank Mandiri KMK 3548 USD</v>
          </cell>
          <cell r="L1308">
            <v>3112500000</v>
          </cell>
        </row>
        <row r="1309">
          <cell r="C1309" t="str">
            <v>Bank Mandiri KMK R 8653</v>
          </cell>
          <cell r="K1309">
            <v>3112500000</v>
          </cell>
        </row>
        <row r="1310">
          <cell r="C1310" t="str">
            <v>Penj Dollar @ 250.000</v>
          </cell>
        </row>
        <row r="1311">
          <cell r="C1311" t="str">
            <v>Bank Mandiri KMK R 8653</v>
          </cell>
          <cell r="L1311">
            <v>1567929851</v>
          </cell>
        </row>
        <row r="1312">
          <cell r="C1312" t="str">
            <v>Kas Pusat</v>
          </cell>
          <cell r="K1312">
            <v>1567929851</v>
          </cell>
        </row>
        <row r="1313">
          <cell r="C1313" t="str">
            <v>Pencairan cek Mandiri KMK Revolving tgl 24/12/2014</v>
          </cell>
        </row>
        <row r="1314">
          <cell r="C1314" t="str">
            <v>Bank Mandiri KMK 3548 USD</v>
          </cell>
          <cell r="L1314">
            <v>3737100000</v>
          </cell>
        </row>
        <row r="1315">
          <cell r="C1315" t="str">
            <v>Bank Mandiri KMK R 8653</v>
          </cell>
          <cell r="K1315">
            <v>3737100000</v>
          </cell>
        </row>
        <row r="1316">
          <cell r="C1316" t="str">
            <v>Penj dollar @ 300.000</v>
          </cell>
        </row>
        <row r="1317">
          <cell r="C1317" t="str">
            <v>Bank Mandiri KMK R 8653</v>
          </cell>
          <cell r="L1317">
            <v>3113702306</v>
          </cell>
        </row>
        <row r="1318">
          <cell r="C1318" t="str">
            <v>Kas Pusat</v>
          </cell>
          <cell r="K1318">
            <v>3113702306</v>
          </cell>
        </row>
        <row r="1319">
          <cell r="C1319" t="str">
            <v>Penciaran cek mandiri KMK Revolving</v>
          </cell>
        </row>
        <row r="1320">
          <cell r="C1320" t="str">
            <v>Bank Mandiri Rp - A/c 114.0002150616</v>
          </cell>
          <cell r="L1320">
            <v>4000000</v>
          </cell>
        </row>
        <row r="1321">
          <cell r="C1321" t="str">
            <v>Kas Pusat</v>
          </cell>
          <cell r="K1321">
            <v>4000000</v>
          </cell>
        </row>
        <row r="1322">
          <cell r="C1322" t="str">
            <v>Pencairan cek Mandiri Giro tgl 30/12/2014</v>
          </cell>
        </row>
        <row r="1323">
          <cell r="C1323" t="str">
            <v>Bank Mandiri KMK R 8653</v>
          </cell>
          <cell r="L1323">
            <v>3198125300</v>
          </cell>
        </row>
        <row r="1324">
          <cell r="C1324" t="str">
            <v>Kas Pusat</v>
          </cell>
          <cell r="K1324">
            <v>3198125300</v>
          </cell>
        </row>
        <row r="1325">
          <cell r="C1325" t="str">
            <v>Pemcairan cek Mandiri KMK Revolving tgl 30/12/2014</v>
          </cell>
        </row>
        <row r="1326">
          <cell r="C1326" t="str">
            <v>Bank Mandiri KMK 3548 USD</v>
          </cell>
          <cell r="L1326">
            <v>3735600000</v>
          </cell>
        </row>
        <row r="1327">
          <cell r="C1327" t="str">
            <v>Bank Mandiri KMK R 8653</v>
          </cell>
          <cell r="K1327">
            <v>3735600000</v>
          </cell>
        </row>
        <row r="1328">
          <cell r="C1328" t="str">
            <v>Penj dollar @ 300.000</v>
          </cell>
        </row>
        <row r="1329">
          <cell r="C1329" t="str">
            <v>Bank Mandiri KMK R 8653</v>
          </cell>
          <cell r="L1329">
            <v>2345266351</v>
          </cell>
        </row>
        <row r="1330">
          <cell r="C1330" t="str">
            <v>Kas Pusat</v>
          </cell>
          <cell r="K1330">
            <v>2345266351</v>
          </cell>
        </row>
        <row r="1331">
          <cell r="C1331" t="str">
            <v>Pencairan cek Mandiri KMK Revolving tgl 31/12/2014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Ketapang Full"/>
      <sheetName val="TB Ketapang"/>
      <sheetName val="Debit Note"/>
      <sheetName val="Journal"/>
      <sheetName val="Payment"/>
      <sheetName val="Purchase"/>
      <sheetName val="Receipt"/>
      <sheetName val="Sheet1"/>
      <sheetName val="Sheet2"/>
      <sheetName val="Sheet9"/>
    </sheetNames>
    <sheetDataSet>
      <sheetData sheetId="0" refreshError="1"/>
      <sheetData sheetId="1" refreshError="1"/>
      <sheetData sheetId="2">
        <row r="7">
          <cell r="C7" t="str">
            <v>Panbers Drum</v>
          </cell>
          <cell r="D7">
            <v>2</v>
          </cell>
          <cell r="K7">
            <v>550000</v>
          </cell>
        </row>
        <row r="8">
          <cell r="C8" t="str">
            <v>Pembelian Bahan Pembantu</v>
          </cell>
          <cell r="D8">
            <v>2</v>
          </cell>
          <cell r="L8">
            <v>550000</v>
          </cell>
        </row>
        <row r="9">
          <cell r="C9" t="str">
            <v>Blong Panen Kap.200 Ltr</v>
          </cell>
          <cell r="D9">
            <v>2</v>
          </cell>
        </row>
        <row r="10">
          <cell r="C10" t="str">
            <v>Pengembalian Lebih Bayar Blong Kap.200 Ltr-Panbers Drum</v>
          </cell>
          <cell r="D10">
            <v>2</v>
          </cell>
        </row>
        <row r="11">
          <cell r="C11" t="str">
            <v>Intraco Agro Industri, PT</v>
          </cell>
          <cell r="D11">
            <v>7</v>
          </cell>
          <cell r="K11">
            <v>79100000</v>
          </cell>
        </row>
        <row r="12">
          <cell r="C12" t="str">
            <v>Retur Pembelian</v>
          </cell>
          <cell r="D12">
            <v>7</v>
          </cell>
          <cell r="L12">
            <v>79100000</v>
          </cell>
        </row>
        <row r="13">
          <cell r="C13" t="str">
            <v>393 S</v>
          </cell>
          <cell r="D13">
            <v>7</v>
          </cell>
        </row>
        <row r="14">
          <cell r="C14" t="str">
            <v>Pengembalian 7000 Kg Pakan Luxindo 393 S</v>
          </cell>
          <cell r="D14">
            <v>7</v>
          </cell>
        </row>
        <row r="15">
          <cell r="C15" t="str">
            <v>Intraco Agro Industri, PT</v>
          </cell>
          <cell r="D15">
            <v>7</v>
          </cell>
          <cell r="K15">
            <v>90400000</v>
          </cell>
        </row>
        <row r="16">
          <cell r="C16" t="str">
            <v>Pembelian Bahan Baku</v>
          </cell>
          <cell r="D16">
            <v>7</v>
          </cell>
          <cell r="L16">
            <v>90400000</v>
          </cell>
        </row>
        <row r="17">
          <cell r="C17" t="str">
            <v>392 B</v>
          </cell>
          <cell r="D17">
            <v>7</v>
          </cell>
        </row>
        <row r="18">
          <cell r="C18" t="str">
            <v>Pengembalian Pakan Luxindo 392 B sby 8000 Kg</v>
          </cell>
          <cell r="D18">
            <v>7</v>
          </cell>
        </row>
        <row r="19">
          <cell r="C19" t="str">
            <v>Intraco Agro Industri, PT</v>
          </cell>
          <cell r="D19">
            <v>7</v>
          </cell>
          <cell r="K19">
            <v>90400000</v>
          </cell>
        </row>
        <row r="20">
          <cell r="C20" t="str">
            <v>Pembelian Bahan Baku</v>
          </cell>
          <cell r="D20">
            <v>7</v>
          </cell>
          <cell r="L20">
            <v>90400000</v>
          </cell>
        </row>
        <row r="21">
          <cell r="C21" t="str">
            <v>393 S</v>
          </cell>
          <cell r="D21">
            <v>7</v>
          </cell>
        </row>
        <row r="22">
          <cell r="C22" t="str">
            <v>392 B</v>
          </cell>
          <cell r="D22">
            <v>7</v>
          </cell>
        </row>
        <row r="23">
          <cell r="C23" t="str">
            <v>Pengembalian Pakan Luxindo 393 S sby 6000 Kg &amp; Pakan Luxindo 392 B sby 2000 Kg</v>
          </cell>
          <cell r="D23">
            <v>7</v>
          </cell>
        </row>
        <row r="24">
          <cell r="C24" t="str">
            <v>Intraco Agro Industri, PT</v>
          </cell>
          <cell r="D24">
            <v>7</v>
          </cell>
          <cell r="K24">
            <v>90400000</v>
          </cell>
        </row>
        <row r="25">
          <cell r="C25" t="str">
            <v>Pembelian Bahan Baku</v>
          </cell>
          <cell r="D25">
            <v>7</v>
          </cell>
          <cell r="L25">
            <v>90400000</v>
          </cell>
        </row>
        <row r="26">
          <cell r="C26" t="str">
            <v>393 A</v>
          </cell>
          <cell r="D26">
            <v>7</v>
          </cell>
        </row>
        <row r="27">
          <cell r="C27" t="str">
            <v>Pengembalian 8000 Kg Pakan Luxindo 393 A</v>
          </cell>
          <cell r="D27">
            <v>7</v>
          </cell>
        </row>
        <row r="28">
          <cell r="C28" t="str">
            <v>Intraco Agro Industri, PT</v>
          </cell>
          <cell r="D28">
            <v>7</v>
          </cell>
          <cell r="K28">
            <v>85315000</v>
          </cell>
        </row>
        <row r="29">
          <cell r="C29" t="str">
            <v>Pembelian Bahan Baku</v>
          </cell>
          <cell r="D29">
            <v>7</v>
          </cell>
          <cell r="L29">
            <v>85315000</v>
          </cell>
        </row>
        <row r="30">
          <cell r="C30" t="str">
            <v>392 B</v>
          </cell>
          <cell r="D30">
            <v>7</v>
          </cell>
        </row>
        <row r="31">
          <cell r="C31" t="str">
            <v>393 S</v>
          </cell>
          <cell r="D31">
            <v>7</v>
          </cell>
        </row>
        <row r="32">
          <cell r="C32" t="str">
            <v>Pengembalian 4000 Kg Pakan Luxindo 392 B,Pakan Luxindo 393 S sby 3550 Kg</v>
          </cell>
          <cell r="D32">
            <v>7</v>
          </cell>
        </row>
        <row r="33">
          <cell r="C33" t="str">
            <v>Intraco Agro Industri, PT</v>
          </cell>
          <cell r="D33">
            <v>7</v>
          </cell>
          <cell r="K33">
            <v>88140000</v>
          </cell>
        </row>
        <row r="34">
          <cell r="C34" t="str">
            <v>Pembelian Bahan Baku</v>
          </cell>
          <cell r="D34">
            <v>7</v>
          </cell>
          <cell r="L34">
            <v>88140000</v>
          </cell>
        </row>
        <row r="35">
          <cell r="C35" t="str">
            <v>392 B</v>
          </cell>
          <cell r="D35">
            <v>7</v>
          </cell>
        </row>
        <row r="36">
          <cell r="C36" t="str">
            <v>393 A</v>
          </cell>
          <cell r="D36">
            <v>7</v>
          </cell>
        </row>
        <row r="37">
          <cell r="C37" t="str">
            <v>Pengembalian 6800 Kg Pakan Luxindo 392 B,Pakan Luxindo 393 A sby 1000 Kg</v>
          </cell>
          <cell r="D37">
            <v>7</v>
          </cell>
        </row>
        <row r="38">
          <cell r="C38" t="str">
            <v>Intraco Agro Industri, PT</v>
          </cell>
          <cell r="D38">
            <v>7</v>
          </cell>
          <cell r="K38">
            <v>90400000</v>
          </cell>
        </row>
        <row r="39">
          <cell r="C39" t="str">
            <v>Pembelian Bahan Baku</v>
          </cell>
          <cell r="D39">
            <v>7</v>
          </cell>
          <cell r="L39">
            <v>90400000</v>
          </cell>
        </row>
        <row r="40">
          <cell r="C40" t="str">
            <v>393 A</v>
          </cell>
          <cell r="D40">
            <v>7</v>
          </cell>
        </row>
        <row r="41">
          <cell r="C41" t="str">
            <v>Pengembalian 8000 Kg Pakan Luxindo 393 A</v>
          </cell>
          <cell r="D41">
            <v>7</v>
          </cell>
        </row>
        <row r="42">
          <cell r="C42" t="str">
            <v>Intraco Agro Industri, PT</v>
          </cell>
          <cell r="D42">
            <v>8</v>
          </cell>
          <cell r="K42">
            <v>3107500</v>
          </cell>
        </row>
        <row r="43">
          <cell r="C43" t="str">
            <v>Retur Pembelian</v>
          </cell>
          <cell r="D43">
            <v>8</v>
          </cell>
          <cell r="L43">
            <v>3107500</v>
          </cell>
        </row>
        <row r="44">
          <cell r="C44" t="str">
            <v>392 B</v>
          </cell>
          <cell r="D44">
            <v>8</v>
          </cell>
        </row>
        <row r="45">
          <cell r="C45" t="str">
            <v>Pengembalian 275 Kg Pakan Luxindo 392 B-Intraco agro Industri</v>
          </cell>
          <cell r="D45">
            <v>8</v>
          </cell>
        </row>
        <row r="46">
          <cell r="C46" t="str">
            <v>Intraco Agro Industri, PT</v>
          </cell>
          <cell r="D46">
            <v>8</v>
          </cell>
          <cell r="K46">
            <v>268092500</v>
          </cell>
        </row>
        <row r="47">
          <cell r="C47" t="str">
            <v>Retur Pembelian</v>
          </cell>
          <cell r="D47">
            <v>8</v>
          </cell>
          <cell r="L47">
            <v>268092500</v>
          </cell>
        </row>
        <row r="48">
          <cell r="C48" t="str">
            <v>393 S</v>
          </cell>
          <cell r="D48">
            <v>8</v>
          </cell>
        </row>
        <row r="49">
          <cell r="C49" t="str">
            <v>393 A</v>
          </cell>
          <cell r="D49">
            <v>8</v>
          </cell>
        </row>
        <row r="50">
          <cell r="C50" t="str">
            <v>Pengembalian 18475 Kg Pakan Luxindo 393 S,Pakan Luxindo 393 A sby 5250 Kg-Intraco Agro Industri</v>
          </cell>
          <cell r="D50">
            <v>8</v>
          </cell>
        </row>
        <row r="51">
          <cell r="C51" t="str">
            <v>Intraco Agro Industri, PT</v>
          </cell>
          <cell r="D51">
            <v>8</v>
          </cell>
          <cell r="K51">
            <v>181365000</v>
          </cell>
        </row>
        <row r="52">
          <cell r="C52" t="str">
            <v>Retur Pembelian</v>
          </cell>
          <cell r="D52">
            <v>8</v>
          </cell>
          <cell r="L52">
            <v>181365000</v>
          </cell>
        </row>
        <row r="53">
          <cell r="C53" t="str">
            <v>393 A</v>
          </cell>
          <cell r="D53">
            <v>8</v>
          </cell>
        </row>
        <row r="54">
          <cell r="C54" t="str">
            <v>Pengembalian 16050 Kg Pakan Luxindo 393 A</v>
          </cell>
          <cell r="D54">
            <v>8</v>
          </cell>
        </row>
        <row r="55">
          <cell r="C55" t="str">
            <v>Intraco Agro Industri, PT</v>
          </cell>
          <cell r="D55">
            <v>8</v>
          </cell>
          <cell r="K55">
            <v>120910000</v>
          </cell>
        </row>
        <row r="56">
          <cell r="C56" t="str">
            <v>Retur Pembelian</v>
          </cell>
          <cell r="D56">
            <v>8</v>
          </cell>
          <cell r="L56">
            <v>120910000</v>
          </cell>
        </row>
        <row r="57">
          <cell r="C57" t="str">
            <v>393 A</v>
          </cell>
          <cell r="D57">
            <v>8</v>
          </cell>
        </row>
        <row r="58">
          <cell r="C58" t="str">
            <v>Pengembalian 10700 Kg Pakan Luxindo 393 A</v>
          </cell>
          <cell r="D58">
            <v>8</v>
          </cell>
        </row>
        <row r="59">
          <cell r="C59" t="str">
            <v>Pak Cipto (Dana Belanja)</v>
          </cell>
          <cell r="D59">
            <v>9</v>
          </cell>
          <cell r="K59">
            <v>50000</v>
          </cell>
        </row>
        <row r="60">
          <cell r="C60" t="str">
            <v>Retur Pembelian</v>
          </cell>
          <cell r="D60">
            <v>9</v>
          </cell>
          <cell r="L60">
            <v>50000</v>
          </cell>
        </row>
        <row r="61">
          <cell r="C61" t="str">
            <v>Kunci</v>
          </cell>
          <cell r="D61">
            <v>9</v>
          </cell>
        </row>
        <row r="62">
          <cell r="C62" t="str">
            <v>retur kunci L 1/2 (tukar tambah barang)</v>
          </cell>
          <cell r="D62">
            <v>9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TB"/>
      <sheetName val="Contra"/>
      <sheetName val="Ekspor"/>
      <sheetName val="Journal"/>
      <sheetName val="Lokal"/>
      <sheetName val="Payment"/>
      <sheetName val="Purchase"/>
      <sheetName val="Raw Material"/>
      <sheetName val="Receipt"/>
      <sheetName val="Sheet1"/>
      <sheetName val="Sheet2"/>
    </sheetNames>
    <sheetDataSet>
      <sheetData sheetId="0"/>
      <sheetData sheetId="1"/>
      <sheetData sheetId="2">
        <row r="10">
          <cell r="C10" t="str">
            <v>Kas Harian</v>
          </cell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1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D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2</v>
          </cell>
        </row>
        <row r="26">
          <cell r="D26">
            <v>2</v>
          </cell>
        </row>
        <row r="27">
          <cell r="D27">
            <v>2</v>
          </cell>
        </row>
        <row r="28">
          <cell r="D28">
            <v>2</v>
          </cell>
        </row>
        <row r="29">
          <cell r="D29">
            <v>2</v>
          </cell>
        </row>
        <row r="30">
          <cell r="D30">
            <v>2</v>
          </cell>
        </row>
        <row r="31">
          <cell r="D31">
            <v>2</v>
          </cell>
        </row>
        <row r="32">
          <cell r="D32">
            <v>2</v>
          </cell>
        </row>
        <row r="33">
          <cell r="D33">
            <v>2</v>
          </cell>
        </row>
        <row r="34">
          <cell r="D34">
            <v>2</v>
          </cell>
        </row>
        <row r="35">
          <cell r="D35">
            <v>2</v>
          </cell>
        </row>
        <row r="36">
          <cell r="D36">
            <v>2</v>
          </cell>
        </row>
        <row r="37">
          <cell r="D37">
            <v>2</v>
          </cell>
        </row>
        <row r="38">
          <cell r="D38">
            <v>2</v>
          </cell>
        </row>
        <row r="39">
          <cell r="D39">
            <v>2</v>
          </cell>
        </row>
        <row r="40">
          <cell r="D40">
            <v>2</v>
          </cell>
        </row>
        <row r="41">
          <cell r="D41">
            <v>2</v>
          </cell>
        </row>
        <row r="42">
          <cell r="D42">
            <v>2</v>
          </cell>
        </row>
        <row r="43">
          <cell r="D43">
            <v>2</v>
          </cell>
        </row>
        <row r="44">
          <cell r="D44">
            <v>2</v>
          </cell>
        </row>
        <row r="45">
          <cell r="D45">
            <v>2</v>
          </cell>
        </row>
        <row r="46">
          <cell r="D46">
            <v>2</v>
          </cell>
        </row>
        <row r="47">
          <cell r="D47">
            <v>2</v>
          </cell>
        </row>
        <row r="48">
          <cell r="D48">
            <v>2</v>
          </cell>
        </row>
        <row r="49">
          <cell r="D49">
            <v>2</v>
          </cell>
        </row>
        <row r="50">
          <cell r="D50">
            <v>2</v>
          </cell>
        </row>
        <row r="51">
          <cell r="D51">
            <v>2</v>
          </cell>
        </row>
        <row r="52">
          <cell r="D52">
            <v>2</v>
          </cell>
        </row>
        <row r="53">
          <cell r="D53">
            <v>2</v>
          </cell>
        </row>
        <row r="54">
          <cell r="D54">
            <v>2</v>
          </cell>
        </row>
        <row r="55">
          <cell r="D55">
            <v>2</v>
          </cell>
        </row>
        <row r="56">
          <cell r="D56">
            <v>2</v>
          </cell>
        </row>
        <row r="57">
          <cell r="D57">
            <v>2</v>
          </cell>
        </row>
        <row r="58">
          <cell r="D58">
            <v>2</v>
          </cell>
        </row>
        <row r="59">
          <cell r="D59">
            <v>2</v>
          </cell>
        </row>
        <row r="60">
          <cell r="D60">
            <v>2</v>
          </cell>
        </row>
        <row r="61">
          <cell r="D61">
            <v>2</v>
          </cell>
        </row>
        <row r="62">
          <cell r="D62">
            <v>2</v>
          </cell>
        </row>
        <row r="63">
          <cell r="D63">
            <v>2</v>
          </cell>
        </row>
        <row r="64">
          <cell r="D64">
            <v>3</v>
          </cell>
        </row>
        <row r="65">
          <cell r="D65">
            <v>3</v>
          </cell>
        </row>
        <row r="66">
          <cell r="D66">
            <v>3</v>
          </cell>
        </row>
        <row r="67">
          <cell r="D67">
            <v>3</v>
          </cell>
        </row>
        <row r="68">
          <cell r="D68">
            <v>3</v>
          </cell>
        </row>
        <row r="69">
          <cell r="D69">
            <v>3</v>
          </cell>
        </row>
        <row r="70">
          <cell r="D70">
            <v>3</v>
          </cell>
        </row>
        <row r="71">
          <cell r="D71">
            <v>3</v>
          </cell>
        </row>
        <row r="72">
          <cell r="D72">
            <v>3</v>
          </cell>
        </row>
        <row r="73">
          <cell r="D73">
            <v>3</v>
          </cell>
        </row>
        <row r="74">
          <cell r="D74">
            <v>3</v>
          </cell>
        </row>
        <row r="75">
          <cell r="D75">
            <v>3</v>
          </cell>
        </row>
        <row r="76">
          <cell r="D76">
            <v>3</v>
          </cell>
        </row>
        <row r="77">
          <cell r="D77">
            <v>3</v>
          </cell>
        </row>
        <row r="78">
          <cell r="D78">
            <v>3</v>
          </cell>
        </row>
        <row r="79">
          <cell r="D79">
            <v>3</v>
          </cell>
        </row>
        <row r="80">
          <cell r="D80">
            <v>3</v>
          </cell>
        </row>
        <row r="81">
          <cell r="D81">
            <v>3</v>
          </cell>
        </row>
        <row r="82">
          <cell r="D82">
            <v>3</v>
          </cell>
        </row>
        <row r="83">
          <cell r="D83">
            <v>3</v>
          </cell>
        </row>
        <row r="84">
          <cell r="D84">
            <v>3</v>
          </cell>
        </row>
        <row r="85">
          <cell r="D85">
            <v>3</v>
          </cell>
        </row>
        <row r="86">
          <cell r="D86">
            <v>3</v>
          </cell>
        </row>
        <row r="87">
          <cell r="D87">
            <v>3</v>
          </cell>
        </row>
        <row r="88">
          <cell r="D88">
            <v>3</v>
          </cell>
        </row>
        <row r="89">
          <cell r="D89">
            <v>3</v>
          </cell>
        </row>
        <row r="90">
          <cell r="D90">
            <v>3</v>
          </cell>
        </row>
        <row r="91">
          <cell r="D91">
            <v>3</v>
          </cell>
        </row>
        <row r="92">
          <cell r="D92">
            <v>3</v>
          </cell>
        </row>
        <row r="93">
          <cell r="D93">
            <v>3</v>
          </cell>
        </row>
        <row r="94">
          <cell r="D94">
            <v>3</v>
          </cell>
        </row>
        <row r="95">
          <cell r="D95">
            <v>3</v>
          </cell>
        </row>
        <row r="96">
          <cell r="D96">
            <v>3</v>
          </cell>
        </row>
        <row r="97">
          <cell r="D97">
            <v>3</v>
          </cell>
        </row>
        <row r="98">
          <cell r="D98">
            <v>3</v>
          </cell>
        </row>
        <row r="99">
          <cell r="D99">
            <v>3</v>
          </cell>
        </row>
        <row r="100">
          <cell r="D100">
            <v>3</v>
          </cell>
        </row>
        <row r="101">
          <cell r="D101">
            <v>3</v>
          </cell>
        </row>
        <row r="102">
          <cell r="D102">
            <v>3</v>
          </cell>
        </row>
        <row r="103">
          <cell r="D103">
            <v>3</v>
          </cell>
        </row>
        <row r="104">
          <cell r="D104">
            <v>3</v>
          </cell>
        </row>
        <row r="105">
          <cell r="D105">
            <v>3</v>
          </cell>
        </row>
        <row r="106">
          <cell r="D106">
            <v>4</v>
          </cell>
        </row>
        <row r="107">
          <cell r="D107">
            <v>4</v>
          </cell>
        </row>
        <row r="108">
          <cell r="D108">
            <v>4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4</v>
          </cell>
        </row>
        <row r="112">
          <cell r="D112">
            <v>4</v>
          </cell>
        </row>
        <row r="113">
          <cell r="D113">
            <v>4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4</v>
          </cell>
        </row>
        <row r="119">
          <cell r="D119">
            <v>4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4</v>
          </cell>
        </row>
        <row r="127">
          <cell r="D127">
            <v>4</v>
          </cell>
        </row>
        <row r="128">
          <cell r="D128">
            <v>4</v>
          </cell>
        </row>
        <row r="129">
          <cell r="D129">
            <v>4</v>
          </cell>
        </row>
        <row r="130">
          <cell r="D130">
            <v>5</v>
          </cell>
        </row>
        <row r="131">
          <cell r="D131">
            <v>5</v>
          </cell>
        </row>
        <row r="132">
          <cell r="D132">
            <v>5</v>
          </cell>
        </row>
        <row r="133">
          <cell r="D133">
            <v>5</v>
          </cell>
        </row>
        <row r="134">
          <cell r="D134">
            <v>5</v>
          </cell>
        </row>
        <row r="135">
          <cell r="D135">
            <v>5</v>
          </cell>
        </row>
        <row r="136">
          <cell r="D136">
            <v>5</v>
          </cell>
        </row>
        <row r="137">
          <cell r="D137">
            <v>5</v>
          </cell>
        </row>
        <row r="138">
          <cell r="D138">
            <v>5</v>
          </cell>
        </row>
        <row r="139">
          <cell r="D139">
            <v>6</v>
          </cell>
        </row>
        <row r="140">
          <cell r="D140">
            <v>6</v>
          </cell>
        </row>
        <row r="141">
          <cell r="D141">
            <v>6</v>
          </cell>
        </row>
        <row r="142">
          <cell r="D142">
            <v>6</v>
          </cell>
        </row>
        <row r="143">
          <cell r="D143">
            <v>6</v>
          </cell>
        </row>
        <row r="144">
          <cell r="D144">
            <v>6</v>
          </cell>
        </row>
        <row r="145">
          <cell r="D145">
            <v>6</v>
          </cell>
        </row>
        <row r="146">
          <cell r="D146">
            <v>6</v>
          </cell>
        </row>
        <row r="147">
          <cell r="D147">
            <v>6</v>
          </cell>
        </row>
        <row r="148">
          <cell r="D148">
            <v>6</v>
          </cell>
        </row>
        <row r="149">
          <cell r="D149">
            <v>6</v>
          </cell>
        </row>
        <row r="150">
          <cell r="D150">
            <v>6</v>
          </cell>
        </row>
        <row r="151">
          <cell r="D151">
            <v>6</v>
          </cell>
        </row>
        <row r="152">
          <cell r="D152">
            <v>6</v>
          </cell>
        </row>
        <row r="153">
          <cell r="D153">
            <v>6</v>
          </cell>
        </row>
        <row r="154">
          <cell r="D154">
            <v>6</v>
          </cell>
        </row>
        <row r="155">
          <cell r="D155">
            <v>6</v>
          </cell>
        </row>
        <row r="156">
          <cell r="D156">
            <v>6</v>
          </cell>
        </row>
        <row r="157">
          <cell r="D157">
            <v>6</v>
          </cell>
        </row>
        <row r="158">
          <cell r="D158">
            <v>6</v>
          </cell>
        </row>
        <row r="159">
          <cell r="D159">
            <v>6</v>
          </cell>
        </row>
        <row r="160">
          <cell r="D160">
            <v>6</v>
          </cell>
        </row>
        <row r="161">
          <cell r="D161">
            <v>6</v>
          </cell>
        </row>
        <row r="162">
          <cell r="D162">
            <v>6</v>
          </cell>
        </row>
        <row r="163">
          <cell r="D163">
            <v>6</v>
          </cell>
        </row>
        <row r="164">
          <cell r="D164">
            <v>6</v>
          </cell>
        </row>
        <row r="165">
          <cell r="D165">
            <v>6</v>
          </cell>
        </row>
        <row r="166">
          <cell r="D166">
            <v>6</v>
          </cell>
        </row>
        <row r="167">
          <cell r="D167">
            <v>6</v>
          </cell>
        </row>
        <row r="168">
          <cell r="D168">
            <v>6</v>
          </cell>
        </row>
        <row r="169">
          <cell r="D169">
            <v>6</v>
          </cell>
        </row>
        <row r="170">
          <cell r="D170">
            <v>6</v>
          </cell>
        </row>
        <row r="171">
          <cell r="D171">
            <v>6</v>
          </cell>
        </row>
        <row r="172">
          <cell r="D172">
            <v>6</v>
          </cell>
        </row>
        <row r="173">
          <cell r="D173">
            <v>6</v>
          </cell>
        </row>
        <row r="174">
          <cell r="D174">
            <v>6</v>
          </cell>
        </row>
        <row r="175">
          <cell r="D175">
            <v>6</v>
          </cell>
        </row>
        <row r="176">
          <cell r="D176">
            <v>6</v>
          </cell>
        </row>
        <row r="177">
          <cell r="D177">
            <v>6</v>
          </cell>
        </row>
        <row r="178">
          <cell r="D178">
            <v>6</v>
          </cell>
        </row>
        <row r="179">
          <cell r="D179">
            <v>6</v>
          </cell>
        </row>
        <row r="180">
          <cell r="D180">
            <v>6</v>
          </cell>
        </row>
        <row r="181">
          <cell r="D181">
            <v>7</v>
          </cell>
        </row>
        <row r="182">
          <cell r="D182">
            <v>7</v>
          </cell>
        </row>
        <row r="183">
          <cell r="D183">
            <v>7</v>
          </cell>
        </row>
        <row r="184">
          <cell r="D184">
            <v>7</v>
          </cell>
        </row>
        <row r="185">
          <cell r="D185">
            <v>7</v>
          </cell>
        </row>
        <row r="186">
          <cell r="D186">
            <v>7</v>
          </cell>
        </row>
        <row r="187">
          <cell r="D187">
            <v>7</v>
          </cell>
        </row>
        <row r="188">
          <cell r="D188">
            <v>7</v>
          </cell>
        </row>
        <row r="189">
          <cell r="D189">
            <v>7</v>
          </cell>
        </row>
        <row r="190">
          <cell r="D190">
            <v>7</v>
          </cell>
        </row>
        <row r="191">
          <cell r="D191">
            <v>7</v>
          </cell>
        </row>
        <row r="192">
          <cell r="D192">
            <v>7</v>
          </cell>
        </row>
        <row r="193">
          <cell r="D193">
            <v>7</v>
          </cell>
        </row>
        <row r="194">
          <cell r="D194">
            <v>7</v>
          </cell>
        </row>
        <row r="195">
          <cell r="D195">
            <v>7</v>
          </cell>
        </row>
        <row r="196">
          <cell r="D196">
            <v>7</v>
          </cell>
        </row>
        <row r="197">
          <cell r="D197">
            <v>7</v>
          </cell>
        </row>
        <row r="198">
          <cell r="D198">
            <v>7</v>
          </cell>
        </row>
        <row r="199">
          <cell r="D199">
            <v>7</v>
          </cell>
        </row>
        <row r="200">
          <cell r="D200">
            <v>7</v>
          </cell>
        </row>
        <row r="201">
          <cell r="D201">
            <v>7</v>
          </cell>
        </row>
        <row r="202">
          <cell r="D202">
            <v>7</v>
          </cell>
        </row>
        <row r="203">
          <cell r="D203">
            <v>7</v>
          </cell>
        </row>
        <row r="204">
          <cell r="D204">
            <v>7</v>
          </cell>
        </row>
        <row r="205">
          <cell r="D205">
            <v>7</v>
          </cell>
        </row>
        <row r="206">
          <cell r="D206">
            <v>7</v>
          </cell>
        </row>
        <row r="207">
          <cell r="D207">
            <v>7</v>
          </cell>
        </row>
        <row r="208">
          <cell r="D208">
            <v>7</v>
          </cell>
        </row>
        <row r="209">
          <cell r="D209">
            <v>7</v>
          </cell>
        </row>
        <row r="210">
          <cell r="D210">
            <v>7</v>
          </cell>
        </row>
        <row r="211">
          <cell r="D211">
            <v>8</v>
          </cell>
        </row>
        <row r="212">
          <cell r="D212">
            <v>8</v>
          </cell>
        </row>
        <row r="213">
          <cell r="D213">
            <v>8</v>
          </cell>
        </row>
        <row r="214">
          <cell r="D214">
            <v>8</v>
          </cell>
        </row>
        <row r="215">
          <cell r="D215">
            <v>8</v>
          </cell>
        </row>
        <row r="216">
          <cell r="D216">
            <v>8</v>
          </cell>
        </row>
        <row r="217">
          <cell r="D217">
            <v>8</v>
          </cell>
        </row>
        <row r="218">
          <cell r="D218">
            <v>8</v>
          </cell>
        </row>
        <row r="219">
          <cell r="D219">
            <v>8</v>
          </cell>
        </row>
        <row r="220">
          <cell r="D220">
            <v>8</v>
          </cell>
        </row>
        <row r="221">
          <cell r="D221">
            <v>8</v>
          </cell>
        </row>
        <row r="222">
          <cell r="D222">
            <v>8</v>
          </cell>
        </row>
        <row r="223">
          <cell r="D223">
            <v>8</v>
          </cell>
        </row>
        <row r="224">
          <cell r="D224">
            <v>8</v>
          </cell>
        </row>
        <row r="225">
          <cell r="D225">
            <v>8</v>
          </cell>
        </row>
        <row r="226">
          <cell r="D226">
            <v>8</v>
          </cell>
        </row>
        <row r="227">
          <cell r="D227">
            <v>8</v>
          </cell>
        </row>
        <row r="228">
          <cell r="D228">
            <v>8</v>
          </cell>
        </row>
        <row r="229">
          <cell r="D229">
            <v>8</v>
          </cell>
        </row>
        <row r="230">
          <cell r="D230">
            <v>8</v>
          </cell>
        </row>
        <row r="231">
          <cell r="D231">
            <v>8</v>
          </cell>
        </row>
        <row r="232">
          <cell r="D232">
            <v>8</v>
          </cell>
        </row>
        <row r="233">
          <cell r="D233">
            <v>8</v>
          </cell>
        </row>
        <row r="234">
          <cell r="D234">
            <v>8</v>
          </cell>
        </row>
        <row r="235">
          <cell r="D235">
            <v>9</v>
          </cell>
        </row>
        <row r="236">
          <cell r="D236">
            <v>9</v>
          </cell>
        </row>
        <row r="237">
          <cell r="D237">
            <v>9</v>
          </cell>
        </row>
        <row r="238">
          <cell r="D238">
            <v>9</v>
          </cell>
        </row>
        <row r="239">
          <cell r="D239">
            <v>9</v>
          </cell>
        </row>
        <row r="240">
          <cell r="D240">
            <v>9</v>
          </cell>
        </row>
        <row r="241">
          <cell r="D241">
            <v>9</v>
          </cell>
        </row>
        <row r="242">
          <cell r="D242">
            <v>9</v>
          </cell>
        </row>
        <row r="243">
          <cell r="D243">
            <v>9</v>
          </cell>
        </row>
        <row r="244">
          <cell r="D244">
            <v>9</v>
          </cell>
        </row>
        <row r="245">
          <cell r="D245">
            <v>9</v>
          </cell>
        </row>
        <row r="246">
          <cell r="D246">
            <v>9</v>
          </cell>
        </row>
        <row r="247">
          <cell r="D247">
            <v>9</v>
          </cell>
        </row>
        <row r="248">
          <cell r="D248">
            <v>9</v>
          </cell>
        </row>
        <row r="249">
          <cell r="D249">
            <v>9</v>
          </cell>
        </row>
        <row r="250">
          <cell r="D250">
            <v>9</v>
          </cell>
        </row>
        <row r="251">
          <cell r="D251">
            <v>9</v>
          </cell>
        </row>
        <row r="252">
          <cell r="D252">
            <v>9</v>
          </cell>
        </row>
        <row r="253">
          <cell r="D253">
            <v>9</v>
          </cell>
        </row>
        <row r="254">
          <cell r="D254">
            <v>9</v>
          </cell>
        </row>
        <row r="255">
          <cell r="D255">
            <v>9</v>
          </cell>
        </row>
        <row r="256">
          <cell r="D256">
            <v>9</v>
          </cell>
        </row>
        <row r="257">
          <cell r="D257">
            <v>9</v>
          </cell>
        </row>
        <row r="258">
          <cell r="D258">
            <v>9</v>
          </cell>
        </row>
        <row r="259">
          <cell r="D259">
            <v>9</v>
          </cell>
        </row>
        <row r="260">
          <cell r="D260">
            <v>9</v>
          </cell>
        </row>
        <row r="261">
          <cell r="D261">
            <v>9</v>
          </cell>
        </row>
        <row r="262">
          <cell r="D262">
            <v>9</v>
          </cell>
        </row>
        <row r="263">
          <cell r="D263">
            <v>9</v>
          </cell>
        </row>
        <row r="264">
          <cell r="D264">
            <v>9</v>
          </cell>
        </row>
        <row r="265">
          <cell r="D265">
            <v>9</v>
          </cell>
        </row>
        <row r="266">
          <cell r="D266">
            <v>9</v>
          </cell>
        </row>
        <row r="267">
          <cell r="D267">
            <v>9</v>
          </cell>
        </row>
        <row r="268">
          <cell r="D268">
            <v>9</v>
          </cell>
        </row>
        <row r="269">
          <cell r="D269">
            <v>9</v>
          </cell>
        </row>
        <row r="270">
          <cell r="D270">
            <v>9</v>
          </cell>
        </row>
        <row r="271">
          <cell r="D271">
            <v>10</v>
          </cell>
        </row>
        <row r="272">
          <cell r="D272">
            <v>10</v>
          </cell>
        </row>
        <row r="273">
          <cell r="D273">
            <v>10</v>
          </cell>
        </row>
        <row r="274">
          <cell r="D274">
            <v>10</v>
          </cell>
        </row>
        <row r="275">
          <cell r="D275">
            <v>10</v>
          </cell>
        </row>
        <row r="276">
          <cell r="D276">
            <v>10</v>
          </cell>
        </row>
        <row r="277">
          <cell r="D277">
            <v>10</v>
          </cell>
        </row>
        <row r="278">
          <cell r="D278">
            <v>10</v>
          </cell>
        </row>
        <row r="279">
          <cell r="D279">
            <v>10</v>
          </cell>
        </row>
        <row r="280">
          <cell r="D280">
            <v>10</v>
          </cell>
        </row>
        <row r="281">
          <cell r="D281">
            <v>10</v>
          </cell>
        </row>
        <row r="282">
          <cell r="D282">
            <v>10</v>
          </cell>
        </row>
        <row r="283">
          <cell r="D283">
            <v>10</v>
          </cell>
        </row>
        <row r="284">
          <cell r="D284">
            <v>10</v>
          </cell>
        </row>
        <row r="285">
          <cell r="D285">
            <v>10</v>
          </cell>
        </row>
        <row r="286">
          <cell r="D286">
            <v>10</v>
          </cell>
        </row>
        <row r="287">
          <cell r="D287">
            <v>10</v>
          </cell>
        </row>
        <row r="288">
          <cell r="D288">
            <v>10</v>
          </cell>
        </row>
        <row r="289">
          <cell r="D289">
            <v>10</v>
          </cell>
        </row>
        <row r="290">
          <cell r="D290">
            <v>10</v>
          </cell>
        </row>
        <row r="291">
          <cell r="D291">
            <v>10</v>
          </cell>
        </row>
        <row r="292">
          <cell r="D292">
            <v>11</v>
          </cell>
        </row>
        <row r="293">
          <cell r="D293">
            <v>11</v>
          </cell>
        </row>
        <row r="294">
          <cell r="D294">
            <v>11</v>
          </cell>
        </row>
        <row r="295">
          <cell r="D295">
            <v>11</v>
          </cell>
        </row>
        <row r="296">
          <cell r="D296">
            <v>11</v>
          </cell>
        </row>
        <row r="297">
          <cell r="D297">
            <v>11</v>
          </cell>
        </row>
        <row r="298">
          <cell r="D298">
            <v>11</v>
          </cell>
        </row>
        <row r="299">
          <cell r="D299">
            <v>11</v>
          </cell>
        </row>
        <row r="300">
          <cell r="D300">
            <v>11</v>
          </cell>
        </row>
        <row r="301">
          <cell r="D301">
            <v>11</v>
          </cell>
        </row>
        <row r="302">
          <cell r="D302">
            <v>11</v>
          </cell>
        </row>
        <row r="303">
          <cell r="D303">
            <v>11</v>
          </cell>
        </row>
        <row r="304">
          <cell r="D304">
            <v>11</v>
          </cell>
        </row>
        <row r="305">
          <cell r="D305">
            <v>11</v>
          </cell>
        </row>
        <row r="306">
          <cell r="D306">
            <v>11</v>
          </cell>
        </row>
        <row r="307">
          <cell r="D307">
            <v>11</v>
          </cell>
        </row>
        <row r="308">
          <cell r="D308">
            <v>11</v>
          </cell>
        </row>
        <row r="309">
          <cell r="D309">
            <v>11</v>
          </cell>
        </row>
        <row r="310">
          <cell r="D310">
            <v>11</v>
          </cell>
        </row>
        <row r="311">
          <cell r="D311">
            <v>11</v>
          </cell>
        </row>
        <row r="312">
          <cell r="D312">
            <v>11</v>
          </cell>
        </row>
        <row r="313">
          <cell r="D313">
            <v>11</v>
          </cell>
        </row>
        <row r="314">
          <cell r="D314">
            <v>11</v>
          </cell>
        </row>
        <row r="315">
          <cell r="D315">
            <v>11</v>
          </cell>
        </row>
        <row r="316">
          <cell r="D316">
            <v>11</v>
          </cell>
        </row>
        <row r="317">
          <cell r="D317">
            <v>11</v>
          </cell>
        </row>
        <row r="318">
          <cell r="D318">
            <v>11</v>
          </cell>
        </row>
        <row r="319">
          <cell r="D319">
            <v>11</v>
          </cell>
        </row>
        <row r="320">
          <cell r="D320">
            <v>11</v>
          </cell>
        </row>
        <row r="321">
          <cell r="D321">
            <v>11</v>
          </cell>
        </row>
        <row r="322">
          <cell r="D322">
            <v>11</v>
          </cell>
        </row>
        <row r="323">
          <cell r="D323">
            <v>11</v>
          </cell>
        </row>
        <row r="324">
          <cell r="D324">
            <v>11</v>
          </cell>
        </row>
        <row r="325">
          <cell r="D325">
            <v>11</v>
          </cell>
        </row>
        <row r="326">
          <cell r="D326">
            <v>11</v>
          </cell>
        </row>
        <row r="327">
          <cell r="D327">
            <v>11</v>
          </cell>
        </row>
        <row r="328">
          <cell r="D328">
            <v>12</v>
          </cell>
        </row>
        <row r="329">
          <cell r="D329">
            <v>12</v>
          </cell>
        </row>
        <row r="330">
          <cell r="D330">
            <v>12</v>
          </cell>
        </row>
        <row r="331">
          <cell r="D331">
            <v>12</v>
          </cell>
        </row>
        <row r="332">
          <cell r="D332">
            <v>12</v>
          </cell>
        </row>
        <row r="333">
          <cell r="D333">
            <v>12</v>
          </cell>
        </row>
        <row r="334">
          <cell r="D334">
            <v>12</v>
          </cell>
        </row>
        <row r="335">
          <cell r="D335">
            <v>12</v>
          </cell>
        </row>
        <row r="336">
          <cell r="D336">
            <v>12</v>
          </cell>
        </row>
        <row r="337">
          <cell r="D337">
            <v>12</v>
          </cell>
        </row>
        <row r="338">
          <cell r="D338">
            <v>12</v>
          </cell>
        </row>
        <row r="339">
          <cell r="D339">
            <v>12</v>
          </cell>
        </row>
        <row r="340">
          <cell r="D340">
            <v>12</v>
          </cell>
        </row>
        <row r="341">
          <cell r="D341">
            <v>12</v>
          </cell>
        </row>
        <row r="342">
          <cell r="D342">
            <v>12</v>
          </cell>
        </row>
        <row r="343">
          <cell r="D343">
            <v>12</v>
          </cell>
        </row>
        <row r="344">
          <cell r="D344">
            <v>12</v>
          </cell>
        </row>
        <row r="345">
          <cell r="D345">
            <v>12</v>
          </cell>
        </row>
        <row r="346">
          <cell r="D346">
            <v>12</v>
          </cell>
        </row>
        <row r="347">
          <cell r="D347">
            <v>12</v>
          </cell>
        </row>
        <row r="348">
          <cell r="D348">
            <v>12</v>
          </cell>
        </row>
        <row r="349">
          <cell r="D349">
            <v>12</v>
          </cell>
        </row>
        <row r="350">
          <cell r="D350">
            <v>12</v>
          </cell>
        </row>
        <row r="351">
          <cell r="D351">
            <v>12</v>
          </cell>
        </row>
        <row r="352">
          <cell r="D352">
            <v>12</v>
          </cell>
        </row>
        <row r="353">
          <cell r="D353">
            <v>12</v>
          </cell>
        </row>
        <row r="354">
          <cell r="D354">
            <v>12</v>
          </cell>
        </row>
        <row r="355">
          <cell r="D355">
            <v>12</v>
          </cell>
        </row>
        <row r="356">
          <cell r="D356">
            <v>12</v>
          </cell>
        </row>
        <row r="357">
          <cell r="D357">
            <v>12</v>
          </cell>
        </row>
        <row r="358">
          <cell r="D358">
            <v>12</v>
          </cell>
        </row>
        <row r="359">
          <cell r="D359">
            <v>12</v>
          </cell>
        </row>
        <row r="360">
          <cell r="D360">
            <v>12</v>
          </cell>
        </row>
        <row r="361">
          <cell r="D361">
            <v>12</v>
          </cell>
        </row>
        <row r="362">
          <cell r="D362">
            <v>12</v>
          </cell>
        </row>
        <row r="363">
          <cell r="D363">
            <v>12</v>
          </cell>
        </row>
        <row r="364">
          <cell r="D364">
            <v>12</v>
          </cell>
        </row>
        <row r="365">
          <cell r="D365">
            <v>12</v>
          </cell>
        </row>
        <row r="366">
          <cell r="D366">
            <v>12</v>
          </cell>
        </row>
        <row r="367">
          <cell r="D367">
            <v>12</v>
          </cell>
        </row>
        <row r="368">
          <cell r="D368">
            <v>12</v>
          </cell>
        </row>
        <row r="369">
          <cell r="D369">
            <v>12</v>
          </cell>
        </row>
        <row r="370">
          <cell r="D370">
            <v>12</v>
          </cell>
        </row>
        <row r="371">
          <cell r="D371">
            <v>12</v>
          </cell>
        </row>
        <row r="372">
          <cell r="D372">
            <v>12</v>
          </cell>
        </row>
        <row r="373">
          <cell r="D373">
            <v>12</v>
          </cell>
        </row>
        <row r="374">
          <cell r="D374">
            <v>12</v>
          </cell>
        </row>
        <row r="375">
          <cell r="D375">
            <v>12</v>
          </cell>
        </row>
        <row r="376">
          <cell r="D376">
            <v>12</v>
          </cell>
        </row>
        <row r="377">
          <cell r="D377">
            <v>12</v>
          </cell>
        </row>
        <row r="378">
          <cell r="D378">
            <v>12</v>
          </cell>
        </row>
        <row r="379">
          <cell r="D379">
            <v>12</v>
          </cell>
        </row>
        <row r="380">
          <cell r="D380">
            <v>12</v>
          </cell>
        </row>
        <row r="381">
          <cell r="D381">
            <v>12</v>
          </cell>
        </row>
        <row r="382">
          <cell r="D382">
            <v>12</v>
          </cell>
        </row>
        <row r="383">
          <cell r="D383">
            <v>12</v>
          </cell>
        </row>
        <row r="384">
          <cell r="D384">
            <v>12</v>
          </cell>
        </row>
      </sheetData>
      <sheetData sheetId="3">
        <row r="10">
          <cell r="C10" t="str">
            <v>Eiger Co. Ltd</v>
          </cell>
          <cell r="K10">
            <v>829908856</v>
          </cell>
          <cell r="L10">
            <v>0</v>
          </cell>
        </row>
        <row r="11">
          <cell r="C11">
            <v>67864</v>
          </cell>
          <cell r="K11">
            <v>0</v>
          </cell>
          <cell r="L11">
            <v>0</v>
          </cell>
        </row>
        <row r="12">
          <cell r="C12" t="str">
            <v>Penjualan Eksport</v>
          </cell>
          <cell r="K12">
            <v>0</v>
          </cell>
          <cell r="L12">
            <v>829908856</v>
          </cell>
        </row>
        <row r="13">
          <cell r="C13" t="str">
            <v>Syokukai Ebi Fry (40 Gr)</v>
          </cell>
          <cell r="K13">
            <v>0</v>
          </cell>
          <cell r="L13">
            <v>0</v>
          </cell>
        </row>
        <row r="14">
          <cell r="C14" t="str">
            <v>Syokukai Ebi Fry (35 Gr)</v>
          </cell>
          <cell r="K14">
            <v>0</v>
          </cell>
          <cell r="L14">
            <v>0</v>
          </cell>
        </row>
        <row r="15">
          <cell r="C15" t="str">
            <v>Syokukai Ebi Fry (30 Gr)</v>
          </cell>
          <cell r="K15">
            <v>0</v>
          </cell>
          <cell r="L15">
            <v>0</v>
          </cell>
        </row>
        <row r="16">
          <cell r="C16" t="str">
            <v>Syokukai Ebi Fry (25 Gr)</v>
          </cell>
          <cell r="K16">
            <v>0</v>
          </cell>
          <cell r="L16">
            <v>0</v>
          </cell>
        </row>
        <row r="17">
          <cell r="C17" t="str">
            <v>Syokukai Ebi Fry (20 Gr)</v>
          </cell>
          <cell r="K17">
            <v>0</v>
          </cell>
          <cell r="L17">
            <v>0</v>
          </cell>
        </row>
        <row r="18">
          <cell r="C18" t="str">
            <v>Syokukai Ebi Fry (12 Gr)</v>
          </cell>
          <cell r="K18">
            <v>0</v>
          </cell>
          <cell r="L18">
            <v>0</v>
          </cell>
        </row>
        <row r="19">
          <cell r="C19" t="str">
            <v>Natural Ebi Fry (30 Gr)</v>
          </cell>
          <cell r="K19">
            <v>0</v>
          </cell>
          <cell r="L19">
            <v>0</v>
          </cell>
        </row>
        <row r="20">
          <cell r="C20" t="str">
            <v>Ebi Fry Tokuyu (30 Gr)</v>
          </cell>
          <cell r="K20">
            <v>0</v>
          </cell>
          <cell r="L20">
            <v>0</v>
          </cell>
        </row>
        <row r="21">
          <cell r="C21" t="str">
            <v>Penjualan Ekspor to Eiger BL APLU 073875564 Cont: APRU 5078040 001/IAS</v>
          </cell>
          <cell r="K21">
            <v>0</v>
          </cell>
          <cell r="L21">
            <v>0</v>
          </cell>
        </row>
        <row r="22">
          <cell r="C22" t="str">
            <v>Eiger Co. Ltd</v>
          </cell>
          <cell r="K22">
            <v>842034564</v>
          </cell>
          <cell r="L22">
            <v>0</v>
          </cell>
        </row>
        <row r="23">
          <cell r="C23">
            <v>69492</v>
          </cell>
          <cell r="K23">
            <v>0</v>
          </cell>
          <cell r="L23">
            <v>0</v>
          </cell>
        </row>
        <row r="24">
          <cell r="C24" t="str">
            <v>Penjualan Eksport</v>
          </cell>
          <cell r="K24">
            <v>0</v>
          </cell>
          <cell r="L24">
            <v>842034564</v>
          </cell>
        </row>
        <row r="25">
          <cell r="C25" t="str">
            <v>Syokukai Ebi Fry (45 Gr)</v>
          </cell>
          <cell r="K25">
            <v>0</v>
          </cell>
          <cell r="L25">
            <v>0</v>
          </cell>
        </row>
        <row r="26">
          <cell r="C26" t="str">
            <v>Syokukai Ebi Fry (40 Gr)</v>
          </cell>
          <cell r="K26">
            <v>0</v>
          </cell>
          <cell r="L26">
            <v>0</v>
          </cell>
        </row>
        <row r="27">
          <cell r="C27" t="str">
            <v>Syokukai Ebi Fry (35 Gr)</v>
          </cell>
          <cell r="K27">
            <v>0</v>
          </cell>
          <cell r="L27">
            <v>0</v>
          </cell>
        </row>
        <row r="28">
          <cell r="C28" t="str">
            <v>Syokukai Ebi Fry (30 Gr)</v>
          </cell>
          <cell r="K28">
            <v>0</v>
          </cell>
          <cell r="L28">
            <v>0</v>
          </cell>
        </row>
        <row r="29">
          <cell r="C29" t="str">
            <v>Syokukai Ebi Fry (25 Gr)</v>
          </cell>
          <cell r="K29">
            <v>0</v>
          </cell>
          <cell r="L29">
            <v>0</v>
          </cell>
        </row>
        <row r="30">
          <cell r="C30" t="str">
            <v>Syokukai Ebi Fry (20 Gr)</v>
          </cell>
          <cell r="K30">
            <v>0</v>
          </cell>
          <cell r="L30">
            <v>0</v>
          </cell>
        </row>
        <row r="31">
          <cell r="C31" t="str">
            <v>Syokukai Ebi Fry (12 Gr)</v>
          </cell>
          <cell r="K31">
            <v>0</v>
          </cell>
          <cell r="L31">
            <v>0</v>
          </cell>
        </row>
        <row r="32">
          <cell r="C32" t="str">
            <v>Natural Ebi Fry (30 Gr)</v>
          </cell>
          <cell r="K32">
            <v>0</v>
          </cell>
          <cell r="L32">
            <v>0</v>
          </cell>
        </row>
        <row r="33">
          <cell r="C33" t="str">
            <v>Ebi Fry Tokuyu (30 Gr)</v>
          </cell>
          <cell r="K33">
            <v>0</v>
          </cell>
          <cell r="L33">
            <v>0</v>
          </cell>
        </row>
        <row r="34">
          <cell r="C34" t="str">
            <v>Penjualan ekspor to Eiger BL : APLU 073875601 Cont: APRU 5080108 002/IAS</v>
          </cell>
          <cell r="K34">
            <v>0</v>
          </cell>
          <cell r="L34">
            <v>0</v>
          </cell>
        </row>
        <row r="35">
          <cell r="C35" t="str">
            <v>Eiger Co. Ltd</v>
          </cell>
          <cell r="K35">
            <v>868969374</v>
          </cell>
          <cell r="L35">
            <v>0</v>
          </cell>
        </row>
        <row r="36">
          <cell r="C36">
            <v>71526</v>
          </cell>
          <cell r="K36">
            <v>0</v>
          </cell>
          <cell r="L36">
            <v>0</v>
          </cell>
        </row>
        <row r="37">
          <cell r="C37" t="str">
            <v>Penjualan Eksport</v>
          </cell>
          <cell r="K37">
            <v>0</v>
          </cell>
          <cell r="L37">
            <v>868969374</v>
          </cell>
        </row>
        <row r="38">
          <cell r="C38" t="str">
            <v>Syokukai Ebi Fry (45 Gr)</v>
          </cell>
          <cell r="K38">
            <v>0</v>
          </cell>
          <cell r="L38">
            <v>0</v>
          </cell>
        </row>
        <row r="39">
          <cell r="C39" t="str">
            <v>Syokukai Ebi Fry (40 Gr)</v>
          </cell>
          <cell r="K39">
            <v>0</v>
          </cell>
          <cell r="L39">
            <v>0</v>
          </cell>
        </row>
        <row r="40">
          <cell r="C40" t="str">
            <v>Syokukai Ebi Fry (35 Gr)</v>
          </cell>
          <cell r="K40">
            <v>0</v>
          </cell>
          <cell r="L40">
            <v>0</v>
          </cell>
        </row>
        <row r="41">
          <cell r="C41" t="str">
            <v>Syokukai Ebi Fry (30 Gr)</v>
          </cell>
          <cell r="K41">
            <v>0</v>
          </cell>
          <cell r="L41">
            <v>0</v>
          </cell>
        </row>
        <row r="42">
          <cell r="C42" t="str">
            <v>Syokukai Ebi Fry (25 Gr)</v>
          </cell>
          <cell r="K42">
            <v>0</v>
          </cell>
          <cell r="L42">
            <v>0</v>
          </cell>
        </row>
        <row r="43">
          <cell r="C43" t="str">
            <v>Syokukai Ebi Fry (20 Gr)</v>
          </cell>
          <cell r="K43">
            <v>0</v>
          </cell>
          <cell r="L43">
            <v>0</v>
          </cell>
        </row>
        <row r="44">
          <cell r="C44" t="str">
            <v>Syokukai Ebi Fry (12 Gr)</v>
          </cell>
          <cell r="K44">
            <v>0</v>
          </cell>
          <cell r="L44">
            <v>0</v>
          </cell>
        </row>
        <row r="45">
          <cell r="C45" t="str">
            <v>Natural Ebi Fry (30 Gr)</v>
          </cell>
          <cell r="K45">
            <v>0</v>
          </cell>
          <cell r="L45">
            <v>0</v>
          </cell>
        </row>
        <row r="46">
          <cell r="C46" t="str">
            <v>Ebi Fry Tokuyu (30 Gr)</v>
          </cell>
          <cell r="K46">
            <v>0</v>
          </cell>
          <cell r="L46">
            <v>0</v>
          </cell>
        </row>
        <row r="47">
          <cell r="C47" t="str">
            <v>Penjualan ekspor to Eiger BL : APLU 073875656 Cont : TEMU 9044561 003/IAS</v>
          </cell>
          <cell r="K47">
            <v>0</v>
          </cell>
          <cell r="L47">
            <v>0</v>
          </cell>
        </row>
        <row r="48">
          <cell r="C48" t="str">
            <v>Tomaya Co.Ltd</v>
          </cell>
          <cell r="K48">
            <v>880107900</v>
          </cell>
          <cell r="L48">
            <v>0</v>
          </cell>
        </row>
        <row r="49">
          <cell r="C49">
            <v>72300</v>
          </cell>
          <cell r="K49">
            <v>0</v>
          </cell>
          <cell r="L49">
            <v>0</v>
          </cell>
        </row>
        <row r="50">
          <cell r="C50" t="str">
            <v>Penjualan Eksport</v>
          </cell>
          <cell r="K50">
            <v>0</v>
          </cell>
          <cell r="L50">
            <v>880107900</v>
          </cell>
        </row>
        <row r="51">
          <cell r="C51" t="str">
            <v>Ebi Fry San Sugar (2L)</v>
          </cell>
          <cell r="K51">
            <v>0</v>
          </cell>
          <cell r="L51">
            <v>0</v>
          </cell>
        </row>
        <row r="52">
          <cell r="C52" t="str">
            <v>Ebi Fry San Sugar (L)</v>
          </cell>
          <cell r="K52">
            <v>0</v>
          </cell>
          <cell r="L52">
            <v>0</v>
          </cell>
        </row>
        <row r="53">
          <cell r="C53" t="str">
            <v>Ebi Fry San Sugar (M)</v>
          </cell>
          <cell r="K53">
            <v>0</v>
          </cell>
          <cell r="L53">
            <v>0</v>
          </cell>
        </row>
        <row r="54">
          <cell r="C54" t="str">
            <v>Penjualan ekspor to Tomaya BL : APLU 073875657 Cont : APRU 5095160 004/IAS</v>
          </cell>
          <cell r="K54">
            <v>0</v>
          </cell>
          <cell r="L54">
            <v>0</v>
          </cell>
        </row>
        <row r="55">
          <cell r="C55" t="str">
            <v>Eiger Co. Ltd</v>
          </cell>
          <cell r="K55">
            <v>432078087.60000002</v>
          </cell>
          <cell r="L55">
            <v>0</v>
          </cell>
        </row>
        <row r="56">
          <cell r="C56">
            <v>35222.800000000003</v>
          </cell>
          <cell r="K56">
            <v>0</v>
          </cell>
          <cell r="L56">
            <v>0</v>
          </cell>
        </row>
        <row r="57">
          <cell r="C57" t="str">
            <v>Penjualan Eksport</v>
          </cell>
          <cell r="K57">
            <v>0</v>
          </cell>
          <cell r="L57">
            <v>432078087.60000002</v>
          </cell>
        </row>
        <row r="58">
          <cell r="C58" t="str">
            <v>Syokukai Ebi Fry (45 Gr)</v>
          </cell>
          <cell r="K58">
            <v>0</v>
          </cell>
          <cell r="L58">
            <v>0</v>
          </cell>
        </row>
        <row r="59">
          <cell r="C59" t="str">
            <v>Syokukai Ebi Fry (30 Gr)</v>
          </cell>
          <cell r="K59">
            <v>0</v>
          </cell>
          <cell r="L59">
            <v>0</v>
          </cell>
        </row>
        <row r="60">
          <cell r="C60" t="str">
            <v>Syokukai Ebi Fry (12 Gr)</v>
          </cell>
          <cell r="K60">
            <v>0</v>
          </cell>
          <cell r="L60">
            <v>0</v>
          </cell>
        </row>
        <row r="61">
          <cell r="C61" t="str">
            <v>Penjualan ekspor to Eiger BL : 562587171 Cont : PONU 2929124 005/IAS</v>
          </cell>
          <cell r="K61">
            <v>0</v>
          </cell>
          <cell r="L61">
            <v>0</v>
          </cell>
        </row>
        <row r="62">
          <cell r="C62" t="str">
            <v>Eiger Co. Ltd</v>
          </cell>
          <cell r="K62">
            <v>974328555.60000002</v>
          </cell>
          <cell r="L62">
            <v>0</v>
          </cell>
        </row>
        <row r="63">
          <cell r="C63">
            <v>79426.8</v>
          </cell>
          <cell r="K63">
            <v>0</v>
          </cell>
          <cell r="L63">
            <v>0</v>
          </cell>
        </row>
        <row r="64">
          <cell r="C64" t="str">
            <v>Penjualan Eksport</v>
          </cell>
          <cell r="K64">
            <v>0</v>
          </cell>
          <cell r="L64">
            <v>974328555.60000002</v>
          </cell>
        </row>
        <row r="65">
          <cell r="C65" t="str">
            <v>Ebi Fry Nisshin (3L)</v>
          </cell>
          <cell r="K65">
            <v>0</v>
          </cell>
          <cell r="L65">
            <v>0</v>
          </cell>
        </row>
        <row r="66">
          <cell r="C66" t="str">
            <v>Ebi Fry Nisshin (LL)</v>
          </cell>
          <cell r="K66">
            <v>0</v>
          </cell>
          <cell r="L66">
            <v>0</v>
          </cell>
        </row>
        <row r="67">
          <cell r="C67" t="str">
            <v>Ebi Fry Nisshin (M)</v>
          </cell>
          <cell r="K67">
            <v>0</v>
          </cell>
          <cell r="L67">
            <v>0</v>
          </cell>
        </row>
        <row r="68">
          <cell r="C68" t="str">
            <v>PTO'S (26-30)</v>
          </cell>
          <cell r="K68">
            <v>0</v>
          </cell>
          <cell r="L68">
            <v>0</v>
          </cell>
        </row>
        <row r="69">
          <cell r="C69" t="str">
            <v>PTO'S (31-40)</v>
          </cell>
          <cell r="K69">
            <v>0</v>
          </cell>
          <cell r="L69">
            <v>0</v>
          </cell>
        </row>
        <row r="70">
          <cell r="C70" t="str">
            <v>Penjualan ekspor to Eiger BL : APLU 073875716 Cont : APRU 6123009 006/IAS</v>
          </cell>
          <cell r="K70">
            <v>0</v>
          </cell>
          <cell r="L70">
            <v>0</v>
          </cell>
        </row>
        <row r="71">
          <cell r="C71" t="str">
            <v>Eiger Co. Ltd</v>
          </cell>
          <cell r="K71">
            <v>863889160</v>
          </cell>
          <cell r="L71">
            <v>0</v>
          </cell>
        </row>
        <row r="72">
          <cell r="C72">
            <v>70660</v>
          </cell>
          <cell r="K72">
            <v>0</v>
          </cell>
          <cell r="L72">
            <v>0</v>
          </cell>
        </row>
        <row r="73">
          <cell r="C73" t="str">
            <v>Penjualan Eksport</v>
          </cell>
          <cell r="K73">
            <v>0</v>
          </cell>
          <cell r="L73">
            <v>863889160</v>
          </cell>
        </row>
        <row r="74">
          <cell r="C74" t="str">
            <v>Syokukai Ebi Fry (45 Gr)</v>
          </cell>
          <cell r="K74">
            <v>0</v>
          </cell>
          <cell r="L74">
            <v>0</v>
          </cell>
        </row>
        <row r="75">
          <cell r="C75" t="str">
            <v>Syokukai Ebi Fry (40 Gr)</v>
          </cell>
          <cell r="K75">
            <v>0</v>
          </cell>
          <cell r="L75">
            <v>0</v>
          </cell>
        </row>
        <row r="76">
          <cell r="C76" t="str">
            <v>Syokukai Ebi Fry (35 Gr)</v>
          </cell>
          <cell r="K76">
            <v>0</v>
          </cell>
          <cell r="L76">
            <v>0</v>
          </cell>
        </row>
        <row r="77">
          <cell r="C77" t="str">
            <v>Syokukai Ebi Fry (30 Gr)</v>
          </cell>
          <cell r="K77">
            <v>0</v>
          </cell>
          <cell r="L77">
            <v>0</v>
          </cell>
        </row>
        <row r="78">
          <cell r="C78" t="str">
            <v>Syokukai Ebi Fry (25 Gr)</v>
          </cell>
          <cell r="K78">
            <v>0</v>
          </cell>
          <cell r="L78">
            <v>0</v>
          </cell>
        </row>
        <row r="79">
          <cell r="C79" t="str">
            <v>Syokukai Ebi Fry (20 Gr)</v>
          </cell>
          <cell r="K79">
            <v>0</v>
          </cell>
          <cell r="L79">
            <v>0</v>
          </cell>
        </row>
        <row r="80">
          <cell r="C80" t="str">
            <v>Syokukai Ebi Fry (12 Gr)</v>
          </cell>
          <cell r="K80">
            <v>0</v>
          </cell>
          <cell r="L80">
            <v>0</v>
          </cell>
        </row>
        <row r="81">
          <cell r="C81" t="str">
            <v>Natural Ebi Fry (30 Gr)</v>
          </cell>
          <cell r="K81">
            <v>0</v>
          </cell>
          <cell r="L81">
            <v>0</v>
          </cell>
        </row>
        <row r="82">
          <cell r="C82" t="str">
            <v>Ebi Fry Tokuyu (30 Gr)</v>
          </cell>
          <cell r="K82">
            <v>0</v>
          </cell>
          <cell r="L82">
            <v>0</v>
          </cell>
        </row>
        <row r="83">
          <cell r="C83" t="str">
            <v>Penjualan ekspor to Eiger 007/IAS</v>
          </cell>
          <cell r="K83">
            <v>0</v>
          </cell>
          <cell r="L83">
            <v>0</v>
          </cell>
        </row>
        <row r="84">
          <cell r="C84" t="str">
            <v>Eiger Co. Ltd</v>
          </cell>
          <cell r="K84">
            <v>859154940</v>
          </cell>
          <cell r="L84">
            <v>0</v>
          </cell>
        </row>
        <row r="85">
          <cell r="C85">
            <v>70660</v>
          </cell>
          <cell r="K85">
            <v>0</v>
          </cell>
          <cell r="L85">
            <v>0</v>
          </cell>
        </row>
        <row r="86">
          <cell r="C86" t="str">
            <v>Penjualan Eksport</v>
          </cell>
          <cell r="K86">
            <v>0</v>
          </cell>
          <cell r="L86">
            <v>859154940</v>
          </cell>
        </row>
        <row r="87">
          <cell r="C87" t="str">
            <v>Syokukai Ebi Fry (45 Gr)</v>
          </cell>
          <cell r="K87">
            <v>0</v>
          </cell>
          <cell r="L87">
            <v>0</v>
          </cell>
        </row>
        <row r="88">
          <cell r="C88" t="str">
            <v>Syokukai Ebi Fry (40 Gr)</v>
          </cell>
          <cell r="K88">
            <v>0</v>
          </cell>
          <cell r="L88">
            <v>0</v>
          </cell>
        </row>
        <row r="89">
          <cell r="C89" t="str">
            <v>Syokukai Ebi Fry (35 Gr)</v>
          </cell>
          <cell r="K89">
            <v>0</v>
          </cell>
          <cell r="L89">
            <v>0</v>
          </cell>
        </row>
        <row r="90">
          <cell r="C90" t="str">
            <v>Syokukai Ebi Fry (30 Gr)</v>
          </cell>
          <cell r="K90">
            <v>0</v>
          </cell>
          <cell r="L90">
            <v>0</v>
          </cell>
        </row>
        <row r="91">
          <cell r="C91" t="str">
            <v>Syokukai Ebi Fry (25 Gr)</v>
          </cell>
          <cell r="K91">
            <v>0</v>
          </cell>
          <cell r="L91">
            <v>0</v>
          </cell>
        </row>
        <row r="92">
          <cell r="C92" t="str">
            <v>Syokukai Ebi Fry (20 Gr)</v>
          </cell>
          <cell r="K92">
            <v>0</v>
          </cell>
          <cell r="L92">
            <v>0</v>
          </cell>
        </row>
        <row r="93">
          <cell r="C93" t="str">
            <v>Syokukai Ebi Fry (12 Gr)</v>
          </cell>
          <cell r="K93">
            <v>0</v>
          </cell>
          <cell r="L93">
            <v>0</v>
          </cell>
        </row>
        <row r="94">
          <cell r="C94" t="str">
            <v>Natural Ebi Fry (30 Gr)</v>
          </cell>
          <cell r="K94">
            <v>0</v>
          </cell>
          <cell r="L94">
            <v>0</v>
          </cell>
        </row>
        <row r="95">
          <cell r="C95" t="str">
            <v>Ebi Fry Tokuyu (30 Gr)</v>
          </cell>
          <cell r="K95">
            <v>0</v>
          </cell>
          <cell r="L95">
            <v>0</v>
          </cell>
        </row>
        <row r="96">
          <cell r="C96" t="str">
            <v>Penjualan ekspor to Eiger BL : APLU 073875784 Cont : APRU 6101139 008/IAS</v>
          </cell>
          <cell r="K96">
            <v>0</v>
          </cell>
          <cell r="L96">
            <v>0</v>
          </cell>
        </row>
        <row r="97">
          <cell r="C97" t="str">
            <v>Eiger Co. Ltd</v>
          </cell>
          <cell r="K97">
            <v>853078180</v>
          </cell>
          <cell r="L97">
            <v>0</v>
          </cell>
        </row>
        <row r="98">
          <cell r="C98">
            <v>70660</v>
          </cell>
          <cell r="K98">
            <v>0</v>
          </cell>
          <cell r="L98">
            <v>0</v>
          </cell>
        </row>
        <row r="99">
          <cell r="C99" t="str">
            <v>Penjualan Eksport</v>
          </cell>
          <cell r="K99">
            <v>0</v>
          </cell>
          <cell r="L99">
            <v>853078180</v>
          </cell>
        </row>
        <row r="100">
          <cell r="C100" t="str">
            <v>Syokukai Ebi Fry (45 Gr)</v>
          </cell>
          <cell r="K100">
            <v>0</v>
          </cell>
          <cell r="L100">
            <v>0</v>
          </cell>
        </row>
        <row r="101">
          <cell r="C101" t="str">
            <v>Syokukai Ebi Fry (40 Gr)</v>
          </cell>
          <cell r="K101">
            <v>0</v>
          </cell>
          <cell r="L101">
            <v>0</v>
          </cell>
        </row>
        <row r="102">
          <cell r="C102" t="str">
            <v>Syokukai Ebi Fry (35 Gr)</v>
          </cell>
          <cell r="K102">
            <v>0</v>
          </cell>
          <cell r="L102">
            <v>0</v>
          </cell>
        </row>
        <row r="103">
          <cell r="C103" t="str">
            <v>Syokukai Ebi Fry (30 Gr)</v>
          </cell>
          <cell r="K103">
            <v>0</v>
          </cell>
          <cell r="L103">
            <v>0</v>
          </cell>
        </row>
        <row r="104">
          <cell r="C104" t="str">
            <v>Syokukai Ebi Fry (25 Gr)</v>
          </cell>
          <cell r="K104">
            <v>0</v>
          </cell>
          <cell r="L104">
            <v>0</v>
          </cell>
        </row>
        <row r="105">
          <cell r="C105" t="str">
            <v>Syokukai Ebi Fry (20 Gr)</v>
          </cell>
          <cell r="K105">
            <v>0</v>
          </cell>
          <cell r="L105">
            <v>0</v>
          </cell>
        </row>
        <row r="106">
          <cell r="C106" t="str">
            <v>Syokukai Ebi Fry (12 Gr)</v>
          </cell>
          <cell r="K106">
            <v>0</v>
          </cell>
          <cell r="L106">
            <v>0</v>
          </cell>
        </row>
        <row r="107">
          <cell r="C107" t="str">
            <v>Natural Ebi Fry (30 Gr)</v>
          </cell>
          <cell r="K107">
            <v>0</v>
          </cell>
          <cell r="L107">
            <v>0</v>
          </cell>
        </row>
        <row r="108">
          <cell r="C108" t="str">
            <v>Ebi Fry Tokuyu (30 Gr)</v>
          </cell>
          <cell r="K108">
            <v>0</v>
          </cell>
          <cell r="L108">
            <v>0</v>
          </cell>
        </row>
        <row r="109">
          <cell r="C109" t="str">
            <v>Penjualan ekspor to Eiger BL : APLU 073875866 Cont : APRU 5808868 009/IAS</v>
          </cell>
          <cell r="K109">
            <v>0</v>
          </cell>
          <cell r="L109">
            <v>0</v>
          </cell>
        </row>
        <row r="110">
          <cell r="C110" t="str">
            <v>Eiger Co. Ltd</v>
          </cell>
          <cell r="K110">
            <v>798690000</v>
          </cell>
          <cell r="L110">
            <v>0</v>
          </cell>
        </row>
        <row r="111">
          <cell r="C111">
            <v>67400</v>
          </cell>
          <cell r="K111">
            <v>0</v>
          </cell>
          <cell r="L111">
            <v>0</v>
          </cell>
        </row>
        <row r="112">
          <cell r="C112" t="str">
            <v>Penjualan Eksport</v>
          </cell>
          <cell r="K112">
            <v>0</v>
          </cell>
          <cell r="L112">
            <v>798690000</v>
          </cell>
        </row>
        <row r="113">
          <cell r="C113" t="str">
            <v>Syokukai Ebi Fry (45 Gr)</v>
          </cell>
          <cell r="K113">
            <v>0</v>
          </cell>
          <cell r="L113">
            <v>0</v>
          </cell>
        </row>
        <row r="114">
          <cell r="C114" t="str">
            <v>Syokukai Ebi Fry (40 Gr)</v>
          </cell>
          <cell r="K114">
            <v>0</v>
          </cell>
          <cell r="L114">
            <v>0</v>
          </cell>
        </row>
        <row r="115">
          <cell r="C115" t="str">
            <v>Syokukai Ebi Fry (35 Gr)</v>
          </cell>
          <cell r="K115">
            <v>0</v>
          </cell>
          <cell r="L115">
            <v>0</v>
          </cell>
        </row>
        <row r="116">
          <cell r="C116" t="str">
            <v>Syokukai Ebi Fry (30 Gr)</v>
          </cell>
          <cell r="K116">
            <v>0</v>
          </cell>
          <cell r="L116">
            <v>0</v>
          </cell>
        </row>
        <row r="117">
          <cell r="C117" t="str">
            <v>Syokukai Ebi Fry (25 Gr)</v>
          </cell>
          <cell r="K117">
            <v>0</v>
          </cell>
          <cell r="L117">
            <v>0</v>
          </cell>
        </row>
        <row r="118">
          <cell r="C118" t="str">
            <v>Syokukai Ebi Fry (20 Gr)</v>
          </cell>
          <cell r="K118">
            <v>0</v>
          </cell>
          <cell r="L118">
            <v>0</v>
          </cell>
        </row>
        <row r="119">
          <cell r="C119" t="str">
            <v>Syokukai Ebi Fry (12 Gr)</v>
          </cell>
          <cell r="K119">
            <v>0</v>
          </cell>
          <cell r="L119">
            <v>0</v>
          </cell>
        </row>
        <row r="120">
          <cell r="C120" t="str">
            <v>Natural Ebi Fry (30 Gr)</v>
          </cell>
          <cell r="K120">
            <v>0</v>
          </cell>
          <cell r="L120">
            <v>0</v>
          </cell>
        </row>
        <row r="121">
          <cell r="C121" t="str">
            <v>Ebi Fry Tokuyu (30 Gr)</v>
          </cell>
          <cell r="K121">
            <v>0</v>
          </cell>
          <cell r="L121">
            <v>0</v>
          </cell>
        </row>
        <row r="122">
          <cell r="C122" t="str">
            <v>Penjualan ekspor to Eiger BL : APLU 073875925 Cont : APRU 5789006 010/IAS</v>
          </cell>
          <cell r="K122">
            <v>0</v>
          </cell>
          <cell r="L122">
            <v>0</v>
          </cell>
        </row>
        <row r="123">
          <cell r="C123" t="str">
            <v>Eiger Co. Ltd</v>
          </cell>
          <cell r="K123">
            <v>756141864.79999995</v>
          </cell>
          <cell r="L123">
            <v>0</v>
          </cell>
        </row>
        <row r="124">
          <cell r="C124">
            <v>64799.199999999997</v>
          </cell>
          <cell r="K124">
            <v>0</v>
          </cell>
          <cell r="L124">
            <v>0</v>
          </cell>
        </row>
        <row r="125">
          <cell r="C125" t="str">
            <v>Penjualan Eksport</v>
          </cell>
          <cell r="K125">
            <v>0</v>
          </cell>
          <cell r="L125">
            <v>756141864.79999995</v>
          </cell>
        </row>
        <row r="126">
          <cell r="C126" t="str">
            <v>Syokukai Ebi Fry (45 Gr)</v>
          </cell>
          <cell r="K126">
            <v>0</v>
          </cell>
          <cell r="L126">
            <v>0</v>
          </cell>
        </row>
        <row r="127">
          <cell r="C127" t="str">
            <v>Syokukai Ebi Fry (40 Gr)</v>
          </cell>
          <cell r="K127">
            <v>0</v>
          </cell>
          <cell r="L127">
            <v>0</v>
          </cell>
        </row>
        <row r="128">
          <cell r="C128" t="str">
            <v>Syokukai Ebi Fry (35 Gr)</v>
          </cell>
          <cell r="K128">
            <v>0</v>
          </cell>
          <cell r="L128">
            <v>0</v>
          </cell>
        </row>
        <row r="129">
          <cell r="C129" t="str">
            <v>Syokukai Ebi Fry (30 Gr)</v>
          </cell>
          <cell r="K129">
            <v>0</v>
          </cell>
          <cell r="L129">
            <v>0</v>
          </cell>
        </row>
        <row r="130">
          <cell r="C130" t="str">
            <v>Syokukai Ebi Fry (25 Gr)</v>
          </cell>
          <cell r="K130">
            <v>0</v>
          </cell>
          <cell r="L130">
            <v>0</v>
          </cell>
        </row>
        <row r="131">
          <cell r="C131" t="str">
            <v>Syokukai Ebi Fry (20 Gr)</v>
          </cell>
          <cell r="K131">
            <v>0</v>
          </cell>
          <cell r="L131">
            <v>0</v>
          </cell>
        </row>
        <row r="132">
          <cell r="C132" t="str">
            <v>Syokukai Ebi Fry (12 Gr)</v>
          </cell>
          <cell r="K132">
            <v>0</v>
          </cell>
          <cell r="L132">
            <v>0</v>
          </cell>
        </row>
        <row r="133">
          <cell r="C133" t="str">
            <v>Natural Ebi Fry (30 Gr)</v>
          </cell>
          <cell r="K133">
            <v>0</v>
          </cell>
          <cell r="L133">
            <v>0</v>
          </cell>
        </row>
        <row r="134">
          <cell r="C134" t="str">
            <v>Ebi Fry Tokuyu (30 Gr)</v>
          </cell>
          <cell r="K134">
            <v>0</v>
          </cell>
          <cell r="L134">
            <v>0</v>
          </cell>
        </row>
        <row r="135">
          <cell r="C135" t="str">
            <v>Penjualan ekspor to Eiger BL : APLU 073875989 Cont : TGHU 9946660 011/IAS</v>
          </cell>
          <cell r="K135">
            <v>0</v>
          </cell>
          <cell r="L135">
            <v>0</v>
          </cell>
        </row>
        <row r="136">
          <cell r="C136" t="str">
            <v>Tomaya Co.Ltd</v>
          </cell>
          <cell r="K136">
            <v>846752760</v>
          </cell>
          <cell r="L136">
            <v>0</v>
          </cell>
        </row>
        <row r="137">
          <cell r="C137">
            <v>73122</v>
          </cell>
          <cell r="K137">
            <v>0</v>
          </cell>
          <cell r="L137">
            <v>0</v>
          </cell>
        </row>
        <row r="138">
          <cell r="C138" t="str">
            <v>Penjualan Eksport</v>
          </cell>
          <cell r="K138">
            <v>0</v>
          </cell>
          <cell r="L138">
            <v>846752760</v>
          </cell>
        </row>
        <row r="139">
          <cell r="C139" t="str">
            <v>Ebi Fry San Sugar (2L)</v>
          </cell>
          <cell r="K139">
            <v>0</v>
          </cell>
          <cell r="L139">
            <v>0</v>
          </cell>
        </row>
        <row r="140">
          <cell r="C140" t="str">
            <v>Ebi Fry San Sugar (L)</v>
          </cell>
          <cell r="K140">
            <v>0</v>
          </cell>
          <cell r="L140">
            <v>0</v>
          </cell>
        </row>
        <row r="141">
          <cell r="C141" t="str">
            <v>Ebi Fry San Sugar (M)</v>
          </cell>
          <cell r="K141">
            <v>0</v>
          </cell>
          <cell r="L141">
            <v>0</v>
          </cell>
        </row>
        <row r="142">
          <cell r="C142" t="str">
            <v>Penjualan Ekspor to Tomaya No. Inv. 012/IAS BL : APLU 073876040 Cont : APRU 6100976</v>
          </cell>
          <cell r="K142">
            <v>0</v>
          </cell>
          <cell r="L142">
            <v>0</v>
          </cell>
        </row>
        <row r="143">
          <cell r="C143" t="str">
            <v>Eiger Co. Ltd</v>
          </cell>
          <cell r="K143">
            <v>846196640</v>
          </cell>
          <cell r="L143">
            <v>0</v>
          </cell>
        </row>
        <row r="144">
          <cell r="C144">
            <v>74020</v>
          </cell>
          <cell r="K144">
            <v>0</v>
          </cell>
          <cell r="L144">
            <v>0</v>
          </cell>
        </row>
        <row r="145">
          <cell r="C145" t="str">
            <v>Penjualan Eksport</v>
          </cell>
          <cell r="K145">
            <v>0</v>
          </cell>
          <cell r="L145">
            <v>846196640</v>
          </cell>
        </row>
        <row r="146">
          <cell r="C146" t="str">
            <v>Ebi Fry Nisshin (3L)</v>
          </cell>
          <cell r="K146">
            <v>0</v>
          </cell>
          <cell r="L146">
            <v>0</v>
          </cell>
        </row>
        <row r="147">
          <cell r="C147" t="str">
            <v>Ebi Fry Nisshin (LL)</v>
          </cell>
          <cell r="K147">
            <v>0</v>
          </cell>
          <cell r="L147">
            <v>0</v>
          </cell>
        </row>
        <row r="148">
          <cell r="C148" t="str">
            <v>Ebi Fry Nisshin (M)</v>
          </cell>
          <cell r="K148">
            <v>0</v>
          </cell>
          <cell r="L148">
            <v>0</v>
          </cell>
        </row>
        <row r="149">
          <cell r="C149" t="str">
            <v>PTO'S (31-40)</v>
          </cell>
          <cell r="K149">
            <v>0</v>
          </cell>
          <cell r="L149">
            <v>0</v>
          </cell>
        </row>
        <row r="150">
          <cell r="C150" t="str">
            <v>Penjualan Ekspor to Eiger No. Inv. 013/IAS BL : APLU 073876089 Cont : APRU 6100976</v>
          </cell>
          <cell r="K150">
            <v>0</v>
          </cell>
          <cell r="L150">
            <v>0</v>
          </cell>
        </row>
        <row r="151">
          <cell r="C151" t="str">
            <v>Eiger Co. Ltd</v>
          </cell>
          <cell r="K151">
            <v>805576104</v>
          </cell>
          <cell r="L151">
            <v>0</v>
          </cell>
        </row>
        <row r="152">
          <cell r="C152">
            <v>71208</v>
          </cell>
          <cell r="K152">
            <v>0</v>
          </cell>
          <cell r="L152">
            <v>0</v>
          </cell>
        </row>
        <row r="153">
          <cell r="C153" t="str">
            <v>Penjualan Eksport</v>
          </cell>
          <cell r="K153">
            <v>0</v>
          </cell>
          <cell r="L153">
            <v>805576104</v>
          </cell>
        </row>
        <row r="154">
          <cell r="C154" t="str">
            <v>Syokukai Ebi Fry (45 Gr)</v>
          </cell>
          <cell r="K154">
            <v>0</v>
          </cell>
          <cell r="L154">
            <v>0</v>
          </cell>
        </row>
        <row r="155">
          <cell r="C155" t="str">
            <v>Syokukai Ebi Fry (25 Gr)</v>
          </cell>
          <cell r="K155">
            <v>0</v>
          </cell>
          <cell r="L155">
            <v>0</v>
          </cell>
        </row>
        <row r="156">
          <cell r="C156" t="str">
            <v>Syokukai Ebi Fry (20 Gr)</v>
          </cell>
          <cell r="K156">
            <v>0</v>
          </cell>
          <cell r="L156">
            <v>0</v>
          </cell>
        </row>
        <row r="157">
          <cell r="C157" t="str">
            <v>Syokukai Ebi Fry (12 Gr)</v>
          </cell>
          <cell r="K157">
            <v>0</v>
          </cell>
          <cell r="L157">
            <v>0</v>
          </cell>
        </row>
        <row r="158">
          <cell r="C158" t="str">
            <v>Ebi Fry Tokuyu (30 Gr)</v>
          </cell>
          <cell r="K158">
            <v>0</v>
          </cell>
          <cell r="L158">
            <v>0</v>
          </cell>
        </row>
        <row r="159">
          <cell r="C159" t="str">
            <v>Penjualan Ekspor to Eiger No. Inv. 014/IAS BL : APLU 073876128 Cont : APRU 6107029</v>
          </cell>
          <cell r="K159">
            <v>0</v>
          </cell>
          <cell r="L159">
            <v>0</v>
          </cell>
        </row>
        <row r="160">
          <cell r="C160" t="str">
            <v>Alpha Trading Co. Ltd</v>
          </cell>
          <cell r="K160">
            <v>985080800</v>
          </cell>
          <cell r="L160">
            <v>0</v>
          </cell>
        </row>
        <row r="161">
          <cell r="C161">
            <v>86350</v>
          </cell>
          <cell r="K161">
            <v>0</v>
          </cell>
          <cell r="L161">
            <v>0</v>
          </cell>
        </row>
        <row r="162">
          <cell r="C162" t="str">
            <v>Penjualan Eksport</v>
          </cell>
          <cell r="K162">
            <v>0</v>
          </cell>
          <cell r="L162">
            <v>985080800</v>
          </cell>
        </row>
        <row r="163">
          <cell r="C163" t="str">
            <v>Alpha Ebi Katsu (50 Gr)</v>
          </cell>
          <cell r="K163">
            <v>0</v>
          </cell>
          <cell r="L163">
            <v>0</v>
          </cell>
        </row>
        <row r="164">
          <cell r="C164" t="str">
            <v>Alpha Ebi Fry (40 Gr)</v>
          </cell>
          <cell r="K164">
            <v>0</v>
          </cell>
          <cell r="L164">
            <v>0</v>
          </cell>
        </row>
        <row r="165">
          <cell r="C165" t="str">
            <v>Alpha Ebi Fry (30 Gr)</v>
          </cell>
          <cell r="K165">
            <v>0</v>
          </cell>
          <cell r="L165">
            <v>0</v>
          </cell>
        </row>
        <row r="166">
          <cell r="C166" t="str">
            <v>Alpha Ebi Fry (25 Gr)</v>
          </cell>
          <cell r="K166">
            <v>0</v>
          </cell>
          <cell r="L166">
            <v>0</v>
          </cell>
        </row>
        <row r="167">
          <cell r="C167" t="str">
            <v>Alpha Ebi Fry (20 Gr)</v>
          </cell>
          <cell r="K167">
            <v>0</v>
          </cell>
          <cell r="L167">
            <v>0</v>
          </cell>
        </row>
        <row r="168">
          <cell r="C168" t="str">
            <v>Obento (25 Gr)</v>
          </cell>
          <cell r="K168">
            <v>0</v>
          </cell>
          <cell r="L168">
            <v>0</v>
          </cell>
        </row>
        <row r="169">
          <cell r="C169" t="str">
            <v>Penjualan Ekspor to Alpha Trading No. Inv. 015/IAS BL : APLU 073876183 Cont : TRIU 6107306</v>
          </cell>
          <cell r="K169">
            <v>0</v>
          </cell>
          <cell r="L169">
            <v>0</v>
          </cell>
        </row>
        <row r="170">
          <cell r="C170" t="str">
            <v>Tomaya Co.Ltd</v>
          </cell>
          <cell r="K170">
            <v>828462960</v>
          </cell>
          <cell r="L170">
            <v>0</v>
          </cell>
        </row>
        <row r="171">
          <cell r="C171">
            <v>71370</v>
          </cell>
          <cell r="K171">
            <v>0</v>
          </cell>
          <cell r="L171">
            <v>0</v>
          </cell>
        </row>
        <row r="172">
          <cell r="C172" t="str">
            <v>Penjualan Eksport</v>
          </cell>
          <cell r="K172">
            <v>0</v>
          </cell>
          <cell r="L172">
            <v>828462960</v>
          </cell>
        </row>
        <row r="173">
          <cell r="C173" t="str">
            <v>Ebi Fry San Sugar (L)</v>
          </cell>
          <cell r="K173">
            <v>0</v>
          </cell>
          <cell r="L173">
            <v>0</v>
          </cell>
        </row>
        <row r="174">
          <cell r="C174" t="str">
            <v>Ebi Fry San Sugar (M)</v>
          </cell>
          <cell r="K174">
            <v>0</v>
          </cell>
          <cell r="L174">
            <v>0</v>
          </cell>
        </row>
        <row r="175">
          <cell r="C175" t="str">
            <v>Penjualan Ekspor to Tomaya No. Inv. 017/IAS BL :APLU 073876362 Cont : TRIU 8131695</v>
          </cell>
          <cell r="K175">
            <v>0</v>
          </cell>
          <cell r="L175">
            <v>0</v>
          </cell>
        </row>
        <row r="176">
          <cell r="C176" t="str">
            <v>Eiger Co. Ltd</v>
          </cell>
          <cell r="K176">
            <v>690146880</v>
          </cell>
          <cell r="L176">
            <v>0</v>
          </cell>
        </row>
        <row r="177">
          <cell r="C177">
            <v>59660</v>
          </cell>
          <cell r="K177">
            <v>0</v>
          </cell>
          <cell r="L177">
            <v>0</v>
          </cell>
        </row>
        <row r="178">
          <cell r="C178" t="str">
            <v>Penjualan Eksport</v>
          </cell>
          <cell r="K178">
            <v>0</v>
          </cell>
          <cell r="L178">
            <v>690146880</v>
          </cell>
        </row>
        <row r="179">
          <cell r="C179" t="str">
            <v>Syokukai Ebi Fry (45 Gr)</v>
          </cell>
          <cell r="K179">
            <v>0</v>
          </cell>
          <cell r="L179">
            <v>0</v>
          </cell>
        </row>
        <row r="180">
          <cell r="C180" t="str">
            <v>Syokukai Ebi Fry (40 Gr)</v>
          </cell>
          <cell r="K180">
            <v>0</v>
          </cell>
          <cell r="L180">
            <v>0</v>
          </cell>
        </row>
        <row r="181">
          <cell r="C181" t="str">
            <v>Syokukai Ebi Fry (35 Gr)</v>
          </cell>
          <cell r="K181">
            <v>0</v>
          </cell>
          <cell r="L181">
            <v>0</v>
          </cell>
        </row>
        <row r="182">
          <cell r="C182" t="str">
            <v>Syokukai Ebi Fry (30 Gr)</v>
          </cell>
          <cell r="K182">
            <v>0</v>
          </cell>
          <cell r="L182">
            <v>0</v>
          </cell>
        </row>
        <row r="183">
          <cell r="C183" t="str">
            <v>Syokukai Ebi Fry (25 Gr)</v>
          </cell>
          <cell r="K183">
            <v>0</v>
          </cell>
          <cell r="L183">
            <v>0</v>
          </cell>
        </row>
        <row r="184">
          <cell r="C184" t="str">
            <v>Syokukai Ebi Fry (20 Gr)</v>
          </cell>
          <cell r="K184">
            <v>0</v>
          </cell>
          <cell r="L184">
            <v>0</v>
          </cell>
        </row>
        <row r="185">
          <cell r="C185" t="str">
            <v>Syokukai Ebi Fry (12 Gr)</v>
          </cell>
          <cell r="K185">
            <v>0</v>
          </cell>
          <cell r="L185">
            <v>0</v>
          </cell>
        </row>
        <row r="186">
          <cell r="C186" t="str">
            <v>Natural Ebi Fry (30 Gr)</v>
          </cell>
          <cell r="K186">
            <v>0</v>
          </cell>
          <cell r="L186">
            <v>0</v>
          </cell>
        </row>
        <row r="187">
          <cell r="C187" t="str">
            <v>Ebi Fry Tokuyu (30 Gr)</v>
          </cell>
          <cell r="K187">
            <v>0</v>
          </cell>
          <cell r="L187">
            <v>0</v>
          </cell>
        </row>
        <row r="188">
          <cell r="C188" t="str">
            <v>Penjualan Ekspor to Eiger No. Inv. 018/IAS BL : 563491032 Cont : MNBU 3185621</v>
          </cell>
          <cell r="K188">
            <v>0</v>
          </cell>
          <cell r="L188">
            <v>0</v>
          </cell>
        </row>
        <row r="189">
          <cell r="C189" t="str">
            <v>Alpha Trading Co. Ltd</v>
          </cell>
          <cell r="K189">
            <v>962633700</v>
          </cell>
          <cell r="L189">
            <v>0</v>
          </cell>
        </row>
        <row r="190">
          <cell r="C190">
            <v>83475</v>
          </cell>
          <cell r="K190">
            <v>0</v>
          </cell>
          <cell r="L190">
            <v>0</v>
          </cell>
        </row>
        <row r="191">
          <cell r="C191" t="str">
            <v>Penjualan Eksport</v>
          </cell>
          <cell r="K191">
            <v>0</v>
          </cell>
          <cell r="L191">
            <v>962633700</v>
          </cell>
        </row>
        <row r="192">
          <cell r="C192" t="str">
            <v>Alpha Ebi Fry (50 Gr)</v>
          </cell>
          <cell r="K192">
            <v>0</v>
          </cell>
          <cell r="L192">
            <v>0</v>
          </cell>
        </row>
        <row r="193">
          <cell r="C193" t="str">
            <v>Alpha Ebi Fry (40 Gr)</v>
          </cell>
          <cell r="K193">
            <v>0</v>
          </cell>
          <cell r="L193">
            <v>0</v>
          </cell>
        </row>
        <row r="194">
          <cell r="C194" t="str">
            <v>Alpha Ebi Fry (30 Gr)</v>
          </cell>
          <cell r="K194">
            <v>0</v>
          </cell>
          <cell r="L194">
            <v>0</v>
          </cell>
        </row>
        <row r="195">
          <cell r="C195" t="str">
            <v>Alpha Ebi Fry (25 Gr)</v>
          </cell>
          <cell r="K195">
            <v>0</v>
          </cell>
          <cell r="L195">
            <v>0</v>
          </cell>
        </row>
        <row r="196">
          <cell r="C196" t="str">
            <v>Alpha Ebi Fry (20 Gr)</v>
          </cell>
          <cell r="K196">
            <v>0</v>
          </cell>
          <cell r="L196">
            <v>0</v>
          </cell>
        </row>
        <row r="197">
          <cell r="C197" t="str">
            <v>Obento (25 Gr)</v>
          </cell>
          <cell r="K197">
            <v>0</v>
          </cell>
          <cell r="L197">
            <v>0</v>
          </cell>
        </row>
        <row r="198">
          <cell r="C198" t="str">
            <v>Penjualan Ekspor to Alpha Trading No. Inv. 016/IAS BL : APLU 073876422 Cont : APRU 5803233</v>
          </cell>
          <cell r="K198">
            <v>0</v>
          </cell>
          <cell r="L198">
            <v>0</v>
          </cell>
        </row>
        <row r="199">
          <cell r="C199" t="str">
            <v>Eiger Co. Ltd</v>
          </cell>
          <cell r="K199">
            <v>862992000</v>
          </cell>
          <cell r="L199">
            <v>0</v>
          </cell>
        </row>
        <row r="200">
          <cell r="C200">
            <v>74880</v>
          </cell>
          <cell r="K200">
            <v>0</v>
          </cell>
          <cell r="L200">
            <v>0</v>
          </cell>
        </row>
        <row r="201">
          <cell r="C201" t="str">
            <v>Penjualan Eksport</v>
          </cell>
          <cell r="K201">
            <v>0</v>
          </cell>
          <cell r="L201">
            <v>862992000</v>
          </cell>
        </row>
        <row r="202">
          <cell r="C202" t="str">
            <v>Ebi Fry Nisshin (3L)</v>
          </cell>
          <cell r="K202">
            <v>0</v>
          </cell>
          <cell r="L202">
            <v>0</v>
          </cell>
        </row>
        <row r="203">
          <cell r="C203" t="str">
            <v>Ebi Fry Nisshin (LL)</v>
          </cell>
          <cell r="K203">
            <v>0</v>
          </cell>
          <cell r="L203">
            <v>0</v>
          </cell>
        </row>
        <row r="204">
          <cell r="C204" t="str">
            <v>Ebi Fry Nisshin (M)</v>
          </cell>
          <cell r="K204">
            <v>0</v>
          </cell>
          <cell r="L204">
            <v>0</v>
          </cell>
        </row>
        <row r="205">
          <cell r="C205" t="str">
            <v>PTO'S (31-40)</v>
          </cell>
          <cell r="K205">
            <v>0</v>
          </cell>
          <cell r="L205">
            <v>0</v>
          </cell>
        </row>
        <row r="206">
          <cell r="C206" t="str">
            <v>Penjualan Ekspor to Eiger No. Inv. 019/IAS BL : 563550472 Cont : MSWU 0114885</v>
          </cell>
          <cell r="K206">
            <v>0</v>
          </cell>
          <cell r="L206">
            <v>0</v>
          </cell>
        </row>
        <row r="207">
          <cell r="C207" t="str">
            <v>Eiger Co. Ltd</v>
          </cell>
          <cell r="K207">
            <v>687745069.20000005</v>
          </cell>
          <cell r="L207">
            <v>0</v>
          </cell>
        </row>
        <row r="208">
          <cell r="C208">
            <v>59871.6</v>
          </cell>
          <cell r="K208">
            <v>0</v>
          </cell>
          <cell r="L208">
            <v>0</v>
          </cell>
        </row>
        <row r="209">
          <cell r="C209" t="str">
            <v>Penjualan Eksport</v>
          </cell>
          <cell r="K209">
            <v>0</v>
          </cell>
          <cell r="L209">
            <v>687745069.20000005</v>
          </cell>
        </row>
        <row r="210">
          <cell r="C210" t="str">
            <v>Syokukai Ebi Fry (45 Gr)</v>
          </cell>
          <cell r="K210">
            <v>0</v>
          </cell>
          <cell r="L210">
            <v>0</v>
          </cell>
        </row>
        <row r="211">
          <cell r="C211" t="str">
            <v>Syokukai Ebi Fry (40 Gr)</v>
          </cell>
          <cell r="K211">
            <v>0</v>
          </cell>
          <cell r="L211">
            <v>0</v>
          </cell>
        </row>
        <row r="212">
          <cell r="C212" t="str">
            <v>Syokukai Ebi Fry (35 Gr)</v>
          </cell>
          <cell r="K212">
            <v>0</v>
          </cell>
          <cell r="L212">
            <v>0</v>
          </cell>
        </row>
        <row r="213">
          <cell r="C213" t="str">
            <v>Syokukai Ebi Fry (30 Gr)</v>
          </cell>
          <cell r="K213">
            <v>0</v>
          </cell>
          <cell r="L213">
            <v>0</v>
          </cell>
        </row>
        <row r="214">
          <cell r="C214" t="str">
            <v>Syokukai Ebi Fry (25 Gr)</v>
          </cell>
          <cell r="K214">
            <v>0</v>
          </cell>
          <cell r="L214">
            <v>0</v>
          </cell>
        </row>
        <row r="215">
          <cell r="C215" t="str">
            <v>Syokukai Ebi Fry (20 Gr)</v>
          </cell>
          <cell r="K215">
            <v>0</v>
          </cell>
          <cell r="L215">
            <v>0</v>
          </cell>
        </row>
        <row r="216">
          <cell r="C216" t="str">
            <v>Syokukai Ebi Fry (12 Gr)</v>
          </cell>
          <cell r="K216">
            <v>0</v>
          </cell>
          <cell r="L216">
            <v>0</v>
          </cell>
        </row>
        <row r="217">
          <cell r="C217" t="str">
            <v>Ebi Fry Tokuyu (30 Gr)</v>
          </cell>
          <cell r="K217">
            <v>0</v>
          </cell>
          <cell r="L217">
            <v>0</v>
          </cell>
        </row>
        <row r="218">
          <cell r="C218" t="str">
            <v>Natural Ebi Fry (30 Gr)</v>
          </cell>
          <cell r="K218">
            <v>0</v>
          </cell>
          <cell r="L218">
            <v>0</v>
          </cell>
        </row>
        <row r="219">
          <cell r="C219" t="str">
            <v>Penjualan Ekspor to Eiger No. Inv. 020/IAS BL : APLU 073876506 Cont : TRIU 8503133</v>
          </cell>
          <cell r="K219">
            <v>0</v>
          </cell>
          <cell r="L219">
            <v>0</v>
          </cell>
        </row>
        <row r="220">
          <cell r="C220" t="str">
            <v>Tomaya Co.Ltd</v>
          </cell>
          <cell r="K220">
            <v>718957360</v>
          </cell>
          <cell r="L220">
            <v>0</v>
          </cell>
        </row>
        <row r="221">
          <cell r="C221">
            <v>62480</v>
          </cell>
          <cell r="K221">
            <v>0</v>
          </cell>
          <cell r="L221">
            <v>0</v>
          </cell>
        </row>
        <row r="222">
          <cell r="C222" t="str">
            <v>Penjualan Eksport</v>
          </cell>
          <cell r="K222">
            <v>0</v>
          </cell>
          <cell r="L222">
            <v>718957360</v>
          </cell>
        </row>
        <row r="223">
          <cell r="C223" t="str">
            <v>Marushin Tomaya (3L)</v>
          </cell>
          <cell r="K223">
            <v>0</v>
          </cell>
          <cell r="L223">
            <v>0</v>
          </cell>
        </row>
        <row r="224">
          <cell r="C224" t="str">
            <v>Marushin Tomaya (2L)</v>
          </cell>
          <cell r="K224">
            <v>0</v>
          </cell>
          <cell r="L224">
            <v>0</v>
          </cell>
        </row>
        <row r="225">
          <cell r="C225" t="str">
            <v>Marushin Tomaya (L)</v>
          </cell>
          <cell r="K225">
            <v>0</v>
          </cell>
          <cell r="L225">
            <v>0</v>
          </cell>
        </row>
        <row r="226">
          <cell r="C226" t="str">
            <v>Marushin Tomaya (M)</v>
          </cell>
          <cell r="K226">
            <v>0</v>
          </cell>
          <cell r="L226">
            <v>0</v>
          </cell>
        </row>
        <row r="227">
          <cell r="C227" t="str">
            <v>Marushin Tomaya (S)</v>
          </cell>
          <cell r="K227">
            <v>0</v>
          </cell>
          <cell r="L227">
            <v>0</v>
          </cell>
        </row>
        <row r="228">
          <cell r="C228" t="str">
            <v>Marutoku Take (30 Gr)</v>
          </cell>
          <cell r="K228">
            <v>0</v>
          </cell>
          <cell r="L228">
            <v>0</v>
          </cell>
        </row>
        <row r="229">
          <cell r="C229" t="str">
            <v>Marutoku Ume (24 Gr)</v>
          </cell>
          <cell r="K229">
            <v>0</v>
          </cell>
          <cell r="L229">
            <v>0</v>
          </cell>
        </row>
        <row r="230">
          <cell r="C230" t="str">
            <v>Penjualan Ekspor to Tomaya No. Inv. 021/IAS BL : APLU 073876530 Cont : TRIU 8662860</v>
          </cell>
          <cell r="K230">
            <v>0</v>
          </cell>
          <cell r="L230">
            <v>0</v>
          </cell>
        </row>
        <row r="231">
          <cell r="C231" t="str">
            <v>Eiger Co. Ltd</v>
          </cell>
          <cell r="K231">
            <v>644056980</v>
          </cell>
          <cell r="L231">
            <v>0</v>
          </cell>
        </row>
        <row r="232">
          <cell r="C232">
            <v>55460</v>
          </cell>
          <cell r="K232">
            <v>0</v>
          </cell>
          <cell r="L232">
            <v>0</v>
          </cell>
        </row>
        <row r="233">
          <cell r="C233" t="str">
            <v>Penjualan Eksport</v>
          </cell>
          <cell r="K233">
            <v>0</v>
          </cell>
          <cell r="L233">
            <v>644056980</v>
          </cell>
        </row>
        <row r="234">
          <cell r="C234" t="str">
            <v>Syokukai Ebi Fry (40 Gr)</v>
          </cell>
          <cell r="K234">
            <v>0</v>
          </cell>
          <cell r="L234">
            <v>0</v>
          </cell>
        </row>
        <row r="235">
          <cell r="C235" t="str">
            <v>Syokukai Ebi Fry (35 Gr)</v>
          </cell>
          <cell r="K235">
            <v>0</v>
          </cell>
          <cell r="L235">
            <v>0</v>
          </cell>
        </row>
        <row r="236">
          <cell r="C236" t="str">
            <v>Syokukai Ebi Fry (25 Gr)</v>
          </cell>
          <cell r="K236">
            <v>0</v>
          </cell>
          <cell r="L236">
            <v>0</v>
          </cell>
        </row>
        <row r="237">
          <cell r="C237" t="str">
            <v>Syokukai Ebi Fry (20 Gr)</v>
          </cell>
          <cell r="K237">
            <v>0</v>
          </cell>
          <cell r="L237">
            <v>0</v>
          </cell>
        </row>
        <row r="238">
          <cell r="C238" t="str">
            <v>Syokukai Ebi Fry (12 Gr)</v>
          </cell>
          <cell r="K238">
            <v>0</v>
          </cell>
          <cell r="L238">
            <v>0</v>
          </cell>
        </row>
        <row r="239">
          <cell r="C239" t="str">
            <v>Ebi Fry Tokuyu (30 Gr)</v>
          </cell>
          <cell r="K239">
            <v>0</v>
          </cell>
          <cell r="L239">
            <v>0</v>
          </cell>
        </row>
        <row r="240">
          <cell r="C240" t="str">
            <v>Syokukai Breaded HO (38 Gr)</v>
          </cell>
          <cell r="K240">
            <v>0</v>
          </cell>
          <cell r="L240">
            <v>0</v>
          </cell>
        </row>
        <row r="241">
          <cell r="C241" t="str">
            <v>Penjualan Ekspor to Eiger No. Inv. 022/IAS BL : APLU 073876578 Cont : APRU 5087083</v>
          </cell>
          <cell r="K241">
            <v>0</v>
          </cell>
          <cell r="L241">
            <v>0</v>
          </cell>
        </row>
        <row r="242">
          <cell r="C242" t="str">
            <v>Eiger Co. Ltd</v>
          </cell>
          <cell r="K242">
            <v>663013400</v>
          </cell>
          <cell r="L242">
            <v>0</v>
          </cell>
        </row>
        <row r="243">
          <cell r="C243">
            <v>56140</v>
          </cell>
          <cell r="K243">
            <v>0</v>
          </cell>
          <cell r="L243">
            <v>0</v>
          </cell>
        </row>
        <row r="244">
          <cell r="C244" t="str">
            <v>Penjualan Eksport</v>
          </cell>
          <cell r="K244">
            <v>0</v>
          </cell>
          <cell r="L244">
            <v>663013400</v>
          </cell>
        </row>
        <row r="245">
          <cell r="C245" t="str">
            <v>Syokukai Ebi Fry (40 Gr)</v>
          </cell>
          <cell r="K245">
            <v>0</v>
          </cell>
          <cell r="L245">
            <v>0</v>
          </cell>
        </row>
        <row r="246">
          <cell r="C246" t="str">
            <v>Syokukai Ebi Fry (35 Gr)</v>
          </cell>
          <cell r="K246">
            <v>0</v>
          </cell>
          <cell r="L246">
            <v>0</v>
          </cell>
        </row>
        <row r="247">
          <cell r="C247" t="str">
            <v>Syokukai Ebi Fry (25 Gr)</v>
          </cell>
          <cell r="K247">
            <v>0</v>
          </cell>
          <cell r="L247">
            <v>0</v>
          </cell>
        </row>
        <row r="248">
          <cell r="C248" t="str">
            <v>Syokukai Ebi Fry (20 Gr)</v>
          </cell>
          <cell r="K248">
            <v>0</v>
          </cell>
          <cell r="L248">
            <v>0</v>
          </cell>
        </row>
        <row r="249">
          <cell r="C249" t="str">
            <v>Syokukai Ebi Fry (12 Gr)</v>
          </cell>
          <cell r="K249">
            <v>0</v>
          </cell>
          <cell r="L249">
            <v>0</v>
          </cell>
        </row>
        <row r="250">
          <cell r="C250" t="str">
            <v>Ebi Fry Tokuyu (30 Gr)</v>
          </cell>
          <cell r="K250">
            <v>0</v>
          </cell>
          <cell r="L250">
            <v>0</v>
          </cell>
        </row>
        <row r="251">
          <cell r="C251" t="str">
            <v>Syokukai Breaded HO (38 Gr)</v>
          </cell>
          <cell r="K251">
            <v>0</v>
          </cell>
          <cell r="L251">
            <v>0</v>
          </cell>
        </row>
        <row r="252">
          <cell r="C252" t="str">
            <v>Penjualan ekspor to Eiger BL : APLU 073876620 Cont : APRU 5088161</v>
          </cell>
          <cell r="K252">
            <v>0</v>
          </cell>
          <cell r="L252">
            <v>0</v>
          </cell>
        </row>
        <row r="253">
          <cell r="C253" t="str">
            <v>Eiger Co. Ltd</v>
          </cell>
          <cell r="K253">
            <v>355365120</v>
          </cell>
          <cell r="L253">
            <v>0</v>
          </cell>
        </row>
        <row r="254">
          <cell r="C254">
            <v>30080</v>
          </cell>
          <cell r="K254">
            <v>0</v>
          </cell>
          <cell r="L254">
            <v>0</v>
          </cell>
        </row>
        <row r="255">
          <cell r="C255" t="str">
            <v>Penjualan Eksport</v>
          </cell>
          <cell r="K255">
            <v>0</v>
          </cell>
          <cell r="L255">
            <v>355365120</v>
          </cell>
        </row>
        <row r="256">
          <cell r="C256" t="str">
            <v>Syokukai Ebi Fry (35 Gr)</v>
          </cell>
          <cell r="K256">
            <v>0</v>
          </cell>
          <cell r="L256">
            <v>0</v>
          </cell>
        </row>
        <row r="257">
          <cell r="C257" t="str">
            <v>Syokukai Ebi Fry (30 Gr)</v>
          </cell>
          <cell r="K257">
            <v>0</v>
          </cell>
          <cell r="L257">
            <v>0</v>
          </cell>
        </row>
        <row r="258">
          <cell r="C258" t="str">
            <v>Syokukai Ebi Fry (25 Gr)</v>
          </cell>
          <cell r="K258">
            <v>0</v>
          </cell>
          <cell r="L258">
            <v>0</v>
          </cell>
        </row>
        <row r="259">
          <cell r="C259" t="str">
            <v>Penjualan ekspor to Eiger BL : 563946291 Cont : MWCU 5641825 inv. 025/IAS</v>
          </cell>
          <cell r="K259">
            <v>0</v>
          </cell>
          <cell r="L259">
            <v>0</v>
          </cell>
        </row>
        <row r="260">
          <cell r="C260" t="str">
            <v>Eiger Co. Ltd</v>
          </cell>
          <cell r="K260">
            <v>666887128</v>
          </cell>
          <cell r="L260">
            <v>0</v>
          </cell>
        </row>
        <row r="261">
          <cell r="C261">
            <v>55676</v>
          </cell>
          <cell r="K261">
            <v>0</v>
          </cell>
          <cell r="L261">
            <v>0</v>
          </cell>
        </row>
        <row r="262">
          <cell r="C262" t="str">
            <v>Penjualan Eksport</v>
          </cell>
          <cell r="K262">
            <v>0</v>
          </cell>
          <cell r="L262">
            <v>666887128</v>
          </cell>
        </row>
        <row r="263">
          <cell r="C263" t="str">
            <v>Syokukai Ebi Fry (40 Gr)</v>
          </cell>
          <cell r="K263">
            <v>0</v>
          </cell>
          <cell r="L263">
            <v>0</v>
          </cell>
        </row>
        <row r="264">
          <cell r="C264" t="str">
            <v>Syokukai Ebi Fry (35 Gr)</v>
          </cell>
          <cell r="K264">
            <v>0</v>
          </cell>
          <cell r="L264">
            <v>0</v>
          </cell>
        </row>
        <row r="265">
          <cell r="C265" t="str">
            <v>Syokukai Ebi Fry (30 Gr)</v>
          </cell>
          <cell r="K265">
            <v>0</v>
          </cell>
          <cell r="L265">
            <v>0</v>
          </cell>
        </row>
        <row r="266">
          <cell r="C266" t="str">
            <v>Syokukai Ebi Fry (25 Gr)</v>
          </cell>
          <cell r="K266">
            <v>0</v>
          </cell>
          <cell r="L266">
            <v>0</v>
          </cell>
        </row>
        <row r="267">
          <cell r="C267" t="str">
            <v>Syokukai Ebi Fry (20 Gr)</v>
          </cell>
          <cell r="K267">
            <v>0</v>
          </cell>
          <cell r="L267">
            <v>0</v>
          </cell>
        </row>
        <row r="268">
          <cell r="C268" t="str">
            <v>Syokukai Ebi Fry (12 Gr)</v>
          </cell>
          <cell r="K268">
            <v>0</v>
          </cell>
          <cell r="L268">
            <v>0</v>
          </cell>
        </row>
        <row r="269">
          <cell r="C269" t="str">
            <v>Ebi Fry Tokuyu (30 Gr)</v>
          </cell>
          <cell r="K269">
            <v>0</v>
          </cell>
          <cell r="L269">
            <v>0</v>
          </cell>
        </row>
        <row r="270">
          <cell r="C270" t="str">
            <v>Syokukai Breaded HO (38 Gr)</v>
          </cell>
          <cell r="K270">
            <v>0</v>
          </cell>
          <cell r="L270">
            <v>0</v>
          </cell>
        </row>
        <row r="271">
          <cell r="C271" t="str">
            <v>Penjualan ekspor to Eiger BL : APLU 073876659 Cont : APRU 6101165</v>
          </cell>
          <cell r="K271">
            <v>0</v>
          </cell>
          <cell r="L271">
            <v>0</v>
          </cell>
        </row>
        <row r="272">
          <cell r="C272" t="str">
            <v>Tomaya Co.Ltd</v>
          </cell>
          <cell r="K272">
            <v>383820000</v>
          </cell>
          <cell r="L272">
            <v>0</v>
          </cell>
        </row>
        <row r="273">
          <cell r="C273">
            <v>31985</v>
          </cell>
          <cell r="K273">
            <v>0</v>
          </cell>
          <cell r="L273">
            <v>0</v>
          </cell>
        </row>
        <row r="274">
          <cell r="C274" t="str">
            <v>Penjualan Eksport</v>
          </cell>
          <cell r="K274">
            <v>0</v>
          </cell>
          <cell r="L274">
            <v>383820000</v>
          </cell>
        </row>
        <row r="275">
          <cell r="C275" t="str">
            <v>Hikari (3L)</v>
          </cell>
          <cell r="K275">
            <v>0</v>
          </cell>
          <cell r="L275">
            <v>0</v>
          </cell>
        </row>
        <row r="276">
          <cell r="C276" t="str">
            <v>Hikari (L)</v>
          </cell>
          <cell r="K276">
            <v>0</v>
          </cell>
          <cell r="L276">
            <v>0</v>
          </cell>
        </row>
        <row r="277">
          <cell r="C277" t="str">
            <v>Hikari Marutoku (2L)</v>
          </cell>
          <cell r="K277">
            <v>0</v>
          </cell>
          <cell r="L277">
            <v>0</v>
          </cell>
        </row>
        <row r="278">
          <cell r="C278" t="str">
            <v>Penjualan ekspor to Tomaya No. Inv. : 027/IAS BL: 563991206 Cont: PONU 2929171</v>
          </cell>
          <cell r="K278">
            <v>0</v>
          </cell>
          <cell r="L278">
            <v>0</v>
          </cell>
        </row>
        <row r="279">
          <cell r="C279" t="str">
            <v>Eiger Co. Ltd</v>
          </cell>
          <cell r="K279">
            <v>1052603040</v>
          </cell>
          <cell r="L279">
            <v>0</v>
          </cell>
        </row>
        <row r="280">
          <cell r="C280">
            <v>87520</v>
          </cell>
          <cell r="K280">
            <v>0</v>
          </cell>
          <cell r="L280">
            <v>0</v>
          </cell>
        </row>
        <row r="281">
          <cell r="C281" t="str">
            <v>Penjualan Eksport</v>
          </cell>
          <cell r="K281">
            <v>0</v>
          </cell>
          <cell r="L281">
            <v>1052603040</v>
          </cell>
        </row>
        <row r="282">
          <cell r="C282" t="str">
            <v>Ebi Fry Nisshin (3L)</v>
          </cell>
          <cell r="K282">
            <v>0</v>
          </cell>
          <cell r="L282">
            <v>0</v>
          </cell>
        </row>
        <row r="283">
          <cell r="C283" t="str">
            <v>Ebi Fry Nisshin (LL)</v>
          </cell>
          <cell r="K283">
            <v>0</v>
          </cell>
          <cell r="L283">
            <v>0</v>
          </cell>
        </row>
        <row r="284">
          <cell r="C284" t="str">
            <v>Ebi Fry Nisshin (M)</v>
          </cell>
          <cell r="K284">
            <v>0</v>
          </cell>
          <cell r="L284">
            <v>0</v>
          </cell>
        </row>
        <row r="285">
          <cell r="C285" t="str">
            <v>PTO'S (26-30)</v>
          </cell>
          <cell r="K285">
            <v>0</v>
          </cell>
          <cell r="L285">
            <v>0</v>
          </cell>
        </row>
        <row r="286">
          <cell r="C286" t="str">
            <v>PTO'S (31-40)</v>
          </cell>
          <cell r="K286">
            <v>0</v>
          </cell>
          <cell r="L286">
            <v>0</v>
          </cell>
        </row>
        <row r="287">
          <cell r="C287" t="str">
            <v>Penjualan ekspor to Eiger Inv. : 026/IAS BL: 563991197 Cont: MSWU 0028555</v>
          </cell>
          <cell r="K287">
            <v>0</v>
          </cell>
          <cell r="L287">
            <v>0</v>
          </cell>
        </row>
        <row r="288">
          <cell r="C288" t="str">
            <v>Tomaya Co.Ltd</v>
          </cell>
          <cell r="K288">
            <v>818317080</v>
          </cell>
          <cell r="L288">
            <v>0</v>
          </cell>
        </row>
        <row r="289">
          <cell r="C289">
            <v>68040</v>
          </cell>
          <cell r="K289">
            <v>0</v>
          </cell>
          <cell r="L289">
            <v>0</v>
          </cell>
        </row>
        <row r="290">
          <cell r="C290" t="str">
            <v>Penjualan Eksport</v>
          </cell>
          <cell r="K290">
            <v>0</v>
          </cell>
          <cell r="L290">
            <v>818317080</v>
          </cell>
        </row>
        <row r="291">
          <cell r="C291" t="str">
            <v>Ebi Fry San Sugar (L)</v>
          </cell>
          <cell r="K291">
            <v>0</v>
          </cell>
          <cell r="L291">
            <v>0</v>
          </cell>
        </row>
        <row r="292">
          <cell r="C292" t="str">
            <v>Ebi Fry San Sugar (M)</v>
          </cell>
          <cell r="K292">
            <v>0</v>
          </cell>
          <cell r="L292">
            <v>0</v>
          </cell>
        </row>
        <row r="293">
          <cell r="C293" t="str">
            <v>Penjualan ekspor to Tomaya No. Inv : 028/IAS BL: APLU 073876741 Cont: CXRU 1004789</v>
          </cell>
          <cell r="K293">
            <v>0</v>
          </cell>
          <cell r="L293">
            <v>0</v>
          </cell>
        </row>
        <row r="294">
          <cell r="C294" t="str">
            <v>Eiger Co. Ltd</v>
          </cell>
          <cell r="K294">
            <v>717900620</v>
          </cell>
          <cell r="L294">
            <v>0</v>
          </cell>
        </row>
        <row r="295">
          <cell r="C295">
            <v>59980</v>
          </cell>
          <cell r="K295">
            <v>0</v>
          </cell>
          <cell r="L295">
            <v>0</v>
          </cell>
        </row>
        <row r="296">
          <cell r="C296" t="str">
            <v>Penjualan Eksport</v>
          </cell>
          <cell r="K296">
            <v>0</v>
          </cell>
          <cell r="L296">
            <v>717900620</v>
          </cell>
        </row>
        <row r="297">
          <cell r="C297" t="str">
            <v>Syokukai Ebi Fry (45 Gr)</v>
          </cell>
          <cell r="K297">
            <v>0</v>
          </cell>
          <cell r="L297">
            <v>0</v>
          </cell>
        </row>
        <row r="298">
          <cell r="C298" t="str">
            <v>Syokukai Ebi Fry (40 Gr)</v>
          </cell>
          <cell r="K298">
            <v>0</v>
          </cell>
          <cell r="L298">
            <v>0</v>
          </cell>
        </row>
        <row r="299">
          <cell r="C299" t="str">
            <v>Syokukai Ebi Fry (35 Gr)</v>
          </cell>
          <cell r="K299">
            <v>0</v>
          </cell>
          <cell r="L299">
            <v>0</v>
          </cell>
        </row>
        <row r="300">
          <cell r="C300" t="str">
            <v>Syokukai Ebi Fry (25 Gr)</v>
          </cell>
          <cell r="K300">
            <v>0</v>
          </cell>
          <cell r="L300">
            <v>0</v>
          </cell>
        </row>
        <row r="301">
          <cell r="C301" t="str">
            <v>Syokukai Ebi Fry (20 Gr)</v>
          </cell>
          <cell r="K301">
            <v>0</v>
          </cell>
          <cell r="L301">
            <v>0</v>
          </cell>
        </row>
        <row r="302">
          <cell r="C302" t="str">
            <v>Syokukai Ebi Fry (12 Gr)</v>
          </cell>
          <cell r="K302">
            <v>0</v>
          </cell>
          <cell r="L302">
            <v>0</v>
          </cell>
        </row>
        <row r="303">
          <cell r="C303" t="str">
            <v>Natural Ebi Fry (30 Gr)</v>
          </cell>
          <cell r="K303">
            <v>0</v>
          </cell>
          <cell r="L303">
            <v>0</v>
          </cell>
        </row>
        <row r="304">
          <cell r="C304" t="str">
            <v>Ebi Fry Tokuyu (30 Gr)</v>
          </cell>
          <cell r="K304">
            <v>0</v>
          </cell>
          <cell r="L304">
            <v>0</v>
          </cell>
        </row>
        <row r="305">
          <cell r="C305" t="str">
            <v>Syokukai Breaded HO (38 Gr)</v>
          </cell>
          <cell r="K305">
            <v>0</v>
          </cell>
          <cell r="L305">
            <v>0</v>
          </cell>
        </row>
        <row r="306">
          <cell r="C306" t="str">
            <v>Penjualan ekspor to Eiger No. Inv: 029/IAS BL: 564059471 Cont: MWCU 5247350</v>
          </cell>
          <cell r="K306">
            <v>0</v>
          </cell>
          <cell r="L306">
            <v>0</v>
          </cell>
        </row>
        <row r="307">
          <cell r="C307" t="str">
            <v>Alpha Trading Co. Ltd</v>
          </cell>
          <cell r="K307">
            <v>377184000</v>
          </cell>
          <cell r="L307">
            <v>0</v>
          </cell>
        </row>
        <row r="308">
          <cell r="C308">
            <v>32000</v>
          </cell>
          <cell r="K308">
            <v>0</v>
          </cell>
          <cell r="L308">
            <v>0</v>
          </cell>
        </row>
        <row r="309">
          <cell r="C309" t="str">
            <v>Penjualan Eksport</v>
          </cell>
          <cell r="K309">
            <v>0</v>
          </cell>
          <cell r="L309">
            <v>377184000</v>
          </cell>
        </row>
        <row r="310">
          <cell r="C310" t="str">
            <v>Alpha Ebi Fry (50 Gr)</v>
          </cell>
          <cell r="K310">
            <v>0</v>
          </cell>
          <cell r="L310">
            <v>0</v>
          </cell>
        </row>
        <row r="311">
          <cell r="C311" t="str">
            <v>Pejualan ekspor to Alpha Trading No. Inv. 030/IAS BL: 564100213 Cont: MWCU 5665679</v>
          </cell>
          <cell r="K311">
            <v>0</v>
          </cell>
          <cell r="L311">
            <v>0</v>
          </cell>
        </row>
        <row r="312">
          <cell r="C312" t="str">
            <v>Eiger Co. Ltd</v>
          </cell>
          <cell r="K312">
            <v>680882900</v>
          </cell>
          <cell r="L312">
            <v>0</v>
          </cell>
        </row>
        <row r="313">
          <cell r="C313">
            <v>58220</v>
          </cell>
          <cell r="K313">
            <v>0</v>
          </cell>
          <cell r="L313">
            <v>0</v>
          </cell>
        </row>
        <row r="314">
          <cell r="C314" t="str">
            <v>Penjualan Eksport</v>
          </cell>
          <cell r="K314">
            <v>0</v>
          </cell>
          <cell r="L314">
            <v>680882900</v>
          </cell>
        </row>
        <row r="315">
          <cell r="C315" t="str">
            <v>Syokukai Ebi Fry (45 Gr)</v>
          </cell>
          <cell r="K315">
            <v>0</v>
          </cell>
          <cell r="L315">
            <v>0</v>
          </cell>
        </row>
        <row r="316">
          <cell r="C316" t="str">
            <v>Syokukai Ebi Fry (40 Gr)</v>
          </cell>
          <cell r="K316">
            <v>0</v>
          </cell>
          <cell r="L316">
            <v>0</v>
          </cell>
        </row>
        <row r="317">
          <cell r="C317" t="str">
            <v>Syokukai Ebi Fry (35 Gr)</v>
          </cell>
          <cell r="K317">
            <v>0</v>
          </cell>
          <cell r="L317">
            <v>0</v>
          </cell>
        </row>
        <row r="318">
          <cell r="C318" t="str">
            <v>Syokukai Ebi Fry (25 Gr)</v>
          </cell>
          <cell r="K318">
            <v>0</v>
          </cell>
          <cell r="L318">
            <v>0</v>
          </cell>
        </row>
        <row r="319">
          <cell r="C319" t="str">
            <v>Syokukai Ebi Fry (20 Gr)</v>
          </cell>
          <cell r="K319">
            <v>0</v>
          </cell>
          <cell r="L319">
            <v>0</v>
          </cell>
        </row>
        <row r="320">
          <cell r="C320" t="str">
            <v>Syokukai Ebi Fry (12 Gr)</v>
          </cell>
          <cell r="K320">
            <v>0</v>
          </cell>
          <cell r="L320">
            <v>0</v>
          </cell>
        </row>
        <row r="321">
          <cell r="C321" t="str">
            <v>Ebi Fry Tokuyu (30 Gr)</v>
          </cell>
          <cell r="K321">
            <v>0</v>
          </cell>
          <cell r="L321">
            <v>0</v>
          </cell>
        </row>
        <row r="322">
          <cell r="C322" t="str">
            <v>Natural Ebi Fry (30 Gr)</v>
          </cell>
          <cell r="K322">
            <v>0</v>
          </cell>
          <cell r="L322">
            <v>0</v>
          </cell>
        </row>
        <row r="323">
          <cell r="C323" t="str">
            <v>Syokukai Breaded HO (38 Gr)</v>
          </cell>
          <cell r="K323">
            <v>0</v>
          </cell>
          <cell r="L323">
            <v>0</v>
          </cell>
        </row>
        <row r="324">
          <cell r="C324" t="str">
            <v>Penj export BL : 564100236, cont : MWCU 6699077, INV : 031/IAS</v>
          </cell>
          <cell r="K324">
            <v>0</v>
          </cell>
          <cell r="L324">
            <v>0</v>
          </cell>
        </row>
        <row r="325">
          <cell r="C325" t="str">
            <v>Eiger Co. Ltd</v>
          </cell>
          <cell r="K325">
            <v>697774403.20000005</v>
          </cell>
          <cell r="L325">
            <v>0</v>
          </cell>
        </row>
        <row r="326">
          <cell r="C326">
            <v>59802.400000000001</v>
          </cell>
          <cell r="K326">
            <v>0</v>
          </cell>
          <cell r="L326">
            <v>0</v>
          </cell>
        </row>
        <row r="327">
          <cell r="C327" t="str">
            <v>Penjualan Eksport</v>
          </cell>
          <cell r="K327">
            <v>0</v>
          </cell>
          <cell r="L327">
            <v>697774403.20000005</v>
          </cell>
        </row>
        <row r="328">
          <cell r="C328" t="str">
            <v>Syokukai Ebi Fry (45 Gr)</v>
          </cell>
          <cell r="K328">
            <v>0</v>
          </cell>
          <cell r="L328">
            <v>0</v>
          </cell>
        </row>
        <row r="329">
          <cell r="C329" t="str">
            <v>Syokukai Ebi Fry (40 Gr)</v>
          </cell>
          <cell r="K329">
            <v>0</v>
          </cell>
          <cell r="L329">
            <v>0</v>
          </cell>
        </row>
        <row r="330">
          <cell r="C330" t="str">
            <v>Syokukai Ebi Fry (35 Gr)</v>
          </cell>
          <cell r="K330">
            <v>0</v>
          </cell>
          <cell r="L330">
            <v>0</v>
          </cell>
        </row>
        <row r="331">
          <cell r="C331" t="str">
            <v>Syokukai Ebi Fry (30 Gr)</v>
          </cell>
          <cell r="K331">
            <v>0</v>
          </cell>
          <cell r="L331">
            <v>0</v>
          </cell>
        </row>
        <row r="332">
          <cell r="C332" t="str">
            <v>Syokukai Ebi Fry (25 Gr)</v>
          </cell>
          <cell r="K332">
            <v>0</v>
          </cell>
          <cell r="L332">
            <v>0</v>
          </cell>
        </row>
        <row r="333">
          <cell r="C333" t="str">
            <v>Syokukai Ebi Fry (20 Gr)</v>
          </cell>
          <cell r="K333">
            <v>0</v>
          </cell>
          <cell r="L333">
            <v>0</v>
          </cell>
        </row>
        <row r="334">
          <cell r="C334" t="str">
            <v>Syokukai Ebi Fry (12 Gr)</v>
          </cell>
          <cell r="K334">
            <v>0</v>
          </cell>
          <cell r="L334">
            <v>0</v>
          </cell>
        </row>
        <row r="335">
          <cell r="C335" t="str">
            <v>Ebi Fry Tokuyu (30 Gr)</v>
          </cell>
          <cell r="K335">
            <v>0</v>
          </cell>
          <cell r="L335">
            <v>0</v>
          </cell>
        </row>
        <row r="336">
          <cell r="C336" t="str">
            <v>Natural Ebi Fry (30 Gr)</v>
          </cell>
          <cell r="K336">
            <v>0</v>
          </cell>
          <cell r="L336">
            <v>0</v>
          </cell>
        </row>
        <row r="337">
          <cell r="C337" t="str">
            <v>Syokukai Breaded HO (38 Gr)</v>
          </cell>
          <cell r="K337">
            <v>0</v>
          </cell>
          <cell r="L337">
            <v>0</v>
          </cell>
        </row>
        <row r="338">
          <cell r="C338" t="str">
            <v>Penj Export BL : APLU 073876909, CONT : TRIU 8659276, INV : 032/IAS</v>
          </cell>
          <cell r="K338">
            <v>0</v>
          </cell>
          <cell r="L338">
            <v>0</v>
          </cell>
        </row>
        <row r="339">
          <cell r="C339" t="str">
            <v>Alpha Trading Co. Ltd</v>
          </cell>
          <cell r="K339">
            <v>866220588</v>
          </cell>
          <cell r="L339">
            <v>0</v>
          </cell>
        </row>
        <row r="340">
          <cell r="C340">
            <v>73998</v>
          </cell>
          <cell r="K340">
            <v>0</v>
          </cell>
          <cell r="L340">
            <v>0</v>
          </cell>
        </row>
        <row r="341">
          <cell r="C341" t="str">
            <v>Penjualan Eksport</v>
          </cell>
          <cell r="K341">
            <v>0</v>
          </cell>
          <cell r="L341">
            <v>866220588</v>
          </cell>
        </row>
        <row r="342">
          <cell r="C342" t="str">
            <v>Alpha Ebi Fry (50 Gr)</v>
          </cell>
          <cell r="K342">
            <v>0</v>
          </cell>
          <cell r="L342">
            <v>0</v>
          </cell>
        </row>
        <row r="343">
          <cell r="C343" t="str">
            <v>Alpha Ebi Fry (40 Gr)</v>
          </cell>
          <cell r="K343">
            <v>0</v>
          </cell>
          <cell r="L343">
            <v>0</v>
          </cell>
        </row>
        <row r="344">
          <cell r="C344" t="str">
            <v>Alpha Ebi Fry (30 Gr)</v>
          </cell>
          <cell r="K344">
            <v>0</v>
          </cell>
          <cell r="L344">
            <v>0</v>
          </cell>
        </row>
        <row r="345">
          <cell r="C345" t="str">
            <v>Alpha Ebi Fry (20 Gr)</v>
          </cell>
          <cell r="K345">
            <v>0</v>
          </cell>
          <cell r="L345">
            <v>0</v>
          </cell>
        </row>
        <row r="346">
          <cell r="C346" t="str">
            <v>Obento (25 Gr)</v>
          </cell>
          <cell r="K346">
            <v>0</v>
          </cell>
          <cell r="L346">
            <v>0</v>
          </cell>
        </row>
        <row r="347">
          <cell r="C347" t="str">
            <v>Alpha Ebi Katsu (50 Gr)</v>
          </cell>
          <cell r="K347">
            <v>0</v>
          </cell>
          <cell r="L347">
            <v>0</v>
          </cell>
        </row>
        <row r="348">
          <cell r="C348" t="str">
            <v>Alpha Ebi Katsu Bou (80 Gr)</v>
          </cell>
          <cell r="K348">
            <v>0</v>
          </cell>
          <cell r="L348">
            <v>0</v>
          </cell>
        </row>
        <row r="349">
          <cell r="C349" t="str">
            <v>Penj export BL : APLU 073876910, Cont : TRIU 8119806, INV : 033/IAS</v>
          </cell>
          <cell r="K349">
            <v>0</v>
          </cell>
          <cell r="L349">
            <v>0</v>
          </cell>
        </row>
        <row r="350">
          <cell r="C350" t="str">
            <v>Eiger Co. Ltd</v>
          </cell>
          <cell r="K350">
            <v>704659342.39999998</v>
          </cell>
          <cell r="L350">
            <v>0</v>
          </cell>
        </row>
        <row r="351">
          <cell r="C351">
            <v>59940.4</v>
          </cell>
          <cell r="K351">
            <v>0</v>
          </cell>
          <cell r="L351">
            <v>0</v>
          </cell>
        </row>
        <row r="352">
          <cell r="C352" t="str">
            <v>Penjualan Eksport</v>
          </cell>
          <cell r="K352">
            <v>0</v>
          </cell>
          <cell r="L352">
            <v>704659342.39999998</v>
          </cell>
        </row>
        <row r="353">
          <cell r="C353" t="str">
            <v>Syokukai Ebi Fry (45 Gr)</v>
          </cell>
          <cell r="K353">
            <v>0</v>
          </cell>
          <cell r="L353">
            <v>0</v>
          </cell>
        </row>
        <row r="354">
          <cell r="C354" t="str">
            <v>Syokukai Ebi Fry (40 Gr)</v>
          </cell>
          <cell r="K354">
            <v>0</v>
          </cell>
          <cell r="L354">
            <v>0</v>
          </cell>
        </row>
        <row r="355">
          <cell r="C355" t="str">
            <v>Syokukai Ebi Fry (35 Gr)</v>
          </cell>
          <cell r="K355">
            <v>0</v>
          </cell>
          <cell r="L355">
            <v>0</v>
          </cell>
        </row>
        <row r="356">
          <cell r="C356" t="str">
            <v>Syokukai Ebi Fry (30 Gr)</v>
          </cell>
          <cell r="K356">
            <v>0</v>
          </cell>
          <cell r="L356">
            <v>0</v>
          </cell>
        </row>
        <row r="357">
          <cell r="C357" t="str">
            <v>Syokukai Ebi Fry (25 Gr)</v>
          </cell>
          <cell r="K357">
            <v>0</v>
          </cell>
          <cell r="L357">
            <v>0</v>
          </cell>
        </row>
        <row r="358">
          <cell r="C358" t="str">
            <v>Syokukai Ebi Fry (20 Gr)</v>
          </cell>
          <cell r="K358">
            <v>0</v>
          </cell>
          <cell r="L358">
            <v>0</v>
          </cell>
        </row>
        <row r="359">
          <cell r="C359" t="str">
            <v>Syokukai Ebi Fry (20 Gr)</v>
          </cell>
          <cell r="K359">
            <v>0</v>
          </cell>
          <cell r="L359">
            <v>0</v>
          </cell>
        </row>
        <row r="360">
          <cell r="C360" t="str">
            <v>Ebi Fry Tokuyu (30 Gr)</v>
          </cell>
          <cell r="K360">
            <v>0</v>
          </cell>
          <cell r="L360">
            <v>0</v>
          </cell>
        </row>
        <row r="361">
          <cell r="C361" t="str">
            <v>Natural Ebi Fry (30 Gr)</v>
          </cell>
          <cell r="K361">
            <v>0</v>
          </cell>
          <cell r="L361">
            <v>0</v>
          </cell>
        </row>
        <row r="362">
          <cell r="C362" t="str">
            <v>PENJ EXPORT TO EIGER, BL : APLU 073877050, CONT : APRU 5743026, INV : 035/IAS ......</v>
          </cell>
          <cell r="K362">
            <v>0</v>
          </cell>
          <cell r="L362">
            <v>0</v>
          </cell>
        </row>
        <row r="363">
          <cell r="C363" t="str">
            <v>Eiger Co. Ltd</v>
          </cell>
          <cell r="K363">
            <v>758436360</v>
          </cell>
          <cell r="L363">
            <v>0</v>
          </cell>
        </row>
        <row r="364">
          <cell r="C364">
            <v>64460</v>
          </cell>
          <cell r="K364">
            <v>0</v>
          </cell>
          <cell r="L364">
            <v>0</v>
          </cell>
        </row>
        <row r="365">
          <cell r="C365" t="str">
            <v>Penjualan Eksport</v>
          </cell>
          <cell r="K365">
            <v>0</v>
          </cell>
          <cell r="L365">
            <v>758436360</v>
          </cell>
        </row>
        <row r="366">
          <cell r="C366" t="str">
            <v>Ebi Fry Nisshin (3L)</v>
          </cell>
          <cell r="K366">
            <v>0</v>
          </cell>
          <cell r="L366">
            <v>0</v>
          </cell>
        </row>
        <row r="367">
          <cell r="C367" t="str">
            <v>Ebi Fry Nisshin (LL)</v>
          </cell>
          <cell r="K367">
            <v>0</v>
          </cell>
          <cell r="L367">
            <v>0</v>
          </cell>
        </row>
        <row r="368">
          <cell r="C368" t="str">
            <v>Ebi Fry Nisshin (M)</v>
          </cell>
          <cell r="K368">
            <v>0</v>
          </cell>
          <cell r="L368">
            <v>0</v>
          </cell>
        </row>
        <row r="369">
          <cell r="C369" t="str">
            <v>PTO'S (31-40)</v>
          </cell>
          <cell r="K369">
            <v>0</v>
          </cell>
          <cell r="L369">
            <v>0</v>
          </cell>
        </row>
        <row r="370">
          <cell r="C370" t="str">
            <v>PENJ EXPORT TO EIGER, BL APLU 073877051, CONT : GESU 9169845, INV 034/IAS .....</v>
          </cell>
          <cell r="K370">
            <v>0</v>
          </cell>
          <cell r="L370">
            <v>0</v>
          </cell>
        </row>
        <row r="371">
          <cell r="C371" t="str">
            <v>Eiger Co. Ltd</v>
          </cell>
          <cell r="K371">
            <v>726075860</v>
          </cell>
          <cell r="L371">
            <v>0</v>
          </cell>
        </row>
        <row r="372">
          <cell r="C372">
            <v>62180</v>
          </cell>
          <cell r="K372">
            <v>0</v>
          </cell>
          <cell r="L372">
            <v>0</v>
          </cell>
        </row>
        <row r="373">
          <cell r="C373" t="str">
            <v>Penjualan Eksport</v>
          </cell>
          <cell r="K373">
            <v>0</v>
          </cell>
          <cell r="L373">
            <v>726075860</v>
          </cell>
        </row>
        <row r="374">
          <cell r="C374" t="str">
            <v>Syokukai Ebi Fry (45 Gr)</v>
          </cell>
          <cell r="K374">
            <v>0</v>
          </cell>
          <cell r="L374">
            <v>0</v>
          </cell>
        </row>
        <row r="375">
          <cell r="C375" t="str">
            <v>Syokukai Ebi Fry (40 Gr)</v>
          </cell>
          <cell r="K375">
            <v>0</v>
          </cell>
          <cell r="L375">
            <v>0</v>
          </cell>
        </row>
        <row r="376">
          <cell r="C376" t="str">
            <v>Syokukai Ebi Fry (35 Gr)</v>
          </cell>
          <cell r="K376">
            <v>0</v>
          </cell>
          <cell r="L376">
            <v>0</v>
          </cell>
        </row>
        <row r="377">
          <cell r="C377" t="str">
            <v>Syokukai Ebi Fry (25 Gr)</v>
          </cell>
          <cell r="K377">
            <v>0</v>
          </cell>
          <cell r="L377">
            <v>0</v>
          </cell>
        </row>
        <row r="378">
          <cell r="C378" t="str">
            <v>Syokukai Ebi Fry (20 Gr)</v>
          </cell>
          <cell r="K378">
            <v>0</v>
          </cell>
          <cell r="L378">
            <v>0</v>
          </cell>
        </row>
        <row r="379">
          <cell r="C379" t="str">
            <v>Ebi Fry Tokuyu (30 Gr)</v>
          </cell>
          <cell r="K379">
            <v>0</v>
          </cell>
          <cell r="L379">
            <v>0</v>
          </cell>
        </row>
        <row r="380">
          <cell r="C380" t="str">
            <v>Natural Ebi Fry (30 Gr)</v>
          </cell>
          <cell r="K380">
            <v>0</v>
          </cell>
          <cell r="L380">
            <v>0</v>
          </cell>
        </row>
        <row r="381">
          <cell r="C381" t="str">
            <v>Syokukai Breaded HO (38 Gr)</v>
          </cell>
          <cell r="K381">
            <v>0</v>
          </cell>
          <cell r="L381">
            <v>0</v>
          </cell>
        </row>
        <row r="382">
          <cell r="C382" t="str">
            <v>PENJ EXPORT TO EIGER, BL : APLU 073877107, CONT : CRLU 1342056, INV : 036/IAS</v>
          </cell>
          <cell r="K382">
            <v>0</v>
          </cell>
          <cell r="L382">
            <v>0</v>
          </cell>
        </row>
        <row r="383">
          <cell r="C383" t="str">
            <v>Eiger Co. Ltd</v>
          </cell>
          <cell r="K383">
            <v>705573492</v>
          </cell>
          <cell r="L383">
            <v>0</v>
          </cell>
        </row>
        <row r="384">
          <cell r="C384">
            <v>60476</v>
          </cell>
          <cell r="K384">
            <v>0</v>
          </cell>
          <cell r="L384">
            <v>0</v>
          </cell>
        </row>
        <row r="385">
          <cell r="C385" t="str">
            <v>Penjualan Eksport</v>
          </cell>
          <cell r="K385">
            <v>0</v>
          </cell>
          <cell r="L385">
            <v>705573492</v>
          </cell>
        </row>
        <row r="386">
          <cell r="C386" t="str">
            <v>Syokukai Ebi Fry (45 Gr)</v>
          </cell>
          <cell r="K386">
            <v>0</v>
          </cell>
          <cell r="L386">
            <v>0</v>
          </cell>
        </row>
        <row r="387">
          <cell r="C387" t="str">
            <v>Syokukai Ebi Fry (40 Gr)</v>
          </cell>
          <cell r="K387">
            <v>0</v>
          </cell>
          <cell r="L387">
            <v>0</v>
          </cell>
        </row>
        <row r="388">
          <cell r="C388" t="str">
            <v>Syokukai Ebi Fry (35 Gr)</v>
          </cell>
          <cell r="K388">
            <v>0</v>
          </cell>
          <cell r="L388">
            <v>0</v>
          </cell>
        </row>
        <row r="389">
          <cell r="C389" t="str">
            <v>Syokukai Ebi Fry (30 Gr)</v>
          </cell>
          <cell r="K389">
            <v>0</v>
          </cell>
          <cell r="L389">
            <v>0</v>
          </cell>
        </row>
        <row r="390">
          <cell r="C390" t="str">
            <v>Syokukai Ebi Fry (25 Gr)</v>
          </cell>
          <cell r="K390">
            <v>0</v>
          </cell>
          <cell r="L390">
            <v>0</v>
          </cell>
        </row>
        <row r="391">
          <cell r="C391" t="str">
            <v>Syokukai Ebi Fry (20 Gr)</v>
          </cell>
          <cell r="K391">
            <v>0</v>
          </cell>
          <cell r="L391">
            <v>0</v>
          </cell>
        </row>
        <row r="392">
          <cell r="C392" t="str">
            <v>Ebi Fry Tokuyu (30 Gr)</v>
          </cell>
          <cell r="K392">
            <v>0</v>
          </cell>
          <cell r="L392">
            <v>0</v>
          </cell>
        </row>
        <row r="393">
          <cell r="C393" t="str">
            <v>PENJ EXPORT TO EIGER, BL : 563991197, CONT : MSWU 0028555, INV : 037/IAS</v>
          </cell>
          <cell r="K393">
            <v>0</v>
          </cell>
          <cell r="L393">
            <v>0</v>
          </cell>
        </row>
        <row r="394">
          <cell r="C394" t="str">
            <v>Eiger Co. Ltd</v>
          </cell>
          <cell r="K394">
            <v>787382400</v>
          </cell>
          <cell r="L394">
            <v>0</v>
          </cell>
        </row>
        <row r="395">
          <cell r="C395">
            <v>67200</v>
          </cell>
          <cell r="K395">
            <v>0</v>
          </cell>
          <cell r="L395">
            <v>0</v>
          </cell>
        </row>
        <row r="396">
          <cell r="C396" t="str">
            <v>Penjualan Eksport</v>
          </cell>
          <cell r="K396">
            <v>0</v>
          </cell>
          <cell r="L396">
            <v>787382400</v>
          </cell>
        </row>
        <row r="397">
          <cell r="C397" t="str">
            <v>Syokukai Ebi Fry (30 Gr)</v>
          </cell>
          <cell r="K397">
            <v>0</v>
          </cell>
          <cell r="L397">
            <v>0</v>
          </cell>
        </row>
        <row r="398">
          <cell r="C398" t="str">
            <v>PENJ EXPORT EIGER, BL : APLU 073877196, CONT : APRU 5775173, INV : 039/IAS ....</v>
          </cell>
          <cell r="K398">
            <v>0</v>
          </cell>
          <cell r="L398">
            <v>0</v>
          </cell>
        </row>
        <row r="399">
          <cell r="C399" t="str">
            <v>Tomaya Co.Ltd</v>
          </cell>
          <cell r="K399">
            <v>718150950</v>
          </cell>
          <cell r="L399">
            <v>0</v>
          </cell>
        </row>
        <row r="400">
          <cell r="C400">
            <v>61475</v>
          </cell>
          <cell r="K400">
            <v>0</v>
          </cell>
          <cell r="L400">
            <v>0</v>
          </cell>
        </row>
        <row r="401">
          <cell r="C401" t="str">
            <v>Penjualan Eksport</v>
          </cell>
          <cell r="K401">
            <v>0</v>
          </cell>
          <cell r="L401">
            <v>718150950</v>
          </cell>
        </row>
        <row r="402">
          <cell r="C402" t="str">
            <v>Marushin Tomaya (3L)</v>
          </cell>
          <cell r="K402">
            <v>0</v>
          </cell>
          <cell r="L402">
            <v>0</v>
          </cell>
        </row>
        <row r="403">
          <cell r="C403" t="str">
            <v>Marushin Tomaya (2L)</v>
          </cell>
          <cell r="K403">
            <v>0</v>
          </cell>
          <cell r="L403">
            <v>0</v>
          </cell>
        </row>
        <row r="404">
          <cell r="C404" t="str">
            <v>Marushin Tomaya (L)</v>
          </cell>
          <cell r="K404">
            <v>0</v>
          </cell>
          <cell r="L404">
            <v>0</v>
          </cell>
        </row>
        <row r="405">
          <cell r="C405" t="str">
            <v>Marushin Tomaya (M)</v>
          </cell>
          <cell r="K405">
            <v>0</v>
          </cell>
          <cell r="L405">
            <v>0</v>
          </cell>
        </row>
        <row r="406">
          <cell r="C406" t="str">
            <v>Marushin Tomaya (S)</v>
          </cell>
          <cell r="K406">
            <v>0</v>
          </cell>
          <cell r="L406">
            <v>0</v>
          </cell>
        </row>
        <row r="407">
          <cell r="C407" t="str">
            <v>PENJ EXPORT TO TOMAYA, BL : APLU 07387719, CONT : TGHU 9940488, INV : 038/IAS</v>
          </cell>
          <cell r="K407">
            <v>0</v>
          </cell>
          <cell r="L407">
            <v>0</v>
          </cell>
        </row>
        <row r="408">
          <cell r="C408" t="str">
            <v>Eiger Co. Ltd</v>
          </cell>
          <cell r="K408">
            <v>785030400</v>
          </cell>
          <cell r="L408">
            <v>0</v>
          </cell>
        </row>
        <row r="409">
          <cell r="C409">
            <v>67200</v>
          </cell>
          <cell r="K409">
            <v>0</v>
          </cell>
          <cell r="L409">
            <v>0</v>
          </cell>
        </row>
        <row r="410">
          <cell r="C410" t="str">
            <v>Penjualan Eksport</v>
          </cell>
          <cell r="K410">
            <v>0</v>
          </cell>
          <cell r="L410">
            <v>785030400</v>
          </cell>
        </row>
        <row r="411">
          <cell r="C411" t="str">
            <v>Syokukai Ebi Fry (45 Gr)</v>
          </cell>
          <cell r="K411">
            <v>0</v>
          </cell>
          <cell r="L411">
            <v>0</v>
          </cell>
        </row>
        <row r="412">
          <cell r="C412" t="str">
            <v>Syokukai Ebi Fry (40 Gr)</v>
          </cell>
          <cell r="K412">
            <v>0</v>
          </cell>
          <cell r="L412">
            <v>0</v>
          </cell>
        </row>
        <row r="413">
          <cell r="C413" t="str">
            <v>Syokukai Ebi Fry (35 Gr)</v>
          </cell>
          <cell r="K413">
            <v>0</v>
          </cell>
          <cell r="L413">
            <v>0</v>
          </cell>
        </row>
        <row r="414">
          <cell r="C414" t="str">
            <v>Syokukai Ebi Fry (30 Gr)</v>
          </cell>
          <cell r="K414">
            <v>0</v>
          </cell>
          <cell r="L414">
            <v>0</v>
          </cell>
        </row>
        <row r="415">
          <cell r="C415" t="str">
            <v>Syokukai Ebi Fry (25 Gr)</v>
          </cell>
          <cell r="K415">
            <v>0</v>
          </cell>
          <cell r="L415">
            <v>0</v>
          </cell>
        </row>
        <row r="416">
          <cell r="C416" t="str">
            <v>Syokukai Ebi Fry (20 Gr)</v>
          </cell>
          <cell r="K416">
            <v>0</v>
          </cell>
          <cell r="L416">
            <v>0</v>
          </cell>
        </row>
        <row r="417">
          <cell r="C417" t="str">
            <v>Syokukai Ebi Fry (12 Gr)</v>
          </cell>
          <cell r="K417">
            <v>0</v>
          </cell>
          <cell r="L417">
            <v>0</v>
          </cell>
        </row>
        <row r="418">
          <cell r="C418" t="str">
            <v>Ebi Fry Tokuyu (30 Gr)</v>
          </cell>
          <cell r="K418">
            <v>0</v>
          </cell>
          <cell r="L418">
            <v>0</v>
          </cell>
        </row>
        <row r="419">
          <cell r="C419" t="str">
            <v>Natural Ebi Fry (30 Gr)</v>
          </cell>
          <cell r="K419">
            <v>0</v>
          </cell>
          <cell r="L419">
            <v>0</v>
          </cell>
        </row>
        <row r="420">
          <cell r="C420" t="str">
            <v>PENJ EXPORT TO EIGER, BL : APLU 073877269, CONT : APRU 9465847, INV : 040/IAS ........</v>
          </cell>
          <cell r="K420">
            <v>0</v>
          </cell>
          <cell r="L420">
            <v>0</v>
          </cell>
        </row>
        <row r="421">
          <cell r="C421" t="str">
            <v>Eiger Co. Ltd</v>
          </cell>
          <cell r="K421">
            <v>791683200</v>
          </cell>
          <cell r="L421">
            <v>0</v>
          </cell>
        </row>
        <row r="422">
          <cell r="C422">
            <v>67200</v>
          </cell>
          <cell r="K422">
            <v>0</v>
          </cell>
          <cell r="L422">
            <v>0</v>
          </cell>
        </row>
        <row r="423">
          <cell r="C423" t="str">
            <v>Penjualan Eksport</v>
          </cell>
          <cell r="K423">
            <v>0</v>
          </cell>
          <cell r="L423">
            <v>791683200</v>
          </cell>
        </row>
        <row r="424">
          <cell r="C424" t="str">
            <v>Syokukai Ebi Fry (30 Gr)</v>
          </cell>
          <cell r="K424">
            <v>0</v>
          </cell>
          <cell r="L424">
            <v>0</v>
          </cell>
        </row>
        <row r="425">
          <cell r="C425" t="str">
            <v>Penjualan export to eiger, BL : APLU 073877293, CONT : APRU 6101041, INV : 041/IAS</v>
          </cell>
          <cell r="K425">
            <v>0</v>
          </cell>
          <cell r="L425">
            <v>0</v>
          </cell>
        </row>
        <row r="426">
          <cell r="C426" t="str">
            <v>Alpha Trading Co. Ltd</v>
          </cell>
          <cell r="K426">
            <v>877134554</v>
          </cell>
          <cell r="L426">
            <v>0</v>
          </cell>
        </row>
        <row r="427">
          <cell r="C427">
            <v>74447</v>
          </cell>
          <cell r="K427">
            <v>0</v>
          </cell>
          <cell r="L427">
            <v>0</v>
          </cell>
        </row>
        <row r="428">
          <cell r="C428" t="str">
            <v>Penjualan Eksport</v>
          </cell>
          <cell r="K428">
            <v>0</v>
          </cell>
          <cell r="L428">
            <v>877134554</v>
          </cell>
        </row>
        <row r="429">
          <cell r="C429" t="str">
            <v>Alpha Ebi Fry (50 Gr)</v>
          </cell>
          <cell r="K429">
            <v>0</v>
          </cell>
          <cell r="L429">
            <v>0</v>
          </cell>
        </row>
        <row r="430">
          <cell r="C430" t="str">
            <v>Alpha Ebi Fry (40 Gr)</v>
          </cell>
          <cell r="K430">
            <v>0</v>
          </cell>
          <cell r="L430">
            <v>0</v>
          </cell>
        </row>
        <row r="431">
          <cell r="C431" t="str">
            <v>Alpha Ebi Fry (30 Gr)</v>
          </cell>
          <cell r="K431">
            <v>0</v>
          </cell>
          <cell r="L431">
            <v>0</v>
          </cell>
        </row>
        <row r="432">
          <cell r="C432" t="str">
            <v>Alpha Ebi Fry (25 Gr)</v>
          </cell>
          <cell r="K432">
            <v>0</v>
          </cell>
          <cell r="L432">
            <v>0</v>
          </cell>
        </row>
        <row r="433">
          <cell r="C433" t="str">
            <v>Alpha Ebi Fry (20 Gr)</v>
          </cell>
          <cell r="K433">
            <v>0</v>
          </cell>
          <cell r="L433">
            <v>0</v>
          </cell>
        </row>
        <row r="434">
          <cell r="C434" t="str">
            <v>Obento (25 Gr)</v>
          </cell>
          <cell r="K434">
            <v>0</v>
          </cell>
          <cell r="L434">
            <v>0</v>
          </cell>
        </row>
        <row r="435">
          <cell r="C435" t="str">
            <v>Alpha Ebi Katsu (50 Gr)</v>
          </cell>
          <cell r="K435">
            <v>0</v>
          </cell>
          <cell r="L435">
            <v>0</v>
          </cell>
        </row>
        <row r="436">
          <cell r="C436" t="str">
            <v>Marunaka BT  (22 Gr)</v>
          </cell>
          <cell r="K436">
            <v>0</v>
          </cell>
          <cell r="L436">
            <v>0</v>
          </cell>
        </row>
        <row r="437">
          <cell r="C437" t="str">
            <v>Terima penjualan export To Alpha trading, BL : APLU 073877344, CONT : APRU 5720859, INV : 042/IAS</v>
          </cell>
          <cell r="K437">
            <v>0</v>
          </cell>
          <cell r="L437">
            <v>0</v>
          </cell>
        </row>
        <row r="438">
          <cell r="C438" t="str">
            <v>Eiger Co. Ltd</v>
          </cell>
          <cell r="K438">
            <v>790996352</v>
          </cell>
          <cell r="L438">
            <v>0</v>
          </cell>
        </row>
        <row r="439">
          <cell r="C439">
            <v>67136</v>
          </cell>
          <cell r="K439">
            <v>0</v>
          </cell>
          <cell r="L439">
            <v>0</v>
          </cell>
        </row>
        <row r="440">
          <cell r="C440" t="str">
            <v>Penjualan Eksport</v>
          </cell>
          <cell r="K440">
            <v>0</v>
          </cell>
          <cell r="L440">
            <v>790996352</v>
          </cell>
        </row>
        <row r="441">
          <cell r="C441" t="str">
            <v>Syokukai Ebi Fry (45 Gr)</v>
          </cell>
          <cell r="K441">
            <v>0</v>
          </cell>
          <cell r="L441">
            <v>0</v>
          </cell>
        </row>
        <row r="442">
          <cell r="C442" t="str">
            <v>Syokukai Ebi Fry (40 Gr)</v>
          </cell>
          <cell r="K442">
            <v>0</v>
          </cell>
          <cell r="L442">
            <v>0</v>
          </cell>
        </row>
        <row r="443">
          <cell r="C443" t="str">
            <v>Syokukai Ebi Fry (35 Gr)</v>
          </cell>
          <cell r="K443">
            <v>0</v>
          </cell>
          <cell r="L443">
            <v>0</v>
          </cell>
        </row>
        <row r="444">
          <cell r="C444" t="str">
            <v>Syokukai Ebi Fry (25 Gr)</v>
          </cell>
          <cell r="K444">
            <v>0</v>
          </cell>
          <cell r="L444">
            <v>0</v>
          </cell>
        </row>
        <row r="445">
          <cell r="C445" t="str">
            <v>Syokukai Ebi Fry (20 Gr)</v>
          </cell>
          <cell r="K445">
            <v>0</v>
          </cell>
          <cell r="L445">
            <v>0</v>
          </cell>
        </row>
        <row r="446">
          <cell r="C446" t="str">
            <v>Syokukai Ebi Fry (12 Gr)</v>
          </cell>
          <cell r="K446">
            <v>0</v>
          </cell>
          <cell r="L446">
            <v>0</v>
          </cell>
        </row>
        <row r="447">
          <cell r="C447" t="str">
            <v>Ebi Fry Tokuyu (30 Gr)</v>
          </cell>
          <cell r="K447">
            <v>0</v>
          </cell>
          <cell r="L447">
            <v>0</v>
          </cell>
        </row>
        <row r="448">
          <cell r="C448" t="str">
            <v>Natural Ebi Fry (30 Gr)</v>
          </cell>
          <cell r="K448">
            <v>0</v>
          </cell>
          <cell r="L448">
            <v>0</v>
          </cell>
        </row>
        <row r="449">
          <cell r="C449" t="str">
            <v>Terima penjualan export To Eiger, BL : APLU 073877291, CONT : APRU 6142837, INV : 043/IAS</v>
          </cell>
          <cell r="K449">
            <v>0</v>
          </cell>
          <cell r="L449">
            <v>0</v>
          </cell>
        </row>
        <row r="450">
          <cell r="C450" t="str">
            <v>Eiger Co. Ltd</v>
          </cell>
          <cell r="K450">
            <v>623026560</v>
          </cell>
          <cell r="L450">
            <v>0</v>
          </cell>
        </row>
        <row r="451">
          <cell r="C451">
            <v>52320</v>
          </cell>
          <cell r="K451">
            <v>0</v>
          </cell>
          <cell r="L451">
            <v>0</v>
          </cell>
        </row>
        <row r="452">
          <cell r="C452" t="str">
            <v>Penjualan Eksport</v>
          </cell>
          <cell r="K452">
            <v>0</v>
          </cell>
          <cell r="L452">
            <v>623026560</v>
          </cell>
        </row>
        <row r="453">
          <cell r="C453" t="str">
            <v>Syokukai Ebi Fry (25 Gr)</v>
          </cell>
          <cell r="K453">
            <v>0</v>
          </cell>
          <cell r="L453">
            <v>0</v>
          </cell>
        </row>
        <row r="454">
          <cell r="C454" t="str">
            <v>Syokukai Ebi Fry (20 Gr)</v>
          </cell>
          <cell r="K454">
            <v>0</v>
          </cell>
          <cell r="L454">
            <v>0</v>
          </cell>
        </row>
        <row r="455">
          <cell r="C455" t="str">
            <v>Terima penjualan export To Eiger, BL : MCC 606961, CONT : MWCU 5261419, INV : 044/IAS</v>
          </cell>
          <cell r="K455">
            <v>0</v>
          </cell>
          <cell r="L455">
            <v>0</v>
          </cell>
        </row>
        <row r="456">
          <cell r="C456" t="str">
            <v>Eiger Co. Ltd</v>
          </cell>
          <cell r="K456">
            <v>961726320</v>
          </cell>
          <cell r="L456">
            <v>0</v>
          </cell>
        </row>
        <row r="457">
          <cell r="C457">
            <v>79944</v>
          </cell>
          <cell r="K457">
            <v>0</v>
          </cell>
          <cell r="L457">
            <v>0</v>
          </cell>
        </row>
        <row r="458">
          <cell r="C458" t="str">
            <v>Penjualan Eksport</v>
          </cell>
          <cell r="K458">
            <v>0</v>
          </cell>
          <cell r="L458">
            <v>961726320</v>
          </cell>
        </row>
        <row r="459">
          <cell r="C459" t="str">
            <v>Syokukai Ebi Fry (45 Gr)</v>
          </cell>
          <cell r="K459">
            <v>0</v>
          </cell>
          <cell r="L459">
            <v>0</v>
          </cell>
        </row>
        <row r="460">
          <cell r="C460" t="str">
            <v>Syokukai Ebi Fry (40 Gr)</v>
          </cell>
          <cell r="K460">
            <v>0</v>
          </cell>
          <cell r="L460">
            <v>0</v>
          </cell>
        </row>
        <row r="461">
          <cell r="C461" t="str">
            <v>Syokukai Ebi Fry (35 Gr)</v>
          </cell>
          <cell r="K461">
            <v>0</v>
          </cell>
          <cell r="L461">
            <v>0</v>
          </cell>
        </row>
        <row r="462">
          <cell r="C462" t="str">
            <v>Syokukai Ebi Fry (30 Gr)</v>
          </cell>
          <cell r="K462">
            <v>0</v>
          </cell>
          <cell r="L462">
            <v>0</v>
          </cell>
        </row>
        <row r="463">
          <cell r="C463" t="str">
            <v>Syokukai Ebi Fry (25 Gr)</v>
          </cell>
          <cell r="K463">
            <v>0</v>
          </cell>
          <cell r="L463">
            <v>0</v>
          </cell>
        </row>
        <row r="464">
          <cell r="C464" t="str">
            <v>Syokukai Ebi Fry (20 Gr)</v>
          </cell>
          <cell r="K464">
            <v>0</v>
          </cell>
          <cell r="L464">
            <v>0</v>
          </cell>
        </row>
        <row r="465">
          <cell r="C465" t="str">
            <v>Syokukai Ebi Fry (12 Gr)</v>
          </cell>
          <cell r="K465">
            <v>0</v>
          </cell>
          <cell r="L465">
            <v>0</v>
          </cell>
        </row>
        <row r="466">
          <cell r="C466" t="str">
            <v>Ebi Fry Tokuyu (30 Gr)</v>
          </cell>
          <cell r="K466">
            <v>0</v>
          </cell>
          <cell r="L466">
            <v>0</v>
          </cell>
        </row>
        <row r="467">
          <cell r="C467" t="str">
            <v>Terima penjualan export To eiger, BL : APLU 073877374, CONT : TGHU 9952215, INV : 045/IAS</v>
          </cell>
          <cell r="K467">
            <v>0</v>
          </cell>
          <cell r="L467">
            <v>0</v>
          </cell>
        </row>
        <row r="468">
          <cell r="C468" t="str">
            <v>Eiger Co. Ltd</v>
          </cell>
          <cell r="K468">
            <v>785146560</v>
          </cell>
          <cell r="L468">
            <v>0</v>
          </cell>
        </row>
        <row r="469">
          <cell r="C469">
            <v>65560</v>
          </cell>
          <cell r="K469">
            <v>0</v>
          </cell>
          <cell r="L469">
            <v>0</v>
          </cell>
        </row>
        <row r="470">
          <cell r="C470" t="str">
            <v>Penjualan Eksport</v>
          </cell>
          <cell r="K470">
            <v>0</v>
          </cell>
          <cell r="L470">
            <v>785146560</v>
          </cell>
        </row>
        <row r="471">
          <cell r="C471" t="str">
            <v>Syokukai Ebi Fry (45 Gr)</v>
          </cell>
          <cell r="K471">
            <v>0</v>
          </cell>
          <cell r="L471">
            <v>0</v>
          </cell>
        </row>
        <row r="472">
          <cell r="C472" t="str">
            <v>Syokukai Ebi Fry (40 Gr)</v>
          </cell>
          <cell r="K472">
            <v>0</v>
          </cell>
          <cell r="L472">
            <v>0</v>
          </cell>
        </row>
        <row r="473">
          <cell r="C473" t="str">
            <v>Syokukai Ebi Fry (35 Gr)</v>
          </cell>
          <cell r="K473">
            <v>0</v>
          </cell>
          <cell r="L473">
            <v>0</v>
          </cell>
        </row>
        <row r="474">
          <cell r="C474" t="str">
            <v>Syokukai Ebi Fry (30 Gr)</v>
          </cell>
          <cell r="K474">
            <v>0</v>
          </cell>
          <cell r="L474">
            <v>0</v>
          </cell>
        </row>
        <row r="475">
          <cell r="C475" t="str">
            <v>Syokukai Ebi Fry (25 Gr)</v>
          </cell>
          <cell r="K475">
            <v>0</v>
          </cell>
          <cell r="L475">
            <v>0</v>
          </cell>
        </row>
        <row r="476">
          <cell r="C476" t="str">
            <v>Syokukai Ebi Fry (20 Gr)</v>
          </cell>
          <cell r="K476">
            <v>0</v>
          </cell>
          <cell r="L476">
            <v>0</v>
          </cell>
        </row>
        <row r="477">
          <cell r="C477" t="str">
            <v>Ebi Fry Tokuyu (30 Gr)</v>
          </cell>
          <cell r="K477">
            <v>0</v>
          </cell>
          <cell r="L477">
            <v>0</v>
          </cell>
        </row>
        <row r="478">
          <cell r="C478" t="str">
            <v>Terima penjualan export To eiger, BL : APLU 073877396, CONT : APRU 5749786, INV : 046/IAS</v>
          </cell>
          <cell r="K478">
            <v>0</v>
          </cell>
          <cell r="L478">
            <v>0</v>
          </cell>
        </row>
        <row r="479">
          <cell r="C479" t="str">
            <v>Eiger Co. Ltd</v>
          </cell>
          <cell r="K479">
            <v>1161096000</v>
          </cell>
          <cell r="L479">
            <v>0</v>
          </cell>
        </row>
        <row r="480">
          <cell r="C480">
            <v>95800</v>
          </cell>
          <cell r="K480">
            <v>0</v>
          </cell>
          <cell r="L480">
            <v>0</v>
          </cell>
        </row>
        <row r="481">
          <cell r="C481" t="str">
            <v>Penjualan Eksport</v>
          </cell>
          <cell r="K481">
            <v>0</v>
          </cell>
          <cell r="L481">
            <v>1161096000</v>
          </cell>
        </row>
        <row r="482">
          <cell r="C482" t="str">
            <v>Ebi Fry Nisshin (3L)</v>
          </cell>
          <cell r="K482">
            <v>0</v>
          </cell>
          <cell r="L482">
            <v>0</v>
          </cell>
        </row>
        <row r="483">
          <cell r="C483" t="str">
            <v>Ebi Fry Nisshin (LL)</v>
          </cell>
          <cell r="K483">
            <v>0</v>
          </cell>
          <cell r="L483">
            <v>0</v>
          </cell>
        </row>
        <row r="484">
          <cell r="C484" t="str">
            <v>Ebi Fry Nisshin (M)</v>
          </cell>
          <cell r="K484">
            <v>0</v>
          </cell>
          <cell r="L484">
            <v>0</v>
          </cell>
        </row>
        <row r="485">
          <cell r="C485" t="str">
            <v>PTO'S (31-40)</v>
          </cell>
          <cell r="K485">
            <v>0</v>
          </cell>
          <cell r="L485">
            <v>0</v>
          </cell>
        </row>
        <row r="486">
          <cell r="C486" t="str">
            <v>Terima penjualan export To Eiger, BL : MCC 618132, CONT : MNBU 0066824, INV : 047/IAS</v>
          </cell>
          <cell r="K486">
            <v>0</v>
          </cell>
          <cell r="L486">
            <v>0</v>
          </cell>
        </row>
        <row r="487">
          <cell r="C487" t="str">
            <v>Tomaya Co.Ltd</v>
          </cell>
          <cell r="K487">
            <v>360691672</v>
          </cell>
          <cell r="L487">
            <v>0</v>
          </cell>
        </row>
        <row r="488">
          <cell r="C488">
            <v>29594</v>
          </cell>
          <cell r="K488">
            <v>0</v>
          </cell>
          <cell r="L488">
            <v>0</v>
          </cell>
        </row>
        <row r="489">
          <cell r="C489" t="str">
            <v>Penjualan Eksport</v>
          </cell>
          <cell r="K489">
            <v>0</v>
          </cell>
          <cell r="L489">
            <v>360691672</v>
          </cell>
        </row>
        <row r="490">
          <cell r="C490" t="str">
            <v>Hikari (3L)</v>
          </cell>
          <cell r="K490">
            <v>0</v>
          </cell>
          <cell r="L490">
            <v>0</v>
          </cell>
        </row>
        <row r="491">
          <cell r="C491" t="str">
            <v>Hikari (L)</v>
          </cell>
          <cell r="K491">
            <v>0</v>
          </cell>
          <cell r="L491">
            <v>0</v>
          </cell>
        </row>
        <row r="492">
          <cell r="C492" t="str">
            <v>Hikari (M)</v>
          </cell>
          <cell r="K492">
            <v>0</v>
          </cell>
          <cell r="L492">
            <v>0</v>
          </cell>
        </row>
        <row r="493">
          <cell r="C493" t="str">
            <v>Terima penjualan export To Tomaya, BL MCC 618125, CONT : MWCU 5709967, INV : 048/IAS</v>
          </cell>
          <cell r="K493">
            <v>0</v>
          </cell>
          <cell r="L493">
            <v>0</v>
          </cell>
        </row>
        <row r="494">
          <cell r="C494" t="str">
            <v>Eiger Co. Ltd</v>
          </cell>
          <cell r="K494">
            <v>815803560</v>
          </cell>
          <cell r="L494">
            <v>0</v>
          </cell>
        </row>
        <row r="495">
          <cell r="C495">
            <v>66924</v>
          </cell>
          <cell r="K495">
            <v>0</v>
          </cell>
          <cell r="L495">
            <v>0</v>
          </cell>
        </row>
        <row r="496">
          <cell r="C496" t="str">
            <v>Penjualan Eksport</v>
          </cell>
          <cell r="K496">
            <v>0</v>
          </cell>
          <cell r="L496">
            <v>815803560</v>
          </cell>
        </row>
        <row r="497">
          <cell r="C497" t="str">
            <v>Syokukai Ebi Fry (45 Gr)</v>
          </cell>
          <cell r="K497">
            <v>0</v>
          </cell>
          <cell r="L497">
            <v>0</v>
          </cell>
        </row>
        <row r="498">
          <cell r="C498" t="str">
            <v>Syokukai Ebi Fry (40 Gr)</v>
          </cell>
          <cell r="K498">
            <v>0</v>
          </cell>
          <cell r="L498">
            <v>0</v>
          </cell>
        </row>
        <row r="499">
          <cell r="C499" t="str">
            <v>Syokukai Ebi Fry (35 Gr)</v>
          </cell>
          <cell r="K499">
            <v>0</v>
          </cell>
          <cell r="L499">
            <v>0</v>
          </cell>
        </row>
        <row r="500">
          <cell r="C500" t="str">
            <v>Syokukai Ebi Fry (30 Gr)</v>
          </cell>
          <cell r="K500">
            <v>0</v>
          </cell>
          <cell r="L500">
            <v>0</v>
          </cell>
        </row>
        <row r="501">
          <cell r="C501" t="str">
            <v>Syokukai Ebi Fry (25 Gr)</v>
          </cell>
          <cell r="K501">
            <v>0</v>
          </cell>
          <cell r="L501">
            <v>0</v>
          </cell>
        </row>
        <row r="502">
          <cell r="C502" t="str">
            <v>Syokukai Ebi Fry (20 Gr)</v>
          </cell>
          <cell r="K502">
            <v>0</v>
          </cell>
          <cell r="L502">
            <v>0</v>
          </cell>
        </row>
        <row r="503">
          <cell r="C503" t="str">
            <v>Syokukai Ebi Fry (12 Gr)</v>
          </cell>
          <cell r="K503">
            <v>0</v>
          </cell>
          <cell r="L503">
            <v>0</v>
          </cell>
        </row>
        <row r="504">
          <cell r="C504" t="str">
            <v>Natural Ebi Fry (30 Gr)</v>
          </cell>
          <cell r="K504">
            <v>0</v>
          </cell>
          <cell r="L504">
            <v>0</v>
          </cell>
        </row>
        <row r="505">
          <cell r="C505" t="str">
            <v>Ebi Fry Tokuyu (30 Gr)</v>
          </cell>
          <cell r="K505">
            <v>0</v>
          </cell>
          <cell r="L505">
            <v>0</v>
          </cell>
        </row>
        <row r="506">
          <cell r="C506" t="str">
            <v>Terima penjualan export To Eiger, BL : APLU 073877470 CONT : MNBU 0066824, INV: 049/IAS</v>
          </cell>
          <cell r="K506">
            <v>0</v>
          </cell>
          <cell r="L506">
            <v>0</v>
          </cell>
        </row>
        <row r="507">
          <cell r="C507" t="str">
            <v>Eiger Co. Ltd</v>
          </cell>
          <cell r="K507">
            <v>762893936</v>
          </cell>
          <cell r="L507">
            <v>0</v>
          </cell>
        </row>
        <row r="508">
          <cell r="C508">
            <v>62384</v>
          </cell>
          <cell r="K508">
            <v>0</v>
          </cell>
          <cell r="L508">
            <v>0</v>
          </cell>
        </row>
        <row r="509">
          <cell r="C509" t="str">
            <v>Penjualan Eksport</v>
          </cell>
          <cell r="K509">
            <v>0</v>
          </cell>
          <cell r="L509">
            <v>762893936</v>
          </cell>
        </row>
        <row r="510">
          <cell r="C510" t="str">
            <v>Syokukai Ebi Fry (45 Gr)</v>
          </cell>
          <cell r="K510">
            <v>0</v>
          </cell>
          <cell r="L510">
            <v>0</v>
          </cell>
        </row>
        <row r="511">
          <cell r="C511" t="str">
            <v>Syokukai Ebi Fry (40 Gr)</v>
          </cell>
          <cell r="K511">
            <v>0</v>
          </cell>
          <cell r="L511">
            <v>0</v>
          </cell>
        </row>
        <row r="512">
          <cell r="C512" t="str">
            <v>Syokukai Ebi Fry (35 Gr)</v>
          </cell>
          <cell r="K512">
            <v>0</v>
          </cell>
          <cell r="L512">
            <v>0</v>
          </cell>
        </row>
        <row r="513">
          <cell r="C513" t="str">
            <v>Syokukai Ebi Fry (30 Gr)</v>
          </cell>
          <cell r="K513">
            <v>0</v>
          </cell>
          <cell r="L513">
            <v>0</v>
          </cell>
        </row>
        <row r="514">
          <cell r="C514" t="str">
            <v>Syokukai Ebi Fry (25 Gr)</v>
          </cell>
          <cell r="K514">
            <v>0</v>
          </cell>
          <cell r="L514">
            <v>0</v>
          </cell>
        </row>
        <row r="515">
          <cell r="C515" t="str">
            <v>Syokukai Ebi Fry (20 Gr)</v>
          </cell>
          <cell r="K515">
            <v>0</v>
          </cell>
          <cell r="L515">
            <v>0</v>
          </cell>
        </row>
        <row r="516">
          <cell r="C516" t="str">
            <v>Syokukai Ebi Fry (12 Gr)</v>
          </cell>
          <cell r="K516">
            <v>0</v>
          </cell>
          <cell r="L516">
            <v>0</v>
          </cell>
        </row>
        <row r="517">
          <cell r="C517" t="str">
            <v>Natural Ebi Fry (30 Gr)</v>
          </cell>
          <cell r="K517">
            <v>0</v>
          </cell>
          <cell r="L517">
            <v>0</v>
          </cell>
        </row>
        <row r="518">
          <cell r="C518" t="str">
            <v>Ebi Fry Tokuyu (30 Gr)</v>
          </cell>
          <cell r="K518">
            <v>0</v>
          </cell>
          <cell r="L518">
            <v>0</v>
          </cell>
        </row>
        <row r="519">
          <cell r="C519" t="str">
            <v>Terima penjualan export To eiger, BL : APLU 073877511, CONT : APRU 6124216, INV: 050/IAS</v>
          </cell>
          <cell r="K519">
            <v>0</v>
          </cell>
          <cell r="L519">
            <v>0</v>
          </cell>
        </row>
        <row r="520">
          <cell r="C520" t="str">
            <v>Tomaya Co.Ltd</v>
          </cell>
          <cell r="K520">
            <v>874121836</v>
          </cell>
          <cell r="L520">
            <v>0</v>
          </cell>
        </row>
        <row r="521">
          <cell r="C521">
            <v>72686</v>
          </cell>
          <cell r="K521">
            <v>0</v>
          </cell>
          <cell r="L521">
            <v>0</v>
          </cell>
        </row>
        <row r="522">
          <cell r="C522" t="str">
            <v>Penjualan Eksport</v>
          </cell>
          <cell r="K522">
            <v>0</v>
          </cell>
          <cell r="L522">
            <v>874121836</v>
          </cell>
        </row>
        <row r="523">
          <cell r="C523" t="str">
            <v>Marushin Tomaya (3L)</v>
          </cell>
          <cell r="K523">
            <v>0</v>
          </cell>
          <cell r="L523">
            <v>0</v>
          </cell>
        </row>
        <row r="524">
          <cell r="C524" t="str">
            <v>Marushin Tomaya (L)</v>
          </cell>
          <cell r="K524">
            <v>0</v>
          </cell>
          <cell r="L524">
            <v>0</v>
          </cell>
        </row>
        <row r="525">
          <cell r="C525" t="str">
            <v>Marushin Tomaya (M)</v>
          </cell>
          <cell r="K525">
            <v>0</v>
          </cell>
          <cell r="L525">
            <v>0</v>
          </cell>
        </row>
        <row r="526">
          <cell r="C526" t="str">
            <v>Hikari (M)</v>
          </cell>
          <cell r="K526">
            <v>0</v>
          </cell>
          <cell r="L526">
            <v>0</v>
          </cell>
        </row>
        <row r="527">
          <cell r="C527" t="str">
            <v>Ebi Fry San Sugar (M)</v>
          </cell>
          <cell r="K527">
            <v>0</v>
          </cell>
          <cell r="L527">
            <v>0</v>
          </cell>
        </row>
        <row r="528">
          <cell r="C528" t="str">
            <v>Terima penjualan export To eiger, BL : MCC 632946, CONT : PONU 4836680, INV : 051/IAS</v>
          </cell>
          <cell r="K528">
            <v>0</v>
          </cell>
          <cell r="L528">
            <v>0</v>
          </cell>
        </row>
        <row r="529">
          <cell r="C529" t="str">
            <v>Eiger Co. Ltd</v>
          </cell>
          <cell r="K529">
            <v>761774944</v>
          </cell>
          <cell r="L529">
            <v>0</v>
          </cell>
        </row>
        <row r="530">
          <cell r="C530">
            <v>63344</v>
          </cell>
          <cell r="K530">
            <v>0</v>
          </cell>
          <cell r="L530">
            <v>0</v>
          </cell>
        </row>
        <row r="531">
          <cell r="C531" t="str">
            <v>Penjualan Eksport</v>
          </cell>
          <cell r="K531">
            <v>0</v>
          </cell>
          <cell r="L531">
            <v>761774944</v>
          </cell>
        </row>
        <row r="532">
          <cell r="C532" t="str">
            <v>Syokukai Ebi Fry (45 Gr)</v>
          </cell>
          <cell r="K532">
            <v>0</v>
          </cell>
          <cell r="L532">
            <v>0</v>
          </cell>
        </row>
        <row r="533">
          <cell r="C533" t="str">
            <v>Syokukai Ebi Fry (40 Gr)</v>
          </cell>
          <cell r="K533">
            <v>0</v>
          </cell>
          <cell r="L533">
            <v>0</v>
          </cell>
        </row>
        <row r="534">
          <cell r="C534" t="str">
            <v>Syokukai Ebi Fry (35 Gr)</v>
          </cell>
          <cell r="K534">
            <v>0</v>
          </cell>
          <cell r="L534">
            <v>0</v>
          </cell>
        </row>
        <row r="535">
          <cell r="C535" t="str">
            <v>Syokukai Ebi Fry (25 Gr)</v>
          </cell>
          <cell r="K535">
            <v>0</v>
          </cell>
          <cell r="L535">
            <v>0</v>
          </cell>
        </row>
        <row r="536">
          <cell r="C536" t="str">
            <v>Syokukai Ebi Fry (20 Gr)</v>
          </cell>
          <cell r="K536">
            <v>0</v>
          </cell>
          <cell r="L536">
            <v>0</v>
          </cell>
        </row>
        <row r="537">
          <cell r="C537" t="str">
            <v>Syokukai Ebi Fry (12 Gr)</v>
          </cell>
          <cell r="K537">
            <v>0</v>
          </cell>
          <cell r="L537">
            <v>0</v>
          </cell>
        </row>
        <row r="538">
          <cell r="C538" t="str">
            <v>Natural Ebi Fry (30 Gr)</v>
          </cell>
          <cell r="K538">
            <v>0</v>
          </cell>
          <cell r="L538">
            <v>0</v>
          </cell>
        </row>
        <row r="539">
          <cell r="C539" t="str">
            <v>Ebi Fry Tokuyu (30 Gr)</v>
          </cell>
          <cell r="K539">
            <v>0</v>
          </cell>
          <cell r="L539">
            <v>0</v>
          </cell>
        </row>
        <row r="540">
          <cell r="C540" t="str">
            <v>Terima penjualan export to Eiger, BL : APLU 073877536, CONT : APRU 5830100, INV : 52/IAS</v>
          </cell>
          <cell r="K540">
            <v>0</v>
          </cell>
          <cell r="L540">
            <v>0</v>
          </cell>
        </row>
        <row r="541">
          <cell r="C541" t="str">
            <v>Eiger Co. Ltd</v>
          </cell>
          <cell r="K541">
            <v>855954096.79999995</v>
          </cell>
          <cell r="L541">
            <v>0</v>
          </cell>
        </row>
        <row r="542">
          <cell r="C542">
            <v>70373.600000000006</v>
          </cell>
          <cell r="K542">
            <v>0</v>
          </cell>
          <cell r="L542">
            <v>0</v>
          </cell>
        </row>
        <row r="543">
          <cell r="C543" t="str">
            <v>Penjualan Eksport</v>
          </cell>
          <cell r="K543">
            <v>0</v>
          </cell>
          <cell r="L543">
            <v>855954096.79999995</v>
          </cell>
        </row>
        <row r="544">
          <cell r="C544" t="str">
            <v>Syokukai Ebi Fry (45 Gr)</v>
          </cell>
          <cell r="K544">
            <v>0</v>
          </cell>
          <cell r="L544">
            <v>0</v>
          </cell>
        </row>
        <row r="545">
          <cell r="C545" t="str">
            <v>Syokukai Ebi Fry (40 Gr)</v>
          </cell>
          <cell r="K545">
            <v>0</v>
          </cell>
          <cell r="L545">
            <v>0</v>
          </cell>
        </row>
        <row r="546">
          <cell r="C546" t="str">
            <v>Syokukai Ebi Fry (35 Gr)</v>
          </cell>
          <cell r="K546">
            <v>0</v>
          </cell>
          <cell r="L546">
            <v>0</v>
          </cell>
        </row>
        <row r="547">
          <cell r="C547" t="str">
            <v>Syokukai Ebi Fry (30 Gr)</v>
          </cell>
          <cell r="K547">
            <v>0</v>
          </cell>
          <cell r="L547">
            <v>0</v>
          </cell>
        </row>
        <row r="548">
          <cell r="C548" t="str">
            <v>Syokukai Ebi Fry (25 Gr)</v>
          </cell>
          <cell r="K548">
            <v>0</v>
          </cell>
          <cell r="L548">
            <v>0</v>
          </cell>
        </row>
        <row r="549">
          <cell r="C549" t="str">
            <v>Syokukai Ebi Fry (20 Gr)</v>
          </cell>
          <cell r="K549">
            <v>0</v>
          </cell>
          <cell r="L549">
            <v>0</v>
          </cell>
        </row>
        <row r="550">
          <cell r="C550" t="str">
            <v>Natural Ebi Fry (30 Gr)</v>
          </cell>
          <cell r="K550">
            <v>0</v>
          </cell>
          <cell r="L550">
            <v>0</v>
          </cell>
        </row>
        <row r="551">
          <cell r="C551" t="str">
            <v>Syokukai Breaded HO (38 Gr)</v>
          </cell>
          <cell r="K551">
            <v>0</v>
          </cell>
          <cell r="L551">
            <v>0</v>
          </cell>
        </row>
        <row r="552">
          <cell r="C552" t="str">
            <v>Ebi Fry Tokuyu (30 Gr)</v>
          </cell>
          <cell r="K552">
            <v>0</v>
          </cell>
          <cell r="L552">
            <v>0</v>
          </cell>
        </row>
        <row r="553">
          <cell r="C553" t="str">
            <v>Terima penjualan export To eiger, BL : APLU 073877562, CONT : APRU 5089002, INV : 053/IAS</v>
          </cell>
          <cell r="K553">
            <v>0</v>
          </cell>
          <cell r="L553">
            <v>0</v>
          </cell>
        </row>
        <row r="554">
          <cell r="C554" t="str">
            <v>Alpha Trading Co. Ltd</v>
          </cell>
          <cell r="K554">
            <v>930245385</v>
          </cell>
          <cell r="L554">
            <v>0</v>
          </cell>
        </row>
        <row r="555">
          <cell r="C555">
            <v>76469</v>
          </cell>
          <cell r="K555">
            <v>0</v>
          </cell>
          <cell r="L555">
            <v>0</v>
          </cell>
        </row>
        <row r="556">
          <cell r="C556" t="str">
            <v>Penjualan Eksport</v>
          </cell>
          <cell r="K556">
            <v>0</v>
          </cell>
          <cell r="L556">
            <v>930245385</v>
          </cell>
        </row>
        <row r="557">
          <cell r="C557" t="str">
            <v>Alpha Ebi Fry (50 Gr)</v>
          </cell>
          <cell r="K557">
            <v>0</v>
          </cell>
          <cell r="L557">
            <v>0</v>
          </cell>
        </row>
        <row r="558">
          <cell r="C558" t="str">
            <v>Alpha Ebi Fry (40 Gr)</v>
          </cell>
          <cell r="K558">
            <v>0</v>
          </cell>
          <cell r="L558">
            <v>0</v>
          </cell>
        </row>
        <row r="559">
          <cell r="C559" t="str">
            <v>Alpha Ebi Fry (30 Gr)</v>
          </cell>
          <cell r="K559">
            <v>0</v>
          </cell>
          <cell r="L559">
            <v>0</v>
          </cell>
        </row>
        <row r="560">
          <cell r="C560" t="str">
            <v>Alpha Ebi Fry (20 Gr)</v>
          </cell>
          <cell r="K560">
            <v>0</v>
          </cell>
          <cell r="L560">
            <v>0</v>
          </cell>
        </row>
        <row r="561">
          <cell r="C561" t="str">
            <v>Alpha Ebi Katsu (50 Gr)</v>
          </cell>
          <cell r="K561">
            <v>0</v>
          </cell>
          <cell r="L561">
            <v>0</v>
          </cell>
        </row>
        <row r="562">
          <cell r="C562" t="str">
            <v>Terima penjualan export To Alpha trading, BL : APLU 073877561, CONT : APRU 5726667, INV : 054/IAS</v>
          </cell>
          <cell r="K562">
            <v>0</v>
          </cell>
          <cell r="L562">
            <v>0</v>
          </cell>
        </row>
        <row r="563">
          <cell r="C563" t="str">
            <v>Eiger Co. Ltd</v>
          </cell>
          <cell r="K563">
            <v>761606457.60000002</v>
          </cell>
          <cell r="L563">
            <v>0</v>
          </cell>
        </row>
        <row r="564">
          <cell r="C564">
            <v>62534.400000000001</v>
          </cell>
          <cell r="K564">
            <v>0</v>
          </cell>
          <cell r="L564">
            <v>0</v>
          </cell>
        </row>
        <row r="565">
          <cell r="C565" t="str">
            <v>Penjualan Eksport</v>
          </cell>
          <cell r="K565">
            <v>0</v>
          </cell>
          <cell r="L565">
            <v>761606457.60000002</v>
          </cell>
        </row>
        <row r="566">
          <cell r="C566" t="str">
            <v>Syokukai Ebi Fry (45 Gr)</v>
          </cell>
          <cell r="K566">
            <v>0</v>
          </cell>
          <cell r="L566">
            <v>0</v>
          </cell>
        </row>
        <row r="567">
          <cell r="C567" t="str">
            <v>Syokukai Ebi Fry (40 Gr)</v>
          </cell>
          <cell r="K567">
            <v>0</v>
          </cell>
          <cell r="L567">
            <v>0</v>
          </cell>
        </row>
        <row r="568">
          <cell r="C568" t="str">
            <v>Syokukai Ebi Fry (35 Gr)</v>
          </cell>
          <cell r="K568">
            <v>0</v>
          </cell>
          <cell r="L568">
            <v>0</v>
          </cell>
        </row>
        <row r="569">
          <cell r="C569" t="str">
            <v>Syokukai Ebi Fry (30 Gr)</v>
          </cell>
          <cell r="K569">
            <v>0</v>
          </cell>
          <cell r="L569">
            <v>0</v>
          </cell>
        </row>
        <row r="570">
          <cell r="C570" t="str">
            <v>Syokukai Ebi Fry (25 Gr)</v>
          </cell>
          <cell r="K570">
            <v>0</v>
          </cell>
          <cell r="L570">
            <v>0</v>
          </cell>
        </row>
        <row r="571">
          <cell r="C571" t="str">
            <v>Syokukai Ebi Fry (20 Gr)</v>
          </cell>
          <cell r="K571">
            <v>0</v>
          </cell>
          <cell r="L571">
            <v>0</v>
          </cell>
        </row>
        <row r="572">
          <cell r="C572" t="str">
            <v>Syokukai Ebi Fry (12 Gr)</v>
          </cell>
          <cell r="K572">
            <v>0</v>
          </cell>
          <cell r="L572">
            <v>0</v>
          </cell>
        </row>
        <row r="573">
          <cell r="C573" t="str">
            <v>Ebi Fry Tokuyu (30 Gr)</v>
          </cell>
          <cell r="K573">
            <v>0</v>
          </cell>
          <cell r="L573">
            <v>0</v>
          </cell>
        </row>
        <row r="574">
          <cell r="C574" t="str">
            <v>Natural Ebi Fry (30 Gr)</v>
          </cell>
          <cell r="K574">
            <v>0</v>
          </cell>
          <cell r="L574">
            <v>0</v>
          </cell>
        </row>
        <row r="575">
          <cell r="C575" t="str">
            <v>Terima penj export To Eiger, Inv : 056/ias</v>
          </cell>
          <cell r="K575">
            <v>0</v>
          </cell>
          <cell r="L575">
            <v>0</v>
          </cell>
        </row>
        <row r="576">
          <cell r="C576" t="str">
            <v>Tomaya Co.Ltd</v>
          </cell>
          <cell r="K576">
            <v>339408825</v>
          </cell>
          <cell r="L576">
            <v>0</v>
          </cell>
        </row>
        <row r="577">
          <cell r="C577">
            <v>27962.5</v>
          </cell>
          <cell r="K577">
            <v>0</v>
          </cell>
          <cell r="L577">
            <v>0</v>
          </cell>
        </row>
        <row r="578">
          <cell r="C578" t="str">
            <v>Penjualan Eksport</v>
          </cell>
          <cell r="K578">
            <v>0</v>
          </cell>
          <cell r="L578">
            <v>339408825</v>
          </cell>
        </row>
        <row r="579">
          <cell r="C579" t="str">
            <v>Hikari (3L)</v>
          </cell>
          <cell r="K579">
            <v>0</v>
          </cell>
          <cell r="L579">
            <v>0</v>
          </cell>
        </row>
        <row r="580">
          <cell r="C580" t="str">
            <v>Hikari (L)</v>
          </cell>
          <cell r="K580">
            <v>0</v>
          </cell>
          <cell r="L580">
            <v>0</v>
          </cell>
        </row>
        <row r="581">
          <cell r="C581" t="str">
            <v>Hikari (M)</v>
          </cell>
          <cell r="K581">
            <v>0</v>
          </cell>
          <cell r="L581">
            <v>0</v>
          </cell>
        </row>
        <row r="582">
          <cell r="C582" t="str">
            <v>Hikari Marutoku (2L)</v>
          </cell>
          <cell r="K582">
            <v>0</v>
          </cell>
          <cell r="L582">
            <v>0</v>
          </cell>
        </row>
        <row r="583">
          <cell r="C583" t="str">
            <v>Penjualan Export To Tomaya Co,Ltd Inv.055/IAS-EXP/XI/14</v>
          </cell>
          <cell r="K583">
            <v>0</v>
          </cell>
          <cell r="L583">
            <v>0</v>
          </cell>
        </row>
        <row r="584">
          <cell r="C584" t="str">
            <v>Tomaya Co.Ltd</v>
          </cell>
          <cell r="K584">
            <v>902742825</v>
          </cell>
          <cell r="L584">
            <v>0</v>
          </cell>
        </row>
        <row r="585">
          <cell r="C585">
            <v>73965</v>
          </cell>
          <cell r="K585">
            <v>0</v>
          </cell>
          <cell r="L585">
            <v>0</v>
          </cell>
        </row>
        <row r="586">
          <cell r="C586" t="str">
            <v>Penjualan Eksport</v>
          </cell>
          <cell r="K586">
            <v>0</v>
          </cell>
          <cell r="L586">
            <v>902742825</v>
          </cell>
        </row>
        <row r="587">
          <cell r="C587" t="str">
            <v>Ebi Fry San Sugar (L)</v>
          </cell>
          <cell r="K587">
            <v>0</v>
          </cell>
          <cell r="L587">
            <v>0</v>
          </cell>
        </row>
        <row r="588">
          <cell r="C588" t="str">
            <v>Ebi Fry San Sugar (M)</v>
          </cell>
          <cell r="K588">
            <v>0</v>
          </cell>
          <cell r="L588">
            <v>0</v>
          </cell>
        </row>
        <row r="589">
          <cell r="C589" t="str">
            <v>Marushin Tomaya (3L)</v>
          </cell>
          <cell r="K589">
            <v>0</v>
          </cell>
          <cell r="L589">
            <v>0</v>
          </cell>
        </row>
        <row r="590">
          <cell r="C590" t="str">
            <v>Terima penjualan export To Tomaya, Inv : 058/IAS</v>
          </cell>
          <cell r="K590">
            <v>0</v>
          </cell>
          <cell r="L590">
            <v>0</v>
          </cell>
        </row>
        <row r="591">
          <cell r="C591" t="str">
            <v>Alpha Trading Co. Ltd</v>
          </cell>
          <cell r="K591">
            <v>840879726</v>
          </cell>
          <cell r="L591">
            <v>0</v>
          </cell>
        </row>
        <row r="592">
          <cell r="C592">
            <v>69231</v>
          </cell>
          <cell r="K592">
            <v>0</v>
          </cell>
          <cell r="L592">
            <v>0</v>
          </cell>
        </row>
        <row r="593">
          <cell r="C593" t="str">
            <v>Penjualan Eksport</v>
          </cell>
          <cell r="K593">
            <v>0</v>
          </cell>
          <cell r="L593">
            <v>840879726</v>
          </cell>
        </row>
        <row r="594">
          <cell r="C594" t="str">
            <v>Alpha Ebi Fry (50 Gr)</v>
          </cell>
          <cell r="K594">
            <v>0</v>
          </cell>
          <cell r="L594">
            <v>0</v>
          </cell>
        </row>
        <row r="595">
          <cell r="C595" t="str">
            <v>Alpha Ebi Fry (30 Gr)</v>
          </cell>
          <cell r="K595">
            <v>0</v>
          </cell>
          <cell r="L595">
            <v>0</v>
          </cell>
        </row>
        <row r="596">
          <cell r="C596" t="str">
            <v>Alpha Ebi Fry (25 Gr)</v>
          </cell>
          <cell r="K596">
            <v>0</v>
          </cell>
          <cell r="L596">
            <v>0</v>
          </cell>
        </row>
        <row r="597">
          <cell r="C597" t="str">
            <v>Alpha Ebi Fry (20 Gr)</v>
          </cell>
          <cell r="K597">
            <v>0</v>
          </cell>
          <cell r="L597">
            <v>0</v>
          </cell>
        </row>
        <row r="598">
          <cell r="C598" t="str">
            <v>Obento (25 Gr)</v>
          </cell>
          <cell r="K598">
            <v>0</v>
          </cell>
          <cell r="L598">
            <v>0</v>
          </cell>
        </row>
        <row r="599">
          <cell r="C599" t="str">
            <v>Terima penjualan export To Alpha trading, INV : 059/IAS</v>
          </cell>
          <cell r="K599">
            <v>0</v>
          </cell>
          <cell r="L599">
            <v>0</v>
          </cell>
        </row>
        <row r="600">
          <cell r="C600" t="str">
            <v>Eiger Co. Ltd</v>
          </cell>
          <cell r="K600">
            <v>806439984</v>
          </cell>
          <cell r="L600">
            <v>0</v>
          </cell>
        </row>
        <row r="601">
          <cell r="C601">
            <v>66516</v>
          </cell>
          <cell r="K601">
            <v>0</v>
          </cell>
          <cell r="L601">
            <v>0</v>
          </cell>
        </row>
        <row r="602">
          <cell r="C602" t="str">
            <v>Penjualan Eksport</v>
          </cell>
          <cell r="K602">
            <v>0</v>
          </cell>
          <cell r="L602">
            <v>806439984</v>
          </cell>
        </row>
        <row r="603">
          <cell r="C603" t="str">
            <v>Syokukai Ebi Fry (45 Gr)</v>
          </cell>
          <cell r="K603">
            <v>0</v>
          </cell>
          <cell r="L603">
            <v>0</v>
          </cell>
        </row>
        <row r="604">
          <cell r="C604" t="str">
            <v>Syokukai Ebi Fry (40 Gr)</v>
          </cell>
          <cell r="K604">
            <v>0</v>
          </cell>
          <cell r="L604">
            <v>0</v>
          </cell>
        </row>
        <row r="605">
          <cell r="C605" t="str">
            <v>Syokukai Ebi Fry (35 Gr)</v>
          </cell>
          <cell r="K605">
            <v>0</v>
          </cell>
          <cell r="L605">
            <v>0</v>
          </cell>
        </row>
        <row r="606">
          <cell r="C606" t="str">
            <v>Syokukai Ebi Fry (30 Gr)</v>
          </cell>
          <cell r="K606">
            <v>0</v>
          </cell>
          <cell r="L606">
            <v>0</v>
          </cell>
        </row>
        <row r="607">
          <cell r="C607" t="str">
            <v>Syokukai Ebi Fry (25 Gr)</v>
          </cell>
          <cell r="K607">
            <v>0</v>
          </cell>
          <cell r="L607">
            <v>0</v>
          </cell>
        </row>
        <row r="608">
          <cell r="C608" t="str">
            <v>Syokukai Ebi Fry (20 Gr)</v>
          </cell>
          <cell r="K608">
            <v>0</v>
          </cell>
          <cell r="L608">
            <v>0</v>
          </cell>
        </row>
        <row r="609">
          <cell r="C609" t="str">
            <v>Syokukai Ebi Fry (12 Gr)</v>
          </cell>
          <cell r="K609">
            <v>0</v>
          </cell>
          <cell r="L609">
            <v>0</v>
          </cell>
        </row>
        <row r="610">
          <cell r="C610" t="str">
            <v>Ebi Fry Tokuyu (30 Gr)</v>
          </cell>
          <cell r="K610">
            <v>0</v>
          </cell>
          <cell r="L610">
            <v>0</v>
          </cell>
        </row>
        <row r="611">
          <cell r="C611" t="str">
            <v>Syokukai Breaded HO (38 Gr)</v>
          </cell>
          <cell r="K611">
            <v>0</v>
          </cell>
          <cell r="L611">
            <v>0</v>
          </cell>
        </row>
        <row r="612">
          <cell r="C612" t="str">
            <v>Natural Ebi Fry (30 Gr)</v>
          </cell>
          <cell r="K612">
            <v>0</v>
          </cell>
          <cell r="L612">
            <v>0</v>
          </cell>
        </row>
        <row r="613">
          <cell r="C613" t="str">
            <v>Terima penj export To eiger, Inv : 057/IAS</v>
          </cell>
          <cell r="K613">
            <v>0</v>
          </cell>
          <cell r="L613">
            <v>0</v>
          </cell>
        </row>
        <row r="614">
          <cell r="C614" t="str">
            <v>Tomaya Co.Ltd</v>
          </cell>
          <cell r="K614">
            <v>869564850</v>
          </cell>
          <cell r="L614">
            <v>0</v>
          </cell>
        </row>
        <row r="615">
          <cell r="C615">
            <v>71475</v>
          </cell>
          <cell r="K615">
            <v>0</v>
          </cell>
          <cell r="L615">
            <v>0</v>
          </cell>
        </row>
        <row r="616">
          <cell r="C616" t="str">
            <v>Penjualan Eksport</v>
          </cell>
          <cell r="K616">
            <v>0</v>
          </cell>
          <cell r="L616">
            <v>869564850</v>
          </cell>
        </row>
        <row r="617">
          <cell r="C617" t="str">
            <v>Ebi Fry San Sugar (L)</v>
          </cell>
          <cell r="K617">
            <v>0</v>
          </cell>
          <cell r="L617">
            <v>0</v>
          </cell>
        </row>
        <row r="618">
          <cell r="C618" t="str">
            <v>Ebi Fry San Sugar (M)</v>
          </cell>
          <cell r="K618">
            <v>0</v>
          </cell>
          <cell r="L618">
            <v>0</v>
          </cell>
        </row>
        <row r="619">
          <cell r="C619" t="str">
            <v>Marushin Tomaya (3L)</v>
          </cell>
          <cell r="K619">
            <v>0</v>
          </cell>
          <cell r="L619">
            <v>0</v>
          </cell>
        </row>
        <row r="620">
          <cell r="C620" t="str">
            <v>Marushin Tomaya (L)</v>
          </cell>
          <cell r="K620">
            <v>0</v>
          </cell>
          <cell r="L620">
            <v>0</v>
          </cell>
        </row>
        <row r="621">
          <cell r="C621" t="str">
            <v>Terima penjualan export To Tomaya, INV : 061/IAS</v>
          </cell>
          <cell r="K621">
            <v>0</v>
          </cell>
          <cell r="L621">
            <v>0</v>
          </cell>
        </row>
        <row r="622">
          <cell r="C622" t="str">
            <v>Eiger Co. Ltd</v>
          </cell>
          <cell r="K622">
            <v>1461635891.2</v>
          </cell>
          <cell r="L622">
            <v>0</v>
          </cell>
        </row>
        <row r="623">
          <cell r="C623">
            <v>120012.8</v>
          </cell>
          <cell r="K623">
            <v>0</v>
          </cell>
          <cell r="L623">
            <v>0</v>
          </cell>
        </row>
        <row r="624">
          <cell r="C624" t="str">
            <v>Penjualan Eksport</v>
          </cell>
          <cell r="K624">
            <v>0</v>
          </cell>
          <cell r="L624">
            <v>1461635891.2</v>
          </cell>
        </row>
        <row r="625">
          <cell r="C625" t="str">
            <v>Ebi Fry Nisshin (3L)</v>
          </cell>
          <cell r="K625">
            <v>0</v>
          </cell>
          <cell r="L625">
            <v>0</v>
          </cell>
        </row>
        <row r="626">
          <cell r="C626" t="str">
            <v>Ebi Fry Nisshin (LL)</v>
          </cell>
          <cell r="K626">
            <v>0</v>
          </cell>
          <cell r="L626">
            <v>0</v>
          </cell>
        </row>
        <row r="627">
          <cell r="C627" t="str">
            <v>Ebi Fry Nisshin (M)</v>
          </cell>
          <cell r="K627">
            <v>0</v>
          </cell>
          <cell r="L627">
            <v>0</v>
          </cell>
        </row>
        <row r="628">
          <cell r="C628" t="str">
            <v>PTO'S (26-30)</v>
          </cell>
          <cell r="K628">
            <v>0</v>
          </cell>
          <cell r="L628">
            <v>0</v>
          </cell>
        </row>
        <row r="629">
          <cell r="C629" t="str">
            <v>PTO'S (31-40)</v>
          </cell>
          <cell r="K629">
            <v>0</v>
          </cell>
          <cell r="L629">
            <v>0</v>
          </cell>
        </row>
        <row r="630">
          <cell r="C630" t="str">
            <v>Terima penj Export To eiger, Inv : 060/IAS</v>
          </cell>
          <cell r="K630">
            <v>0</v>
          </cell>
          <cell r="L630">
            <v>0</v>
          </cell>
        </row>
        <row r="631">
          <cell r="C631" t="str">
            <v>Eiger Co. Ltd</v>
          </cell>
          <cell r="K631">
            <v>769027660</v>
          </cell>
          <cell r="L631">
            <v>0</v>
          </cell>
        </row>
        <row r="632">
          <cell r="C632">
            <v>62548</v>
          </cell>
          <cell r="K632">
            <v>0</v>
          </cell>
          <cell r="L632">
            <v>0</v>
          </cell>
        </row>
        <row r="633">
          <cell r="C633" t="str">
            <v>Penjualan Eksport</v>
          </cell>
          <cell r="K633">
            <v>0</v>
          </cell>
          <cell r="L633">
            <v>769027660</v>
          </cell>
        </row>
        <row r="634">
          <cell r="C634" t="str">
            <v>Syokukai Ebi Fry (45 Gr)</v>
          </cell>
          <cell r="K634">
            <v>0</v>
          </cell>
          <cell r="L634">
            <v>0</v>
          </cell>
        </row>
        <row r="635">
          <cell r="C635" t="str">
            <v>Syokukai Ebi Fry (35 Gr)</v>
          </cell>
          <cell r="K635">
            <v>0</v>
          </cell>
          <cell r="L635">
            <v>0</v>
          </cell>
        </row>
        <row r="636">
          <cell r="C636" t="str">
            <v>Syokukai Ebi Fry (30 Gr)</v>
          </cell>
          <cell r="K636">
            <v>0</v>
          </cell>
          <cell r="L636">
            <v>0</v>
          </cell>
        </row>
        <row r="637">
          <cell r="C637" t="str">
            <v>Syokukai Ebi Fry (25 Gr)</v>
          </cell>
          <cell r="K637">
            <v>0</v>
          </cell>
          <cell r="L637">
            <v>0</v>
          </cell>
        </row>
        <row r="638">
          <cell r="C638" t="str">
            <v>Syokukai Ebi Fry (20 Gr)</v>
          </cell>
          <cell r="K638">
            <v>0</v>
          </cell>
          <cell r="L638">
            <v>0</v>
          </cell>
        </row>
        <row r="639">
          <cell r="C639" t="str">
            <v>Syokukai Ebi Fry (12 Gr)</v>
          </cell>
          <cell r="K639">
            <v>0</v>
          </cell>
          <cell r="L639">
            <v>0</v>
          </cell>
        </row>
        <row r="640">
          <cell r="C640" t="str">
            <v>Ebi Fry Tokuyu (30 Gr)</v>
          </cell>
          <cell r="K640">
            <v>0</v>
          </cell>
          <cell r="L640">
            <v>0</v>
          </cell>
        </row>
        <row r="641">
          <cell r="C641" t="str">
            <v>Syokukai Breaded HO (38 Gr)</v>
          </cell>
          <cell r="K641">
            <v>0</v>
          </cell>
          <cell r="L641">
            <v>0</v>
          </cell>
        </row>
        <row r="642">
          <cell r="C642" t="str">
            <v>Natural Ebi Fry (30 Gr)</v>
          </cell>
          <cell r="K642">
            <v>0</v>
          </cell>
          <cell r="L642">
            <v>0</v>
          </cell>
        </row>
        <row r="643">
          <cell r="C643" t="str">
            <v>Penjualan Export To Tomaya Co.,Ltd Inv.063/IAS-EXP/XII/14</v>
          </cell>
          <cell r="K643">
            <v>0</v>
          </cell>
          <cell r="L643">
            <v>0</v>
          </cell>
        </row>
        <row r="644">
          <cell r="C644" t="str">
            <v>Alpha Trading Co. Ltd</v>
          </cell>
          <cell r="K644">
            <v>904880280</v>
          </cell>
          <cell r="L644">
            <v>0</v>
          </cell>
        </row>
        <row r="645">
          <cell r="C645">
            <v>73460</v>
          </cell>
          <cell r="K645">
            <v>0</v>
          </cell>
          <cell r="L645">
            <v>0</v>
          </cell>
        </row>
        <row r="646">
          <cell r="C646" t="str">
            <v>Penjualan Eksport</v>
          </cell>
          <cell r="K646">
            <v>0</v>
          </cell>
          <cell r="L646">
            <v>904880280</v>
          </cell>
        </row>
        <row r="647">
          <cell r="C647" t="str">
            <v>Alpha Ebi Fry (50 Gr)</v>
          </cell>
          <cell r="K647">
            <v>0</v>
          </cell>
          <cell r="L647">
            <v>0</v>
          </cell>
        </row>
        <row r="648">
          <cell r="C648" t="str">
            <v>Alpha Ebi Fry (40 Gr)</v>
          </cell>
          <cell r="K648">
            <v>0</v>
          </cell>
          <cell r="L648">
            <v>0</v>
          </cell>
        </row>
        <row r="649">
          <cell r="C649" t="str">
            <v>Penjualan Export To Alpha Trading Co,.Ltd Inv.062/IAS-EXP/XII/14</v>
          </cell>
          <cell r="K649">
            <v>0</v>
          </cell>
          <cell r="L649">
            <v>0</v>
          </cell>
        </row>
        <row r="650">
          <cell r="C650" t="str">
            <v>Tomaya Co.Ltd</v>
          </cell>
          <cell r="K650">
            <v>815101200</v>
          </cell>
          <cell r="L650">
            <v>0</v>
          </cell>
        </row>
        <row r="651">
          <cell r="C651">
            <v>66075</v>
          </cell>
          <cell r="K651">
            <v>0</v>
          </cell>
          <cell r="L651">
            <v>0</v>
          </cell>
        </row>
        <row r="652">
          <cell r="C652" t="str">
            <v>Penjualan Eksport</v>
          </cell>
          <cell r="K652">
            <v>0</v>
          </cell>
          <cell r="L652">
            <v>815101200</v>
          </cell>
        </row>
        <row r="653">
          <cell r="C653" t="str">
            <v>Marushin Tomaya (L)</v>
          </cell>
          <cell r="K653">
            <v>0</v>
          </cell>
          <cell r="L653">
            <v>0</v>
          </cell>
        </row>
        <row r="654">
          <cell r="C654" t="str">
            <v>Hikari (L)</v>
          </cell>
          <cell r="K654">
            <v>0</v>
          </cell>
          <cell r="L654">
            <v>0</v>
          </cell>
        </row>
        <row r="655">
          <cell r="C655" t="str">
            <v>Ebi Fry San Sugar (L)</v>
          </cell>
          <cell r="K655">
            <v>0</v>
          </cell>
          <cell r="L655">
            <v>0</v>
          </cell>
        </row>
        <row r="656">
          <cell r="C656" t="str">
            <v>Ebi Fry San Sugar (M)</v>
          </cell>
          <cell r="K656">
            <v>0</v>
          </cell>
          <cell r="L656">
            <v>0</v>
          </cell>
        </row>
        <row r="657">
          <cell r="C657" t="str">
            <v>Penjualan Export To Tomaya Co.,Ltd Inv.064/IAS-EXP/XII/14</v>
          </cell>
          <cell r="K657">
            <v>0</v>
          </cell>
          <cell r="L657">
            <v>0</v>
          </cell>
        </row>
        <row r="658">
          <cell r="C658" t="str">
            <v>Eiger Co. Ltd</v>
          </cell>
          <cell r="K658">
            <v>796066752</v>
          </cell>
          <cell r="L658">
            <v>0</v>
          </cell>
        </row>
        <row r="659">
          <cell r="C659">
            <v>64532</v>
          </cell>
          <cell r="K659">
            <v>0</v>
          </cell>
          <cell r="L659">
            <v>0</v>
          </cell>
        </row>
        <row r="660">
          <cell r="C660" t="str">
            <v>Penjualan Eksport</v>
          </cell>
          <cell r="K660">
            <v>0</v>
          </cell>
          <cell r="L660">
            <v>796066752</v>
          </cell>
        </row>
        <row r="661">
          <cell r="C661" t="str">
            <v>Syokukai Ebi Fry (40 Gr)</v>
          </cell>
          <cell r="K661">
            <v>0</v>
          </cell>
          <cell r="L661">
            <v>0</v>
          </cell>
        </row>
        <row r="662">
          <cell r="C662" t="str">
            <v>Syokukai Ebi Fry (35 Gr)</v>
          </cell>
          <cell r="K662">
            <v>0</v>
          </cell>
          <cell r="L662">
            <v>0</v>
          </cell>
        </row>
        <row r="663">
          <cell r="C663" t="str">
            <v>Syokukai Ebi Fry (30 Gr)</v>
          </cell>
          <cell r="K663">
            <v>0</v>
          </cell>
          <cell r="L663">
            <v>0</v>
          </cell>
        </row>
        <row r="664">
          <cell r="C664" t="str">
            <v>Syokukai Ebi Fry (25 Gr)</v>
          </cell>
          <cell r="K664">
            <v>0</v>
          </cell>
          <cell r="L664">
            <v>0</v>
          </cell>
        </row>
        <row r="665">
          <cell r="C665" t="str">
            <v>Syokukai Ebi Fry (20 Gr)</v>
          </cell>
          <cell r="K665">
            <v>0</v>
          </cell>
          <cell r="L665">
            <v>0</v>
          </cell>
        </row>
        <row r="666">
          <cell r="C666" t="str">
            <v>Syokukai Ebi Fry (12 Gr)</v>
          </cell>
          <cell r="K666">
            <v>0</v>
          </cell>
          <cell r="L666">
            <v>0</v>
          </cell>
        </row>
        <row r="667">
          <cell r="C667" t="str">
            <v>Ebi Fry Tokuyu (30 Gr)</v>
          </cell>
          <cell r="K667">
            <v>0</v>
          </cell>
          <cell r="L667">
            <v>0</v>
          </cell>
        </row>
        <row r="668">
          <cell r="C668" t="str">
            <v>Syokukai Breaded HO (38 Gr)</v>
          </cell>
          <cell r="K668">
            <v>0</v>
          </cell>
          <cell r="L668">
            <v>0</v>
          </cell>
        </row>
        <row r="669">
          <cell r="C669" t="str">
            <v>Natural Ebi Fry (30 Gr)</v>
          </cell>
          <cell r="K669">
            <v>0</v>
          </cell>
          <cell r="L669">
            <v>0</v>
          </cell>
        </row>
        <row r="670">
          <cell r="C670" t="str">
            <v>Penjualan Export To Eiger.,Ltd Inv.065/IAS-EXP/XII/14</v>
          </cell>
          <cell r="K670">
            <v>0</v>
          </cell>
          <cell r="L670">
            <v>0</v>
          </cell>
        </row>
        <row r="671">
          <cell r="C671" t="str">
            <v>Eiger Co. Ltd</v>
          </cell>
          <cell r="K671">
            <v>817336320</v>
          </cell>
          <cell r="L671">
            <v>0</v>
          </cell>
        </row>
        <row r="672">
          <cell r="C672">
            <v>64256</v>
          </cell>
          <cell r="K672">
            <v>0</v>
          </cell>
          <cell r="L672">
            <v>0</v>
          </cell>
        </row>
        <row r="673">
          <cell r="C673" t="str">
            <v>Penjualan Eksport</v>
          </cell>
          <cell r="K673">
            <v>0</v>
          </cell>
          <cell r="L673">
            <v>817336320</v>
          </cell>
        </row>
        <row r="674">
          <cell r="C674" t="str">
            <v>Syokukai Ebi Fry (45 Gr)</v>
          </cell>
          <cell r="K674">
            <v>0</v>
          </cell>
          <cell r="L674">
            <v>0</v>
          </cell>
        </row>
        <row r="675">
          <cell r="C675" t="str">
            <v>Syokukai Ebi Fry (40 Gr)</v>
          </cell>
          <cell r="K675">
            <v>0</v>
          </cell>
          <cell r="L675">
            <v>0</v>
          </cell>
        </row>
        <row r="676">
          <cell r="C676" t="str">
            <v>Syokukai Ebi Fry (35 Gr)</v>
          </cell>
          <cell r="K676">
            <v>0</v>
          </cell>
          <cell r="L676">
            <v>0</v>
          </cell>
        </row>
        <row r="677">
          <cell r="C677" t="str">
            <v>Syokukai Ebi Fry (30 Gr)</v>
          </cell>
          <cell r="K677">
            <v>0</v>
          </cell>
          <cell r="L677">
            <v>0</v>
          </cell>
        </row>
        <row r="678">
          <cell r="C678" t="str">
            <v>Syokukai Ebi Fry (25 Gr)</v>
          </cell>
          <cell r="K678">
            <v>0</v>
          </cell>
          <cell r="L678">
            <v>0</v>
          </cell>
        </row>
        <row r="679">
          <cell r="C679" t="str">
            <v>Syokukai Ebi Fry (20 Gr)</v>
          </cell>
          <cell r="K679">
            <v>0</v>
          </cell>
          <cell r="L679">
            <v>0</v>
          </cell>
        </row>
        <row r="680">
          <cell r="C680" t="str">
            <v>Syokukai Ebi Fry (12 Gr)</v>
          </cell>
          <cell r="K680">
            <v>0</v>
          </cell>
          <cell r="L680">
            <v>0</v>
          </cell>
        </row>
        <row r="681">
          <cell r="C681" t="str">
            <v>Ebi Fry Tokuyu (30 Gr)</v>
          </cell>
          <cell r="K681">
            <v>0</v>
          </cell>
          <cell r="L681">
            <v>0</v>
          </cell>
        </row>
        <row r="682">
          <cell r="C682" t="str">
            <v>Syokukai Breaded HO (38 Gr)</v>
          </cell>
          <cell r="K682">
            <v>0</v>
          </cell>
          <cell r="L682">
            <v>0</v>
          </cell>
        </row>
        <row r="683">
          <cell r="C683" t="str">
            <v>Natural Ebi Fry (30 Gr)</v>
          </cell>
          <cell r="K683">
            <v>0</v>
          </cell>
          <cell r="L683">
            <v>0</v>
          </cell>
        </row>
        <row r="684">
          <cell r="C684" t="str">
            <v>Penjualan Export To Eiger.,Ltd Inv.065/IAS-EXP/XII/14</v>
          </cell>
          <cell r="K684">
            <v>0</v>
          </cell>
          <cell r="L684">
            <v>0</v>
          </cell>
        </row>
        <row r="685">
          <cell r="C685" t="str">
            <v>Eiger Co. Ltd</v>
          </cell>
          <cell r="K685">
            <v>808934700</v>
          </cell>
          <cell r="L685">
            <v>0</v>
          </cell>
        </row>
        <row r="686">
          <cell r="C686">
            <v>64380</v>
          </cell>
          <cell r="K686">
            <v>0</v>
          </cell>
          <cell r="L686">
            <v>0</v>
          </cell>
        </row>
        <row r="687">
          <cell r="C687" t="str">
            <v>Penjualan Eksport</v>
          </cell>
          <cell r="K687">
            <v>0</v>
          </cell>
          <cell r="L687">
            <v>808934700</v>
          </cell>
        </row>
        <row r="688">
          <cell r="C688" t="str">
            <v>Syokukai Ebi Fry (45 Gr)</v>
          </cell>
          <cell r="K688">
            <v>0</v>
          </cell>
          <cell r="L688">
            <v>0</v>
          </cell>
        </row>
        <row r="689">
          <cell r="C689" t="str">
            <v>Syokukai Ebi Fry (40 Gr)</v>
          </cell>
          <cell r="K689">
            <v>0</v>
          </cell>
          <cell r="L689">
            <v>0</v>
          </cell>
        </row>
        <row r="690">
          <cell r="C690" t="str">
            <v>Syokukai Ebi Fry (35 Gr)</v>
          </cell>
          <cell r="K690">
            <v>0</v>
          </cell>
          <cell r="L690">
            <v>0</v>
          </cell>
        </row>
        <row r="691">
          <cell r="C691" t="str">
            <v>Syokukai Ebi Fry (30 Gr)</v>
          </cell>
          <cell r="K691">
            <v>0</v>
          </cell>
          <cell r="L691">
            <v>0</v>
          </cell>
        </row>
        <row r="692">
          <cell r="C692" t="str">
            <v>Syokukai Ebi Fry (25 Gr)</v>
          </cell>
          <cell r="K692">
            <v>0</v>
          </cell>
          <cell r="L692">
            <v>0</v>
          </cell>
        </row>
        <row r="693">
          <cell r="C693" t="str">
            <v>Syokukai Ebi Fry (20 Gr)</v>
          </cell>
          <cell r="K693">
            <v>0</v>
          </cell>
          <cell r="L693">
            <v>0</v>
          </cell>
        </row>
        <row r="694">
          <cell r="C694" t="str">
            <v>Ebi Fry Tokuyu (30 Gr)</v>
          </cell>
          <cell r="K694">
            <v>0</v>
          </cell>
          <cell r="L694">
            <v>0</v>
          </cell>
        </row>
        <row r="695">
          <cell r="C695" t="str">
            <v>Syokukai Breaded HO (38 Gr)</v>
          </cell>
          <cell r="K695">
            <v>0</v>
          </cell>
          <cell r="L695">
            <v>0</v>
          </cell>
        </row>
        <row r="696">
          <cell r="C696" t="str">
            <v>Natural Ebi Fry (30 Gr)</v>
          </cell>
          <cell r="K696">
            <v>0</v>
          </cell>
          <cell r="L696">
            <v>0</v>
          </cell>
        </row>
        <row r="697">
          <cell r="C697" t="str">
            <v>Penjualan Export To Eiger Co.,Ltd Inv.067/IAS-EXP/XII/14</v>
          </cell>
          <cell r="K697">
            <v>0</v>
          </cell>
          <cell r="L697">
            <v>0</v>
          </cell>
        </row>
        <row r="698">
          <cell r="C698" t="str">
            <v>Eiger Co. Ltd</v>
          </cell>
          <cell r="K698">
            <v>845462072</v>
          </cell>
          <cell r="L698">
            <v>0</v>
          </cell>
        </row>
        <row r="699">
          <cell r="C699">
            <v>67816</v>
          </cell>
          <cell r="K699">
            <v>0</v>
          </cell>
          <cell r="L699">
            <v>0</v>
          </cell>
        </row>
        <row r="700">
          <cell r="C700" t="str">
            <v>Penjualan Eksport</v>
          </cell>
          <cell r="K700">
            <v>0</v>
          </cell>
          <cell r="L700">
            <v>845462072</v>
          </cell>
        </row>
        <row r="701">
          <cell r="C701" t="str">
            <v>Syokukai Ebi Fry (35 Gr)</v>
          </cell>
          <cell r="K701">
            <v>0</v>
          </cell>
          <cell r="L701">
            <v>0</v>
          </cell>
        </row>
        <row r="702">
          <cell r="C702" t="str">
            <v>Syokukai Ebi Fry (30 Gr)</v>
          </cell>
          <cell r="K702">
            <v>0</v>
          </cell>
          <cell r="L702">
            <v>0</v>
          </cell>
        </row>
        <row r="703">
          <cell r="C703" t="str">
            <v>Syokukai Ebi Fry (12 Gr)</v>
          </cell>
          <cell r="K703">
            <v>0</v>
          </cell>
          <cell r="L703">
            <v>0</v>
          </cell>
        </row>
        <row r="704">
          <cell r="C704" t="str">
            <v>Ebi Fry Tokuyu (30 Gr)</v>
          </cell>
          <cell r="K704">
            <v>0</v>
          </cell>
          <cell r="L704">
            <v>0</v>
          </cell>
        </row>
        <row r="705">
          <cell r="C705" t="str">
            <v>Terima penj export To : Eiger, BL : YMLUI 4320063153, INV : 068/IAS</v>
          </cell>
          <cell r="K705">
            <v>0</v>
          </cell>
          <cell r="L705">
            <v>0</v>
          </cell>
        </row>
        <row r="706">
          <cell r="C706" t="str">
            <v>Tomaya Co.Ltd</v>
          </cell>
          <cell r="K706">
            <v>836631900</v>
          </cell>
          <cell r="L706">
            <v>0</v>
          </cell>
        </row>
        <row r="707">
          <cell r="C707">
            <v>67275</v>
          </cell>
          <cell r="K707">
            <v>0</v>
          </cell>
          <cell r="L707">
            <v>0</v>
          </cell>
        </row>
        <row r="708">
          <cell r="C708" t="str">
            <v>Penjualan Eksport</v>
          </cell>
          <cell r="K708">
            <v>0</v>
          </cell>
          <cell r="L708">
            <v>836631900</v>
          </cell>
        </row>
        <row r="709">
          <cell r="C709" t="str">
            <v>Marushin Tomaya (L)</v>
          </cell>
          <cell r="K709">
            <v>0</v>
          </cell>
          <cell r="L709">
            <v>0</v>
          </cell>
        </row>
        <row r="710">
          <cell r="C710" t="str">
            <v>Ebi Fry San Sugar (L)</v>
          </cell>
          <cell r="K710">
            <v>0</v>
          </cell>
          <cell r="L710">
            <v>0</v>
          </cell>
        </row>
        <row r="711">
          <cell r="C711" t="str">
            <v>Ebi Fry San Sugar (M)</v>
          </cell>
          <cell r="K711">
            <v>0</v>
          </cell>
          <cell r="L711">
            <v>0</v>
          </cell>
        </row>
        <row r="712">
          <cell r="C712" t="str">
            <v>Terima penj export To : Tomaya, BL : YMLUI 4320063159, INV : 069/IAS</v>
          </cell>
          <cell r="K712">
            <v>0</v>
          </cell>
          <cell r="L712">
            <v>0</v>
          </cell>
        </row>
        <row r="713">
          <cell r="C713" t="str">
            <v>Eiger Co. Ltd</v>
          </cell>
          <cell r="K713">
            <v>760183520</v>
          </cell>
          <cell r="L713">
            <v>0</v>
          </cell>
        </row>
        <row r="714">
          <cell r="C714">
            <v>61108</v>
          </cell>
          <cell r="K714">
            <v>0</v>
          </cell>
          <cell r="L714">
            <v>0</v>
          </cell>
        </row>
        <row r="715">
          <cell r="C715" t="str">
            <v>Penjualan Eksport</v>
          </cell>
          <cell r="K715">
            <v>0</v>
          </cell>
          <cell r="L715">
            <v>760183520</v>
          </cell>
        </row>
        <row r="716">
          <cell r="C716" t="str">
            <v>Syokukai Ebi Fry (40 Gr)</v>
          </cell>
          <cell r="K716">
            <v>0</v>
          </cell>
          <cell r="L716">
            <v>0</v>
          </cell>
        </row>
        <row r="717">
          <cell r="C717" t="str">
            <v>Syokukai Ebi Fry (35 Gr)</v>
          </cell>
          <cell r="K717">
            <v>0</v>
          </cell>
          <cell r="L717">
            <v>0</v>
          </cell>
        </row>
        <row r="718">
          <cell r="C718" t="str">
            <v>Syokukai Ebi Fry (30 Gr)</v>
          </cell>
          <cell r="K718">
            <v>0</v>
          </cell>
          <cell r="L718">
            <v>0</v>
          </cell>
        </row>
        <row r="719">
          <cell r="C719" t="str">
            <v>Syokukai Ebi Fry (25 Gr)</v>
          </cell>
          <cell r="K719">
            <v>0</v>
          </cell>
          <cell r="L719">
            <v>0</v>
          </cell>
        </row>
        <row r="720">
          <cell r="C720" t="str">
            <v>Syokukai Ebi Fry (20 Gr)</v>
          </cell>
          <cell r="K720">
            <v>0</v>
          </cell>
          <cell r="L720">
            <v>0</v>
          </cell>
        </row>
        <row r="721">
          <cell r="C721" t="str">
            <v>Syokukai Ebi Fry (12 Gr)</v>
          </cell>
          <cell r="K721">
            <v>0</v>
          </cell>
          <cell r="L721">
            <v>0</v>
          </cell>
        </row>
        <row r="722">
          <cell r="C722" t="str">
            <v>Ebi Fry Tokuyu (30 Gr)</v>
          </cell>
          <cell r="K722">
            <v>0</v>
          </cell>
          <cell r="L722">
            <v>0</v>
          </cell>
        </row>
        <row r="723">
          <cell r="C723" t="str">
            <v>Terima penj export To : Eiger, BL : MCC 684772, INV : 070/IAS</v>
          </cell>
          <cell r="K723">
            <v>0</v>
          </cell>
          <cell r="L7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TB"/>
      <sheetName val="Contra"/>
      <sheetName val="Ekspor"/>
      <sheetName val="Journal"/>
      <sheetName val="Lokal"/>
      <sheetName val="Payment"/>
      <sheetName val="Purchase"/>
      <sheetName val="Raw Material"/>
      <sheetName val="Receipt"/>
      <sheetName val="Sheet1"/>
      <sheetName val="Sheet2"/>
    </sheetNames>
    <sheetDataSet>
      <sheetData sheetId="0"/>
      <sheetData sheetId="1"/>
      <sheetData sheetId="2">
        <row r="10">
          <cell r="C10" t="str">
            <v>Kas Harian</v>
          </cell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1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D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2</v>
          </cell>
        </row>
        <row r="26">
          <cell r="D26">
            <v>2</v>
          </cell>
        </row>
        <row r="27">
          <cell r="D27">
            <v>2</v>
          </cell>
        </row>
        <row r="28">
          <cell r="D28">
            <v>2</v>
          </cell>
        </row>
        <row r="29">
          <cell r="D29">
            <v>2</v>
          </cell>
        </row>
        <row r="30">
          <cell r="D30">
            <v>2</v>
          </cell>
        </row>
        <row r="31">
          <cell r="D31">
            <v>2</v>
          </cell>
        </row>
        <row r="32">
          <cell r="D32">
            <v>2</v>
          </cell>
        </row>
        <row r="33">
          <cell r="D33">
            <v>2</v>
          </cell>
        </row>
        <row r="34">
          <cell r="D34">
            <v>2</v>
          </cell>
        </row>
        <row r="35">
          <cell r="D35">
            <v>2</v>
          </cell>
        </row>
        <row r="36">
          <cell r="D36">
            <v>2</v>
          </cell>
        </row>
        <row r="37">
          <cell r="D37">
            <v>2</v>
          </cell>
        </row>
        <row r="38">
          <cell r="D38">
            <v>2</v>
          </cell>
        </row>
        <row r="39">
          <cell r="D39">
            <v>2</v>
          </cell>
        </row>
        <row r="40">
          <cell r="D40">
            <v>2</v>
          </cell>
        </row>
        <row r="41">
          <cell r="D41">
            <v>2</v>
          </cell>
        </row>
        <row r="42">
          <cell r="D42">
            <v>2</v>
          </cell>
        </row>
        <row r="43">
          <cell r="D43">
            <v>2</v>
          </cell>
        </row>
        <row r="44">
          <cell r="D44">
            <v>2</v>
          </cell>
        </row>
        <row r="45">
          <cell r="D45">
            <v>2</v>
          </cell>
        </row>
        <row r="46">
          <cell r="D46">
            <v>2</v>
          </cell>
        </row>
        <row r="47">
          <cell r="D47">
            <v>2</v>
          </cell>
        </row>
        <row r="48">
          <cell r="D48">
            <v>2</v>
          </cell>
        </row>
        <row r="49">
          <cell r="D49">
            <v>2</v>
          </cell>
        </row>
        <row r="50">
          <cell r="D50">
            <v>2</v>
          </cell>
        </row>
        <row r="51">
          <cell r="D51">
            <v>2</v>
          </cell>
        </row>
        <row r="52">
          <cell r="D52">
            <v>2</v>
          </cell>
        </row>
        <row r="53">
          <cell r="D53">
            <v>2</v>
          </cell>
        </row>
        <row r="54">
          <cell r="D54">
            <v>2</v>
          </cell>
        </row>
        <row r="55">
          <cell r="D55">
            <v>2</v>
          </cell>
        </row>
        <row r="56">
          <cell r="D56">
            <v>2</v>
          </cell>
        </row>
        <row r="57">
          <cell r="D57">
            <v>2</v>
          </cell>
        </row>
        <row r="58">
          <cell r="D58">
            <v>2</v>
          </cell>
        </row>
        <row r="59">
          <cell r="D59">
            <v>2</v>
          </cell>
        </row>
        <row r="60">
          <cell r="D60">
            <v>2</v>
          </cell>
        </row>
        <row r="61">
          <cell r="D61">
            <v>2</v>
          </cell>
        </row>
        <row r="62">
          <cell r="D62">
            <v>2</v>
          </cell>
        </row>
        <row r="63">
          <cell r="D63">
            <v>2</v>
          </cell>
        </row>
        <row r="64">
          <cell r="D64">
            <v>3</v>
          </cell>
        </row>
        <row r="65">
          <cell r="D65">
            <v>3</v>
          </cell>
        </row>
        <row r="66">
          <cell r="D66">
            <v>3</v>
          </cell>
        </row>
        <row r="67">
          <cell r="D67">
            <v>3</v>
          </cell>
        </row>
        <row r="68">
          <cell r="D68">
            <v>3</v>
          </cell>
        </row>
        <row r="69">
          <cell r="D69">
            <v>3</v>
          </cell>
        </row>
        <row r="70">
          <cell r="D70">
            <v>3</v>
          </cell>
        </row>
        <row r="71">
          <cell r="D71">
            <v>3</v>
          </cell>
        </row>
        <row r="72">
          <cell r="D72">
            <v>3</v>
          </cell>
        </row>
        <row r="73">
          <cell r="D73">
            <v>3</v>
          </cell>
        </row>
        <row r="74">
          <cell r="D74">
            <v>3</v>
          </cell>
        </row>
        <row r="75">
          <cell r="D75">
            <v>3</v>
          </cell>
        </row>
        <row r="76">
          <cell r="D76">
            <v>3</v>
          </cell>
        </row>
        <row r="77">
          <cell r="D77">
            <v>3</v>
          </cell>
        </row>
        <row r="78">
          <cell r="D78">
            <v>3</v>
          </cell>
        </row>
        <row r="79">
          <cell r="D79">
            <v>3</v>
          </cell>
        </row>
        <row r="80">
          <cell r="D80">
            <v>3</v>
          </cell>
        </row>
        <row r="81">
          <cell r="D81">
            <v>3</v>
          </cell>
        </row>
        <row r="82">
          <cell r="D82">
            <v>3</v>
          </cell>
        </row>
        <row r="83">
          <cell r="D83">
            <v>3</v>
          </cell>
        </row>
        <row r="84">
          <cell r="D84">
            <v>3</v>
          </cell>
        </row>
        <row r="85">
          <cell r="D85">
            <v>3</v>
          </cell>
        </row>
        <row r="86">
          <cell r="D86">
            <v>3</v>
          </cell>
        </row>
        <row r="87">
          <cell r="D87">
            <v>3</v>
          </cell>
        </row>
        <row r="88">
          <cell r="D88">
            <v>3</v>
          </cell>
        </row>
        <row r="89">
          <cell r="D89">
            <v>3</v>
          </cell>
        </row>
        <row r="90">
          <cell r="D90">
            <v>3</v>
          </cell>
        </row>
        <row r="91">
          <cell r="D91">
            <v>3</v>
          </cell>
        </row>
        <row r="92">
          <cell r="D92">
            <v>3</v>
          </cell>
        </row>
        <row r="93">
          <cell r="D93">
            <v>3</v>
          </cell>
        </row>
        <row r="94">
          <cell r="D94">
            <v>3</v>
          </cell>
        </row>
        <row r="95">
          <cell r="D95">
            <v>3</v>
          </cell>
        </row>
        <row r="96">
          <cell r="D96">
            <v>3</v>
          </cell>
        </row>
        <row r="97">
          <cell r="D97">
            <v>3</v>
          </cell>
        </row>
        <row r="98">
          <cell r="D98">
            <v>3</v>
          </cell>
        </row>
        <row r="99">
          <cell r="D99">
            <v>3</v>
          </cell>
        </row>
        <row r="100">
          <cell r="D100">
            <v>3</v>
          </cell>
        </row>
        <row r="101">
          <cell r="D101">
            <v>3</v>
          </cell>
        </row>
        <row r="102">
          <cell r="D102">
            <v>3</v>
          </cell>
        </row>
        <row r="103">
          <cell r="D103">
            <v>3</v>
          </cell>
        </row>
        <row r="104">
          <cell r="D104">
            <v>3</v>
          </cell>
        </row>
        <row r="105">
          <cell r="D105">
            <v>3</v>
          </cell>
        </row>
        <row r="106">
          <cell r="D106">
            <v>4</v>
          </cell>
        </row>
        <row r="107">
          <cell r="D107">
            <v>4</v>
          </cell>
        </row>
        <row r="108">
          <cell r="D108">
            <v>4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4</v>
          </cell>
        </row>
        <row r="112">
          <cell r="D112">
            <v>4</v>
          </cell>
        </row>
        <row r="113">
          <cell r="D113">
            <v>4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4</v>
          </cell>
        </row>
        <row r="119">
          <cell r="D119">
            <v>4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4</v>
          </cell>
        </row>
        <row r="127">
          <cell r="D127">
            <v>4</v>
          </cell>
        </row>
        <row r="128">
          <cell r="D128">
            <v>4</v>
          </cell>
        </row>
        <row r="129">
          <cell r="D129">
            <v>4</v>
          </cell>
        </row>
        <row r="130">
          <cell r="D130">
            <v>5</v>
          </cell>
        </row>
        <row r="131">
          <cell r="D131">
            <v>5</v>
          </cell>
        </row>
        <row r="132">
          <cell r="D132">
            <v>5</v>
          </cell>
        </row>
        <row r="133">
          <cell r="D133">
            <v>5</v>
          </cell>
        </row>
        <row r="134">
          <cell r="D134">
            <v>5</v>
          </cell>
        </row>
        <row r="135">
          <cell r="D135">
            <v>5</v>
          </cell>
        </row>
        <row r="136">
          <cell r="D136">
            <v>5</v>
          </cell>
        </row>
        <row r="137">
          <cell r="D137">
            <v>5</v>
          </cell>
        </row>
        <row r="138">
          <cell r="D138">
            <v>5</v>
          </cell>
        </row>
        <row r="139">
          <cell r="D139">
            <v>6</v>
          </cell>
        </row>
        <row r="140">
          <cell r="D140">
            <v>6</v>
          </cell>
        </row>
        <row r="141">
          <cell r="D141">
            <v>6</v>
          </cell>
        </row>
        <row r="142">
          <cell r="D142">
            <v>6</v>
          </cell>
        </row>
        <row r="143">
          <cell r="D143">
            <v>6</v>
          </cell>
        </row>
        <row r="144">
          <cell r="D144">
            <v>6</v>
          </cell>
        </row>
        <row r="145">
          <cell r="D145">
            <v>6</v>
          </cell>
        </row>
        <row r="146">
          <cell r="D146">
            <v>6</v>
          </cell>
        </row>
        <row r="147">
          <cell r="D147">
            <v>6</v>
          </cell>
        </row>
        <row r="148">
          <cell r="D148">
            <v>6</v>
          </cell>
        </row>
        <row r="149">
          <cell r="D149">
            <v>6</v>
          </cell>
        </row>
        <row r="150">
          <cell r="D150">
            <v>6</v>
          </cell>
        </row>
        <row r="151">
          <cell r="D151">
            <v>6</v>
          </cell>
        </row>
        <row r="152">
          <cell r="D152">
            <v>6</v>
          </cell>
        </row>
        <row r="153">
          <cell r="D153">
            <v>6</v>
          </cell>
        </row>
        <row r="154">
          <cell r="D154">
            <v>6</v>
          </cell>
        </row>
        <row r="155">
          <cell r="D155">
            <v>6</v>
          </cell>
        </row>
        <row r="156">
          <cell r="D156">
            <v>6</v>
          </cell>
        </row>
        <row r="157">
          <cell r="D157">
            <v>6</v>
          </cell>
        </row>
        <row r="158">
          <cell r="D158">
            <v>6</v>
          </cell>
        </row>
        <row r="159">
          <cell r="D159">
            <v>6</v>
          </cell>
        </row>
        <row r="160">
          <cell r="D160">
            <v>6</v>
          </cell>
        </row>
        <row r="161">
          <cell r="D161">
            <v>6</v>
          </cell>
        </row>
        <row r="162">
          <cell r="D162">
            <v>6</v>
          </cell>
        </row>
        <row r="163">
          <cell r="D163">
            <v>6</v>
          </cell>
        </row>
        <row r="164">
          <cell r="D164">
            <v>6</v>
          </cell>
        </row>
        <row r="165">
          <cell r="D165">
            <v>6</v>
          </cell>
        </row>
        <row r="166">
          <cell r="D166">
            <v>6</v>
          </cell>
        </row>
        <row r="167">
          <cell r="D167">
            <v>6</v>
          </cell>
        </row>
        <row r="168">
          <cell r="D168">
            <v>6</v>
          </cell>
        </row>
        <row r="169">
          <cell r="D169">
            <v>6</v>
          </cell>
        </row>
        <row r="170">
          <cell r="D170">
            <v>6</v>
          </cell>
        </row>
        <row r="171">
          <cell r="D171">
            <v>6</v>
          </cell>
        </row>
        <row r="172">
          <cell r="D172">
            <v>6</v>
          </cell>
        </row>
        <row r="173">
          <cell r="D173">
            <v>6</v>
          </cell>
        </row>
        <row r="174">
          <cell r="D174">
            <v>6</v>
          </cell>
        </row>
        <row r="175">
          <cell r="D175">
            <v>6</v>
          </cell>
        </row>
        <row r="176">
          <cell r="D176">
            <v>6</v>
          </cell>
        </row>
        <row r="177">
          <cell r="D177">
            <v>6</v>
          </cell>
        </row>
        <row r="178">
          <cell r="D178">
            <v>6</v>
          </cell>
        </row>
        <row r="179">
          <cell r="D179">
            <v>6</v>
          </cell>
        </row>
        <row r="180">
          <cell r="D180">
            <v>6</v>
          </cell>
        </row>
        <row r="181">
          <cell r="D181">
            <v>7</v>
          </cell>
        </row>
        <row r="182">
          <cell r="D182">
            <v>7</v>
          </cell>
        </row>
        <row r="183">
          <cell r="D183">
            <v>7</v>
          </cell>
        </row>
        <row r="184">
          <cell r="D184">
            <v>7</v>
          </cell>
        </row>
        <row r="185">
          <cell r="D185">
            <v>7</v>
          </cell>
        </row>
        <row r="186">
          <cell r="D186">
            <v>7</v>
          </cell>
        </row>
        <row r="187">
          <cell r="D187">
            <v>7</v>
          </cell>
        </row>
        <row r="188">
          <cell r="D188">
            <v>7</v>
          </cell>
        </row>
        <row r="189">
          <cell r="D189">
            <v>7</v>
          </cell>
        </row>
        <row r="190">
          <cell r="D190">
            <v>7</v>
          </cell>
        </row>
        <row r="191">
          <cell r="D191">
            <v>7</v>
          </cell>
        </row>
        <row r="192">
          <cell r="D192">
            <v>7</v>
          </cell>
        </row>
        <row r="193">
          <cell r="D193">
            <v>7</v>
          </cell>
        </row>
        <row r="194">
          <cell r="D194">
            <v>7</v>
          </cell>
        </row>
        <row r="195">
          <cell r="D195">
            <v>7</v>
          </cell>
        </row>
        <row r="196">
          <cell r="D196">
            <v>7</v>
          </cell>
        </row>
        <row r="197">
          <cell r="D197">
            <v>7</v>
          </cell>
        </row>
        <row r="198">
          <cell r="D198">
            <v>7</v>
          </cell>
        </row>
        <row r="199">
          <cell r="D199">
            <v>7</v>
          </cell>
        </row>
        <row r="200">
          <cell r="D200">
            <v>7</v>
          </cell>
        </row>
        <row r="201">
          <cell r="D201">
            <v>7</v>
          </cell>
        </row>
        <row r="202">
          <cell r="D202">
            <v>7</v>
          </cell>
        </row>
        <row r="203">
          <cell r="D203">
            <v>7</v>
          </cell>
        </row>
        <row r="204">
          <cell r="D204">
            <v>7</v>
          </cell>
        </row>
        <row r="205">
          <cell r="D205">
            <v>7</v>
          </cell>
        </row>
        <row r="206">
          <cell r="D206">
            <v>7</v>
          </cell>
        </row>
        <row r="207">
          <cell r="D207">
            <v>7</v>
          </cell>
        </row>
        <row r="208">
          <cell r="D208">
            <v>7</v>
          </cell>
        </row>
        <row r="209">
          <cell r="D209">
            <v>7</v>
          </cell>
        </row>
        <row r="210">
          <cell r="D210">
            <v>7</v>
          </cell>
        </row>
        <row r="211">
          <cell r="D211">
            <v>8</v>
          </cell>
        </row>
        <row r="212">
          <cell r="D212">
            <v>8</v>
          </cell>
        </row>
        <row r="213">
          <cell r="D213">
            <v>8</v>
          </cell>
        </row>
        <row r="214">
          <cell r="D214">
            <v>8</v>
          </cell>
        </row>
        <row r="215">
          <cell r="D215">
            <v>8</v>
          </cell>
        </row>
        <row r="216">
          <cell r="D216">
            <v>8</v>
          </cell>
        </row>
        <row r="217">
          <cell r="D217">
            <v>8</v>
          </cell>
        </row>
        <row r="218">
          <cell r="D218">
            <v>8</v>
          </cell>
        </row>
        <row r="219">
          <cell r="D219">
            <v>8</v>
          </cell>
        </row>
        <row r="220">
          <cell r="D220">
            <v>8</v>
          </cell>
        </row>
        <row r="221">
          <cell r="D221">
            <v>8</v>
          </cell>
        </row>
        <row r="222">
          <cell r="D222">
            <v>8</v>
          </cell>
        </row>
        <row r="223">
          <cell r="D223">
            <v>8</v>
          </cell>
        </row>
        <row r="224">
          <cell r="D224">
            <v>8</v>
          </cell>
        </row>
        <row r="225">
          <cell r="D225">
            <v>8</v>
          </cell>
        </row>
        <row r="226">
          <cell r="D226">
            <v>8</v>
          </cell>
        </row>
        <row r="227">
          <cell r="D227">
            <v>8</v>
          </cell>
        </row>
        <row r="228">
          <cell r="D228">
            <v>8</v>
          </cell>
        </row>
        <row r="229">
          <cell r="D229">
            <v>8</v>
          </cell>
        </row>
        <row r="230">
          <cell r="D230">
            <v>8</v>
          </cell>
        </row>
        <row r="231">
          <cell r="D231">
            <v>8</v>
          </cell>
        </row>
        <row r="232">
          <cell r="D232">
            <v>8</v>
          </cell>
        </row>
        <row r="233">
          <cell r="D233">
            <v>8</v>
          </cell>
        </row>
        <row r="234">
          <cell r="D234">
            <v>8</v>
          </cell>
        </row>
        <row r="235">
          <cell r="D235">
            <v>9</v>
          </cell>
        </row>
        <row r="236">
          <cell r="D236">
            <v>9</v>
          </cell>
        </row>
        <row r="237">
          <cell r="D237">
            <v>9</v>
          </cell>
        </row>
        <row r="238">
          <cell r="D238">
            <v>9</v>
          </cell>
        </row>
        <row r="239">
          <cell r="D239">
            <v>9</v>
          </cell>
        </row>
        <row r="240">
          <cell r="D240">
            <v>9</v>
          </cell>
        </row>
        <row r="241">
          <cell r="D241">
            <v>9</v>
          </cell>
        </row>
        <row r="242">
          <cell r="D242">
            <v>9</v>
          </cell>
        </row>
        <row r="243">
          <cell r="D243">
            <v>9</v>
          </cell>
        </row>
        <row r="244">
          <cell r="D244">
            <v>9</v>
          </cell>
        </row>
        <row r="245">
          <cell r="D245">
            <v>9</v>
          </cell>
        </row>
        <row r="246">
          <cell r="D246">
            <v>9</v>
          </cell>
        </row>
        <row r="247">
          <cell r="D247">
            <v>9</v>
          </cell>
        </row>
        <row r="248">
          <cell r="D248">
            <v>9</v>
          </cell>
        </row>
        <row r="249">
          <cell r="D249">
            <v>9</v>
          </cell>
        </row>
        <row r="250">
          <cell r="D250">
            <v>9</v>
          </cell>
        </row>
        <row r="251">
          <cell r="D251">
            <v>9</v>
          </cell>
        </row>
        <row r="252">
          <cell r="D252">
            <v>9</v>
          </cell>
        </row>
        <row r="253">
          <cell r="D253">
            <v>9</v>
          </cell>
        </row>
        <row r="254">
          <cell r="D254">
            <v>9</v>
          </cell>
        </row>
        <row r="255">
          <cell r="D255">
            <v>9</v>
          </cell>
        </row>
        <row r="256">
          <cell r="D256">
            <v>9</v>
          </cell>
        </row>
        <row r="257">
          <cell r="D257">
            <v>9</v>
          </cell>
        </row>
        <row r="258">
          <cell r="D258">
            <v>9</v>
          </cell>
        </row>
        <row r="259">
          <cell r="D259">
            <v>9</v>
          </cell>
        </row>
        <row r="260">
          <cell r="D260">
            <v>9</v>
          </cell>
        </row>
        <row r="261">
          <cell r="D261">
            <v>9</v>
          </cell>
        </row>
        <row r="262">
          <cell r="D262">
            <v>9</v>
          </cell>
        </row>
        <row r="263">
          <cell r="D263">
            <v>9</v>
          </cell>
        </row>
        <row r="264">
          <cell r="D264">
            <v>9</v>
          </cell>
        </row>
        <row r="265">
          <cell r="D265">
            <v>9</v>
          </cell>
        </row>
        <row r="266">
          <cell r="D266">
            <v>9</v>
          </cell>
        </row>
        <row r="267">
          <cell r="D267">
            <v>9</v>
          </cell>
        </row>
        <row r="268">
          <cell r="D268">
            <v>9</v>
          </cell>
        </row>
        <row r="269">
          <cell r="D269">
            <v>9</v>
          </cell>
        </row>
        <row r="270">
          <cell r="D270">
            <v>9</v>
          </cell>
        </row>
        <row r="271">
          <cell r="D271">
            <v>10</v>
          </cell>
        </row>
        <row r="272">
          <cell r="D272">
            <v>10</v>
          </cell>
        </row>
        <row r="273">
          <cell r="D273">
            <v>10</v>
          </cell>
        </row>
        <row r="274">
          <cell r="D274">
            <v>10</v>
          </cell>
        </row>
        <row r="275">
          <cell r="D275">
            <v>10</v>
          </cell>
        </row>
        <row r="276">
          <cell r="D276">
            <v>10</v>
          </cell>
        </row>
        <row r="277">
          <cell r="D277">
            <v>10</v>
          </cell>
        </row>
        <row r="278">
          <cell r="D278">
            <v>10</v>
          </cell>
        </row>
        <row r="279">
          <cell r="D279">
            <v>10</v>
          </cell>
        </row>
        <row r="280">
          <cell r="D280">
            <v>10</v>
          </cell>
        </row>
        <row r="281">
          <cell r="D281">
            <v>10</v>
          </cell>
        </row>
        <row r="282">
          <cell r="D282">
            <v>10</v>
          </cell>
        </row>
        <row r="283">
          <cell r="D283">
            <v>10</v>
          </cell>
        </row>
        <row r="284">
          <cell r="D284">
            <v>10</v>
          </cell>
        </row>
        <row r="285">
          <cell r="D285">
            <v>10</v>
          </cell>
        </row>
        <row r="286">
          <cell r="D286">
            <v>10</v>
          </cell>
        </row>
        <row r="287">
          <cell r="D287">
            <v>10</v>
          </cell>
        </row>
        <row r="288">
          <cell r="D288">
            <v>10</v>
          </cell>
        </row>
        <row r="289">
          <cell r="D289">
            <v>10</v>
          </cell>
        </row>
        <row r="290">
          <cell r="D290">
            <v>10</v>
          </cell>
        </row>
        <row r="291">
          <cell r="D291">
            <v>10</v>
          </cell>
        </row>
        <row r="292">
          <cell r="D292">
            <v>11</v>
          </cell>
        </row>
        <row r="293">
          <cell r="D293">
            <v>11</v>
          </cell>
        </row>
        <row r="294">
          <cell r="D294">
            <v>11</v>
          </cell>
        </row>
        <row r="295">
          <cell r="D295">
            <v>11</v>
          </cell>
        </row>
        <row r="296">
          <cell r="D296">
            <v>11</v>
          </cell>
        </row>
        <row r="297">
          <cell r="D297">
            <v>11</v>
          </cell>
        </row>
        <row r="298">
          <cell r="D298">
            <v>11</v>
          </cell>
        </row>
        <row r="299">
          <cell r="D299">
            <v>11</v>
          </cell>
        </row>
        <row r="300">
          <cell r="D300">
            <v>11</v>
          </cell>
        </row>
        <row r="301">
          <cell r="D301">
            <v>11</v>
          </cell>
        </row>
        <row r="302">
          <cell r="D302">
            <v>11</v>
          </cell>
        </row>
        <row r="303">
          <cell r="D303">
            <v>11</v>
          </cell>
        </row>
        <row r="304">
          <cell r="D304">
            <v>11</v>
          </cell>
        </row>
        <row r="305">
          <cell r="D305">
            <v>11</v>
          </cell>
        </row>
        <row r="306">
          <cell r="D306">
            <v>11</v>
          </cell>
        </row>
        <row r="307">
          <cell r="D307">
            <v>11</v>
          </cell>
        </row>
        <row r="308">
          <cell r="D308">
            <v>11</v>
          </cell>
        </row>
        <row r="309">
          <cell r="D309">
            <v>11</v>
          </cell>
        </row>
        <row r="310">
          <cell r="D310">
            <v>11</v>
          </cell>
        </row>
        <row r="311">
          <cell r="D311">
            <v>11</v>
          </cell>
        </row>
        <row r="312">
          <cell r="D312">
            <v>11</v>
          </cell>
        </row>
        <row r="313">
          <cell r="D313">
            <v>11</v>
          </cell>
        </row>
        <row r="314">
          <cell r="D314">
            <v>11</v>
          </cell>
        </row>
        <row r="315">
          <cell r="D315">
            <v>11</v>
          </cell>
        </row>
        <row r="316">
          <cell r="D316">
            <v>11</v>
          </cell>
        </row>
        <row r="317">
          <cell r="D317">
            <v>11</v>
          </cell>
        </row>
        <row r="318">
          <cell r="D318">
            <v>11</v>
          </cell>
        </row>
        <row r="319">
          <cell r="D319">
            <v>11</v>
          </cell>
        </row>
        <row r="320">
          <cell r="D320">
            <v>11</v>
          </cell>
        </row>
        <row r="321">
          <cell r="D321">
            <v>11</v>
          </cell>
        </row>
        <row r="322">
          <cell r="D322">
            <v>11</v>
          </cell>
        </row>
        <row r="323">
          <cell r="D323">
            <v>11</v>
          </cell>
        </row>
        <row r="324">
          <cell r="D324">
            <v>11</v>
          </cell>
        </row>
        <row r="325">
          <cell r="D325">
            <v>11</v>
          </cell>
        </row>
        <row r="326">
          <cell r="D326">
            <v>11</v>
          </cell>
        </row>
        <row r="327">
          <cell r="D327">
            <v>11</v>
          </cell>
        </row>
        <row r="328">
          <cell r="D328">
            <v>12</v>
          </cell>
        </row>
        <row r="329">
          <cell r="D329">
            <v>12</v>
          </cell>
        </row>
        <row r="330">
          <cell r="D330">
            <v>12</v>
          </cell>
        </row>
        <row r="331">
          <cell r="D331">
            <v>12</v>
          </cell>
        </row>
        <row r="332">
          <cell r="D332">
            <v>12</v>
          </cell>
        </row>
        <row r="333">
          <cell r="D333">
            <v>12</v>
          </cell>
        </row>
        <row r="334">
          <cell r="D334">
            <v>12</v>
          </cell>
        </row>
        <row r="335">
          <cell r="D335">
            <v>12</v>
          </cell>
        </row>
        <row r="336">
          <cell r="D336">
            <v>12</v>
          </cell>
        </row>
        <row r="337">
          <cell r="D337">
            <v>12</v>
          </cell>
        </row>
        <row r="338">
          <cell r="D338">
            <v>12</v>
          </cell>
        </row>
        <row r="339">
          <cell r="D339">
            <v>12</v>
          </cell>
        </row>
        <row r="340">
          <cell r="D340">
            <v>12</v>
          </cell>
        </row>
        <row r="341">
          <cell r="D341">
            <v>12</v>
          </cell>
        </row>
        <row r="342">
          <cell r="D342">
            <v>12</v>
          </cell>
        </row>
        <row r="343">
          <cell r="D343">
            <v>12</v>
          </cell>
        </row>
        <row r="344">
          <cell r="D344">
            <v>12</v>
          </cell>
        </row>
        <row r="345">
          <cell r="D345">
            <v>12</v>
          </cell>
        </row>
        <row r="346">
          <cell r="D346">
            <v>12</v>
          </cell>
        </row>
        <row r="347">
          <cell r="D347">
            <v>12</v>
          </cell>
        </row>
        <row r="348">
          <cell r="D348">
            <v>12</v>
          </cell>
        </row>
        <row r="349">
          <cell r="D349">
            <v>12</v>
          </cell>
        </row>
        <row r="350">
          <cell r="D350">
            <v>12</v>
          </cell>
        </row>
        <row r="351">
          <cell r="D351">
            <v>12</v>
          </cell>
        </row>
        <row r="352">
          <cell r="D352">
            <v>12</v>
          </cell>
        </row>
        <row r="353">
          <cell r="D353">
            <v>12</v>
          </cell>
        </row>
        <row r="354">
          <cell r="D354">
            <v>12</v>
          </cell>
        </row>
        <row r="355">
          <cell r="D355">
            <v>12</v>
          </cell>
        </row>
        <row r="356">
          <cell r="D356">
            <v>12</v>
          </cell>
        </row>
        <row r="357">
          <cell r="D357">
            <v>12</v>
          </cell>
        </row>
        <row r="358">
          <cell r="D358">
            <v>12</v>
          </cell>
        </row>
        <row r="359">
          <cell r="D359">
            <v>12</v>
          </cell>
        </row>
        <row r="360">
          <cell r="D360">
            <v>12</v>
          </cell>
        </row>
        <row r="361">
          <cell r="D361">
            <v>12</v>
          </cell>
        </row>
        <row r="362">
          <cell r="D362">
            <v>12</v>
          </cell>
        </row>
        <row r="363">
          <cell r="D363">
            <v>12</v>
          </cell>
        </row>
        <row r="364">
          <cell r="D364">
            <v>12</v>
          </cell>
        </row>
        <row r="365">
          <cell r="D365">
            <v>12</v>
          </cell>
        </row>
        <row r="366">
          <cell r="D366">
            <v>12</v>
          </cell>
        </row>
        <row r="367">
          <cell r="D367">
            <v>12</v>
          </cell>
        </row>
        <row r="368">
          <cell r="D368">
            <v>12</v>
          </cell>
        </row>
        <row r="369">
          <cell r="D369">
            <v>12</v>
          </cell>
        </row>
        <row r="370">
          <cell r="D370">
            <v>12</v>
          </cell>
        </row>
        <row r="371">
          <cell r="D371">
            <v>12</v>
          </cell>
        </row>
        <row r="372">
          <cell r="D372">
            <v>12</v>
          </cell>
        </row>
        <row r="373">
          <cell r="D373">
            <v>12</v>
          </cell>
        </row>
        <row r="374">
          <cell r="D374">
            <v>12</v>
          </cell>
        </row>
        <row r="375">
          <cell r="D375">
            <v>12</v>
          </cell>
        </row>
        <row r="376">
          <cell r="D376">
            <v>12</v>
          </cell>
        </row>
        <row r="377">
          <cell r="D377">
            <v>12</v>
          </cell>
        </row>
        <row r="378">
          <cell r="D378">
            <v>12</v>
          </cell>
        </row>
        <row r="379">
          <cell r="D379">
            <v>12</v>
          </cell>
        </row>
        <row r="380">
          <cell r="D380">
            <v>12</v>
          </cell>
        </row>
        <row r="381">
          <cell r="D381">
            <v>12</v>
          </cell>
        </row>
        <row r="382">
          <cell r="D382">
            <v>12</v>
          </cell>
        </row>
        <row r="383">
          <cell r="D383">
            <v>12</v>
          </cell>
        </row>
        <row r="384">
          <cell r="D384">
            <v>12</v>
          </cell>
        </row>
      </sheetData>
      <sheetData sheetId="3">
        <row r="10">
          <cell r="C10" t="str">
            <v>Eiger Co. Ltd</v>
          </cell>
          <cell r="K10">
            <v>829908856</v>
          </cell>
          <cell r="L10">
            <v>0</v>
          </cell>
        </row>
        <row r="11">
          <cell r="C11">
            <v>67864</v>
          </cell>
          <cell r="K11">
            <v>0</v>
          </cell>
          <cell r="L11">
            <v>0</v>
          </cell>
        </row>
        <row r="12">
          <cell r="C12" t="str">
            <v>Penjualan Eksport</v>
          </cell>
          <cell r="K12">
            <v>0</v>
          </cell>
          <cell r="L12">
            <v>829908856</v>
          </cell>
        </row>
        <row r="13">
          <cell r="C13" t="str">
            <v>Syokukai Ebi Fry (40 Gr)</v>
          </cell>
          <cell r="K13">
            <v>0</v>
          </cell>
          <cell r="L13">
            <v>0</v>
          </cell>
        </row>
        <row r="14">
          <cell r="C14" t="str">
            <v>Syokukai Ebi Fry (35 Gr)</v>
          </cell>
          <cell r="K14">
            <v>0</v>
          </cell>
          <cell r="L14">
            <v>0</v>
          </cell>
        </row>
        <row r="15">
          <cell r="C15" t="str">
            <v>Syokukai Ebi Fry (30 Gr)</v>
          </cell>
          <cell r="K15">
            <v>0</v>
          </cell>
          <cell r="L15">
            <v>0</v>
          </cell>
        </row>
        <row r="16">
          <cell r="C16" t="str">
            <v>Syokukai Ebi Fry (25 Gr)</v>
          </cell>
          <cell r="K16">
            <v>0</v>
          </cell>
          <cell r="L16">
            <v>0</v>
          </cell>
        </row>
        <row r="17">
          <cell r="C17" t="str">
            <v>Syokukai Ebi Fry (20 Gr)</v>
          </cell>
          <cell r="K17">
            <v>0</v>
          </cell>
          <cell r="L17">
            <v>0</v>
          </cell>
        </row>
        <row r="18">
          <cell r="C18" t="str">
            <v>Syokukai Ebi Fry (12 Gr)</v>
          </cell>
          <cell r="K18">
            <v>0</v>
          </cell>
          <cell r="L18">
            <v>0</v>
          </cell>
        </row>
        <row r="19">
          <cell r="C19" t="str">
            <v>Natural Ebi Fry (30 Gr)</v>
          </cell>
          <cell r="K19">
            <v>0</v>
          </cell>
          <cell r="L19">
            <v>0</v>
          </cell>
        </row>
        <row r="20">
          <cell r="C20" t="str">
            <v>Ebi Fry Tokuyu (30 Gr)</v>
          </cell>
          <cell r="K20">
            <v>0</v>
          </cell>
          <cell r="L20">
            <v>0</v>
          </cell>
        </row>
        <row r="21">
          <cell r="C21" t="str">
            <v>Penjualan Ekspor to Eiger BL APLU 073875564 Cont: APRU 5078040 001/IAS</v>
          </cell>
          <cell r="K21">
            <v>0</v>
          </cell>
          <cell r="L21">
            <v>0</v>
          </cell>
        </row>
        <row r="22">
          <cell r="C22" t="str">
            <v>Eiger Co. Ltd</v>
          </cell>
          <cell r="K22">
            <v>842034564</v>
          </cell>
          <cell r="L22">
            <v>0</v>
          </cell>
        </row>
        <row r="23">
          <cell r="C23">
            <v>69492</v>
          </cell>
          <cell r="K23">
            <v>0</v>
          </cell>
          <cell r="L23">
            <v>0</v>
          </cell>
        </row>
        <row r="24">
          <cell r="C24" t="str">
            <v>Penjualan Eksport</v>
          </cell>
          <cell r="K24">
            <v>0</v>
          </cell>
          <cell r="L24">
            <v>842034564</v>
          </cell>
        </row>
        <row r="25">
          <cell r="C25" t="str">
            <v>Syokukai Ebi Fry (45 Gr)</v>
          </cell>
          <cell r="K25">
            <v>0</v>
          </cell>
          <cell r="L25">
            <v>0</v>
          </cell>
        </row>
        <row r="26">
          <cell r="C26" t="str">
            <v>Syokukai Ebi Fry (40 Gr)</v>
          </cell>
          <cell r="K26">
            <v>0</v>
          </cell>
          <cell r="L26">
            <v>0</v>
          </cell>
        </row>
        <row r="27">
          <cell r="C27" t="str">
            <v>Syokukai Ebi Fry (35 Gr)</v>
          </cell>
          <cell r="K27">
            <v>0</v>
          </cell>
          <cell r="L27">
            <v>0</v>
          </cell>
        </row>
        <row r="28">
          <cell r="C28" t="str">
            <v>Syokukai Ebi Fry (30 Gr)</v>
          </cell>
          <cell r="K28">
            <v>0</v>
          </cell>
          <cell r="L28">
            <v>0</v>
          </cell>
        </row>
        <row r="29">
          <cell r="C29" t="str">
            <v>Syokukai Ebi Fry (25 Gr)</v>
          </cell>
          <cell r="K29">
            <v>0</v>
          </cell>
          <cell r="L29">
            <v>0</v>
          </cell>
        </row>
        <row r="30">
          <cell r="C30" t="str">
            <v>Syokukai Ebi Fry (20 Gr)</v>
          </cell>
          <cell r="K30">
            <v>0</v>
          </cell>
          <cell r="L30">
            <v>0</v>
          </cell>
        </row>
        <row r="31">
          <cell r="C31" t="str">
            <v>Syokukai Ebi Fry (12 Gr)</v>
          </cell>
          <cell r="K31">
            <v>0</v>
          </cell>
          <cell r="L31">
            <v>0</v>
          </cell>
        </row>
        <row r="32">
          <cell r="C32" t="str">
            <v>Natural Ebi Fry (30 Gr)</v>
          </cell>
          <cell r="K32">
            <v>0</v>
          </cell>
          <cell r="L32">
            <v>0</v>
          </cell>
        </row>
        <row r="33">
          <cell r="C33" t="str">
            <v>Ebi Fry Tokuyu (30 Gr)</v>
          </cell>
          <cell r="K33">
            <v>0</v>
          </cell>
          <cell r="L33">
            <v>0</v>
          </cell>
        </row>
        <row r="34">
          <cell r="C34" t="str">
            <v>Penjualan ekspor to Eiger BL : APLU 073875601 Cont: APRU 5080108 002/IAS</v>
          </cell>
          <cell r="K34">
            <v>0</v>
          </cell>
          <cell r="L34">
            <v>0</v>
          </cell>
        </row>
        <row r="35">
          <cell r="C35" t="str">
            <v>Eiger Co. Ltd</v>
          </cell>
          <cell r="K35">
            <v>868969374</v>
          </cell>
          <cell r="L35">
            <v>0</v>
          </cell>
        </row>
        <row r="36">
          <cell r="C36">
            <v>71526</v>
          </cell>
          <cell r="K36">
            <v>0</v>
          </cell>
          <cell r="L36">
            <v>0</v>
          </cell>
        </row>
        <row r="37">
          <cell r="C37" t="str">
            <v>Penjualan Eksport</v>
          </cell>
          <cell r="K37">
            <v>0</v>
          </cell>
          <cell r="L37">
            <v>868969374</v>
          </cell>
        </row>
        <row r="38">
          <cell r="C38" t="str">
            <v>Syokukai Ebi Fry (45 Gr)</v>
          </cell>
          <cell r="K38">
            <v>0</v>
          </cell>
          <cell r="L38">
            <v>0</v>
          </cell>
        </row>
        <row r="39">
          <cell r="C39" t="str">
            <v>Syokukai Ebi Fry (40 Gr)</v>
          </cell>
          <cell r="K39">
            <v>0</v>
          </cell>
          <cell r="L39">
            <v>0</v>
          </cell>
        </row>
        <row r="40">
          <cell r="C40" t="str">
            <v>Syokukai Ebi Fry (35 Gr)</v>
          </cell>
          <cell r="K40">
            <v>0</v>
          </cell>
          <cell r="L40">
            <v>0</v>
          </cell>
        </row>
        <row r="41">
          <cell r="C41" t="str">
            <v>Syokukai Ebi Fry (30 Gr)</v>
          </cell>
          <cell r="K41">
            <v>0</v>
          </cell>
          <cell r="L41">
            <v>0</v>
          </cell>
        </row>
        <row r="42">
          <cell r="C42" t="str">
            <v>Syokukai Ebi Fry (25 Gr)</v>
          </cell>
          <cell r="K42">
            <v>0</v>
          </cell>
          <cell r="L42">
            <v>0</v>
          </cell>
        </row>
        <row r="43">
          <cell r="C43" t="str">
            <v>Syokukai Ebi Fry (20 Gr)</v>
          </cell>
          <cell r="K43">
            <v>0</v>
          </cell>
          <cell r="L43">
            <v>0</v>
          </cell>
        </row>
        <row r="44">
          <cell r="C44" t="str">
            <v>Syokukai Ebi Fry (12 Gr)</v>
          </cell>
          <cell r="K44">
            <v>0</v>
          </cell>
          <cell r="L44">
            <v>0</v>
          </cell>
        </row>
        <row r="45">
          <cell r="C45" t="str">
            <v>Natural Ebi Fry (30 Gr)</v>
          </cell>
          <cell r="K45">
            <v>0</v>
          </cell>
          <cell r="L45">
            <v>0</v>
          </cell>
        </row>
        <row r="46">
          <cell r="C46" t="str">
            <v>Ebi Fry Tokuyu (30 Gr)</v>
          </cell>
          <cell r="K46">
            <v>0</v>
          </cell>
          <cell r="L46">
            <v>0</v>
          </cell>
        </row>
        <row r="47">
          <cell r="C47" t="str">
            <v>Penjualan ekspor to Eiger BL : APLU 073875656 Cont : TEMU 9044561 003/IAS</v>
          </cell>
          <cell r="K47">
            <v>0</v>
          </cell>
          <cell r="L47">
            <v>0</v>
          </cell>
        </row>
        <row r="48">
          <cell r="C48" t="str">
            <v>Tomaya Co.Ltd</v>
          </cell>
          <cell r="K48">
            <v>880107900</v>
          </cell>
          <cell r="L48">
            <v>0</v>
          </cell>
        </row>
        <row r="49">
          <cell r="C49">
            <v>72300</v>
          </cell>
          <cell r="K49">
            <v>0</v>
          </cell>
          <cell r="L49">
            <v>0</v>
          </cell>
        </row>
        <row r="50">
          <cell r="C50" t="str">
            <v>Penjualan Eksport</v>
          </cell>
          <cell r="K50">
            <v>0</v>
          </cell>
          <cell r="L50">
            <v>880107900</v>
          </cell>
        </row>
        <row r="51">
          <cell r="C51" t="str">
            <v>Ebi Fry San Sugar (2L)</v>
          </cell>
          <cell r="K51">
            <v>0</v>
          </cell>
          <cell r="L51">
            <v>0</v>
          </cell>
        </row>
        <row r="52">
          <cell r="C52" t="str">
            <v>Ebi Fry San Sugar (L)</v>
          </cell>
          <cell r="K52">
            <v>0</v>
          </cell>
          <cell r="L52">
            <v>0</v>
          </cell>
        </row>
        <row r="53">
          <cell r="C53" t="str">
            <v>Ebi Fry San Sugar (M)</v>
          </cell>
          <cell r="K53">
            <v>0</v>
          </cell>
          <cell r="L53">
            <v>0</v>
          </cell>
        </row>
        <row r="54">
          <cell r="C54" t="str">
            <v>Penjualan ekspor to Tomaya BL : APLU 073875657 Cont : APRU 5095160 004/IAS</v>
          </cell>
          <cell r="K54">
            <v>0</v>
          </cell>
          <cell r="L54">
            <v>0</v>
          </cell>
        </row>
        <row r="55">
          <cell r="C55" t="str">
            <v>Eiger Co. Ltd</v>
          </cell>
          <cell r="K55">
            <v>432078087.60000002</v>
          </cell>
          <cell r="L55">
            <v>0</v>
          </cell>
        </row>
        <row r="56">
          <cell r="C56">
            <v>35222.800000000003</v>
          </cell>
          <cell r="K56">
            <v>0</v>
          </cell>
          <cell r="L56">
            <v>0</v>
          </cell>
        </row>
        <row r="57">
          <cell r="C57" t="str">
            <v>Penjualan Eksport</v>
          </cell>
          <cell r="K57">
            <v>0</v>
          </cell>
          <cell r="L57">
            <v>432078087.60000002</v>
          </cell>
        </row>
        <row r="58">
          <cell r="C58" t="str">
            <v>Syokukai Ebi Fry (45 Gr)</v>
          </cell>
          <cell r="K58">
            <v>0</v>
          </cell>
          <cell r="L58">
            <v>0</v>
          </cell>
        </row>
        <row r="59">
          <cell r="C59" t="str">
            <v>Syokukai Ebi Fry (30 Gr)</v>
          </cell>
          <cell r="K59">
            <v>0</v>
          </cell>
          <cell r="L59">
            <v>0</v>
          </cell>
        </row>
        <row r="60">
          <cell r="C60" t="str">
            <v>Syokukai Ebi Fry (12 Gr)</v>
          </cell>
          <cell r="K60">
            <v>0</v>
          </cell>
          <cell r="L60">
            <v>0</v>
          </cell>
        </row>
        <row r="61">
          <cell r="C61" t="str">
            <v>Penjualan ekspor to Eiger BL : 562587171 Cont : PONU 2929124 005/IAS</v>
          </cell>
          <cell r="K61">
            <v>0</v>
          </cell>
          <cell r="L61">
            <v>0</v>
          </cell>
        </row>
        <row r="62">
          <cell r="C62" t="str">
            <v>Eiger Co. Ltd</v>
          </cell>
          <cell r="K62">
            <v>974328555.60000002</v>
          </cell>
          <cell r="L62">
            <v>0</v>
          </cell>
        </row>
        <row r="63">
          <cell r="C63">
            <v>79426.8</v>
          </cell>
          <cell r="K63">
            <v>0</v>
          </cell>
          <cell r="L63">
            <v>0</v>
          </cell>
        </row>
        <row r="64">
          <cell r="C64" t="str">
            <v>Penjualan Eksport</v>
          </cell>
          <cell r="K64">
            <v>0</v>
          </cell>
          <cell r="L64">
            <v>974328555.60000002</v>
          </cell>
        </row>
        <row r="65">
          <cell r="C65" t="str">
            <v>Ebi Fry Nisshin (3L)</v>
          </cell>
          <cell r="K65">
            <v>0</v>
          </cell>
          <cell r="L65">
            <v>0</v>
          </cell>
        </row>
        <row r="66">
          <cell r="C66" t="str">
            <v>Ebi Fry Nisshin (LL)</v>
          </cell>
          <cell r="K66">
            <v>0</v>
          </cell>
          <cell r="L66">
            <v>0</v>
          </cell>
        </row>
        <row r="67">
          <cell r="C67" t="str">
            <v>Ebi Fry Nisshin (M)</v>
          </cell>
          <cell r="K67">
            <v>0</v>
          </cell>
          <cell r="L67">
            <v>0</v>
          </cell>
        </row>
        <row r="68">
          <cell r="C68" t="str">
            <v>PTO'S (26-30)</v>
          </cell>
          <cell r="K68">
            <v>0</v>
          </cell>
          <cell r="L68">
            <v>0</v>
          </cell>
        </row>
        <row r="69">
          <cell r="C69" t="str">
            <v>PTO'S (31-40)</v>
          </cell>
          <cell r="K69">
            <v>0</v>
          </cell>
          <cell r="L69">
            <v>0</v>
          </cell>
        </row>
        <row r="70">
          <cell r="C70" t="str">
            <v>Penjualan ekspor to Eiger BL : APLU 073875716 Cont : APRU 6123009 006/IAS</v>
          </cell>
          <cell r="K70">
            <v>0</v>
          </cell>
          <cell r="L70">
            <v>0</v>
          </cell>
        </row>
        <row r="71">
          <cell r="C71" t="str">
            <v>Eiger Co. Ltd</v>
          </cell>
          <cell r="K71">
            <v>863889160</v>
          </cell>
          <cell r="L71">
            <v>0</v>
          </cell>
        </row>
        <row r="72">
          <cell r="C72">
            <v>70660</v>
          </cell>
          <cell r="K72">
            <v>0</v>
          </cell>
          <cell r="L72">
            <v>0</v>
          </cell>
        </row>
        <row r="73">
          <cell r="C73" t="str">
            <v>Penjualan Eksport</v>
          </cell>
          <cell r="K73">
            <v>0</v>
          </cell>
          <cell r="L73">
            <v>863889160</v>
          </cell>
        </row>
        <row r="74">
          <cell r="C74" t="str">
            <v>Syokukai Ebi Fry (45 Gr)</v>
          </cell>
          <cell r="K74">
            <v>0</v>
          </cell>
          <cell r="L74">
            <v>0</v>
          </cell>
        </row>
        <row r="75">
          <cell r="C75" t="str">
            <v>Syokukai Ebi Fry (40 Gr)</v>
          </cell>
          <cell r="K75">
            <v>0</v>
          </cell>
          <cell r="L75">
            <v>0</v>
          </cell>
        </row>
        <row r="76">
          <cell r="C76" t="str">
            <v>Syokukai Ebi Fry (35 Gr)</v>
          </cell>
          <cell r="K76">
            <v>0</v>
          </cell>
          <cell r="L76">
            <v>0</v>
          </cell>
        </row>
        <row r="77">
          <cell r="C77" t="str">
            <v>Syokukai Ebi Fry (30 Gr)</v>
          </cell>
          <cell r="K77">
            <v>0</v>
          </cell>
          <cell r="L77">
            <v>0</v>
          </cell>
        </row>
        <row r="78">
          <cell r="C78" t="str">
            <v>Syokukai Ebi Fry (25 Gr)</v>
          </cell>
          <cell r="K78">
            <v>0</v>
          </cell>
          <cell r="L78">
            <v>0</v>
          </cell>
        </row>
        <row r="79">
          <cell r="C79" t="str">
            <v>Syokukai Ebi Fry (20 Gr)</v>
          </cell>
          <cell r="K79">
            <v>0</v>
          </cell>
          <cell r="L79">
            <v>0</v>
          </cell>
        </row>
        <row r="80">
          <cell r="C80" t="str">
            <v>Syokukai Ebi Fry (12 Gr)</v>
          </cell>
          <cell r="K80">
            <v>0</v>
          </cell>
          <cell r="L80">
            <v>0</v>
          </cell>
        </row>
        <row r="81">
          <cell r="C81" t="str">
            <v>Natural Ebi Fry (30 Gr)</v>
          </cell>
          <cell r="K81">
            <v>0</v>
          </cell>
          <cell r="L81">
            <v>0</v>
          </cell>
        </row>
        <row r="82">
          <cell r="C82" t="str">
            <v>Ebi Fry Tokuyu (30 Gr)</v>
          </cell>
          <cell r="K82">
            <v>0</v>
          </cell>
          <cell r="L82">
            <v>0</v>
          </cell>
        </row>
        <row r="83">
          <cell r="C83" t="str">
            <v>Penjualan ekspor to Eiger 007/IAS</v>
          </cell>
          <cell r="K83">
            <v>0</v>
          </cell>
          <cell r="L83">
            <v>0</v>
          </cell>
        </row>
        <row r="84">
          <cell r="C84" t="str">
            <v>Eiger Co. Ltd</v>
          </cell>
          <cell r="K84">
            <v>859154940</v>
          </cell>
          <cell r="L84">
            <v>0</v>
          </cell>
        </row>
        <row r="85">
          <cell r="C85">
            <v>70660</v>
          </cell>
          <cell r="K85">
            <v>0</v>
          </cell>
          <cell r="L85">
            <v>0</v>
          </cell>
        </row>
        <row r="86">
          <cell r="C86" t="str">
            <v>Penjualan Eksport</v>
          </cell>
          <cell r="K86">
            <v>0</v>
          </cell>
          <cell r="L86">
            <v>859154940</v>
          </cell>
        </row>
        <row r="87">
          <cell r="C87" t="str">
            <v>Syokukai Ebi Fry (45 Gr)</v>
          </cell>
          <cell r="K87">
            <v>0</v>
          </cell>
          <cell r="L87">
            <v>0</v>
          </cell>
        </row>
        <row r="88">
          <cell r="C88" t="str">
            <v>Syokukai Ebi Fry (40 Gr)</v>
          </cell>
          <cell r="K88">
            <v>0</v>
          </cell>
          <cell r="L88">
            <v>0</v>
          </cell>
        </row>
        <row r="89">
          <cell r="C89" t="str">
            <v>Syokukai Ebi Fry (35 Gr)</v>
          </cell>
          <cell r="K89">
            <v>0</v>
          </cell>
          <cell r="L89">
            <v>0</v>
          </cell>
        </row>
        <row r="90">
          <cell r="C90" t="str">
            <v>Syokukai Ebi Fry (30 Gr)</v>
          </cell>
          <cell r="K90">
            <v>0</v>
          </cell>
          <cell r="L90">
            <v>0</v>
          </cell>
        </row>
        <row r="91">
          <cell r="C91" t="str">
            <v>Syokukai Ebi Fry (25 Gr)</v>
          </cell>
          <cell r="K91">
            <v>0</v>
          </cell>
          <cell r="L91">
            <v>0</v>
          </cell>
        </row>
        <row r="92">
          <cell r="C92" t="str">
            <v>Syokukai Ebi Fry (20 Gr)</v>
          </cell>
          <cell r="K92">
            <v>0</v>
          </cell>
          <cell r="L92">
            <v>0</v>
          </cell>
        </row>
        <row r="93">
          <cell r="C93" t="str">
            <v>Syokukai Ebi Fry (12 Gr)</v>
          </cell>
          <cell r="K93">
            <v>0</v>
          </cell>
          <cell r="L93">
            <v>0</v>
          </cell>
        </row>
        <row r="94">
          <cell r="C94" t="str">
            <v>Natural Ebi Fry (30 Gr)</v>
          </cell>
          <cell r="K94">
            <v>0</v>
          </cell>
          <cell r="L94">
            <v>0</v>
          </cell>
        </row>
        <row r="95">
          <cell r="C95" t="str">
            <v>Ebi Fry Tokuyu (30 Gr)</v>
          </cell>
          <cell r="K95">
            <v>0</v>
          </cell>
          <cell r="L95">
            <v>0</v>
          </cell>
        </row>
        <row r="96">
          <cell r="C96" t="str">
            <v>Penjualan ekspor to Eiger BL : APLU 073875784 Cont : APRU 6101139 008/IAS</v>
          </cell>
          <cell r="K96">
            <v>0</v>
          </cell>
          <cell r="L96">
            <v>0</v>
          </cell>
        </row>
        <row r="97">
          <cell r="C97" t="str">
            <v>Eiger Co. Ltd</v>
          </cell>
          <cell r="K97">
            <v>853078180</v>
          </cell>
          <cell r="L97">
            <v>0</v>
          </cell>
        </row>
        <row r="98">
          <cell r="C98">
            <v>70660</v>
          </cell>
          <cell r="K98">
            <v>0</v>
          </cell>
          <cell r="L98">
            <v>0</v>
          </cell>
        </row>
        <row r="99">
          <cell r="C99" t="str">
            <v>Penjualan Eksport</v>
          </cell>
          <cell r="K99">
            <v>0</v>
          </cell>
          <cell r="L99">
            <v>853078180</v>
          </cell>
        </row>
        <row r="100">
          <cell r="C100" t="str">
            <v>Syokukai Ebi Fry (45 Gr)</v>
          </cell>
          <cell r="K100">
            <v>0</v>
          </cell>
          <cell r="L100">
            <v>0</v>
          </cell>
        </row>
        <row r="101">
          <cell r="C101" t="str">
            <v>Syokukai Ebi Fry (40 Gr)</v>
          </cell>
          <cell r="K101">
            <v>0</v>
          </cell>
          <cell r="L101">
            <v>0</v>
          </cell>
        </row>
        <row r="102">
          <cell r="C102" t="str">
            <v>Syokukai Ebi Fry (35 Gr)</v>
          </cell>
          <cell r="K102">
            <v>0</v>
          </cell>
          <cell r="L102">
            <v>0</v>
          </cell>
        </row>
        <row r="103">
          <cell r="C103" t="str">
            <v>Syokukai Ebi Fry (30 Gr)</v>
          </cell>
          <cell r="K103">
            <v>0</v>
          </cell>
          <cell r="L103">
            <v>0</v>
          </cell>
        </row>
        <row r="104">
          <cell r="C104" t="str">
            <v>Syokukai Ebi Fry (25 Gr)</v>
          </cell>
          <cell r="K104">
            <v>0</v>
          </cell>
          <cell r="L104">
            <v>0</v>
          </cell>
        </row>
        <row r="105">
          <cell r="C105" t="str">
            <v>Syokukai Ebi Fry (20 Gr)</v>
          </cell>
          <cell r="K105">
            <v>0</v>
          </cell>
          <cell r="L105">
            <v>0</v>
          </cell>
        </row>
        <row r="106">
          <cell r="C106" t="str">
            <v>Syokukai Ebi Fry (12 Gr)</v>
          </cell>
          <cell r="K106">
            <v>0</v>
          </cell>
          <cell r="L106">
            <v>0</v>
          </cell>
        </row>
        <row r="107">
          <cell r="C107" t="str">
            <v>Natural Ebi Fry (30 Gr)</v>
          </cell>
          <cell r="K107">
            <v>0</v>
          </cell>
          <cell r="L107">
            <v>0</v>
          </cell>
        </row>
        <row r="108">
          <cell r="C108" t="str">
            <v>Ebi Fry Tokuyu (30 Gr)</v>
          </cell>
          <cell r="K108">
            <v>0</v>
          </cell>
          <cell r="L108">
            <v>0</v>
          </cell>
        </row>
        <row r="109">
          <cell r="C109" t="str">
            <v>Penjualan ekspor to Eiger BL : APLU 073875866 Cont : APRU 5808868 009/IAS</v>
          </cell>
          <cell r="K109">
            <v>0</v>
          </cell>
          <cell r="L109">
            <v>0</v>
          </cell>
        </row>
        <row r="110">
          <cell r="C110" t="str">
            <v>Eiger Co. Ltd</v>
          </cell>
          <cell r="K110">
            <v>798690000</v>
          </cell>
          <cell r="L110">
            <v>0</v>
          </cell>
        </row>
        <row r="111">
          <cell r="C111">
            <v>67400</v>
          </cell>
          <cell r="K111">
            <v>0</v>
          </cell>
          <cell r="L111">
            <v>0</v>
          </cell>
        </row>
        <row r="112">
          <cell r="C112" t="str">
            <v>Penjualan Eksport</v>
          </cell>
          <cell r="K112">
            <v>0</v>
          </cell>
          <cell r="L112">
            <v>798690000</v>
          </cell>
        </row>
        <row r="113">
          <cell r="C113" t="str">
            <v>Syokukai Ebi Fry (45 Gr)</v>
          </cell>
          <cell r="K113">
            <v>0</v>
          </cell>
          <cell r="L113">
            <v>0</v>
          </cell>
        </row>
        <row r="114">
          <cell r="C114" t="str">
            <v>Syokukai Ebi Fry (40 Gr)</v>
          </cell>
          <cell r="K114">
            <v>0</v>
          </cell>
          <cell r="L114">
            <v>0</v>
          </cell>
        </row>
        <row r="115">
          <cell r="C115" t="str">
            <v>Syokukai Ebi Fry (35 Gr)</v>
          </cell>
          <cell r="K115">
            <v>0</v>
          </cell>
          <cell r="L115">
            <v>0</v>
          </cell>
        </row>
        <row r="116">
          <cell r="C116" t="str">
            <v>Syokukai Ebi Fry (30 Gr)</v>
          </cell>
          <cell r="K116">
            <v>0</v>
          </cell>
          <cell r="L116">
            <v>0</v>
          </cell>
        </row>
        <row r="117">
          <cell r="C117" t="str">
            <v>Syokukai Ebi Fry (25 Gr)</v>
          </cell>
          <cell r="K117">
            <v>0</v>
          </cell>
          <cell r="L117">
            <v>0</v>
          </cell>
        </row>
        <row r="118">
          <cell r="C118" t="str">
            <v>Syokukai Ebi Fry (20 Gr)</v>
          </cell>
          <cell r="K118">
            <v>0</v>
          </cell>
          <cell r="L118">
            <v>0</v>
          </cell>
        </row>
        <row r="119">
          <cell r="C119" t="str">
            <v>Syokukai Ebi Fry (12 Gr)</v>
          </cell>
          <cell r="K119">
            <v>0</v>
          </cell>
          <cell r="L119">
            <v>0</v>
          </cell>
        </row>
        <row r="120">
          <cell r="C120" t="str">
            <v>Natural Ebi Fry (30 Gr)</v>
          </cell>
          <cell r="K120">
            <v>0</v>
          </cell>
          <cell r="L120">
            <v>0</v>
          </cell>
        </row>
        <row r="121">
          <cell r="C121" t="str">
            <v>Ebi Fry Tokuyu (30 Gr)</v>
          </cell>
          <cell r="K121">
            <v>0</v>
          </cell>
          <cell r="L121">
            <v>0</v>
          </cell>
        </row>
        <row r="122">
          <cell r="C122" t="str">
            <v>Penjualan ekspor to Eiger BL : APLU 073875925 Cont : APRU 5789006 010/IAS</v>
          </cell>
          <cell r="K122">
            <v>0</v>
          </cell>
          <cell r="L122">
            <v>0</v>
          </cell>
        </row>
        <row r="123">
          <cell r="C123" t="str">
            <v>Eiger Co. Ltd</v>
          </cell>
          <cell r="K123">
            <v>756141864.79999995</v>
          </cell>
          <cell r="L123">
            <v>0</v>
          </cell>
        </row>
        <row r="124">
          <cell r="C124">
            <v>64799.199999999997</v>
          </cell>
          <cell r="K124">
            <v>0</v>
          </cell>
          <cell r="L124">
            <v>0</v>
          </cell>
        </row>
        <row r="125">
          <cell r="C125" t="str">
            <v>Penjualan Eksport</v>
          </cell>
          <cell r="K125">
            <v>0</v>
          </cell>
          <cell r="L125">
            <v>756141864.79999995</v>
          </cell>
        </row>
        <row r="126">
          <cell r="C126" t="str">
            <v>Syokukai Ebi Fry (45 Gr)</v>
          </cell>
          <cell r="K126">
            <v>0</v>
          </cell>
          <cell r="L126">
            <v>0</v>
          </cell>
        </row>
        <row r="127">
          <cell r="C127" t="str">
            <v>Syokukai Ebi Fry (40 Gr)</v>
          </cell>
          <cell r="K127">
            <v>0</v>
          </cell>
          <cell r="L127">
            <v>0</v>
          </cell>
        </row>
        <row r="128">
          <cell r="C128" t="str">
            <v>Syokukai Ebi Fry (35 Gr)</v>
          </cell>
          <cell r="K128">
            <v>0</v>
          </cell>
          <cell r="L128">
            <v>0</v>
          </cell>
        </row>
        <row r="129">
          <cell r="C129" t="str">
            <v>Syokukai Ebi Fry (30 Gr)</v>
          </cell>
          <cell r="K129">
            <v>0</v>
          </cell>
          <cell r="L129">
            <v>0</v>
          </cell>
        </row>
        <row r="130">
          <cell r="C130" t="str">
            <v>Syokukai Ebi Fry (25 Gr)</v>
          </cell>
          <cell r="K130">
            <v>0</v>
          </cell>
          <cell r="L130">
            <v>0</v>
          </cell>
        </row>
        <row r="131">
          <cell r="C131" t="str">
            <v>Syokukai Ebi Fry (20 Gr)</v>
          </cell>
          <cell r="K131">
            <v>0</v>
          </cell>
          <cell r="L131">
            <v>0</v>
          </cell>
        </row>
        <row r="132">
          <cell r="C132" t="str">
            <v>Syokukai Ebi Fry (12 Gr)</v>
          </cell>
          <cell r="K132">
            <v>0</v>
          </cell>
          <cell r="L132">
            <v>0</v>
          </cell>
        </row>
        <row r="133">
          <cell r="C133" t="str">
            <v>Natural Ebi Fry (30 Gr)</v>
          </cell>
          <cell r="K133">
            <v>0</v>
          </cell>
          <cell r="L133">
            <v>0</v>
          </cell>
        </row>
        <row r="134">
          <cell r="C134" t="str">
            <v>Ebi Fry Tokuyu (30 Gr)</v>
          </cell>
          <cell r="K134">
            <v>0</v>
          </cell>
          <cell r="L134">
            <v>0</v>
          </cell>
        </row>
        <row r="135">
          <cell r="C135" t="str">
            <v>Penjualan ekspor to Eiger BL : APLU 073875989 Cont : TGHU 9946660 011/IAS</v>
          </cell>
          <cell r="K135">
            <v>0</v>
          </cell>
          <cell r="L135">
            <v>0</v>
          </cell>
        </row>
        <row r="136">
          <cell r="C136" t="str">
            <v>Tomaya Co.Ltd</v>
          </cell>
          <cell r="K136">
            <v>846752760</v>
          </cell>
          <cell r="L136">
            <v>0</v>
          </cell>
        </row>
        <row r="137">
          <cell r="C137">
            <v>73122</v>
          </cell>
          <cell r="K137">
            <v>0</v>
          </cell>
          <cell r="L137">
            <v>0</v>
          </cell>
        </row>
        <row r="138">
          <cell r="C138" t="str">
            <v>Penjualan Eksport</v>
          </cell>
          <cell r="K138">
            <v>0</v>
          </cell>
          <cell r="L138">
            <v>846752760</v>
          </cell>
        </row>
        <row r="139">
          <cell r="C139" t="str">
            <v>Ebi Fry San Sugar (2L)</v>
          </cell>
          <cell r="K139">
            <v>0</v>
          </cell>
          <cell r="L139">
            <v>0</v>
          </cell>
        </row>
        <row r="140">
          <cell r="C140" t="str">
            <v>Ebi Fry San Sugar (L)</v>
          </cell>
          <cell r="K140">
            <v>0</v>
          </cell>
          <cell r="L140">
            <v>0</v>
          </cell>
        </row>
        <row r="141">
          <cell r="C141" t="str">
            <v>Ebi Fry San Sugar (M)</v>
          </cell>
          <cell r="K141">
            <v>0</v>
          </cell>
          <cell r="L141">
            <v>0</v>
          </cell>
        </row>
        <row r="142">
          <cell r="C142" t="str">
            <v>Penjualan Ekspor to Tomaya No. Inv. 012/IAS BL : APLU 073876040 Cont : APRU 6100976</v>
          </cell>
          <cell r="K142">
            <v>0</v>
          </cell>
          <cell r="L142">
            <v>0</v>
          </cell>
        </row>
        <row r="143">
          <cell r="C143" t="str">
            <v>Eiger Co. Ltd</v>
          </cell>
          <cell r="K143">
            <v>846196640</v>
          </cell>
          <cell r="L143">
            <v>0</v>
          </cell>
        </row>
        <row r="144">
          <cell r="C144">
            <v>74020</v>
          </cell>
          <cell r="K144">
            <v>0</v>
          </cell>
          <cell r="L144">
            <v>0</v>
          </cell>
        </row>
        <row r="145">
          <cell r="C145" t="str">
            <v>Penjualan Eksport</v>
          </cell>
          <cell r="K145">
            <v>0</v>
          </cell>
          <cell r="L145">
            <v>846196640</v>
          </cell>
        </row>
        <row r="146">
          <cell r="C146" t="str">
            <v>Ebi Fry Nisshin (3L)</v>
          </cell>
          <cell r="K146">
            <v>0</v>
          </cell>
          <cell r="L146">
            <v>0</v>
          </cell>
        </row>
        <row r="147">
          <cell r="C147" t="str">
            <v>Ebi Fry Nisshin (LL)</v>
          </cell>
          <cell r="K147">
            <v>0</v>
          </cell>
          <cell r="L147">
            <v>0</v>
          </cell>
        </row>
        <row r="148">
          <cell r="C148" t="str">
            <v>Ebi Fry Nisshin (M)</v>
          </cell>
          <cell r="K148">
            <v>0</v>
          </cell>
          <cell r="L148">
            <v>0</v>
          </cell>
        </row>
        <row r="149">
          <cell r="C149" t="str">
            <v>PTO'S (31-40)</v>
          </cell>
          <cell r="K149">
            <v>0</v>
          </cell>
          <cell r="L149">
            <v>0</v>
          </cell>
        </row>
        <row r="150">
          <cell r="C150" t="str">
            <v>Penjualan Ekspor to Eiger No. Inv. 013/IAS BL : APLU 073876089 Cont : APRU 6100976</v>
          </cell>
          <cell r="K150">
            <v>0</v>
          </cell>
          <cell r="L150">
            <v>0</v>
          </cell>
        </row>
        <row r="151">
          <cell r="C151" t="str">
            <v>Eiger Co. Ltd</v>
          </cell>
          <cell r="K151">
            <v>805576104</v>
          </cell>
          <cell r="L151">
            <v>0</v>
          </cell>
        </row>
        <row r="152">
          <cell r="C152">
            <v>71208</v>
          </cell>
          <cell r="K152">
            <v>0</v>
          </cell>
          <cell r="L152">
            <v>0</v>
          </cell>
        </row>
        <row r="153">
          <cell r="C153" t="str">
            <v>Penjualan Eksport</v>
          </cell>
          <cell r="K153">
            <v>0</v>
          </cell>
          <cell r="L153">
            <v>805576104</v>
          </cell>
        </row>
        <row r="154">
          <cell r="C154" t="str">
            <v>Syokukai Ebi Fry (45 Gr)</v>
          </cell>
          <cell r="K154">
            <v>0</v>
          </cell>
          <cell r="L154">
            <v>0</v>
          </cell>
        </row>
        <row r="155">
          <cell r="C155" t="str">
            <v>Syokukai Ebi Fry (25 Gr)</v>
          </cell>
          <cell r="K155">
            <v>0</v>
          </cell>
          <cell r="L155">
            <v>0</v>
          </cell>
        </row>
        <row r="156">
          <cell r="C156" t="str">
            <v>Syokukai Ebi Fry (20 Gr)</v>
          </cell>
          <cell r="K156">
            <v>0</v>
          </cell>
          <cell r="L156">
            <v>0</v>
          </cell>
        </row>
        <row r="157">
          <cell r="C157" t="str">
            <v>Syokukai Ebi Fry (12 Gr)</v>
          </cell>
          <cell r="K157">
            <v>0</v>
          </cell>
          <cell r="L157">
            <v>0</v>
          </cell>
        </row>
        <row r="158">
          <cell r="C158" t="str">
            <v>Ebi Fry Tokuyu (30 Gr)</v>
          </cell>
          <cell r="K158">
            <v>0</v>
          </cell>
          <cell r="L158">
            <v>0</v>
          </cell>
        </row>
        <row r="159">
          <cell r="C159" t="str">
            <v>Penjualan Ekspor to Eiger No. Inv. 014/IAS BL : APLU 073876128 Cont : APRU 6107029</v>
          </cell>
          <cell r="K159">
            <v>0</v>
          </cell>
          <cell r="L159">
            <v>0</v>
          </cell>
        </row>
        <row r="160">
          <cell r="C160" t="str">
            <v>Alpha Trading Co. Ltd</v>
          </cell>
          <cell r="K160">
            <v>985080800</v>
          </cell>
          <cell r="L160">
            <v>0</v>
          </cell>
        </row>
        <row r="161">
          <cell r="C161">
            <v>86350</v>
          </cell>
          <cell r="K161">
            <v>0</v>
          </cell>
          <cell r="L161">
            <v>0</v>
          </cell>
        </row>
        <row r="162">
          <cell r="C162" t="str">
            <v>Penjualan Eksport</v>
          </cell>
          <cell r="K162">
            <v>0</v>
          </cell>
          <cell r="L162">
            <v>985080800</v>
          </cell>
        </row>
        <row r="163">
          <cell r="C163" t="str">
            <v>Alpha Ebi Katsu (50 Gr)</v>
          </cell>
          <cell r="K163">
            <v>0</v>
          </cell>
          <cell r="L163">
            <v>0</v>
          </cell>
        </row>
        <row r="164">
          <cell r="C164" t="str">
            <v>Alpha Ebi Fry (40 Gr)</v>
          </cell>
          <cell r="K164">
            <v>0</v>
          </cell>
          <cell r="L164">
            <v>0</v>
          </cell>
        </row>
        <row r="165">
          <cell r="C165" t="str">
            <v>Alpha Ebi Fry (30 Gr)</v>
          </cell>
          <cell r="K165">
            <v>0</v>
          </cell>
          <cell r="L165">
            <v>0</v>
          </cell>
        </row>
        <row r="166">
          <cell r="C166" t="str">
            <v>Alpha Ebi Fry (25 Gr)</v>
          </cell>
          <cell r="K166">
            <v>0</v>
          </cell>
          <cell r="L166">
            <v>0</v>
          </cell>
        </row>
        <row r="167">
          <cell r="C167" t="str">
            <v>Alpha Ebi Fry (20 Gr)</v>
          </cell>
          <cell r="K167">
            <v>0</v>
          </cell>
          <cell r="L167">
            <v>0</v>
          </cell>
        </row>
        <row r="168">
          <cell r="C168" t="str">
            <v>Obento (25 Gr)</v>
          </cell>
          <cell r="K168">
            <v>0</v>
          </cell>
          <cell r="L168">
            <v>0</v>
          </cell>
        </row>
        <row r="169">
          <cell r="C169" t="str">
            <v>Penjualan Ekspor to Alpha Trading No. Inv. 015/IAS BL : APLU 073876183 Cont : TRIU 6107306</v>
          </cell>
          <cell r="K169">
            <v>0</v>
          </cell>
          <cell r="L169">
            <v>0</v>
          </cell>
        </row>
        <row r="170">
          <cell r="C170" t="str">
            <v>Tomaya Co.Ltd</v>
          </cell>
          <cell r="K170">
            <v>828462960</v>
          </cell>
          <cell r="L170">
            <v>0</v>
          </cell>
        </row>
        <row r="171">
          <cell r="C171">
            <v>71370</v>
          </cell>
          <cell r="K171">
            <v>0</v>
          </cell>
          <cell r="L171">
            <v>0</v>
          </cell>
        </row>
        <row r="172">
          <cell r="C172" t="str">
            <v>Penjualan Eksport</v>
          </cell>
          <cell r="K172">
            <v>0</v>
          </cell>
          <cell r="L172">
            <v>828462960</v>
          </cell>
        </row>
        <row r="173">
          <cell r="C173" t="str">
            <v>Ebi Fry San Sugar (L)</v>
          </cell>
          <cell r="K173">
            <v>0</v>
          </cell>
          <cell r="L173">
            <v>0</v>
          </cell>
        </row>
        <row r="174">
          <cell r="C174" t="str">
            <v>Ebi Fry San Sugar (M)</v>
          </cell>
          <cell r="K174">
            <v>0</v>
          </cell>
          <cell r="L174">
            <v>0</v>
          </cell>
        </row>
        <row r="175">
          <cell r="C175" t="str">
            <v>Penjualan Ekspor to Tomaya No. Inv. 017/IAS BL :APLU 073876362 Cont : TRIU 8131695</v>
          </cell>
          <cell r="K175">
            <v>0</v>
          </cell>
          <cell r="L175">
            <v>0</v>
          </cell>
        </row>
        <row r="176">
          <cell r="C176" t="str">
            <v>Eiger Co. Ltd</v>
          </cell>
          <cell r="K176">
            <v>690146880</v>
          </cell>
          <cell r="L176">
            <v>0</v>
          </cell>
        </row>
        <row r="177">
          <cell r="C177">
            <v>59660</v>
          </cell>
          <cell r="K177">
            <v>0</v>
          </cell>
          <cell r="L177">
            <v>0</v>
          </cell>
        </row>
        <row r="178">
          <cell r="C178" t="str">
            <v>Penjualan Eksport</v>
          </cell>
          <cell r="K178">
            <v>0</v>
          </cell>
          <cell r="L178">
            <v>690146880</v>
          </cell>
        </row>
        <row r="179">
          <cell r="C179" t="str">
            <v>Syokukai Ebi Fry (45 Gr)</v>
          </cell>
          <cell r="K179">
            <v>0</v>
          </cell>
          <cell r="L179">
            <v>0</v>
          </cell>
        </row>
        <row r="180">
          <cell r="C180" t="str">
            <v>Syokukai Ebi Fry (40 Gr)</v>
          </cell>
          <cell r="K180">
            <v>0</v>
          </cell>
          <cell r="L180">
            <v>0</v>
          </cell>
        </row>
        <row r="181">
          <cell r="C181" t="str">
            <v>Syokukai Ebi Fry (35 Gr)</v>
          </cell>
          <cell r="K181">
            <v>0</v>
          </cell>
          <cell r="L181">
            <v>0</v>
          </cell>
        </row>
        <row r="182">
          <cell r="C182" t="str">
            <v>Syokukai Ebi Fry (30 Gr)</v>
          </cell>
          <cell r="K182">
            <v>0</v>
          </cell>
          <cell r="L182">
            <v>0</v>
          </cell>
        </row>
        <row r="183">
          <cell r="C183" t="str">
            <v>Syokukai Ebi Fry (25 Gr)</v>
          </cell>
          <cell r="K183">
            <v>0</v>
          </cell>
          <cell r="L183">
            <v>0</v>
          </cell>
        </row>
        <row r="184">
          <cell r="C184" t="str">
            <v>Syokukai Ebi Fry (20 Gr)</v>
          </cell>
          <cell r="K184">
            <v>0</v>
          </cell>
          <cell r="L184">
            <v>0</v>
          </cell>
        </row>
        <row r="185">
          <cell r="C185" t="str">
            <v>Syokukai Ebi Fry (12 Gr)</v>
          </cell>
          <cell r="K185">
            <v>0</v>
          </cell>
          <cell r="L185">
            <v>0</v>
          </cell>
        </row>
        <row r="186">
          <cell r="C186" t="str">
            <v>Natural Ebi Fry (30 Gr)</v>
          </cell>
          <cell r="K186">
            <v>0</v>
          </cell>
          <cell r="L186">
            <v>0</v>
          </cell>
        </row>
        <row r="187">
          <cell r="C187" t="str">
            <v>Ebi Fry Tokuyu (30 Gr)</v>
          </cell>
          <cell r="K187">
            <v>0</v>
          </cell>
          <cell r="L187">
            <v>0</v>
          </cell>
        </row>
        <row r="188">
          <cell r="C188" t="str">
            <v>Penjualan Ekspor to Eiger No. Inv. 018/IAS BL : 563491032 Cont : MNBU 3185621</v>
          </cell>
          <cell r="K188">
            <v>0</v>
          </cell>
          <cell r="L188">
            <v>0</v>
          </cell>
        </row>
        <row r="189">
          <cell r="C189" t="str">
            <v>Alpha Trading Co. Ltd</v>
          </cell>
          <cell r="K189">
            <v>962633700</v>
          </cell>
          <cell r="L189">
            <v>0</v>
          </cell>
        </row>
        <row r="190">
          <cell r="C190">
            <v>83475</v>
          </cell>
          <cell r="K190">
            <v>0</v>
          </cell>
          <cell r="L190">
            <v>0</v>
          </cell>
        </row>
        <row r="191">
          <cell r="C191" t="str">
            <v>Penjualan Eksport</v>
          </cell>
          <cell r="K191">
            <v>0</v>
          </cell>
          <cell r="L191">
            <v>962633700</v>
          </cell>
        </row>
        <row r="192">
          <cell r="C192" t="str">
            <v>Alpha Ebi Fry (50 Gr)</v>
          </cell>
          <cell r="K192">
            <v>0</v>
          </cell>
          <cell r="L192">
            <v>0</v>
          </cell>
        </row>
        <row r="193">
          <cell r="C193" t="str">
            <v>Alpha Ebi Fry (40 Gr)</v>
          </cell>
          <cell r="K193">
            <v>0</v>
          </cell>
          <cell r="L193">
            <v>0</v>
          </cell>
        </row>
        <row r="194">
          <cell r="C194" t="str">
            <v>Alpha Ebi Fry (30 Gr)</v>
          </cell>
          <cell r="K194">
            <v>0</v>
          </cell>
          <cell r="L194">
            <v>0</v>
          </cell>
        </row>
        <row r="195">
          <cell r="C195" t="str">
            <v>Alpha Ebi Fry (25 Gr)</v>
          </cell>
          <cell r="K195">
            <v>0</v>
          </cell>
          <cell r="L195">
            <v>0</v>
          </cell>
        </row>
        <row r="196">
          <cell r="C196" t="str">
            <v>Alpha Ebi Fry (20 Gr)</v>
          </cell>
          <cell r="K196">
            <v>0</v>
          </cell>
          <cell r="L196">
            <v>0</v>
          </cell>
        </row>
        <row r="197">
          <cell r="C197" t="str">
            <v>Obento (25 Gr)</v>
          </cell>
          <cell r="K197">
            <v>0</v>
          </cell>
          <cell r="L197">
            <v>0</v>
          </cell>
        </row>
        <row r="198">
          <cell r="C198" t="str">
            <v>Penjualan Ekspor to Alpha Trading No. Inv. 016/IAS BL : APLU 073876422 Cont : APRU 5803233</v>
          </cell>
          <cell r="K198">
            <v>0</v>
          </cell>
          <cell r="L198">
            <v>0</v>
          </cell>
        </row>
        <row r="199">
          <cell r="C199" t="str">
            <v>Eiger Co. Ltd</v>
          </cell>
          <cell r="K199">
            <v>862992000</v>
          </cell>
          <cell r="L199">
            <v>0</v>
          </cell>
        </row>
        <row r="200">
          <cell r="C200">
            <v>74880</v>
          </cell>
          <cell r="K200">
            <v>0</v>
          </cell>
          <cell r="L200">
            <v>0</v>
          </cell>
        </row>
        <row r="201">
          <cell r="C201" t="str">
            <v>Penjualan Eksport</v>
          </cell>
          <cell r="K201">
            <v>0</v>
          </cell>
          <cell r="L201">
            <v>862992000</v>
          </cell>
        </row>
        <row r="202">
          <cell r="C202" t="str">
            <v>Ebi Fry Nisshin (3L)</v>
          </cell>
          <cell r="K202">
            <v>0</v>
          </cell>
          <cell r="L202">
            <v>0</v>
          </cell>
        </row>
        <row r="203">
          <cell r="C203" t="str">
            <v>Ebi Fry Nisshin (LL)</v>
          </cell>
          <cell r="K203">
            <v>0</v>
          </cell>
          <cell r="L203">
            <v>0</v>
          </cell>
        </row>
        <row r="204">
          <cell r="C204" t="str">
            <v>Ebi Fry Nisshin (M)</v>
          </cell>
          <cell r="K204">
            <v>0</v>
          </cell>
          <cell r="L204">
            <v>0</v>
          </cell>
        </row>
        <row r="205">
          <cell r="C205" t="str">
            <v>PTO'S (31-40)</v>
          </cell>
          <cell r="K205">
            <v>0</v>
          </cell>
          <cell r="L205">
            <v>0</v>
          </cell>
        </row>
        <row r="206">
          <cell r="C206" t="str">
            <v>Penjualan Ekspor to Eiger No. Inv. 019/IAS BL : 563550472 Cont : MSWU 0114885</v>
          </cell>
          <cell r="K206">
            <v>0</v>
          </cell>
          <cell r="L206">
            <v>0</v>
          </cell>
        </row>
        <row r="207">
          <cell r="C207" t="str">
            <v>Eiger Co. Ltd</v>
          </cell>
          <cell r="K207">
            <v>687745069.20000005</v>
          </cell>
          <cell r="L207">
            <v>0</v>
          </cell>
        </row>
        <row r="208">
          <cell r="C208">
            <v>59871.6</v>
          </cell>
          <cell r="K208">
            <v>0</v>
          </cell>
          <cell r="L208">
            <v>0</v>
          </cell>
        </row>
        <row r="209">
          <cell r="C209" t="str">
            <v>Penjualan Eksport</v>
          </cell>
          <cell r="K209">
            <v>0</v>
          </cell>
          <cell r="L209">
            <v>687745069.20000005</v>
          </cell>
        </row>
        <row r="210">
          <cell r="C210" t="str">
            <v>Syokukai Ebi Fry (45 Gr)</v>
          </cell>
          <cell r="K210">
            <v>0</v>
          </cell>
          <cell r="L210">
            <v>0</v>
          </cell>
        </row>
        <row r="211">
          <cell r="C211" t="str">
            <v>Syokukai Ebi Fry (40 Gr)</v>
          </cell>
          <cell r="K211">
            <v>0</v>
          </cell>
          <cell r="L211">
            <v>0</v>
          </cell>
        </row>
        <row r="212">
          <cell r="C212" t="str">
            <v>Syokukai Ebi Fry (35 Gr)</v>
          </cell>
          <cell r="K212">
            <v>0</v>
          </cell>
          <cell r="L212">
            <v>0</v>
          </cell>
        </row>
        <row r="213">
          <cell r="C213" t="str">
            <v>Syokukai Ebi Fry (30 Gr)</v>
          </cell>
          <cell r="K213">
            <v>0</v>
          </cell>
          <cell r="L213">
            <v>0</v>
          </cell>
        </row>
        <row r="214">
          <cell r="C214" t="str">
            <v>Syokukai Ebi Fry (25 Gr)</v>
          </cell>
          <cell r="K214">
            <v>0</v>
          </cell>
          <cell r="L214">
            <v>0</v>
          </cell>
        </row>
        <row r="215">
          <cell r="C215" t="str">
            <v>Syokukai Ebi Fry (20 Gr)</v>
          </cell>
          <cell r="K215">
            <v>0</v>
          </cell>
          <cell r="L215">
            <v>0</v>
          </cell>
        </row>
        <row r="216">
          <cell r="C216" t="str">
            <v>Syokukai Ebi Fry (12 Gr)</v>
          </cell>
          <cell r="K216">
            <v>0</v>
          </cell>
          <cell r="L216">
            <v>0</v>
          </cell>
        </row>
        <row r="217">
          <cell r="C217" t="str">
            <v>Ebi Fry Tokuyu (30 Gr)</v>
          </cell>
          <cell r="K217">
            <v>0</v>
          </cell>
          <cell r="L217">
            <v>0</v>
          </cell>
        </row>
        <row r="218">
          <cell r="C218" t="str">
            <v>Natural Ebi Fry (30 Gr)</v>
          </cell>
          <cell r="K218">
            <v>0</v>
          </cell>
          <cell r="L218">
            <v>0</v>
          </cell>
        </row>
        <row r="219">
          <cell r="C219" t="str">
            <v>Penjualan Ekspor to Eiger No. Inv. 020/IAS BL : APLU 073876506 Cont : TRIU 8503133</v>
          </cell>
          <cell r="K219">
            <v>0</v>
          </cell>
          <cell r="L219">
            <v>0</v>
          </cell>
        </row>
        <row r="220">
          <cell r="C220" t="str">
            <v>Tomaya Co.Ltd</v>
          </cell>
          <cell r="K220">
            <v>718957360</v>
          </cell>
          <cell r="L220">
            <v>0</v>
          </cell>
        </row>
        <row r="221">
          <cell r="C221">
            <v>62480</v>
          </cell>
          <cell r="K221">
            <v>0</v>
          </cell>
          <cell r="L221">
            <v>0</v>
          </cell>
        </row>
        <row r="222">
          <cell r="C222" t="str">
            <v>Penjualan Eksport</v>
          </cell>
          <cell r="K222">
            <v>0</v>
          </cell>
          <cell r="L222">
            <v>718957360</v>
          </cell>
        </row>
        <row r="223">
          <cell r="C223" t="str">
            <v>Marushin Tomaya (3L)</v>
          </cell>
          <cell r="K223">
            <v>0</v>
          </cell>
          <cell r="L223">
            <v>0</v>
          </cell>
        </row>
        <row r="224">
          <cell r="C224" t="str">
            <v>Marushin Tomaya (2L)</v>
          </cell>
          <cell r="K224">
            <v>0</v>
          </cell>
          <cell r="L224">
            <v>0</v>
          </cell>
        </row>
        <row r="225">
          <cell r="C225" t="str">
            <v>Marushin Tomaya (L)</v>
          </cell>
          <cell r="K225">
            <v>0</v>
          </cell>
          <cell r="L225">
            <v>0</v>
          </cell>
        </row>
        <row r="226">
          <cell r="C226" t="str">
            <v>Marushin Tomaya (M)</v>
          </cell>
          <cell r="K226">
            <v>0</v>
          </cell>
          <cell r="L226">
            <v>0</v>
          </cell>
        </row>
        <row r="227">
          <cell r="C227" t="str">
            <v>Marushin Tomaya (S)</v>
          </cell>
          <cell r="K227">
            <v>0</v>
          </cell>
          <cell r="L227">
            <v>0</v>
          </cell>
        </row>
        <row r="228">
          <cell r="C228" t="str">
            <v>Marutoku Take (30 Gr)</v>
          </cell>
          <cell r="K228">
            <v>0</v>
          </cell>
          <cell r="L228">
            <v>0</v>
          </cell>
        </row>
        <row r="229">
          <cell r="C229" t="str">
            <v>Marutoku Ume (24 Gr)</v>
          </cell>
          <cell r="K229">
            <v>0</v>
          </cell>
          <cell r="L229">
            <v>0</v>
          </cell>
        </row>
        <row r="230">
          <cell r="C230" t="str">
            <v>Penjualan Ekspor to Tomaya No. Inv. 021/IAS BL : APLU 073876530 Cont : TRIU 8662860</v>
          </cell>
          <cell r="K230">
            <v>0</v>
          </cell>
          <cell r="L230">
            <v>0</v>
          </cell>
        </row>
        <row r="231">
          <cell r="C231" t="str">
            <v>Eiger Co. Ltd</v>
          </cell>
          <cell r="K231">
            <v>644056980</v>
          </cell>
          <cell r="L231">
            <v>0</v>
          </cell>
        </row>
        <row r="232">
          <cell r="C232">
            <v>55460</v>
          </cell>
          <cell r="K232">
            <v>0</v>
          </cell>
          <cell r="L232">
            <v>0</v>
          </cell>
        </row>
        <row r="233">
          <cell r="C233" t="str">
            <v>Penjualan Eksport</v>
          </cell>
          <cell r="K233">
            <v>0</v>
          </cell>
          <cell r="L233">
            <v>644056980</v>
          </cell>
        </row>
        <row r="234">
          <cell r="C234" t="str">
            <v>Syokukai Ebi Fry (40 Gr)</v>
          </cell>
          <cell r="K234">
            <v>0</v>
          </cell>
          <cell r="L234">
            <v>0</v>
          </cell>
        </row>
        <row r="235">
          <cell r="C235" t="str">
            <v>Syokukai Ebi Fry (35 Gr)</v>
          </cell>
          <cell r="K235">
            <v>0</v>
          </cell>
          <cell r="L235">
            <v>0</v>
          </cell>
        </row>
        <row r="236">
          <cell r="C236" t="str">
            <v>Syokukai Ebi Fry (25 Gr)</v>
          </cell>
          <cell r="K236">
            <v>0</v>
          </cell>
          <cell r="L236">
            <v>0</v>
          </cell>
        </row>
        <row r="237">
          <cell r="C237" t="str">
            <v>Syokukai Ebi Fry (20 Gr)</v>
          </cell>
          <cell r="K237">
            <v>0</v>
          </cell>
          <cell r="L237">
            <v>0</v>
          </cell>
        </row>
        <row r="238">
          <cell r="C238" t="str">
            <v>Syokukai Ebi Fry (12 Gr)</v>
          </cell>
          <cell r="K238">
            <v>0</v>
          </cell>
          <cell r="L238">
            <v>0</v>
          </cell>
        </row>
        <row r="239">
          <cell r="C239" t="str">
            <v>Ebi Fry Tokuyu (30 Gr)</v>
          </cell>
          <cell r="K239">
            <v>0</v>
          </cell>
          <cell r="L239">
            <v>0</v>
          </cell>
        </row>
        <row r="240">
          <cell r="C240" t="str">
            <v>Syokukai Breaded HO (38 Gr)</v>
          </cell>
          <cell r="K240">
            <v>0</v>
          </cell>
          <cell r="L240">
            <v>0</v>
          </cell>
        </row>
        <row r="241">
          <cell r="C241" t="str">
            <v>Penjualan Ekspor to Eiger No. Inv. 022/IAS BL : APLU 073876578 Cont : APRU 5087083</v>
          </cell>
          <cell r="K241">
            <v>0</v>
          </cell>
          <cell r="L241">
            <v>0</v>
          </cell>
        </row>
        <row r="242">
          <cell r="C242" t="str">
            <v>Eiger Co. Ltd</v>
          </cell>
          <cell r="K242">
            <v>663013400</v>
          </cell>
          <cell r="L242">
            <v>0</v>
          </cell>
        </row>
        <row r="243">
          <cell r="C243">
            <v>56140</v>
          </cell>
          <cell r="K243">
            <v>0</v>
          </cell>
          <cell r="L243">
            <v>0</v>
          </cell>
        </row>
        <row r="244">
          <cell r="C244" t="str">
            <v>Penjualan Eksport</v>
          </cell>
          <cell r="K244">
            <v>0</v>
          </cell>
          <cell r="L244">
            <v>663013400</v>
          </cell>
        </row>
        <row r="245">
          <cell r="C245" t="str">
            <v>Syokukai Ebi Fry (40 Gr)</v>
          </cell>
          <cell r="K245">
            <v>0</v>
          </cell>
          <cell r="L245">
            <v>0</v>
          </cell>
        </row>
        <row r="246">
          <cell r="C246" t="str">
            <v>Syokukai Ebi Fry (35 Gr)</v>
          </cell>
          <cell r="K246">
            <v>0</v>
          </cell>
          <cell r="L246">
            <v>0</v>
          </cell>
        </row>
        <row r="247">
          <cell r="C247" t="str">
            <v>Syokukai Ebi Fry (25 Gr)</v>
          </cell>
          <cell r="K247">
            <v>0</v>
          </cell>
          <cell r="L247">
            <v>0</v>
          </cell>
        </row>
        <row r="248">
          <cell r="C248" t="str">
            <v>Syokukai Ebi Fry (20 Gr)</v>
          </cell>
          <cell r="K248">
            <v>0</v>
          </cell>
          <cell r="L248">
            <v>0</v>
          </cell>
        </row>
        <row r="249">
          <cell r="C249" t="str">
            <v>Syokukai Ebi Fry (12 Gr)</v>
          </cell>
          <cell r="K249">
            <v>0</v>
          </cell>
          <cell r="L249">
            <v>0</v>
          </cell>
        </row>
        <row r="250">
          <cell r="C250" t="str">
            <v>Ebi Fry Tokuyu (30 Gr)</v>
          </cell>
          <cell r="K250">
            <v>0</v>
          </cell>
          <cell r="L250">
            <v>0</v>
          </cell>
        </row>
        <row r="251">
          <cell r="C251" t="str">
            <v>Syokukai Breaded HO (38 Gr)</v>
          </cell>
          <cell r="K251">
            <v>0</v>
          </cell>
          <cell r="L251">
            <v>0</v>
          </cell>
        </row>
        <row r="252">
          <cell r="C252" t="str">
            <v>Penjualan ekspor to Eiger BL : APLU 073876620 Cont : APRU 5088161</v>
          </cell>
          <cell r="K252">
            <v>0</v>
          </cell>
          <cell r="L252">
            <v>0</v>
          </cell>
        </row>
        <row r="253">
          <cell r="C253" t="str">
            <v>Eiger Co. Ltd</v>
          </cell>
          <cell r="K253">
            <v>355365120</v>
          </cell>
          <cell r="L253">
            <v>0</v>
          </cell>
        </row>
        <row r="254">
          <cell r="C254">
            <v>30080</v>
          </cell>
          <cell r="K254">
            <v>0</v>
          </cell>
          <cell r="L254">
            <v>0</v>
          </cell>
        </row>
        <row r="255">
          <cell r="C255" t="str">
            <v>Penjualan Eksport</v>
          </cell>
          <cell r="K255">
            <v>0</v>
          </cell>
          <cell r="L255">
            <v>355365120</v>
          </cell>
        </row>
        <row r="256">
          <cell r="C256" t="str">
            <v>Syokukai Ebi Fry (35 Gr)</v>
          </cell>
          <cell r="K256">
            <v>0</v>
          </cell>
          <cell r="L256">
            <v>0</v>
          </cell>
        </row>
        <row r="257">
          <cell r="C257" t="str">
            <v>Syokukai Ebi Fry (30 Gr)</v>
          </cell>
          <cell r="K257">
            <v>0</v>
          </cell>
          <cell r="L257">
            <v>0</v>
          </cell>
        </row>
        <row r="258">
          <cell r="C258" t="str">
            <v>Syokukai Ebi Fry (25 Gr)</v>
          </cell>
          <cell r="K258">
            <v>0</v>
          </cell>
          <cell r="L258">
            <v>0</v>
          </cell>
        </row>
        <row r="259">
          <cell r="C259" t="str">
            <v>Penjualan ekspor to Eiger BL : 563946291 Cont : MWCU 5641825 inv. 025/IAS</v>
          </cell>
          <cell r="K259">
            <v>0</v>
          </cell>
          <cell r="L259">
            <v>0</v>
          </cell>
        </row>
        <row r="260">
          <cell r="C260" t="str">
            <v>Eiger Co. Ltd</v>
          </cell>
          <cell r="K260">
            <v>666887128</v>
          </cell>
          <cell r="L260">
            <v>0</v>
          </cell>
        </row>
        <row r="261">
          <cell r="C261">
            <v>55676</v>
          </cell>
          <cell r="K261">
            <v>0</v>
          </cell>
          <cell r="L261">
            <v>0</v>
          </cell>
        </row>
        <row r="262">
          <cell r="C262" t="str">
            <v>Penjualan Eksport</v>
          </cell>
          <cell r="K262">
            <v>0</v>
          </cell>
          <cell r="L262">
            <v>666887128</v>
          </cell>
        </row>
        <row r="263">
          <cell r="C263" t="str">
            <v>Syokukai Ebi Fry (40 Gr)</v>
          </cell>
          <cell r="K263">
            <v>0</v>
          </cell>
          <cell r="L263">
            <v>0</v>
          </cell>
        </row>
        <row r="264">
          <cell r="C264" t="str">
            <v>Syokukai Ebi Fry (35 Gr)</v>
          </cell>
          <cell r="K264">
            <v>0</v>
          </cell>
          <cell r="L264">
            <v>0</v>
          </cell>
        </row>
        <row r="265">
          <cell r="C265" t="str">
            <v>Syokukai Ebi Fry (30 Gr)</v>
          </cell>
          <cell r="K265">
            <v>0</v>
          </cell>
          <cell r="L265">
            <v>0</v>
          </cell>
        </row>
        <row r="266">
          <cell r="C266" t="str">
            <v>Syokukai Ebi Fry (25 Gr)</v>
          </cell>
          <cell r="K266">
            <v>0</v>
          </cell>
          <cell r="L266">
            <v>0</v>
          </cell>
        </row>
        <row r="267">
          <cell r="C267" t="str">
            <v>Syokukai Ebi Fry (20 Gr)</v>
          </cell>
          <cell r="K267">
            <v>0</v>
          </cell>
          <cell r="L267">
            <v>0</v>
          </cell>
        </row>
        <row r="268">
          <cell r="C268" t="str">
            <v>Syokukai Ebi Fry (12 Gr)</v>
          </cell>
          <cell r="K268">
            <v>0</v>
          </cell>
          <cell r="L268">
            <v>0</v>
          </cell>
        </row>
        <row r="269">
          <cell r="C269" t="str">
            <v>Ebi Fry Tokuyu (30 Gr)</v>
          </cell>
          <cell r="K269">
            <v>0</v>
          </cell>
          <cell r="L269">
            <v>0</v>
          </cell>
        </row>
        <row r="270">
          <cell r="C270" t="str">
            <v>Syokukai Breaded HO (38 Gr)</v>
          </cell>
          <cell r="K270">
            <v>0</v>
          </cell>
          <cell r="L270">
            <v>0</v>
          </cell>
        </row>
        <row r="271">
          <cell r="C271" t="str">
            <v>Penjualan ekspor to Eiger BL : APLU 073876659 Cont : APRU 6101165</v>
          </cell>
          <cell r="K271">
            <v>0</v>
          </cell>
          <cell r="L271">
            <v>0</v>
          </cell>
        </row>
        <row r="272">
          <cell r="C272" t="str">
            <v>Tomaya Co.Ltd</v>
          </cell>
          <cell r="K272">
            <v>383820000</v>
          </cell>
          <cell r="L272">
            <v>0</v>
          </cell>
        </row>
        <row r="273">
          <cell r="C273">
            <v>31985</v>
          </cell>
          <cell r="K273">
            <v>0</v>
          </cell>
          <cell r="L273">
            <v>0</v>
          </cell>
        </row>
        <row r="274">
          <cell r="C274" t="str">
            <v>Penjualan Eksport</v>
          </cell>
          <cell r="K274">
            <v>0</v>
          </cell>
          <cell r="L274">
            <v>383820000</v>
          </cell>
        </row>
        <row r="275">
          <cell r="C275" t="str">
            <v>Hikari (3L)</v>
          </cell>
          <cell r="K275">
            <v>0</v>
          </cell>
          <cell r="L275">
            <v>0</v>
          </cell>
        </row>
        <row r="276">
          <cell r="C276" t="str">
            <v>Hikari (L)</v>
          </cell>
          <cell r="K276">
            <v>0</v>
          </cell>
          <cell r="L276">
            <v>0</v>
          </cell>
        </row>
        <row r="277">
          <cell r="C277" t="str">
            <v>Hikari Marutoku (2L)</v>
          </cell>
          <cell r="K277">
            <v>0</v>
          </cell>
          <cell r="L277">
            <v>0</v>
          </cell>
        </row>
        <row r="278">
          <cell r="C278" t="str">
            <v>Penjualan ekspor to Tomaya No. Inv. : 027/IAS BL: 563991206 Cont: PONU 2929171</v>
          </cell>
          <cell r="K278">
            <v>0</v>
          </cell>
          <cell r="L278">
            <v>0</v>
          </cell>
        </row>
        <row r="279">
          <cell r="C279" t="str">
            <v>Eiger Co. Ltd</v>
          </cell>
          <cell r="K279">
            <v>1052603040</v>
          </cell>
          <cell r="L279">
            <v>0</v>
          </cell>
        </row>
        <row r="280">
          <cell r="C280">
            <v>87520</v>
          </cell>
          <cell r="K280">
            <v>0</v>
          </cell>
          <cell r="L280">
            <v>0</v>
          </cell>
        </row>
        <row r="281">
          <cell r="C281" t="str">
            <v>Penjualan Eksport</v>
          </cell>
          <cell r="K281">
            <v>0</v>
          </cell>
          <cell r="L281">
            <v>1052603040</v>
          </cell>
        </row>
        <row r="282">
          <cell r="C282" t="str">
            <v>Ebi Fry Nisshin (3L)</v>
          </cell>
          <cell r="K282">
            <v>0</v>
          </cell>
          <cell r="L282">
            <v>0</v>
          </cell>
        </row>
        <row r="283">
          <cell r="C283" t="str">
            <v>Ebi Fry Nisshin (LL)</v>
          </cell>
          <cell r="K283">
            <v>0</v>
          </cell>
          <cell r="L283">
            <v>0</v>
          </cell>
        </row>
        <row r="284">
          <cell r="C284" t="str">
            <v>Ebi Fry Nisshin (M)</v>
          </cell>
          <cell r="K284">
            <v>0</v>
          </cell>
          <cell r="L284">
            <v>0</v>
          </cell>
        </row>
        <row r="285">
          <cell r="C285" t="str">
            <v>PTO'S (26-30)</v>
          </cell>
          <cell r="K285">
            <v>0</v>
          </cell>
          <cell r="L285">
            <v>0</v>
          </cell>
        </row>
        <row r="286">
          <cell r="C286" t="str">
            <v>PTO'S (31-40)</v>
          </cell>
          <cell r="K286">
            <v>0</v>
          </cell>
          <cell r="L286">
            <v>0</v>
          </cell>
        </row>
        <row r="287">
          <cell r="C287" t="str">
            <v>Penjualan ekspor to Eiger Inv. : 026/IAS BL: 563991197 Cont: MSWU 0028555</v>
          </cell>
          <cell r="K287">
            <v>0</v>
          </cell>
          <cell r="L287">
            <v>0</v>
          </cell>
        </row>
        <row r="288">
          <cell r="C288" t="str">
            <v>Tomaya Co.Ltd</v>
          </cell>
          <cell r="K288">
            <v>818317080</v>
          </cell>
          <cell r="L288">
            <v>0</v>
          </cell>
        </row>
        <row r="289">
          <cell r="C289">
            <v>68040</v>
          </cell>
          <cell r="K289">
            <v>0</v>
          </cell>
          <cell r="L289">
            <v>0</v>
          </cell>
        </row>
        <row r="290">
          <cell r="C290" t="str">
            <v>Penjualan Eksport</v>
          </cell>
          <cell r="K290">
            <v>0</v>
          </cell>
          <cell r="L290">
            <v>818317080</v>
          </cell>
        </row>
        <row r="291">
          <cell r="C291" t="str">
            <v>Ebi Fry San Sugar (L)</v>
          </cell>
          <cell r="K291">
            <v>0</v>
          </cell>
          <cell r="L291">
            <v>0</v>
          </cell>
        </row>
        <row r="292">
          <cell r="C292" t="str">
            <v>Ebi Fry San Sugar (M)</v>
          </cell>
          <cell r="K292">
            <v>0</v>
          </cell>
          <cell r="L292">
            <v>0</v>
          </cell>
        </row>
        <row r="293">
          <cell r="C293" t="str">
            <v>Penjualan ekspor to Tomaya No. Inv : 028/IAS BL: APLU 073876741 Cont: CXRU 1004789</v>
          </cell>
          <cell r="K293">
            <v>0</v>
          </cell>
          <cell r="L293">
            <v>0</v>
          </cell>
        </row>
        <row r="294">
          <cell r="C294" t="str">
            <v>Eiger Co. Ltd</v>
          </cell>
          <cell r="K294">
            <v>717900620</v>
          </cell>
          <cell r="L294">
            <v>0</v>
          </cell>
        </row>
        <row r="295">
          <cell r="C295">
            <v>59980</v>
          </cell>
          <cell r="K295">
            <v>0</v>
          </cell>
          <cell r="L295">
            <v>0</v>
          </cell>
        </row>
        <row r="296">
          <cell r="C296" t="str">
            <v>Penjualan Eksport</v>
          </cell>
          <cell r="K296">
            <v>0</v>
          </cell>
          <cell r="L296">
            <v>717900620</v>
          </cell>
        </row>
        <row r="297">
          <cell r="C297" t="str">
            <v>Syokukai Ebi Fry (45 Gr)</v>
          </cell>
          <cell r="K297">
            <v>0</v>
          </cell>
          <cell r="L297">
            <v>0</v>
          </cell>
        </row>
        <row r="298">
          <cell r="C298" t="str">
            <v>Syokukai Ebi Fry (40 Gr)</v>
          </cell>
          <cell r="K298">
            <v>0</v>
          </cell>
          <cell r="L298">
            <v>0</v>
          </cell>
        </row>
        <row r="299">
          <cell r="C299" t="str">
            <v>Syokukai Ebi Fry (35 Gr)</v>
          </cell>
          <cell r="K299">
            <v>0</v>
          </cell>
          <cell r="L299">
            <v>0</v>
          </cell>
        </row>
        <row r="300">
          <cell r="C300" t="str">
            <v>Syokukai Ebi Fry (25 Gr)</v>
          </cell>
          <cell r="K300">
            <v>0</v>
          </cell>
          <cell r="L300">
            <v>0</v>
          </cell>
        </row>
        <row r="301">
          <cell r="C301" t="str">
            <v>Syokukai Ebi Fry (20 Gr)</v>
          </cell>
          <cell r="K301">
            <v>0</v>
          </cell>
          <cell r="L301">
            <v>0</v>
          </cell>
        </row>
        <row r="302">
          <cell r="C302" t="str">
            <v>Syokukai Ebi Fry (12 Gr)</v>
          </cell>
          <cell r="K302">
            <v>0</v>
          </cell>
          <cell r="L302">
            <v>0</v>
          </cell>
        </row>
        <row r="303">
          <cell r="C303" t="str">
            <v>Natural Ebi Fry (30 Gr)</v>
          </cell>
          <cell r="K303">
            <v>0</v>
          </cell>
          <cell r="L303">
            <v>0</v>
          </cell>
        </row>
        <row r="304">
          <cell r="C304" t="str">
            <v>Ebi Fry Tokuyu (30 Gr)</v>
          </cell>
          <cell r="K304">
            <v>0</v>
          </cell>
          <cell r="L304">
            <v>0</v>
          </cell>
        </row>
        <row r="305">
          <cell r="C305" t="str">
            <v>Syokukai Breaded HO (38 Gr)</v>
          </cell>
          <cell r="K305">
            <v>0</v>
          </cell>
          <cell r="L305">
            <v>0</v>
          </cell>
        </row>
        <row r="306">
          <cell r="C306" t="str">
            <v>Penjualan ekspor to Eiger No. Inv: 029/IAS BL: 564059471 Cont: MWCU 5247350</v>
          </cell>
          <cell r="K306">
            <v>0</v>
          </cell>
          <cell r="L306">
            <v>0</v>
          </cell>
        </row>
        <row r="307">
          <cell r="C307" t="str">
            <v>Alpha Trading Co. Ltd</v>
          </cell>
          <cell r="K307">
            <v>377184000</v>
          </cell>
          <cell r="L307">
            <v>0</v>
          </cell>
        </row>
        <row r="308">
          <cell r="C308">
            <v>32000</v>
          </cell>
          <cell r="K308">
            <v>0</v>
          </cell>
          <cell r="L308">
            <v>0</v>
          </cell>
        </row>
        <row r="309">
          <cell r="C309" t="str">
            <v>Penjualan Eksport</v>
          </cell>
          <cell r="K309">
            <v>0</v>
          </cell>
          <cell r="L309">
            <v>377184000</v>
          </cell>
        </row>
        <row r="310">
          <cell r="C310" t="str">
            <v>Alpha Ebi Fry (50 Gr)</v>
          </cell>
          <cell r="K310">
            <v>0</v>
          </cell>
          <cell r="L310">
            <v>0</v>
          </cell>
        </row>
        <row r="311">
          <cell r="C311" t="str">
            <v>Pejualan ekspor to Alpha Trading No. Inv. 030/IAS BL: 564100213 Cont: MWCU 5665679</v>
          </cell>
          <cell r="K311">
            <v>0</v>
          </cell>
          <cell r="L311">
            <v>0</v>
          </cell>
        </row>
        <row r="312">
          <cell r="C312" t="str">
            <v>Eiger Co. Ltd</v>
          </cell>
          <cell r="K312">
            <v>680882900</v>
          </cell>
          <cell r="L312">
            <v>0</v>
          </cell>
        </row>
        <row r="313">
          <cell r="C313">
            <v>58220</v>
          </cell>
          <cell r="K313">
            <v>0</v>
          </cell>
          <cell r="L313">
            <v>0</v>
          </cell>
        </row>
        <row r="314">
          <cell r="C314" t="str">
            <v>Penjualan Eksport</v>
          </cell>
          <cell r="K314">
            <v>0</v>
          </cell>
          <cell r="L314">
            <v>680882900</v>
          </cell>
        </row>
        <row r="315">
          <cell r="C315" t="str">
            <v>Syokukai Ebi Fry (45 Gr)</v>
          </cell>
          <cell r="K315">
            <v>0</v>
          </cell>
          <cell r="L315">
            <v>0</v>
          </cell>
        </row>
        <row r="316">
          <cell r="C316" t="str">
            <v>Syokukai Ebi Fry (40 Gr)</v>
          </cell>
          <cell r="K316">
            <v>0</v>
          </cell>
          <cell r="L316">
            <v>0</v>
          </cell>
        </row>
        <row r="317">
          <cell r="C317" t="str">
            <v>Syokukai Ebi Fry (35 Gr)</v>
          </cell>
          <cell r="K317">
            <v>0</v>
          </cell>
          <cell r="L317">
            <v>0</v>
          </cell>
        </row>
        <row r="318">
          <cell r="C318" t="str">
            <v>Syokukai Ebi Fry (25 Gr)</v>
          </cell>
          <cell r="K318">
            <v>0</v>
          </cell>
          <cell r="L318">
            <v>0</v>
          </cell>
        </row>
        <row r="319">
          <cell r="C319" t="str">
            <v>Syokukai Ebi Fry (20 Gr)</v>
          </cell>
          <cell r="K319">
            <v>0</v>
          </cell>
          <cell r="L319">
            <v>0</v>
          </cell>
        </row>
        <row r="320">
          <cell r="C320" t="str">
            <v>Syokukai Ebi Fry (12 Gr)</v>
          </cell>
          <cell r="K320">
            <v>0</v>
          </cell>
          <cell r="L320">
            <v>0</v>
          </cell>
        </row>
        <row r="321">
          <cell r="C321" t="str">
            <v>Ebi Fry Tokuyu (30 Gr)</v>
          </cell>
          <cell r="K321">
            <v>0</v>
          </cell>
          <cell r="L321">
            <v>0</v>
          </cell>
        </row>
        <row r="322">
          <cell r="C322" t="str">
            <v>Natural Ebi Fry (30 Gr)</v>
          </cell>
          <cell r="K322">
            <v>0</v>
          </cell>
          <cell r="L322">
            <v>0</v>
          </cell>
        </row>
        <row r="323">
          <cell r="C323" t="str">
            <v>Syokukai Breaded HO (38 Gr)</v>
          </cell>
          <cell r="K323">
            <v>0</v>
          </cell>
          <cell r="L323">
            <v>0</v>
          </cell>
        </row>
        <row r="324">
          <cell r="C324" t="str">
            <v>Penj export BL : 564100236, cont : MWCU 6699077, INV : 031/IAS</v>
          </cell>
          <cell r="K324">
            <v>0</v>
          </cell>
          <cell r="L324">
            <v>0</v>
          </cell>
        </row>
        <row r="325">
          <cell r="C325" t="str">
            <v>Eiger Co. Ltd</v>
          </cell>
          <cell r="K325">
            <v>697774403.20000005</v>
          </cell>
          <cell r="L325">
            <v>0</v>
          </cell>
        </row>
        <row r="326">
          <cell r="C326">
            <v>59802.400000000001</v>
          </cell>
          <cell r="K326">
            <v>0</v>
          </cell>
          <cell r="L326">
            <v>0</v>
          </cell>
        </row>
        <row r="327">
          <cell r="C327" t="str">
            <v>Penjualan Eksport</v>
          </cell>
          <cell r="K327">
            <v>0</v>
          </cell>
          <cell r="L327">
            <v>697774403.20000005</v>
          </cell>
        </row>
        <row r="328">
          <cell r="C328" t="str">
            <v>Syokukai Ebi Fry (45 Gr)</v>
          </cell>
          <cell r="K328">
            <v>0</v>
          </cell>
          <cell r="L328">
            <v>0</v>
          </cell>
        </row>
        <row r="329">
          <cell r="C329" t="str">
            <v>Syokukai Ebi Fry (40 Gr)</v>
          </cell>
          <cell r="K329">
            <v>0</v>
          </cell>
          <cell r="L329">
            <v>0</v>
          </cell>
        </row>
        <row r="330">
          <cell r="C330" t="str">
            <v>Syokukai Ebi Fry (35 Gr)</v>
          </cell>
          <cell r="K330">
            <v>0</v>
          </cell>
          <cell r="L330">
            <v>0</v>
          </cell>
        </row>
        <row r="331">
          <cell r="C331" t="str">
            <v>Syokukai Ebi Fry (30 Gr)</v>
          </cell>
          <cell r="K331">
            <v>0</v>
          </cell>
          <cell r="L331">
            <v>0</v>
          </cell>
        </row>
        <row r="332">
          <cell r="C332" t="str">
            <v>Syokukai Ebi Fry (25 Gr)</v>
          </cell>
          <cell r="K332">
            <v>0</v>
          </cell>
          <cell r="L332">
            <v>0</v>
          </cell>
        </row>
        <row r="333">
          <cell r="C333" t="str">
            <v>Syokukai Ebi Fry (20 Gr)</v>
          </cell>
          <cell r="K333">
            <v>0</v>
          </cell>
          <cell r="L333">
            <v>0</v>
          </cell>
        </row>
        <row r="334">
          <cell r="C334" t="str">
            <v>Syokukai Ebi Fry (12 Gr)</v>
          </cell>
          <cell r="K334">
            <v>0</v>
          </cell>
          <cell r="L334">
            <v>0</v>
          </cell>
        </row>
        <row r="335">
          <cell r="C335" t="str">
            <v>Ebi Fry Tokuyu (30 Gr)</v>
          </cell>
          <cell r="K335">
            <v>0</v>
          </cell>
          <cell r="L335">
            <v>0</v>
          </cell>
        </row>
        <row r="336">
          <cell r="C336" t="str">
            <v>Natural Ebi Fry (30 Gr)</v>
          </cell>
          <cell r="K336">
            <v>0</v>
          </cell>
          <cell r="L336">
            <v>0</v>
          </cell>
        </row>
        <row r="337">
          <cell r="C337" t="str">
            <v>Syokukai Breaded HO (38 Gr)</v>
          </cell>
          <cell r="K337">
            <v>0</v>
          </cell>
          <cell r="L337">
            <v>0</v>
          </cell>
        </row>
        <row r="338">
          <cell r="C338" t="str">
            <v>Penj Export BL : APLU 073876909, CONT : TRIU 8659276, INV : 032/IAS</v>
          </cell>
          <cell r="K338">
            <v>0</v>
          </cell>
          <cell r="L338">
            <v>0</v>
          </cell>
        </row>
        <row r="339">
          <cell r="C339" t="str">
            <v>Alpha Trading Co. Ltd</v>
          </cell>
          <cell r="K339">
            <v>866220588</v>
          </cell>
          <cell r="L339">
            <v>0</v>
          </cell>
        </row>
        <row r="340">
          <cell r="C340">
            <v>73998</v>
          </cell>
          <cell r="K340">
            <v>0</v>
          </cell>
          <cell r="L340">
            <v>0</v>
          </cell>
        </row>
        <row r="341">
          <cell r="C341" t="str">
            <v>Penjualan Eksport</v>
          </cell>
          <cell r="K341">
            <v>0</v>
          </cell>
          <cell r="L341">
            <v>866220588</v>
          </cell>
        </row>
        <row r="342">
          <cell r="C342" t="str">
            <v>Alpha Ebi Fry (50 Gr)</v>
          </cell>
          <cell r="K342">
            <v>0</v>
          </cell>
          <cell r="L342">
            <v>0</v>
          </cell>
        </row>
        <row r="343">
          <cell r="C343" t="str">
            <v>Alpha Ebi Fry (40 Gr)</v>
          </cell>
          <cell r="K343">
            <v>0</v>
          </cell>
          <cell r="L343">
            <v>0</v>
          </cell>
        </row>
        <row r="344">
          <cell r="C344" t="str">
            <v>Alpha Ebi Fry (30 Gr)</v>
          </cell>
          <cell r="K344">
            <v>0</v>
          </cell>
          <cell r="L344">
            <v>0</v>
          </cell>
        </row>
        <row r="345">
          <cell r="C345" t="str">
            <v>Alpha Ebi Fry (20 Gr)</v>
          </cell>
          <cell r="K345">
            <v>0</v>
          </cell>
          <cell r="L345">
            <v>0</v>
          </cell>
        </row>
        <row r="346">
          <cell r="C346" t="str">
            <v>Obento (25 Gr)</v>
          </cell>
          <cell r="K346">
            <v>0</v>
          </cell>
          <cell r="L346">
            <v>0</v>
          </cell>
        </row>
        <row r="347">
          <cell r="C347" t="str">
            <v>Alpha Ebi Katsu (50 Gr)</v>
          </cell>
          <cell r="K347">
            <v>0</v>
          </cell>
          <cell r="L347">
            <v>0</v>
          </cell>
        </row>
        <row r="348">
          <cell r="C348" t="str">
            <v>Alpha Ebi Katsu Bou (80 Gr)</v>
          </cell>
          <cell r="K348">
            <v>0</v>
          </cell>
          <cell r="L348">
            <v>0</v>
          </cell>
        </row>
        <row r="349">
          <cell r="C349" t="str">
            <v>Penj export BL : APLU 073876910, Cont : TRIU 8119806, INV : 033/IAS</v>
          </cell>
          <cell r="K349">
            <v>0</v>
          </cell>
          <cell r="L349">
            <v>0</v>
          </cell>
        </row>
        <row r="350">
          <cell r="C350" t="str">
            <v>Eiger Co. Ltd</v>
          </cell>
          <cell r="K350">
            <v>704659342.39999998</v>
          </cell>
          <cell r="L350">
            <v>0</v>
          </cell>
        </row>
        <row r="351">
          <cell r="C351">
            <v>59940.4</v>
          </cell>
          <cell r="K351">
            <v>0</v>
          </cell>
          <cell r="L351">
            <v>0</v>
          </cell>
        </row>
        <row r="352">
          <cell r="C352" t="str">
            <v>Penjualan Eksport</v>
          </cell>
          <cell r="K352">
            <v>0</v>
          </cell>
          <cell r="L352">
            <v>704659342.39999998</v>
          </cell>
        </row>
        <row r="353">
          <cell r="C353" t="str">
            <v>Syokukai Ebi Fry (45 Gr)</v>
          </cell>
          <cell r="K353">
            <v>0</v>
          </cell>
          <cell r="L353">
            <v>0</v>
          </cell>
        </row>
        <row r="354">
          <cell r="C354" t="str">
            <v>Syokukai Ebi Fry (40 Gr)</v>
          </cell>
          <cell r="K354">
            <v>0</v>
          </cell>
          <cell r="L354">
            <v>0</v>
          </cell>
        </row>
        <row r="355">
          <cell r="C355" t="str">
            <v>Syokukai Ebi Fry (35 Gr)</v>
          </cell>
          <cell r="K355">
            <v>0</v>
          </cell>
          <cell r="L355">
            <v>0</v>
          </cell>
        </row>
        <row r="356">
          <cell r="C356" t="str">
            <v>Syokukai Ebi Fry (30 Gr)</v>
          </cell>
          <cell r="K356">
            <v>0</v>
          </cell>
          <cell r="L356">
            <v>0</v>
          </cell>
        </row>
        <row r="357">
          <cell r="C357" t="str">
            <v>Syokukai Ebi Fry (25 Gr)</v>
          </cell>
          <cell r="K357">
            <v>0</v>
          </cell>
          <cell r="L357">
            <v>0</v>
          </cell>
        </row>
        <row r="358">
          <cell r="C358" t="str">
            <v>Syokukai Ebi Fry (20 Gr)</v>
          </cell>
          <cell r="K358">
            <v>0</v>
          </cell>
          <cell r="L358">
            <v>0</v>
          </cell>
        </row>
        <row r="359">
          <cell r="C359" t="str">
            <v>Syokukai Ebi Fry (20 Gr)</v>
          </cell>
          <cell r="K359">
            <v>0</v>
          </cell>
          <cell r="L359">
            <v>0</v>
          </cell>
        </row>
        <row r="360">
          <cell r="C360" t="str">
            <v>Ebi Fry Tokuyu (30 Gr)</v>
          </cell>
          <cell r="K360">
            <v>0</v>
          </cell>
          <cell r="L360">
            <v>0</v>
          </cell>
        </row>
        <row r="361">
          <cell r="C361" t="str">
            <v>Natural Ebi Fry (30 Gr)</v>
          </cell>
          <cell r="K361">
            <v>0</v>
          </cell>
          <cell r="L361">
            <v>0</v>
          </cell>
        </row>
        <row r="362">
          <cell r="C362" t="str">
            <v>PENJ EXPORT TO EIGER, BL : APLU 073877050, CONT : APRU 5743026, INV : 035/IAS ......</v>
          </cell>
          <cell r="K362">
            <v>0</v>
          </cell>
          <cell r="L362">
            <v>0</v>
          </cell>
        </row>
        <row r="363">
          <cell r="C363" t="str">
            <v>Eiger Co. Ltd</v>
          </cell>
          <cell r="K363">
            <v>758436360</v>
          </cell>
          <cell r="L363">
            <v>0</v>
          </cell>
        </row>
        <row r="364">
          <cell r="C364">
            <v>64460</v>
          </cell>
          <cell r="K364">
            <v>0</v>
          </cell>
          <cell r="L364">
            <v>0</v>
          </cell>
        </row>
        <row r="365">
          <cell r="C365" t="str">
            <v>Penjualan Eksport</v>
          </cell>
          <cell r="K365">
            <v>0</v>
          </cell>
          <cell r="L365">
            <v>758436360</v>
          </cell>
        </row>
        <row r="366">
          <cell r="C366" t="str">
            <v>Ebi Fry Nisshin (3L)</v>
          </cell>
          <cell r="K366">
            <v>0</v>
          </cell>
          <cell r="L366">
            <v>0</v>
          </cell>
        </row>
        <row r="367">
          <cell r="C367" t="str">
            <v>Ebi Fry Nisshin (LL)</v>
          </cell>
          <cell r="K367">
            <v>0</v>
          </cell>
          <cell r="L367">
            <v>0</v>
          </cell>
        </row>
        <row r="368">
          <cell r="C368" t="str">
            <v>Ebi Fry Nisshin (M)</v>
          </cell>
          <cell r="K368">
            <v>0</v>
          </cell>
          <cell r="L368">
            <v>0</v>
          </cell>
        </row>
        <row r="369">
          <cell r="C369" t="str">
            <v>PTO'S (31-40)</v>
          </cell>
          <cell r="K369">
            <v>0</v>
          </cell>
          <cell r="L369">
            <v>0</v>
          </cell>
        </row>
        <row r="370">
          <cell r="C370" t="str">
            <v>PENJ EXPORT TO EIGER, BL APLU 073877051, CONT : GESU 9169845, INV 034/IAS .....</v>
          </cell>
          <cell r="K370">
            <v>0</v>
          </cell>
          <cell r="L370">
            <v>0</v>
          </cell>
        </row>
        <row r="371">
          <cell r="C371" t="str">
            <v>Eiger Co. Ltd</v>
          </cell>
          <cell r="K371">
            <v>726075860</v>
          </cell>
          <cell r="L371">
            <v>0</v>
          </cell>
        </row>
        <row r="372">
          <cell r="C372">
            <v>62180</v>
          </cell>
          <cell r="K372">
            <v>0</v>
          </cell>
          <cell r="L372">
            <v>0</v>
          </cell>
        </row>
        <row r="373">
          <cell r="C373" t="str">
            <v>Penjualan Eksport</v>
          </cell>
          <cell r="K373">
            <v>0</v>
          </cell>
          <cell r="L373">
            <v>726075860</v>
          </cell>
        </row>
        <row r="374">
          <cell r="C374" t="str">
            <v>Syokukai Ebi Fry (45 Gr)</v>
          </cell>
          <cell r="K374">
            <v>0</v>
          </cell>
          <cell r="L374">
            <v>0</v>
          </cell>
        </row>
        <row r="375">
          <cell r="C375" t="str">
            <v>Syokukai Ebi Fry (40 Gr)</v>
          </cell>
          <cell r="K375">
            <v>0</v>
          </cell>
          <cell r="L375">
            <v>0</v>
          </cell>
        </row>
        <row r="376">
          <cell r="C376" t="str">
            <v>Syokukai Ebi Fry (35 Gr)</v>
          </cell>
          <cell r="K376">
            <v>0</v>
          </cell>
          <cell r="L376">
            <v>0</v>
          </cell>
        </row>
        <row r="377">
          <cell r="C377" t="str">
            <v>Syokukai Ebi Fry (25 Gr)</v>
          </cell>
          <cell r="K377">
            <v>0</v>
          </cell>
          <cell r="L377">
            <v>0</v>
          </cell>
        </row>
        <row r="378">
          <cell r="C378" t="str">
            <v>Syokukai Ebi Fry (20 Gr)</v>
          </cell>
          <cell r="K378">
            <v>0</v>
          </cell>
          <cell r="L378">
            <v>0</v>
          </cell>
        </row>
        <row r="379">
          <cell r="C379" t="str">
            <v>Ebi Fry Tokuyu (30 Gr)</v>
          </cell>
          <cell r="K379">
            <v>0</v>
          </cell>
          <cell r="L379">
            <v>0</v>
          </cell>
        </row>
        <row r="380">
          <cell r="C380" t="str">
            <v>Natural Ebi Fry (30 Gr)</v>
          </cell>
          <cell r="K380">
            <v>0</v>
          </cell>
          <cell r="L380">
            <v>0</v>
          </cell>
        </row>
        <row r="381">
          <cell r="C381" t="str">
            <v>Syokukai Breaded HO (38 Gr)</v>
          </cell>
          <cell r="K381">
            <v>0</v>
          </cell>
          <cell r="L381">
            <v>0</v>
          </cell>
        </row>
        <row r="382">
          <cell r="C382" t="str">
            <v>PENJ EXPORT TO EIGER, BL : APLU 073877107, CONT : CRLU 1342056, INV : 036/IAS</v>
          </cell>
          <cell r="K382">
            <v>0</v>
          </cell>
          <cell r="L382">
            <v>0</v>
          </cell>
        </row>
        <row r="383">
          <cell r="C383" t="str">
            <v>Eiger Co. Ltd</v>
          </cell>
          <cell r="K383">
            <v>705573492</v>
          </cell>
          <cell r="L383">
            <v>0</v>
          </cell>
        </row>
        <row r="384">
          <cell r="C384">
            <v>60476</v>
          </cell>
          <cell r="K384">
            <v>0</v>
          </cell>
          <cell r="L384">
            <v>0</v>
          </cell>
        </row>
        <row r="385">
          <cell r="C385" t="str">
            <v>Penjualan Eksport</v>
          </cell>
          <cell r="K385">
            <v>0</v>
          </cell>
          <cell r="L385">
            <v>705573492</v>
          </cell>
        </row>
        <row r="386">
          <cell r="C386" t="str">
            <v>Syokukai Ebi Fry (45 Gr)</v>
          </cell>
          <cell r="K386">
            <v>0</v>
          </cell>
          <cell r="L386">
            <v>0</v>
          </cell>
        </row>
        <row r="387">
          <cell r="C387" t="str">
            <v>Syokukai Ebi Fry (40 Gr)</v>
          </cell>
          <cell r="K387">
            <v>0</v>
          </cell>
          <cell r="L387">
            <v>0</v>
          </cell>
        </row>
        <row r="388">
          <cell r="C388" t="str">
            <v>Syokukai Ebi Fry (35 Gr)</v>
          </cell>
          <cell r="K388">
            <v>0</v>
          </cell>
          <cell r="L388">
            <v>0</v>
          </cell>
        </row>
        <row r="389">
          <cell r="C389" t="str">
            <v>Syokukai Ebi Fry (30 Gr)</v>
          </cell>
          <cell r="K389">
            <v>0</v>
          </cell>
          <cell r="L389">
            <v>0</v>
          </cell>
        </row>
        <row r="390">
          <cell r="C390" t="str">
            <v>Syokukai Ebi Fry (25 Gr)</v>
          </cell>
          <cell r="K390">
            <v>0</v>
          </cell>
          <cell r="L390">
            <v>0</v>
          </cell>
        </row>
        <row r="391">
          <cell r="C391" t="str">
            <v>Syokukai Ebi Fry (20 Gr)</v>
          </cell>
          <cell r="K391">
            <v>0</v>
          </cell>
          <cell r="L391">
            <v>0</v>
          </cell>
        </row>
        <row r="392">
          <cell r="C392" t="str">
            <v>Ebi Fry Tokuyu (30 Gr)</v>
          </cell>
          <cell r="K392">
            <v>0</v>
          </cell>
          <cell r="L392">
            <v>0</v>
          </cell>
        </row>
        <row r="393">
          <cell r="C393" t="str">
            <v>PENJ EXPORT TO EIGER, BL : 563991197, CONT : MSWU 0028555, INV : 037/IAS</v>
          </cell>
          <cell r="K393">
            <v>0</v>
          </cell>
          <cell r="L393">
            <v>0</v>
          </cell>
        </row>
        <row r="394">
          <cell r="C394" t="str">
            <v>Eiger Co. Ltd</v>
          </cell>
          <cell r="K394">
            <v>787382400</v>
          </cell>
          <cell r="L394">
            <v>0</v>
          </cell>
        </row>
        <row r="395">
          <cell r="C395">
            <v>67200</v>
          </cell>
          <cell r="K395">
            <v>0</v>
          </cell>
          <cell r="L395">
            <v>0</v>
          </cell>
        </row>
        <row r="396">
          <cell r="C396" t="str">
            <v>Penjualan Eksport</v>
          </cell>
          <cell r="K396">
            <v>0</v>
          </cell>
          <cell r="L396">
            <v>787382400</v>
          </cell>
        </row>
        <row r="397">
          <cell r="C397" t="str">
            <v>Syokukai Ebi Fry (30 Gr)</v>
          </cell>
          <cell r="K397">
            <v>0</v>
          </cell>
          <cell r="L397">
            <v>0</v>
          </cell>
        </row>
        <row r="398">
          <cell r="C398" t="str">
            <v>PENJ EXPORT EIGER, BL : APLU 073877196, CONT : APRU 5775173, INV : 039/IAS ....</v>
          </cell>
          <cell r="K398">
            <v>0</v>
          </cell>
          <cell r="L398">
            <v>0</v>
          </cell>
        </row>
        <row r="399">
          <cell r="C399" t="str">
            <v>Tomaya Co.Ltd</v>
          </cell>
          <cell r="K399">
            <v>718150950</v>
          </cell>
          <cell r="L399">
            <v>0</v>
          </cell>
        </row>
        <row r="400">
          <cell r="C400">
            <v>61475</v>
          </cell>
          <cell r="K400">
            <v>0</v>
          </cell>
          <cell r="L400">
            <v>0</v>
          </cell>
        </row>
        <row r="401">
          <cell r="C401" t="str">
            <v>Penjualan Eksport</v>
          </cell>
          <cell r="K401">
            <v>0</v>
          </cell>
          <cell r="L401">
            <v>718150950</v>
          </cell>
        </row>
        <row r="402">
          <cell r="C402" t="str">
            <v>Marushin Tomaya (3L)</v>
          </cell>
          <cell r="K402">
            <v>0</v>
          </cell>
          <cell r="L402">
            <v>0</v>
          </cell>
        </row>
        <row r="403">
          <cell r="C403" t="str">
            <v>Marushin Tomaya (2L)</v>
          </cell>
          <cell r="K403">
            <v>0</v>
          </cell>
          <cell r="L403">
            <v>0</v>
          </cell>
        </row>
        <row r="404">
          <cell r="C404" t="str">
            <v>Marushin Tomaya (L)</v>
          </cell>
          <cell r="K404">
            <v>0</v>
          </cell>
          <cell r="L404">
            <v>0</v>
          </cell>
        </row>
        <row r="405">
          <cell r="C405" t="str">
            <v>Marushin Tomaya (M)</v>
          </cell>
          <cell r="K405">
            <v>0</v>
          </cell>
          <cell r="L405">
            <v>0</v>
          </cell>
        </row>
        <row r="406">
          <cell r="C406" t="str">
            <v>Marushin Tomaya (S)</v>
          </cell>
          <cell r="K406">
            <v>0</v>
          </cell>
          <cell r="L406">
            <v>0</v>
          </cell>
        </row>
        <row r="407">
          <cell r="C407" t="str">
            <v>PENJ EXPORT TO TOMAYA, BL : APLU 07387719, CONT : TGHU 9940488, INV : 038/IAS</v>
          </cell>
          <cell r="K407">
            <v>0</v>
          </cell>
          <cell r="L407">
            <v>0</v>
          </cell>
        </row>
        <row r="408">
          <cell r="C408" t="str">
            <v>Eiger Co. Ltd</v>
          </cell>
          <cell r="K408">
            <v>785030400</v>
          </cell>
          <cell r="L408">
            <v>0</v>
          </cell>
        </row>
        <row r="409">
          <cell r="C409">
            <v>67200</v>
          </cell>
          <cell r="K409">
            <v>0</v>
          </cell>
          <cell r="L409">
            <v>0</v>
          </cell>
        </row>
        <row r="410">
          <cell r="C410" t="str">
            <v>Penjualan Eksport</v>
          </cell>
          <cell r="K410">
            <v>0</v>
          </cell>
          <cell r="L410">
            <v>785030400</v>
          </cell>
        </row>
        <row r="411">
          <cell r="C411" t="str">
            <v>Syokukai Ebi Fry (45 Gr)</v>
          </cell>
          <cell r="K411">
            <v>0</v>
          </cell>
          <cell r="L411">
            <v>0</v>
          </cell>
        </row>
        <row r="412">
          <cell r="C412" t="str">
            <v>Syokukai Ebi Fry (40 Gr)</v>
          </cell>
          <cell r="K412">
            <v>0</v>
          </cell>
          <cell r="L412">
            <v>0</v>
          </cell>
        </row>
        <row r="413">
          <cell r="C413" t="str">
            <v>Syokukai Ebi Fry (35 Gr)</v>
          </cell>
          <cell r="K413">
            <v>0</v>
          </cell>
          <cell r="L413">
            <v>0</v>
          </cell>
        </row>
        <row r="414">
          <cell r="C414" t="str">
            <v>Syokukai Ebi Fry (30 Gr)</v>
          </cell>
          <cell r="K414">
            <v>0</v>
          </cell>
          <cell r="L414">
            <v>0</v>
          </cell>
        </row>
        <row r="415">
          <cell r="C415" t="str">
            <v>Syokukai Ebi Fry (25 Gr)</v>
          </cell>
          <cell r="K415">
            <v>0</v>
          </cell>
          <cell r="L415">
            <v>0</v>
          </cell>
        </row>
        <row r="416">
          <cell r="C416" t="str">
            <v>Syokukai Ebi Fry (20 Gr)</v>
          </cell>
          <cell r="K416">
            <v>0</v>
          </cell>
          <cell r="L416">
            <v>0</v>
          </cell>
        </row>
        <row r="417">
          <cell r="C417" t="str">
            <v>Syokukai Ebi Fry (12 Gr)</v>
          </cell>
          <cell r="K417">
            <v>0</v>
          </cell>
          <cell r="L417">
            <v>0</v>
          </cell>
        </row>
        <row r="418">
          <cell r="C418" t="str">
            <v>Ebi Fry Tokuyu (30 Gr)</v>
          </cell>
          <cell r="K418">
            <v>0</v>
          </cell>
          <cell r="L418">
            <v>0</v>
          </cell>
        </row>
        <row r="419">
          <cell r="C419" t="str">
            <v>Natural Ebi Fry (30 Gr)</v>
          </cell>
          <cell r="K419">
            <v>0</v>
          </cell>
          <cell r="L419">
            <v>0</v>
          </cell>
        </row>
        <row r="420">
          <cell r="C420" t="str">
            <v>PENJ EXPORT TO EIGER, BL : APLU 073877269, CONT : APRU 9465847, INV : 040/IAS ........</v>
          </cell>
          <cell r="K420">
            <v>0</v>
          </cell>
          <cell r="L420">
            <v>0</v>
          </cell>
        </row>
        <row r="421">
          <cell r="C421" t="str">
            <v>Eiger Co. Ltd</v>
          </cell>
          <cell r="K421">
            <v>791683200</v>
          </cell>
          <cell r="L421">
            <v>0</v>
          </cell>
        </row>
        <row r="422">
          <cell r="C422">
            <v>67200</v>
          </cell>
          <cell r="K422">
            <v>0</v>
          </cell>
          <cell r="L422">
            <v>0</v>
          </cell>
        </row>
        <row r="423">
          <cell r="C423" t="str">
            <v>Penjualan Eksport</v>
          </cell>
          <cell r="K423">
            <v>0</v>
          </cell>
          <cell r="L423">
            <v>791683200</v>
          </cell>
        </row>
        <row r="424">
          <cell r="C424" t="str">
            <v>Syokukai Ebi Fry (30 Gr)</v>
          </cell>
          <cell r="K424">
            <v>0</v>
          </cell>
          <cell r="L424">
            <v>0</v>
          </cell>
        </row>
        <row r="425">
          <cell r="C425" t="str">
            <v>Penjualan export to eiger, BL : APLU 073877293, CONT : APRU 6101041, INV : 041/IAS</v>
          </cell>
          <cell r="K425">
            <v>0</v>
          </cell>
          <cell r="L425">
            <v>0</v>
          </cell>
        </row>
        <row r="426">
          <cell r="C426" t="str">
            <v>Alpha Trading Co. Ltd</v>
          </cell>
          <cell r="K426">
            <v>877134554</v>
          </cell>
          <cell r="L426">
            <v>0</v>
          </cell>
        </row>
        <row r="427">
          <cell r="C427">
            <v>74447</v>
          </cell>
          <cell r="K427">
            <v>0</v>
          </cell>
          <cell r="L427">
            <v>0</v>
          </cell>
        </row>
        <row r="428">
          <cell r="C428" t="str">
            <v>Penjualan Eksport</v>
          </cell>
          <cell r="K428">
            <v>0</v>
          </cell>
          <cell r="L428">
            <v>877134554</v>
          </cell>
        </row>
        <row r="429">
          <cell r="C429" t="str">
            <v>Alpha Ebi Fry (50 Gr)</v>
          </cell>
          <cell r="K429">
            <v>0</v>
          </cell>
          <cell r="L429">
            <v>0</v>
          </cell>
        </row>
        <row r="430">
          <cell r="C430" t="str">
            <v>Alpha Ebi Fry (40 Gr)</v>
          </cell>
          <cell r="K430">
            <v>0</v>
          </cell>
          <cell r="L430">
            <v>0</v>
          </cell>
        </row>
        <row r="431">
          <cell r="C431" t="str">
            <v>Alpha Ebi Fry (30 Gr)</v>
          </cell>
          <cell r="K431">
            <v>0</v>
          </cell>
          <cell r="L431">
            <v>0</v>
          </cell>
        </row>
        <row r="432">
          <cell r="C432" t="str">
            <v>Alpha Ebi Fry (25 Gr)</v>
          </cell>
          <cell r="K432">
            <v>0</v>
          </cell>
          <cell r="L432">
            <v>0</v>
          </cell>
        </row>
        <row r="433">
          <cell r="C433" t="str">
            <v>Alpha Ebi Fry (20 Gr)</v>
          </cell>
          <cell r="K433">
            <v>0</v>
          </cell>
          <cell r="L433">
            <v>0</v>
          </cell>
        </row>
        <row r="434">
          <cell r="C434" t="str">
            <v>Obento (25 Gr)</v>
          </cell>
          <cell r="K434">
            <v>0</v>
          </cell>
          <cell r="L434">
            <v>0</v>
          </cell>
        </row>
        <row r="435">
          <cell r="C435" t="str">
            <v>Alpha Ebi Katsu (50 Gr)</v>
          </cell>
          <cell r="K435">
            <v>0</v>
          </cell>
          <cell r="L435">
            <v>0</v>
          </cell>
        </row>
        <row r="436">
          <cell r="C436" t="str">
            <v>Marunaka BT  (22 Gr)</v>
          </cell>
          <cell r="K436">
            <v>0</v>
          </cell>
          <cell r="L436">
            <v>0</v>
          </cell>
        </row>
        <row r="437">
          <cell r="C437" t="str">
            <v>Terima penjualan export To Alpha trading, BL : APLU 073877344, CONT : APRU 5720859, INV : 042/IAS</v>
          </cell>
          <cell r="K437">
            <v>0</v>
          </cell>
          <cell r="L437">
            <v>0</v>
          </cell>
        </row>
        <row r="438">
          <cell r="C438" t="str">
            <v>Eiger Co. Ltd</v>
          </cell>
          <cell r="K438">
            <v>790996352</v>
          </cell>
          <cell r="L438">
            <v>0</v>
          </cell>
        </row>
        <row r="439">
          <cell r="C439">
            <v>67136</v>
          </cell>
          <cell r="K439">
            <v>0</v>
          </cell>
          <cell r="L439">
            <v>0</v>
          </cell>
        </row>
        <row r="440">
          <cell r="C440" t="str">
            <v>Penjualan Eksport</v>
          </cell>
          <cell r="K440">
            <v>0</v>
          </cell>
          <cell r="L440">
            <v>790996352</v>
          </cell>
        </row>
        <row r="441">
          <cell r="C441" t="str">
            <v>Syokukai Ebi Fry (45 Gr)</v>
          </cell>
          <cell r="K441">
            <v>0</v>
          </cell>
          <cell r="L441">
            <v>0</v>
          </cell>
        </row>
        <row r="442">
          <cell r="C442" t="str">
            <v>Syokukai Ebi Fry (40 Gr)</v>
          </cell>
          <cell r="K442">
            <v>0</v>
          </cell>
          <cell r="L442">
            <v>0</v>
          </cell>
        </row>
        <row r="443">
          <cell r="C443" t="str">
            <v>Syokukai Ebi Fry (35 Gr)</v>
          </cell>
          <cell r="K443">
            <v>0</v>
          </cell>
          <cell r="L443">
            <v>0</v>
          </cell>
        </row>
        <row r="444">
          <cell r="C444" t="str">
            <v>Syokukai Ebi Fry (25 Gr)</v>
          </cell>
          <cell r="K444">
            <v>0</v>
          </cell>
          <cell r="L444">
            <v>0</v>
          </cell>
        </row>
        <row r="445">
          <cell r="C445" t="str">
            <v>Syokukai Ebi Fry (20 Gr)</v>
          </cell>
          <cell r="K445">
            <v>0</v>
          </cell>
          <cell r="L445">
            <v>0</v>
          </cell>
        </row>
        <row r="446">
          <cell r="C446" t="str">
            <v>Syokukai Ebi Fry (12 Gr)</v>
          </cell>
          <cell r="K446">
            <v>0</v>
          </cell>
          <cell r="L446">
            <v>0</v>
          </cell>
        </row>
        <row r="447">
          <cell r="C447" t="str">
            <v>Ebi Fry Tokuyu (30 Gr)</v>
          </cell>
          <cell r="K447">
            <v>0</v>
          </cell>
          <cell r="L447">
            <v>0</v>
          </cell>
        </row>
        <row r="448">
          <cell r="C448" t="str">
            <v>Natural Ebi Fry (30 Gr)</v>
          </cell>
          <cell r="K448">
            <v>0</v>
          </cell>
          <cell r="L448">
            <v>0</v>
          </cell>
        </row>
        <row r="449">
          <cell r="C449" t="str">
            <v>Terima penjualan export To Eiger, BL : APLU 073877291, CONT : APRU 6142837, INV : 043/IAS</v>
          </cell>
          <cell r="K449">
            <v>0</v>
          </cell>
          <cell r="L449">
            <v>0</v>
          </cell>
        </row>
        <row r="450">
          <cell r="C450" t="str">
            <v>Eiger Co. Ltd</v>
          </cell>
          <cell r="K450">
            <v>623026560</v>
          </cell>
          <cell r="L450">
            <v>0</v>
          </cell>
        </row>
        <row r="451">
          <cell r="C451">
            <v>52320</v>
          </cell>
          <cell r="K451">
            <v>0</v>
          </cell>
          <cell r="L451">
            <v>0</v>
          </cell>
        </row>
        <row r="452">
          <cell r="C452" t="str">
            <v>Penjualan Eksport</v>
          </cell>
          <cell r="K452">
            <v>0</v>
          </cell>
          <cell r="L452">
            <v>623026560</v>
          </cell>
        </row>
        <row r="453">
          <cell r="C453" t="str">
            <v>Syokukai Ebi Fry (25 Gr)</v>
          </cell>
          <cell r="K453">
            <v>0</v>
          </cell>
          <cell r="L453">
            <v>0</v>
          </cell>
        </row>
        <row r="454">
          <cell r="C454" t="str">
            <v>Syokukai Ebi Fry (20 Gr)</v>
          </cell>
          <cell r="K454">
            <v>0</v>
          </cell>
          <cell r="L454">
            <v>0</v>
          </cell>
        </row>
        <row r="455">
          <cell r="C455" t="str">
            <v>Terima penjualan export To Eiger, BL : MCC 606961, CONT : MWCU 5261419, INV : 044/IAS</v>
          </cell>
          <cell r="K455">
            <v>0</v>
          </cell>
          <cell r="L455">
            <v>0</v>
          </cell>
        </row>
        <row r="456">
          <cell r="C456" t="str">
            <v>Eiger Co. Ltd</v>
          </cell>
          <cell r="K456">
            <v>961726320</v>
          </cell>
          <cell r="L456">
            <v>0</v>
          </cell>
        </row>
        <row r="457">
          <cell r="C457">
            <v>79944</v>
          </cell>
          <cell r="K457">
            <v>0</v>
          </cell>
          <cell r="L457">
            <v>0</v>
          </cell>
        </row>
        <row r="458">
          <cell r="C458" t="str">
            <v>Penjualan Eksport</v>
          </cell>
          <cell r="K458">
            <v>0</v>
          </cell>
          <cell r="L458">
            <v>961726320</v>
          </cell>
        </row>
        <row r="459">
          <cell r="C459" t="str">
            <v>Syokukai Ebi Fry (45 Gr)</v>
          </cell>
          <cell r="K459">
            <v>0</v>
          </cell>
          <cell r="L459">
            <v>0</v>
          </cell>
        </row>
        <row r="460">
          <cell r="C460" t="str">
            <v>Syokukai Ebi Fry (40 Gr)</v>
          </cell>
          <cell r="K460">
            <v>0</v>
          </cell>
          <cell r="L460">
            <v>0</v>
          </cell>
        </row>
        <row r="461">
          <cell r="C461" t="str">
            <v>Syokukai Ebi Fry (35 Gr)</v>
          </cell>
          <cell r="K461">
            <v>0</v>
          </cell>
          <cell r="L461">
            <v>0</v>
          </cell>
        </row>
        <row r="462">
          <cell r="C462" t="str">
            <v>Syokukai Ebi Fry (30 Gr)</v>
          </cell>
          <cell r="K462">
            <v>0</v>
          </cell>
          <cell r="L462">
            <v>0</v>
          </cell>
        </row>
        <row r="463">
          <cell r="C463" t="str">
            <v>Syokukai Ebi Fry (25 Gr)</v>
          </cell>
          <cell r="K463">
            <v>0</v>
          </cell>
          <cell r="L463">
            <v>0</v>
          </cell>
        </row>
        <row r="464">
          <cell r="C464" t="str">
            <v>Syokukai Ebi Fry (20 Gr)</v>
          </cell>
          <cell r="K464">
            <v>0</v>
          </cell>
          <cell r="L464">
            <v>0</v>
          </cell>
        </row>
        <row r="465">
          <cell r="C465" t="str">
            <v>Syokukai Ebi Fry (12 Gr)</v>
          </cell>
          <cell r="K465">
            <v>0</v>
          </cell>
          <cell r="L465">
            <v>0</v>
          </cell>
        </row>
        <row r="466">
          <cell r="C466" t="str">
            <v>Ebi Fry Tokuyu (30 Gr)</v>
          </cell>
          <cell r="K466">
            <v>0</v>
          </cell>
          <cell r="L466">
            <v>0</v>
          </cell>
        </row>
        <row r="467">
          <cell r="C467" t="str">
            <v>Terima penjualan export To eiger, BL : APLU 073877374, CONT : TGHU 9952215, INV : 045/IAS</v>
          </cell>
          <cell r="K467">
            <v>0</v>
          </cell>
          <cell r="L467">
            <v>0</v>
          </cell>
        </row>
        <row r="468">
          <cell r="C468" t="str">
            <v>Eiger Co. Ltd</v>
          </cell>
          <cell r="K468">
            <v>785146560</v>
          </cell>
          <cell r="L468">
            <v>0</v>
          </cell>
        </row>
        <row r="469">
          <cell r="C469">
            <v>65560</v>
          </cell>
          <cell r="K469">
            <v>0</v>
          </cell>
          <cell r="L469">
            <v>0</v>
          </cell>
        </row>
        <row r="470">
          <cell r="C470" t="str">
            <v>Penjualan Eksport</v>
          </cell>
          <cell r="K470">
            <v>0</v>
          </cell>
          <cell r="L470">
            <v>785146560</v>
          </cell>
        </row>
        <row r="471">
          <cell r="C471" t="str">
            <v>Syokukai Ebi Fry (45 Gr)</v>
          </cell>
          <cell r="K471">
            <v>0</v>
          </cell>
          <cell r="L471">
            <v>0</v>
          </cell>
        </row>
        <row r="472">
          <cell r="C472" t="str">
            <v>Syokukai Ebi Fry (40 Gr)</v>
          </cell>
          <cell r="K472">
            <v>0</v>
          </cell>
          <cell r="L472">
            <v>0</v>
          </cell>
        </row>
        <row r="473">
          <cell r="C473" t="str">
            <v>Syokukai Ebi Fry (35 Gr)</v>
          </cell>
          <cell r="K473">
            <v>0</v>
          </cell>
          <cell r="L473">
            <v>0</v>
          </cell>
        </row>
        <row r="474">
          <cell r="C474" t="str">
            <v>Syokukai Ebi Fry (30 Gr)</v>
          </cell>
          <cell r="K474">
            <v>0</v>
          </cell>
          <cell r="L474">
            <v>0</v>
          </cell>
        </row>
        <row r="475">
          <cell r="C475" t="str">
            <v>Syokukai Ebi Fry (25 Gr)</v>
          </cell>
          <cell r="K475">
            <v>0</v>
          </cell>
          <cell r="L475">
            <v>0</v>
          </cell>
        </row>
        <row r="476">
          <cell r="C476" t="str">
            <v>Syokukai Ebi Fry (20 Gr)</v>
          </cell>
          <cell r="K476">
            <v>0</v>
          </cell>
          <cell r="L476">
            <v>0</v>
          </cell>
        </row>
        <row r="477">
          <cell r="C477" t="str">
            <v>Ebi Fry Tokuyu (30 Gr)</v>
          </cell>
          <cell r="K477">
            <v>0</v>
          </cell>
          <cell r="L477">
            <v>0</v>
          </cell>
        </row>
        <row r="478">
          <cell r="C478" t="str">
            <v>Terima penjualan export To eiger, BL : APLU 073877396, CONT : APRU 5749786, INV : 046/IAS</v>
          </cell>
          <cell r="K478">
            <v>0</v>
          </cell>
          <cell r="L478">
            <v>0</v>
          </cell>
        </row>
        <row r="479">
          <cell r="C479" t="str">
            <v>Eiger Co. Ltd</v>
          </cell>
          <cell r="K479">
            <v>1161096000</v>
          </cell>
          <cell r="L479">
            <v>0</v>
          </cell>
        </row>
        <row r="480">
          <cell r="C480">
            <v>95800</v>
          </cell>
          <cell r="K480">
            <v>0</v>
          </cell>
          <cell r="L480">
            <v>0</v>
          </cell>
        </row>
        <row r="481">
          <cell r="C481" t="str">
            <v>Penjualan Eksport</v>
          </cell>
          <cell r="K481">
            <v>0</v>
          </cell>
          <cell r="L481">
            <v>1161096000</v>
          </cell>
        </row>
        <row r="482">
          <cell r="C482" t="str">
            <v>Ebi Fry Nisshin (3L)</v>
          </cell>
          <cell r="K482">
            <v>0</v>
          </cell>
          <cell r="L482">
            <v>0</v>
          </cell>
        </row>
        <row r="483">
          <cell r="C483" t="str">
            <v>Ebi Fry Nisshin (LL)</v>
          </cell>
          <cell r="K483">
            <v>0</v>
          </cell>
          <cell r="L483">
            <v>0</v>
          </cell>
        </row>
        <row r="484">
          <cell r="C484" t="str">
            <v>Ebi Fry Nisshin (M)</v>
          </cell>
          <cell r="K484">
            <v>0</v>
          </cell>
          <cell r="L484">
            <v>0</v>
          </cell>
        </row>
        <row r="485">
          <cell r="C485" t="str">
            <v>PTO'S (31-40)</v>
          </cell>
          <cell r="K485">
            <v>0</v>
          </cell>
          <cell r="L485">
            <v>0</v>
          </cell>
        </row>
        <row r="486">
          <cell r="C486" t="str">
            <v>Terima penjualan export To Eiger, BL : MCC 618132, CONT : MNBU 0066824, INV : 047/IAS</v>
          </cell>
          <cell r="K486">
            <v>0</v>
          </cell>
          <cell r="L486">
            <v>0</v>
          </cell>
        </row>
        <row r="487">
          <cell r="C487" t="str">
            <v>Tomaya Co.Ltd</v>
          </cell>
          <cell r="K487">
            <v>360691672</v>
          </cell>
          <cell r="L487">
            <v>0</v>
          </cell>
        </row>
        <row r="488">
          <cell r="C488">
            <v>29594</v>
          </cell>
          <cell r="K488">
            <v>0</v>
          </cell>
          <cell r="L488">
            <v>0</v>
          </cell>
        </row>
        <row r="489">
          <cell r="C489" t="str">
            <v>Penjualan Eksport</v>
          </cell>
          <cell r="K489">
            <v>0</v>
          </cell>
          <cell r="L489">
            <v>360691672</v>
          </cell>
        </row>
        <row r="490">
          <cell r="C490" t="str">
            <v>Hikari (3L)</v>
          </cell>
          <cell r="K490">
            <v>0</v>
          </cell>
          <cell r="L490">
            <v>0</v>
          </cell>
        </row>
        <row r="491">
          <cell r="C491" t="str">
            <v>Hikari (L)</v>
          </cell>
          <cell r="K491">
            <v>0</v>
          </cell>
          <cell r="L491">
            <v>0</v>
          </cell>
        </row>
        <row r="492">
          <cell r="C492" t="str">
            <v>Hikari (M)</v>
          </cell>
          <cell r="K492">
            <v>0</v>
          </cell>
          <cell r="L492">
            <v>0</v>
          </cell>
        </row>
        <row r="493">
          <cell r="C493" t="str">
            <v>Terima penjualan export To Tomaya, BL MCC 618125, CONT : MWCU 5709967, INV : 048/IAS</v>
          </cell>
          <cell r="K493">
            <v>0</v>
          </cell>
          <cell r="L493">
            <v>0</v>
          </cell>
        </row>
        <row r="494">
          <cell r="C494" t="str">
            <v>Eiger Co. Ltd</v>
          </cell>
          <cell r="K494">
            <v>815803560</v>
          </cell>
          <cell r="L494">
            <v>0</v>
          </cell>
        </row>
        <row r="495">
          <cell r="C495">
            <v>66924</v>
          </cell>
          <cell r="K495">
            <v>0</v>
          </cell>
          <cell r="L495">
            <v>0</v>
          </cell>
        </row>
        <row r="496">
          <cell r="C496" t="str">
            <v>Penjualan Eksport</v>
          </cell>
          <cell r="K496">
            <v>0</v>
          </cell>
          <cell r="L496">
            <v>815803560</v>
          </cell>
        </row>
        <row r="497">
          <cell r="C497" t="str">
            <v>Syokukai Ebi Fry (45 Gr)</v>
          </cell>
          <cell r="K497">
            <v>0</v>
          </cell>
          <cell r="L497">
            <v>0</v>
          </cell>
        </row>
        <row r="498">
          <cell r="C498" t="str">
            <v>Syokukai Ebi Fry (40 Gr)</v>
          </cell>
          <cell r="K498">
            <v>0</v>
          </cell>
          <cell r="L498">
            <v>0</v>
          </cell>
        </row>
        <row r="499">
          <cell r="C499" t="str">
            <v>Syokukai Ebi Fry (35 Gr)</v>
          </cell>
          <cell r="K499">
            <v>0</v>
          </cell>
          <cell r="L499">
            <v>0</v>
          </cell>
        </row>
        <row r="500">
          <cell r="C500" t="str">
            <v>Syokukai Ebi Fry (30 Gr)</v>
          </cell>
          <cell r="K500">
            <v>0</v>
          </cell>
          <cell r="L500">
            <v>0</v>
          </cell>
        </row>
        <row r="501">
          <cell r="C501" t="str">
            <v>Syokukai Ebi Fry (25 Gr)</v>
          </cell>
          <cell r="K501">
            <v>0</v>
          </cell>
          <cell r="L501">
            <v>0</v>
          </cell>
        </row>
        <row r="502">
          <cell r="C502" t="str">
            <v>Syokukai Ebi Fry (20 Gr)</v>
          </cell>
          <cell r="K502">
            <v>0</v>
          </cell>
          <cell r="L502">
            <v>0</v>
          </cell>
        </row>
        <row r="503">
          <cell r="C503" t="str">
            <v>Syokukai Ebi Fry (12 Gr)</v>
          </cell>
          <cell r="K503">
            <v>0</v>
          </cell>
          <cell r="L503">
            <v>0</v>
          </cell>
        </row>
        <row r="504">
          <cell r="C504" t="str">
            <v>Natural Ebi Fry (30 Gr)</v>
          </cell>
          <cell r="K504">
            <v>0</v>
          </cell>
          <cell r="L504">
            <v>0</v>
          </cell>
        </row>
        <row r="505">
          <cell r="C505" t="str">
            <v>Ebi Fry Tokuyu (30 Gr)</v>
          </cell>
          <cell r="K505">
            <v>0</v>
          </cell>
          <cell r="L505">
            <v>0</v>
          </cell>
        </row>
        <row r="506">
          <cell r="C506" t="str">
            <v>Terima penjualan export To Eiger, BL : APLU 073877470 CONT : MNBU 0066824, INV: 049/IAS</v>
          </cell>
          <cell r="K506">
            <v>0</v>
          </cell>
          <cell r="L506">
            <v>0</v>
          </cell>
        </row>
        <row r="507">
          <cell r="C507" t="str">
            <v>Eiger Co. Ltd</v>
          </cell>
          <cell r="K507">
            <v>762893936</v>
          </cell>
          <cell r="L507">
            <v>0</v>
          </cell>
        </row>
        <row r="508">
          <cell r="C508">
            <v>62384</v>
          </cell>
          <cell r="K508">
            <v>0</v>
          </cell>
          <cell r="L508">
            <v>0</v>
          </cell>
        </row>
        <row r="509">
          <cell r="C509" t="str">
            <v>Penjualan Eksport</v>
          </cell>
          <cell r="K509">
            <v>0</v>
          </cell>
          <cell r="L509">
            <v>762893936</v>
          </cell>
        </row>
        <row r="510">
          <cell r="C510" t="str">
            <v>Syokukai Ebi Fry (45 Gr)</v>
          </cell>
          <cell r="K510">
            <v>0</v>
          </cell>
          <cell r="L510">
            <v>0</v>
          </cell>
        </row>
        <row r="511">
          <cell r="C511" t="str">
            <v>Syokukai Ebi Fry (40 Gr)</v>
          </cell>
          <cell r="K511">
            <v>0</v>
          </cell>
          <cell r="L511">
            <v>0</v>
          </cell>
        </row>
        <row r="512">
          <cell r="C512" t="str">
            <v>Syokukai Ebi Fry (35 Gr)</v>
          </cell>
          <cell r="K512">
            <v>0</v>
          </cell>
          <cell r="L512">
            <v>0</v>
          </cell>
        </row>
        <row r="513">
          <cell r="C513" t="str">
            <v>Syokukai Ebi Fry (30 Gr)</v>
          </cell>
          <cell r="K513">
            <v>0</v>
          </cell>
          <cell r="L513">
            <v>0</v>
          </cell>
        </row>
        <row r="514">
          <cell r="C514" t="str">
            <v>Syokukai Ebi Fry (25 Gr)</v>
          </cell>
          <cell r="K514">
            <v>0</v>
          </cell>
          <cell r="L514">
            <v>0</v>
          </cell>
        </row>
        <row r="515">
          <cell r="C515" t="str">
            <v>Syokukai Ebi Fry (20 Gr)</v>
          </cell>
          <cell r="K515">
            <v>0</v>
          </cell>
          <cell r="L515">
            <v>0</v>
          </cell>
        </row>
        <row r="516">
          <cell r="C516" t="str">
            <v>Syokukai Ebi Fry (12 Gr)</v>
          </cell>
          <cell r="K516">
            <v>0</v>
          </cell>
          <cell r="L516">
            <v>0</v>
          </cell>
        </row>
        <row r="517">
          <cell r="C517" t="str">
            <v>Natural Ebi Fry (30 Gr)</v>
          </cell>
          <cell r="K517">
            <v>0</v>
          </cell>
          <cell r="L517">
            <v>0</v>
          </cell>
        </row>
        <row r="518">
          <cell r="C518" t="str">
            <v>Ebi Fry Tokuyu (30 Gr)</v>
          </cell>
          <cell r="K518">
            <v>0</v>
          </cell>
          <cell r="L518">
            <v>0</v>
          </cell>
        </row>
        <row r="519">
          <cell r="C519" t="str">
            <v>Terima penjualan export To eiger, BL : APLU 073877511, CONT : APRU 6124216, INV: 050/IAS</v>
          </cell>
          <cell r="K519">
            <v>0</v>
          </cell>
          <cell r="L519">
            <v>0</v>
          </cell>
        </row>
        <row r="520">
          <cell r="C520" t="str">
            <v>Tomaya Co.Ltd</v>
          </cell>
          <cell r="K520">
            <v>874121836</v>
          </cell>
          <cell r="L520">
            <v>0</v>
          </cell>
        </row>
        <row r="521">
          <cell r="C521">
            <v>72686</v>
          </cell>
          <cell r="K521">
            <v>0</v>
          </cell>
          <cell r="L521">
            <v>0</v>
          </cell>
        </row>
        <row r="522">
          <cell r="C522" t="str">
            <v>Penjualan Eksport</v>
          </cell>
          <cell r="K522">
            <v>0</v>
          </cell>
          <cell r="L522">
            <v>874121836</v>
          </cell>
        </row>
        <row r="523">
          <cell r="C523" t="str">
            <v>Marushin Tomaya (3L)</v>
          </cell>
          <cell r="K523">
            <v>0</v>
          </cell>
          <cell r="L523">
            <v>0</v>
          </cell>
        </row>
        <row r="524">
          <cell r="C524" t="str">
            <v>Marushin Tomaya (L)</v>
          </cell>
          <cell r="K524">
            <v>0</v>
          </cell>
          <cell r="L524">
            <v>0</v>
          </cell>
        </row>
        <row r="525">
          <cell r="C525" t="str">
            <v>Marushin Tomaya (M)</v>
          </cell>
          <cell r="K525">
            <v>0</v>
          </cell>
          <cell r="L525">
            <v>0</v>
          </cell>
        </row>
        <row r="526">
          <cell r="C526" t="str">
            <v>Hikari (M)</v>
          </cell>
          <cell r="K526">
            <v>0</v>
          </cell>
          <cell r="L526">
            <v>0</v>
          </cell>
        </row>
        <row r="527">
          <cell r="C527" t="str">
            <v>Ebi Fry San Sugar (M)</v>
          </cell>
          <cell r="K527">
            <v>0</v>
          </cell>
          <cell r="L527">
            <v>0</v>
          </cell>
        </row>
        <row r="528">
          <cell r="C528" t="str">
            <v>Terima penjualan export To eiger, BL : MCC 632946, CONT : PONU 4836680, INV : 051/IAS</v>
          </cell>
          <cell r="K528">
            <v>0</v>
          </cell>
          <cell r="L528">
            <v>0</v>
          </cell>
        </row>
        <row r="529">
          <cell r="C529" t="str">
            <v>Eiger Co. Ltd</v>
          </cell>
          <cell r="K529">
            <v>761774944</v>
          </cell>
          <cell r="L529">
            <v>0</v>
          </cell>
        </row>
        <row r="530">
          <cell r="C530">
            <v>63344</v>
          </cell>
          <cell r="K530">
            <v>0</v>
          </cell>
          <cell r="L530">
            <v>0</v>
          </cell>
        </row>
        <row r="531">
          <cell r="C531" t="str">
            <v>Penjualan Eksport</v>
          </cell>
          <cell r="K531">
            <v>0</v>
          </cell>
          <cell r="L531">
            <v>761774944</v>
          </cell>
        </row>
        <row r="532">
          <cell r="C532" t="str">
            <v>Syokukai Ebi Fry (45 Gr)</v>
          </cell>
          <cell r="K532">
            <v>0</v>
          </cell>
          <cell r="L532">
            <v>0</v>
          </cell>
        </row>
        <row r="533">
          <cell r="C533" t="str">
            <v>Syokukai Ebi Fry (40 Gr)</v>
          </cell>
          <cell r="K533">
            <v>0</v>
          </cell>
          <cell r="L533">
            <v>0</v>
          </cell>
        </row>
        <row r="534">
          <cell r="C534" t="str">
            <v>Syokukai Ebi Fry (35 Gr)</v>
          </cell>
          <cell r="K534">
            <v>0</v>
          </cell>
          <cell r="L534">
            <v>0</v>
          </cell>
        </row>
        <row r="535">
          <cell r="C535" t="str">
            <v>Syokukai Ebi Fry (25 Gr)</v>
          </cell>
          <cell r="K535">
            <v>0</v>
          </cell>
          <cell r="L535">
            <v>0</v>
          </cell>
        </row>
        <row r="536">
          <cell r="C536" t="str">
            <v>Syokukai Ebi Fry (20 Gr)</v>
          </cell>
          <cell r="K536">
            <v>0</v>
          </cell>
          <cell r="L536">
            <v>0</v>
          </cell>
        </row>
        <row r="537">
          <cell r="C537" t="str">
            <v>Syokukai Ebi Fry (12 Gr)</v>
          </cell>
          <cell r="K537">
            <v>0</v>
          </cell>
          <cell r="L537">
            <v>0</v>
          </cell>
        </row>
        <row r="538">
          <cell r="C538" t="str">
            <v>Natural Ebi Fry (30 Gr)</v>
          </cell>
          <cell r="K538">
            <v>0</v>
          </cell>
          <cell r="L538">
            <v>0</v>
          </cell>
        </row>
        <row r="539">
          <cell r="C539" t="str">
            <v>Ebi Fry Tokuyu (30 Gr)</v>
          </cell>
          <cell r="K539">
            <v>0</v>
          </cell>
          <cell r="L539">
            <v>0</v>
          </cell>
        </row>
        <row r="540">
          <cell r="C540" t="str">
            <v>Terima penjualan export to Eiger, BL : APLU 073877536, CONT : APRU 5830100, INV : 52/IAS</v>
          </cell>
          <cell r="K540">
            <v>0</v>
          </cell>
          <cell r="L540">
            <v>0</v>
          </cell>
        </row>
        <row r="541">
          <cell r="C541" t="str">
            <v>Eiger Co. Ltd</v>
          </cell>
          <cell r="K541">
            <v>855954096.79999995</v>
          </cell>
          <cell r="L541">
            <v>0</v>
          </cell>
        </row>
        <row r="542">
          <cell r="C542">
            <v>70373.600000000006</v>
          </cell>
          <cell r="K542">
            <v>0</v>
          </cell>
          <cell r="L542">
            <v>0</v>
          </cell>
        </row>
        <row r="543">
          <cell r="C543" t="str">
            <v>Penjualan Eksport</v>
          </cell>
          <cell r="K543">
            <v>0</v>
          </cell>
          <cell r="L543">
            <v>855954096.79999995</v>
          </cell>
        </row>
        <row r="544">
          <cell r="C544" t="str">
            <v>Syokukai Ebi Fry (45 Gr)</v>
          </cell>
          <cell r="K544">
            <v>0</v>
          </cell>
          <cell r="L544">
            <v>0</v>
          </cell>
        </row>
        <row r="545">
          <cell r="C545" t="str">
            <v>Syokukai Ebi Fry (40 Gr)</v>
          </cell>
          <cell r="K545">
            <v>0</v>
          </cell>
          <cell r="L545">
            <v>0</v>
          </cell>
        </row>
        <row r="546">
          <cell r="C546" t="str">
            <v>Syokukai Ebi Fry (35 Gr)</v>
          </cell>
          <cell r="K546">
            <v>0</v>
          </cell>
          <cell r="L546">
            <v>0</v>
          </cell>
        </row>
        <row r="547">
          <cell r="C547" t="str">
            <v>Syokukai Ebi Fry (30 Gr)</v>
          </cell>
          <cell r="K547">
            <v>0</v>
          </cell>
          <cell r="L547">
            <v>0</v>
          </cell>
        </row>
        <row r="548">
          <cell r="C548" t="str">
            <v>Syokukai Ebi Fry (25 Gr)</v>
          </cell>
          <cell r="K548">
            <v>0</v>
          </cell>
          <cell r="L548">
            <v>0</v>
          </cell>
        </row>
        <row r="549">
          <cell r="C549" t="str">
            <v>Syokukai Ebi Fry (20 Gr)</v>
          </cell>
          <cell r="K549">
            <v>0</v>
          </cell>
          <cell r="L549">
            <v>0</v>
          </cell>
        </row>
        <row r="550">
          <cell r="C550" t="str">
            <v>Natural Ebi Fry (30 Gr)</v>
          </cell>
          <cell r="K550">
            <v>0</v>
          </cell>
          <cell r="L550">
            <v>0</v>
          </cell>
        </row>
        <row r="551">
          <cell r="C551" t="str">
            <v>Syokukai Breaded HO (38 Gr)</v>
          </cell>
          <cell r="K551">
            <v>0</v>
          </cell>
          <cell r="L551">
            <v>0</v>
          </cell>
        </row>
        <row r="552">
          <cell r="C552" t="str">
            <v>Ebi Fry Tokuyu (30 Gr)</v>
          </cell>
          <cell r="K552">
            <v>0</v>
          </cell>
          <cell r="L552">
            <v>0</v>
          </cell>
        </row>
        <row r="553">
          <cell r="C553" t="str">
            <v>Terima penjualan export To eiger, BL : APLU 073877562, CONT : APRU 5089002, INV : 053/IAS</v>
          </cell>
          <cell r="K553">
            <v>0</v>
          </cell>
          <cell r="L553">
            <v>0</v>
          </cell>
        </row>
        <row r="554">
          <cell r="C554" t="str">
            <v>Alpha Trading Co. Ltd</v>
          </cell>
          <cell r="K554">
            <v>930245385</v>
          </cell>
          <cell r="L554">
            <v>0</v>
          </cell>
        </row>
        <row r="555">
          <cell r="C555">
            <v>76469</v>
          </cell>
          <cell r="K555">
            <v>0</v>
          </cell>
          <cell r="L555">
            <v>0</v>
          </cell>
        </row>
        <row r="556">
          <cell r="C556" t="str">
            <v>Penjualan Eksport</v>
          </cell>
          <cell r="K556">
            <v>0</v>
          </cell>
          <cell r="L556">
            <v>930245385</v>
          </cell>
        </row>
        <row r="557">
          <cell r="C557" t="str">
            <v>Alpha Ebi Fry (50 Gr)</v>
          </cell>
          <cell r="K557">
            <v>0</v>
          </cell>
          <cell r="L557">
            <v>0</v>
          </cell>
        </row>
        <row r="558">
          <cell r="C558" t="str">
            <v>Alpha Ebi Fry (40 Gr)</v>
          </cell>
          <cell r="K558">
            <v>0</v>
          </cell>
          <cell r="L558">
            <v>0</v>
          </cell>
        </row>
        <row r="559">
          <cell r="C559" t="str">
            <v>Alpha Ebi Fry (30 Gr)</v>
          </cell>
          <cell r="K559">
            <v>0</v>
          </cell>
          <cell r="L559">
            <v>0</v>
          </cell>
        </row>
        <row r="560">
          <cell r="C560" t="str">
            <v>Alpha Ebi Fry (20 Gr)</v>
          </cell>
          <cell r="K560">
            <v>0</v>
          </cell>
          <cell r="L560">
            <v>0</v>
          </cell>
        </row>
        <row r="561">
          <cell r="C561" t="str">
            <v>Alpha Ebi Katsu (50 Gr)</v>
          </cell>
          <cell r="K561">
            <v>0</v>
          </cell>
          <cell r="L561">
            <v>0</v>
          </cell>
        </row>
        <row r="562">
          <cell r="C562" t="str">
            <v>Terima penjualan export To Alpha trading, BL : APLU 073877561, CONT : APRU 5726667, INV : 054/IAS</v>
          </cell>
          <cell r="K562">
            <v>0</v>
          </cell>
          <cell r="L562">
            <v>0</v>
          </cell>
        </row>
        <row r="563">
          <cell r="C563" t="str">
            <v>Eiger Co. Ltd</v>
          </cell>
          <cell r="K563">
            <v>761606457.60000002</v>
          </cell>
          <cell r="L563">
            <v>0</v>
          </cell>
        </row>
        <row r="564">
          <cell r="C564">
            <v>62534.400000000001</v>
          </cell>
          <cell r="K564">
            <v>0</v>
          </cell>
          <cell r="L564">
            <v>0</v>
          </cell>
        </row>
        <row r="565">
          <cell r="C565" t="str">
            <v>Penjualan Eksport</v>
          </cell>
          <cell r="K565">
            <v>0</v>
          </cell>
          <cell r="L565">
            <v>761606457.60000002</v>
          </cell>
        </row>
        <row r="566">
          <cell r="C566" t="str">
            <v>Syokukai Ebi Fry (45 Gr)</v>
          </cell>
          <cell r="K566">
            <v>0</v>
          </cell>
          <cell r="L566">
            <v>0</v>
          </cell>
        </row>
        <row r="567">
          <cell r="C567" t="str">
            <v>Syokukai Ebi Fry (40 Gr)</v>
          </cell>
          <cell r="K567">
            <v>0</v>
          </cell>
          <cell r="L567">
            <v>0</v>
          </cell>
        </row>
        <row r="568">
          <cell r="C568" t="str">
            <v>Syokukai Ebi Fry (35 Gr)</v>
          </cell>
          <cell r="K568">
            <v>0</v>
          </cell>
          <cell r="L568">
            <v>0</v>
          </cell>
        </row>
        <row r="569">
          <cell r="C569" t="str">
            <v>Syokukai Ebi Fry (30 Gr)</v>
          </cell>
          <cell r="K569">
            <v>0</v>
          </cell>
          <cell r="L569">
            <v>0</v>
          </cell>
        </row>
        <row r="570">
          <cell r="C570" t="str">
            <v>Syokukai Ebi Fry (25 Gr)</v>
          </cell>
          <cell r="K570">
            <v>0</v>
          </cell>
          <cell r="L570">
            <v>0</v>
          </cell>
        </row>
        <row r="571">
          <cell r="C571" t="str">
            <v>Syokukai Ebi Fry (20 Gr)</v>
          </cell>
          <cell r="K571">
            <v>0</v>
          </cell>
          <cell r="L571">
            <v>0</v>
          </cell>
        </row>
        <row r="572">
          <cell r="C572" t="str">
            <v>Syokukai Ebi Fry (12 Gr)</v>
          </cell>
          <cell r="K572">
            <v>0</v>
          </cell>
          <cell r="L572">
            <v>0</v>
          </cell>
        </row>
        <row r="573">
          <cell r="C573" t="str">
            <v>Ebi Fry Tokuyu (30 Gr)</v>
          </cell>
          <cell r="K573">
            <v>0</v>
          </cell>
          <cell r="L573">
            <v>0</v>
          </cell>
        </row>
        <row r="574">
          <cell r="C574" t="str">
            <v>Natural Ebi Fry (30 Gr)</v>
          </cell>
          <cell r="K574">
            <v>0</v>
          </cell>
          <cell r="L574">
            <v>0</v>
          </cell>
        </row>
        <row r="575">
          <cell r="C575" t="str">
            <v>Terima penj export To Eiger, Inv : 056/ias</v>
          </cell>
          <cell r="K575">
            <v>0</v>
          </cell>
          <cell r="L575">
            <v>0</v>
          </cell>
        </row>
        <row r="576">
          <cell r="C576" t="str">
            <v>Tomaya Co.Ltd</v>
          </cell>
          <cell r="K576">
            <v>339408825</v>
          </cell>
          <cell r="L576">
            <v>0</v>
          </cell>
        </row>
        <row r="577">
          <cell r="C577">
            <v>27962.5</v>
          </cell>
          <cell r="K577">
            <v>0</v>
          </cell>
          <cell r="L577">
            <v>0</v>
          </cell>
        </row>
        <row r="578">
          <cell r="C578" t="str">
            <v>Penjualan Eksport</v>
          </cell>
          <cell r="K578">
            <v>0</v>
          </cell>
          <cell r="L578">
            <v>339408825</v>
          </cell>
        </row>
        <row r="579">
          <cell r="C579" t="str">
            <v>Hikari (3L)</v>
          </cell>
          <cell r="K579">
            <v>0</v>
          </cell>
          <cell r="L579">
            <v>0</v>
          </cell>
        </row>
        <row r="580">
          <cell r="C580" t="str">
            <v>Hikari (L)</v>
          </cell>
          <cell r="K580">
            <v>0</v>
          </cell>
          <cell r="L580">
            <v>0</v>
          </cell>
        </row>
        <row r="581">
          <cell r="C581" t="str">
            <v>Hikari (M)</v>
          </cell>
          <cell r="K581">
            <v>0</v>
          </cell>
          <cell r="L581">
            <v>0</v>
          </cell>
        </row>
        <row r="582">
          <cell r="C582" t="str">
            <v>Hikari Marutoku (2L)</v>
          </cell>
          <cell r="K582">
            <v>0</v>
          </cell>
          <cell r="L582">
            <v>0</v>
          </cell>
        </row>
        <row r="583">
          <cell r="C583" t="str">
            <v>Penjualan Export To Tomaya Co,Ltd Inv.055/IAS-EXP/XI/14</v>
          </cell>
          <cell r="K583">
            <v>0</v>
          </cell>
          <cell r="L583">
            <v>0</v>
          </cell>
        </row>
        <row r="584">
          <cell r="C584" t="str">
            <v>Tomaya Co.Ltd</v>
          </cell>
          <cell r="K584">
            <v>902742825</v>
          </cell>
          <cell r="L584">
            <v>0</v>
          </cell>
        </row>
        <row r="585">
          <cell r="C585">
            <v>73965</v>
          </cell>
          <cell r="K585">
            <v>0</v>
          </cell>
          <cell r="L585">
            <v>0</v>
          </cell>
        </row>
        <row r="586">
          <cell r="C586" t="str">
            <v>Penjualan Eksport</v>
          </cell>
          <cell r="K586">
            <v>0</v>
          </cell>
          <cell r="L586">
            <v>902742825</v>
          </cell>
        </row>
        <row r="587">
          <cell r="C587" t="str">
            <v>Ebi Fry San Sugar (L)</v>
          </cell>
          <cell r="K587">
            <v>0</v>
          </cell>
          <cell r="L587">
            <v>0</v>
          </cell>
        </row>
        <row r="588">
          <cell r="C588" t="str">
            <v>Ebi Fry San Sugar (M)</v>
          </cell>
          <cell r="K588">
            <v>0</v>
          </cell>
          <cell r="L588">
            <v>0</v>
          </cell>
        </row>
        <row r="589">
          <cell r="C589" t="str">
            <v>Marushin Tomaya (3L)</v>
          </cell>
          <cell r="K589">
            <v>0</v>
          </cell>
          <cell r="L589">
            <v>0</v>
          </cell>
        </row>
        <row r="590">
          <cell r="C590" t="str">
            <v>Terima penjualan export To Tomaya, Inv : 058/IAS</v>
          </cell>
          <cell r="K590">
            <v>0</v>
          </cell>
          <cell r="L590">
            <v>0</v>
          </cell>
        </row>
        <row r="591">
          <cell r="C591" t="str">
            <v>Alpha Trading Co. Ltd</v>
          </cell>
          <cell r="K591">
            <v>840879726</v>
          </cell>
          <cell r="L591">
            <v>0</v>
          </cell>
        </row>
        <row r="592">
          <cell r="C592">
            <v>69231</v>
          </cell>
          <cell r="K592">
            <v>0</v>
          </cell>
          <cell r="L592">
            <v>0</v>
          </cell>
        </row>
        <row r="593">
          <cell r="C593" t="str">
            <v>Penjualan Eksport</v>
          </cell>
          <cell r="K593">
            <v>0</v>
          </cell>
          <cell r="L593">
            <v>840879726</v>
          </cell>
        </row>
        <row r="594">
          <cell r="C594" t="str">
            <v>Alpha Ebi Fry (50 Gr)</v>
          </cell>
          <cell r="K594">
            <v>0</v>
          </cell>
          <cell r="L594">
            <v>0</v>
          </cell>
        </row>
        <row r="595">
          <cell r="C595" t="str">
            <v>Alpha Ebi Fry (30 Gr)</v>
          </cell>
          <cell r="K595">
            <v>0</v>
          </cell>
          <cell r="L595">
            <v>0</v>
          </cell>
        </row>
        <row r="596">
          <cell r="C596" t="str">
            <v>Alpha Ebi Fry (25 Gr)</v>
          </cell>
          <cell r="K596">
            <v>0</v>
          </cell>
          <cell r="L596">
            <v>0</v>
          </cell>
        </row>
        <row r="597">
          <cell r="C597" t="str">
            <v>Alpha Ebi Fry (20 Gr)</v>
          </cell>
          <cell r="K597">
            <v>0</v>
          </cell>
          <cell r="L597">
            <v>0</v>
          </cell>
        </row>
        <row r="598">
          <cell r="C598" t="str">
            <v>Obento (25 Gr)</v>
          </cell>
          <cell r="K598">
            <v>0</v>
          </cell>
          <cell r="L598">
            <v>0</v>
          </cell>
        </row>
        <row r="599">
          <cell r="C599" t="str">
            <v>Terima penjualan export To Alpha trading, INV : 059/IAS</v>
          </cell>
          <cell r="K599">
            <v>0</v>
          </cell>
          <cell r="L599">
            <v>0</v>
          </cell>
        </row>
        <row r="600">
          <cell r="C600" t="str">
            <v>Eiger Co. Ltd</v>
          </cell>
          <cell r="K600">
            <v>806439984</v>
          </cell>
          <cell r="L600">
            <v>0</v>
          </cell>
        </row>
        <row r="601">
          <cell r="C601">
            <v>66516</v>
          </cell>
          <cell r="K601">
            <v>0</v>
          </cell>
          <cell r="L601">
            <v>0</v>
          </cell>
        </row>
        <row r="602">
          <cell r="C602" t="str">
            <v>Penjualan Eksport</v>
          </cell>
          <cell r="K602">
            <v>0</v>
          </cell>
          <cell r="L602">
            <v>806439984</v>
          </cell>
        </row>
        <row r="603">
          <cell r="C603" t="str">
            <v>Syokukai Ebi Fry (45 Gr)</v>
          </cell>
          <cell r="K603">
            <v>0</v>
          </cell>
          <cell r="L603">
            <v>0</v>
          </cell>
        </row>
        <row r="604">
          <cell r="C604" t="str">
            <v>Syokukai Ebi Fry (40 Gr)</v>
          </cell>
          <cell r="K604">
            <v>0</v>
          </cell>
          <cell r="L604">
            <v>0</v>
          </cell>
        </row>
        <row r="605">
          <cell r="C605" t="str">
            <v>Syokukai Ebi Fry (35 Gr)</v>
          </cell>
          <cell r="K605">
            <v>0</v>
          </cell>
          <cell r="L605">
            <v>0</v>
          </cell>
        </row>
        <row r="606">
          <cell r="C606" t="str">
            <v>Syokukai Ebi Fry (30 Gr)</v>
          </cell>
          <cell r="K606">
            <v>0</v>
          </cell>
          <cell r="L606">
            <v>0</v>
          </cell>
        </row>
        <row r="607">
          <cell r="C607" t="str">
            <v>Syokukai Ebi Fry (25 Gr)</v>
          </cell>
          <cell r="K607">
            <v>0</v>
          </cell>
          <cell r="L607">
            <v>0</v>
          </cell>
        </row>
        <row r="608">
          <cell r="C608" t="str">
            <v>Syokukai Ebi Fry (20 Gr)</v>
          </cell>
          <cell r="K608">
            <v>0</v>
          </cell>
          <cell r="L608">
            <v>0</v>
          </cell>
        </row>
        <row r="609">
          <cell r="C609" t="str">
            <v>Syokukai Ebi Fry (12 Gr)</v>
          </cell>
          <cell r="K609">
            <v>0</v>
          </cell>
          <cell r="L609">
            <v>0</v>
          </cell>
        </row>
        <row r="610">
          <cell r="C610" t="str">
            <v>Ebi Fry Tokuyu (30 Gr)</v>
          </cell>
          <cell r="K610">
            <v>0</v>
          </cell>
          <cell r="L610">
            <v>0</v>
          </cell>
        </row>
        <row r="611">
          <cell r="C611" t="str">
            <v>Syokukai Breaded HO (38 Gr)</v>
          </cell>
          <cell r="K611">
            <v>0</v>
          </cell>
          <cell r="L611">
            <v>0</v>
          </cell>
        </row>
        <row r="612">
          <cell r="C612" t="str">
            <v>Natural Ebi Fry (30 Gr)</v>
          </cell>
          <cell r="K612">
            <v>0</v>
          </cell>
          <cell r="L612">
            <v>0</v>
          </cell>
        </row>
        <row r="613">
          <cell r="C613" t="str">
            <v>Terima penj export To eiger, Inv : 057/IAS</v>
          </cell>
          <cell r="K613">
            <v>0</v>
          </cell>
          <cell r="L613">
            <v>0</v>
          </cell>
        </row>
        <row r="614">
          <cell r="C614" t="str">
            <v>Tomaya Co.Ltd</v>
          </cell>
          <cell r="K614">
            <v>869564850</v>
          </cell>
          <cell r="L614">
            <v>0</v>
          </cell>
        </row>
        <row r="615">
          <cell r="C615">
            <v>71475</v>
          </cell>
          <cell r="K615">
            <v>0</v>
          </cell>
          <cell r="L615">
            <v>0</v>
          </cell>
        </row>
        <row r="616">
          <cell r="C616" t="str">
            <v>Penjualan Eksport</v>
          </cell>
          <cell r="K616">
            <v>0</v>
          </cell>
          <cell r="L616">
            <v>869564850</v>
          </cell>
        </row>
        <row r="617">
          <cell r="C617" t="str">
            <v>Ebi Fry San Sugar (L)</v>
          </cell>
          <cell r="K617">
            <v>0</v>
          </cell>
          <cell r="L617">
            <v>0</v>
          </cell>
        </row>
        <row r="618">
          <cell r="C618" t="str">
            <v>Ebi Fry San Sugar (M)</v>
          </cell>
          <cell r="K618">
            <v>0</v>
          </cell>
          <cell r="L618">
            <v>0</v>
          </cell>
        </row>
        <row r="619">
          <cell r="C619" t="str">
            <v>Marushin Tomaya (3L)</v>
          </cell>
          <cell r="K619">
            <v>0</v>
          </cell>
          <cell r="L619">
            <v>0</v>
          </cell>
        </row>
        <row r="620">
          <cell r="C620" t="str">
            <v>Marushin Tomaya (L)</v>
          </cell>
          <cell r="K620">
            <v>0</v>
          </cell>
          <cell r="L620">
            <v>0</v>
          </cell>
        </row>
        <row r="621">
          <cell r="C621" t="str">
            <v>Terima penjualan export To Tomaya, INV : 061/IAS</v>
          </cell>
          <cell r="K621">
            <v>0</v>
          </cell>
          <cell r="L621">
            <v>0</v>
          </cell>
        </row>
        <row r="622">
          <cell r="C622" t="str">
            <v>Eiger Co. Ltd</v>
          </cell>
          <cell r="K622">
            <v>1461635891.2</v>
          </cell>
          <cell r="L622">
            <v>0</v>
          </cell>
        </row>
        <row r="623">
          <cell r="C623">
            <v>120012.8</v>
          </cell>
          <cell r="K623">
            <v>0</v>
          </cell>
          <cell r="L623">
            <v>0</v>
          </cell>
        </row>
        <row r="624">
          <cell r="C624" t="str">
            <v>Penjualan Eksport</v>
          </cell>
          <cell r="K624">
            <v>0</v>
          </cell>
          <cell r="L624">
            <v>1461635891.2</v>
          </cell>
        </row>
        <row r="625">
          <cell r="C625" t="str">
            <v>Ebi Fry Nisshin (3L)</v>
          </cell>
          <cell r="K625">
            <v>0</v>
          </cell>
          <cell r="L625">
            <v>0</v>
          </cell>
        </row>
        <row r="626">
          <cell r="C626" t="str">
            <v>Ebi Fry Nisshin (LL)</v>
          </cell>
          <cell r="K626">
            <v>0</v>
          </cell>
          <cell r="L626">
            <v>0</v>
          </cell>
        </row>
        <row r="627">
          <cell r="C627" t="str">
            <v>Ebi Fry Nisshin (M)</v>
          </cell>
          <cell r="K627">
            <v>0</v>
          </cell>
          <cell r="L627">
            <v>0</v>
          </cell>
        </row>
        <row r="628">
          <cell r="C628" t="str">
            <v>PTO'S (26-30)</v>
          </cell>
          <cell r="K628">
            <v>0</v>
          </cell>
          <cell r="L628">
            <v>0</v>
          </cell>
        </row>
        <row r="629">
          <cell r="C629" t="str">
            <v>PTO'S (31-40)</v>
          </cell>
          <cell r="K629">
            <v>0</v>
          </cell>
          <cell r="L629">
            <v>0</v>
          </cell>
        </row>
        <row r="630">
          <cell r="C630" t="str">
            <v>Terima penj Export To eiger, Inv : 060/IAS</v>
          </cell>
          <cell r="K630">
            <v>0</v>
          </cell>
          <cell r="L630">
            <v>0</v>
          </cell>
        </row>
        <row r="631">
          <cell r="C631" t="str">
            <v>Eiger Co. Ltd</v>
          </cell>
          <cell r="K631">
            <v>769027660</v>
          </cell>
          <cell r="L631">
            <v>0</v>
          </cell>
        </row>
        <row r="632">
          <cell r="C632">
            <v>62548</v>
          </cell>
          <cell r="K632">
            <v>0</v>
          </cell>
          <cell r="L632">
            <v>0</v>
          </cell>
        </row>
        <row r="633">
          <cell r="C633" t="str">
            <v>Penjualan Eksport</v>
          </cell>
          <cell r="K633">
            <v>0</v>
          </cell>
          <cell r="L633">
            <v>769027660</v>
          </cell>
        </row>
        <row r="634">
          <cell r="C634" t="str">
            <v>Syokukai Ebi Fry (45 Gr)</v>
          </cell>
          <cell r="K634">
            <v>0</v>
          </cell>
          <cell r="L634">
            <v>0</v>
          </cell>
        </row>
        <row r="635">
          <cell r="C635" t="str">
            <v>Syokukai Ebi Fry (35 Gr)</v>
          </cell>
          <cell r="K635">
            <v>0</v>
          </cell>
          <cell r="L635">
            <v>0</v>
          </cell>
        </row>
        <row r="636">
          <cell r="C636" t="str">
            <v>Syokukai Ebi Fry (30 Gr)</v>
          </cell>
          <cell r="K636">
            <v>0</v>
          </cell>
          <cell r="L636">
            <v>0</v>
          </cell>
        </row>
        <row r="637">
          <cell r="C637" t="str">
            <v>Syokukai Ebi Fry (25 Gr)</v>
          </cell>
          <cell r="K637">
            <v>0</v>
          </cell>
          <cell r="L637">
            <v>0</v>
          </cell>
        </row>
        <row r="638">
          <cell r="C638" t="str">
            <v>Syokukai Ebi Fry (20 Gr)</v>
          </cell>
          <cell r="K638">
            <v>0</v>
          </cell>
          <cell r="L638">
            <v>0</v>
          </cell>
        </row>
        <row r="639">
          <cell r="C639" t="str">
            <v>Syokukai Ebi Fry (12 Gr)</v>
          </cell>
          <cell r="K639">
            <v>0</v>
          </cell>
          <cell r="L639">
            <v>0</v>
          </cell>
        </row>
        <row r="640">
          <cell r="C640" t="str">
            <v>Ebi Fry Tokuyu (30 Gr)</v>
          </cell>
          <cell r="K640">
            <v>0</v>
          </cell>
          <cell r="L640">
            <v>0</v>
          </cell>
        </row>
        <row r="641">
          <cell r="C641" t="str">
            <v>Syokukai Breaded HO (38 Gr)</v>
          </cell>
          <cell r="K641">
            <v>0</v>
          </cell>
          <cell r="L641">
            <v>0</v>
          </cell>
        </row>
        <row r="642">
          <cell r="C642" t="str">
            <v>Natural Ebi Fry (30 Gr)</v>
          </cell>
          <cell r="K642">
            <v>0</v>
          </cell>
          <cell r="L642">
            <v>0</v>
          </cell>
        </row>
        <row r="643">
          <cell r="C643" t="str">
            <v>Penjualan Export To Tomaya Co.,Ltd Inv.063/IAS-EXP/XII/14</v>
          </cell>
          <cell r="K643">
            <v>0</v>
          </cell>
          <cell r="L643">
            <v>0</v>
          </cell>
        </row>
        <row r="644">
          <cell r="C644" t="str">
            <v>Alpha Trading Co. Ltd</v>
          </cell>
          <cell r="K644">
            <v>904880280</v>
          </cell>
          <cell r="L644">
            <v>0</v>
          </cell>
        </row>
        <row r="645">
          <cell r="C645">
            <v>73460</v>
          </cell>
          <cell r="K645">
            <v>0</v>
          </cell>
          <cell r="L645">
            <v>0</v>
          </cell>
        </row>
        <row r="646">
          <cell r="C646" t="str">
            <v>Penjualan Eksport</v>
          </cell>
          <cell r="K646">
            <v>0</v>
          </cell>
          <cell r="L646">
            <v>904880280</v>
          </cell>
        </row>
        <row r="647">
          <cell r="C647" t="str">
            <v>Alpha Ebi Fry (50 Gr)</v>
          </cell>
          <cell r="K647">
            <v>0</v>
          </cell>
          <cell r="L647">
            <v>0</v>
          </cell>
        </row>
        <row r="648">
          <cell r="C648" t="str">
            <v>Alpha Ebi Fry (40 Gr)</v>
          </cell>
          <cell r="K648">
            <v>0</v>
          </cell>
          <cell r="L648">
            <v>0</v>
          </cell>
        </row>
        <row r="649">
          <cell r="C649" t="str">
            <v>Penjualan Export To Alpha Trading Co,.Ltd Inv.062/IAS-EXP/XII/14</v>
          </cell>
          <cell r="K649">
            <v>0</v>
          </cell>
          <cell r="L649">
            <v>0</v>
          </cell>
        </row>
        <row r="650">
          <cell r="C650" t="str">
            <v>Tomaya Co.Ltd</v>
          </cell>
          <cell r="K650">
            <v>815101200</v>
          </cell>
          <cell r="L650">
            <v>0</v>
          </cell>
        </row>
        <row r="651">
          <cell r="C651">
            <v>66075</v>
          </cell>
          <cell r="K651">
            <v>0</v>
          </cell>
          <cell r="L651">
            <v>0</v>
          </cell>
        </row>
        <row r="652">
          <cell r="C652" t="str">
            <v>Penjualan Eksport</v>
          </cell>
          <cell r="K652">
            <v>0</v>
          </cell>
          <cell r="L652">
            <v>815101200</v>
          </cell>
        </row>
        <row r="653">
          <cell r="C653" t="str">
            <v>Marushin Tomaya (L)</v>
          </cell>
          <cell r="K653">
            <v>0</v>
          </cell>
          <cell r="L653">
            <v>0</v>
          </cell>
        </row>
        <row r="654">
          <cell r="C654" t="str">
            <v>Hikari (L)</v>
          </cell>
          <cell r="K654">
            <v>0</v>
          </cell>
          <cell r="L654">
            <v>0</v>
          </cell>
        </row>
        <row r="655">
          <cell r="C655" t="str">
            <v>Ebi Fry San Sugar (L)</v>
          </cell>
          <cell r="K655">
            <v>0</v>
          </cell>
          <cell r="L655">
            <v>0</v>
          </cell>
        </row>
        <row r="656">
          <cell r="C656" t="str">
            <v>Ebi Fry San Sugar (M)</v>
          </cell>
          <cell r="K656">
            <v>0</v>
          </cell>
          <cell r="L656">
            <v>0</v>
          </cell>
        </row>
        <row r="657">
          <cell r="C657" t="str">
            <v>Penjualan Export To Tomaya Co.,Ltd Inv.064/IAS-EXP/XII/14</v>
          </cell>
          <cell r="K657">
            <v>0</v>
          </cell>
          <cell r="L657">
            <v>0</v>
          </cell>
        </row>
        <row r="658">
          <cell r="C658" t="str">
            <v>Eiger Co. Ltd</v>
          </cell>
          <cell r="K658">
            <v>796066752</v>
          </cell>
          <cell r="L658">
            <v>0</v>
          </cell>
        </row>
        <row r="659">
          <cell r="C659">
            <v>64532</v>
          </cell>
          <cell r="K659">
            <v>0</v>
          </cell>
          <cell r="L659">
            <v>0</v>
          </cell>
        </row>
        <row r="660">
          <cell r="C660" t="str">
            <v>Penjualan Eksport</v>
          </cell>
          <cell r="K660">
            <v>0</v>
          </cell>
          <cell r="L660">
            <v>796066752</v>
          </cell>
        </row>
        <row r="661">
          <cell r="C661" t="str">
            <v>Syokukai Ebi Fry (40 Gr)</v>
          </cell>
          <cell r="K661">
            <v>0</v>
          </cell>
          <cell r="L661">
            <v>0</v>
          </cell>
        </row>
        <row r="662">
          <cell r="C662" t="str">
            <v>Syokukai Ebi Fry (35 Gr)</v>
          </cell>
          <cell r="K662">
            <v>0</v>
          </cell>
          <cell r="L662">
            <v>0</v>
          </cell>
        </row>
        <row r="663">
          <cell r="C663" t="str">
            <v>Syokukai Ebi Fry (30 Gr)</v>
          </cell>
          <cell r="K663">
            <v>0</v>
          </cell>
          <cell r="L663">
            <v>0</v>
          </cell>
        </row>
        <row r="664">
          <cell r="C664" t="str">
            <v>Syokukai Ebi Fry (25 Gr)</v>
          </cell>
          <cell r="K664">
            <v>0</v>
          </cell>
          <cell r="L664">
            <v>0</v>
          </cell>
        </row>
        <row r="665">
          <cell r="C665" t="str">
            <v>Syokukai Ebi Fry (20 Gr)</v>
          </cell>
          <cell r="K665">
            <v>0</v>
          </cell>
          <cell r="L665">
            <v>0</v>
          </cell>
        </row>
        <row r="666">
          <cell r="C666" t="str">
            <v>Syokukai Ebi Fry (12 Gr)</v>
          </cell>
          <cell r="K666">
            <v>0</v>
          </cell>
          <cell r="L666">
            <v>0</v>
          </cell>
        </row>
        <row r="667">
          <cell r="C667" t="str">
            <v>Ebi Fry Tokuyu (30 Gr)</v>
          </cell>
          <cell r="K667">
            <v>0</v>
          </cell>
          <cell r="L667">
            <v>0</v>
          </cell>
        </row>
        <row r="668">
          <cell r="C668" t="str">
            <v>Syokukai Breaded HO (38 Gr)</v>
          </cell>
          <cell r="K668">
            <v>0</v>
          </cell>
          <cell r="L668">
            <v>0</v>
          </cell>
        </row>
        <row r="669">
          <cell r="C669" t="str">
            <v>Natural Ebi Fry (30 Gr)</v>
          </cell>
          <cell r="K669">
            <v>0</v>
          </cell>
          <cell r="L669">
            <v>0</v>
          </cell>
        </row>
        <row r="670">
          <cell r="C670" t="str">
            <v>Penjualan Export To Eiger.,Ltd Inv.065/IAS-EXP/XII/14</v>
          </cell>
          <cell r="K670">
            <v>0</v>
          </cell>
          <cell r="L670">
            <v>0</v>
          </cell>
        </row>
        <row r="671">
          <cell r="C671" t="str">
            <v>Eiger Co. Ltd</v>
          </cell>
          <cell r="K671">
            <v>817336320</v>
          </cell>
          <cell r="L671">
            <v>0</v>
          </cell>
        </row>
        <row r="672">
          <cell r="C672">
            <v>64256</v>
          </cell>
          <cell r="K672">
            <v>0</v>
          </cell>
          <cell r="L672">
            <v>0</v>
          </cell>
        </row>
        <row r="673">
          <cell r="C673" t="str">
            <v>Penjualan Eksport</v>
          </cell>
          <cell r="K673">
            <v>0</v>
          </cell>
          <cell r="L673">
            <v>817336320</v>
          </cell>
        </row>
        <row r="674">
          <cell r="C674" t="str">
            <v>Syokukai Ebi Fry (45 Gr)</v>
          </cell>
          <cell r="K674">
            <v>0</v>
          </cell>
          <cell r="L674">
            <v>0</v>
          </cell>
        </row>
        <row r="675">
          <cell r="C675" t="str">
            <v>Syokukai Ebi Fry (40 Gr)</v>
          </cell>
          <cell r="K675">
            <v>0</v>
          </cell>
          <cell r="L675">
            <v>0</v>
          </cell>
        </row>
        <row r="676">
          <cell r="C676" t="str">
            <v>Syokukai Ebi Fry (35 Gr)</v>
          </cell>
          <cell r="K676">
            <v>0</v>
          </cell>
          <cell r="L676">
            <v>0</v>
          </cell>
        </row>
        <row r="677">
          <cell r="C677" t="str">
            <v>Syokukai Ebi Fry (30 Gr)</v>
          </cell>
          <cell r="K677">
            <v>0</v>
          </cell>
          <cell r="L677">
            <v>0</v>
          </cell>
        </row>
        <row r="678">
          <cell r="C678" t="str">
            <v>Syokukai Ebi Fry (25 Gr)</v>
          </cell>
          <cell r="K678">
            <v>0</v>
          </cell>
          <cell r="L678">
            <v>0</v>
          </cell>
        </row>
        <row r="679">
          <cell r="C679" t="str">
            <v>Syokukai Ebi Fry (20 Gr)</v>
          </cell>
          <cell r="K679">
            <v>0</v>
          </cell>
          <cell r="L679">
            <v>0</v>
          </cell>
        </row>
        <row r="680">
          <cell r="C680" t="str">
            <v>Syokukai Ebi Fry (12 Gr)</v>
          </cell>
          <cell r="K680">
            <v>0</v>
          </cell>
          <cell r="L680">
            <v>0</v>
          </cell>
        </row>
        <row r="681">
          <cell r="C681" t="str">
            <v>Ebi Fry Tokuyu (30 Gr)</v>
          </cell>
          <cell r="K681">
            <v>0</v>
          </cell>
          <cell r="L681">
            <v>0</v>
          </cell>
        </row>
        <row r="682">
          <cell r="C682" t="str">
            <v>Syokukai Breaded HO (38 Gr)</v>
          </cell>
          <cell r="K682">
            <v>0</v>
          </cell>
          <cell r="L682">
            <v>0</v>
          </cell>
        </row>
        <row r="683">
          <cell r="C683" t="str">
            <v>Natural Ebi Fry (30 Gr)</v>
          </cell>
          <cell r="K683">
            <v>0</v>
          </cell>
          <cell r="L683">
            <v>0</v>
          </cell>
        </row>
        <row r="684">
          <cell r="C684" t="str">
            <v>Penjualan Export To Eiger.,Ltd Inv.065/IAS-EXP/XII/14</v>
          </cell>
          <cell r="K684">
            <v>0</v>
          </cell>
          <cell r="L684">
            <v>0</v>
          </cell>
        </row>
        <row r="685">
          <cell r="C685" t="str">
            <v>Eiger Co. Ltd</v>
          </cell>
          <cell r="K685">
            <v>808934700</v>
          </cell>
          <cell r="L685">
            <v>0</v>
          </cell>
        </row>
        <row r="686">
          <cell r="C686">
            <v>64380</v>
          </cell>
          <cell r="K686">
            <v>0</v>
          </cell>
          <cell r="L686">
            <v>0</v>
          </cell>
        </row>
        <row r="687">
          <cell r="C687" t="str">
            <v>Penjualan Eksport</v>
          </cell>
          <cell r="K687">
            <v>0</v>
          </cell>
          <cell r="L687">
            <v>808934700</v>
          </cell>
        </row>
        <row r="688">
          <cell r="C688" t="str">
            <v>Syokukai Ebi Fry (45 Gr)</v>
          </cell>
          <cell r="K688">
            <v>0</v>
          </cell>
          <cell r="L688">
            <v>0</v>
          </cell>
        </row>
        <row r="689">
          <cell r="C689" t="str">
            <v>Syokukai Ebi Fry (40 Gr)</v>
          </cell>
          <cell r="K689">
            <v>0</v>
          </cell>
          <cell r="L689">
            <v>0</v>
          </cell>
        </row>
        <row r="690">
          <cell r="C690" t="str">
            <v>Syokukai Ebi Fry (35 Gr)</v>
          </cell>
          <cell r="K690">
            <v>0</v>
          </cell>
          <cell r="L690">
            <v>0</v>
          </cell>
        </row>
        <row r="691">
          <cell r="C691" t="str">
            <v>Syokukai Ebi Fry (30 Gr)</v>
          </cell>
          <cell r="K691">
            <v>0</v>
          </cell>
          <cell r="L691">
            <v>0</v>
          </cell>
        </row>
        <row r="692">
          <cell r="C692" t="str">
            <v>Syokukai Ebi Fry (25 Gr)</v>
          </cell>
          <cell r="K692">
            <v>0</v>
          </cell>
          <cell r="L692">
            <v>0</v>
          </cell>
        </row>
        <row r="693">
          <cell r="C693" t="str">
            <v>Syokukai Ebi Fry (20 Gr)</v>
          </cell>
          <cell r="K693">
            <v>0</v>
          </cell>
          <cell r="L693">
            <v>0</v>
          </cell>
        </row>
        <row r="694">
          <cell r="C694" t="str">
            <v>Ebi Fry Tokuyu (30 Gr)</v>
          </cell>
          <cell r="K694">
            <v>0</v>
          </cell>
          <cell r="L694">
            <v>0</v>
          </cell>
        </row>
        <row r="695">
          <cell r="C695" t="str">
            <v>Syokukai Breaded HO (38 Gr)</v>
          </cell>
          <cell r="K695">
            <v>0</v>
          </cell>
          <cell r="L695">
            <v>0</v>
          </cell>
        </row>
        <row r="696">
          <cell r="C696" t="str">
            <v>Natural Ebi Fry (30 Gr)</v>
          </cell>
          <cell r="K696">
            <v>0</v>
          </cell>
          <cell r="L696">
            <v>0</v>
          </cell>
        </row>
        <row r="697">
          <cell r="C697" t="str">
            <v>Penjualan Export To Eiger Co.,Ltd Inv.067/IAS-EXP/XII/14</v>
          </cell>
          <cell r="K697">
            <v>0</v>
          </cell>
          <cell r="L697">
            <v>0</v>
          </cell>
        </row>
        <row r="698">
          <cell r="C698" t="str">
            <v>Eiger Co. Ltd</v>
          </cell>
          <cell r="K698">
            <v>845462072</v>
          </cell>
          <cell r="L698">
            <v>0</v>
          </cell>
        </row>
        <row r="699">
          <cell r="C699">
            <v>67816</v>
          </cell>
          <cell r="K699">
            <v>0</v>
          </cell>
          <cell r="L699">
            <v>0</v>
          </cell>
        </row>
        <row r="700">
          <cell r="C700" t="str">
            <v>Penjualan Eksport</v>
          </cell>
          <cell r="K700">
            <v>0</v>
          </cell>
          <cell r="L700">
            <v>845462072</v>
          </cell>
        </row>
        <row r="701">
          <cell r="C701" t="str">
            <v>Syokukai Ebi Fry (35 Gr)</v>
          </cell>
          <cell r="K701">
            <v>0</v>
          </cell>
          <cell r="L701">
            <v>0</v>
          </cell>
        </row>
        <row r="702">
          <cell r="C702" t="str">
            <v>Syokukai Ebi Fry (30 Gr)</v>
          </cell>
          <cell r="K702">
            <v>0</v>
          </cell>
          <cell r="L702">
            <v>0</v>
          </cell>
        </row>
        <row r="703">
          <cell r="C703" t="str">
            <v>Syokukai Ebi Fry (12 Gr)</v>
          </cell>
          <cell r="K703">
            <v>0</v>
          </cell>
          <cell r="L703">
            <v>0</v>
          </cell>
        </row>
        <row r="704">
          <cell r="C704" t="str">
            <v>Ebi Fry Tokuyu (30 Gr)</v>
          </cell>
          <cell r="K704">
            <v>0</v>
          </cell>
          <cell r="L704">
            <v>0</v>
          </cell>
        </row>
        <row r="705">
          <cell r="C705" t="str">
            <v>Terima penj export To : Eiger, BL : YMLUI 4320063153, INV : 068/IAS</v>
          </cell>
          <cell r="K705">
            <v>0</v>
          </cell>
          <cell r="L705">
            <v>0</v>
          </cell>
        </row>
        <row r="706">
          <cell r="C706" t="str">
            <v>Tomaya Co.Ltd</v>
          </cell>
          <cell r="K706">
            <v>836631900</v>
          </cell>
          <cell r="L706">
            <v>0</v>
          </cell>
        </row>
        <row r="707">
          <cell r="C707">
            <v>67275</v>
          </cell>
          <cell r="K707">
            <v>0</v>
          </cell>
          <cell r="L707">
            <v>0</v>
          </cell>
        </row>
        <row r="708">
          <cell r="C708" t="str">
            <v>Penjualan Eksport</v>
          </cell>
          <cell r="K708">
            <v>0</v>
          </cell>
          <cell r="L708">
            <v>836631900</v>
          </cell>
        </row>
        <row r="709">
          <cell r="C709" t="str">
            <v>Marushin Tomaya (L)</v>
          </cell>
          <cell r="K709">
            <v>0</v>
          </cell>
          <cell r="L709">
            <v>0</v>
          </cell>
        </row>
        <row r="710">
          <cell r="C710" t="str">
            <v>Ebi Fry San Sugar (L)</v>
          </cell>
          <cell r="K710">
            <v>0</v>
          </cell>
          <cell r="L710">
            <v>0</v>
          </cell>
        </row>
        <row r="711">
          <cell r="C711" t="str">
            <v>Ebi Fry San Sugar (M)</v>
          </cell>
          <cell r="K711">
            <v>0</v>
          </cell>
          <cell r="L711">
            <v>0</v>
          </cell>
        </row>
        <row r="712">
          <cell r="C712" t="str">
            <v>Terima penj export To : Tomaya, BL : YMLUI 4320063159, INV : 069/IAS</v>
          </cell>
          <cell r="K712">
            <v>0</v>
          </cell>
          <cell r="L712">
            <v>0</v>
          </cell>
        </row>
        <row r="713">
          <cell r="C713" t="str">
            <v>Eiger Co. Ltd</v>
          </cell>
          <cell r="K713">
            <v>760183520</v>
          </cell>
          <cell r="L713">
            <v>0</v>
          </cell>
        </row>
        <row r="714">
          <cell r="C714">
            <v>61108</v>
          </cell>
          <cell r="K714">
            <v>0</v>
          </cell>
          <cell r="L714">
            <v>0</v>
          </cell>
        </row>
        <row r="715">
          <cell r="C715" t="str">
            <v>Penjualan Eksport</v>
          </cell>
          <cell r="K715">
            <v>0</v>
          </cell>
          <cell r="L715">
            <v>760183520</v>
          </cell>
        </row>
        <row r="716">
          <cell r="C716" t="str">
            <v>Syokukai Ebi Fry (40 Gr)</v>
          </cell>
          <cell r="K716">
            <v>0</v>
          </cell>
          <cell r="L716">
            <v>0</v>
          </cell>
        </row>
        <row r="717">
          <cell r="C717" t="str">
            <v>Syokukai Ebi Fry (35 Gr)</v>
          </cell>
          <cell r="K717">
            <v>0</v>
          </cell>
          <cell r="L717">
            <v>0</v>
          </cell>
        </row>
        <row r="718">
          <cell r="C718" t="str">
            <v>Syokukai Ebi Fry (30 Gr)</v>
          </cell>
          <cell r="K718">
            <v>0</v>
          </cell>
          <cell r="L718">
            <v>0</v>
          </cell>
        </row>
        <row r="719">
          <cell r="C719" t="str">
            <v>Syokukai Ebi Fry (25 Gr)</v>
          </cell>
          <cell r="K719">
            <v>0</v>
          </cell>
          <cell r="L719">
            <v>0</v>
          </cell>
        </row>
        <row r="720">
          <cell r="C720" t="str">
            <v>Syokukai Ebi Fry (20 Gr)</v>
          </cell>
          <cell r="K720">
            <v>0</v>
          </cell>
          <cell r="L720">
            <v>0</v>
          </cell>
        </row>
        <row r="721">
          <cell r="C721" t="str">
            <v>Syokukai Ebi Fry (12 Gr)</v>
          </cell>
          <cell r="K721">
            <v>0</v>
          </cell>
          <cell r="L721">
            <v>0</v>
          </cell>
        </row>
        <row r="722">
          <cell r="C722" t="str">
            <v>Ebi Fry Tokuyu (30 Gr)</v>
          </cell>
          <cell r="K722">
            <v>0</v>
          </cell>
          <cell r="L722">
            <v>0</v>
          </cell>
        </row>
        <row r="723">
          <cell r="C723" t="str">
            <v>Terima penj export To : Eiger, BL : MCC 684772, INV : 070/IAS</v>
          </cell>
          <cell r="K723">
            <v>0</v>
          </cell>
          <cell r="L72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Cs (2)"/>
      <sheetName val="TB Cs"/>
      <sheetName val="Journal"/>
      <sheetName val="Payment"/>
      <sheetName val="Receipt"/>
      <sheetName val="Sheet1"/>
      <sheetName val="Sheet2"/>
      <sheetName val="Sheet4"/>
      <sheetName val="Sheet3"/>
    </sheetNames>
    <sheetDataSet>
      <sheetData sheetId="0" refreshError="1"/>
      <sheetData sheetId="1">
        <row r="13">
          <cell r="K13">
            <v>0</v>
          </cell>
        </row>
      </sheetData>
      <sheetData sheetId="2">
        <row r="7">
          <cell r="C7" t="str">
            <v>Lanny</v>
          </cell>
          <cell r="D7">
            <v>1</v>
          </cell>
          <cell r="K7">
            <v>100595000</v>
          </cell>
        </row>
        <row r="8">
          <cell r="C8" t="str">
            <v>Penjualan SHM</v>
          </cell>
          <cell r="D8">
            <v>1</v>
          </cell>
          <cell r="L8">
            <v>91450000</v>
          </cell>
        </row>
        <row r="9">
          <cell r="C9" t="str">
            <v>PPN</v>
          </cell>
          <cell r="D9">
            <v>1</v>
          </cell>
          <cell r="L9">
            <v>9145000</v>
          </cell>
        </row>
        <row r="10">
          <cell r="C10" t="str">
            <v>PENJUALAN SHM @ 18.290 KG - LANNY</v>
          </cell>
          <cell r="D10">
            <v>1</v>
          </cell>
        </row>
        <row r="11">
          <cell r="C11" t="str">
            <v>Tansil, Tn</v>
          </cell>
          <cell r="D11">
            <v>1</v>
          </cell>
          <cell r="K11">
            <v>6000000</v>
          </cell>
        </row>
        <row r="12">
          <cell r="C12" t="str">
            <v>Penjualan SHM</v>
          </cell>
          <cell r="D12">
            <v>1</v>
          </cell>
          <cell r="L12">
            <v>5454545</v>
          </cell>
        </row>
        <row r="13">
          <cell r="C13" t="str">
            <v>PPN</v>
          </cell>
          <cell r="D13">
            <v>1</v>
          </cell>
          <cell r="L13">
            <v>545455</v>
          </cell>
        </row>
        <row r="14">
          <cell r="C14" t="str">
            <v>PENJUALAN SHM @ 1.000 KG - TANSIL</v>
          </cell>
          <cell r="D14">
            <v>1</v>
          </cell>
        </row>
        <row r="15">
          <cell r="C15" t="str">
            <v>Holding - Divisi</v>
          </cell>
          <cell r="D15">
            <v>1</v>
          </cell>
          <cell r="K15">
            <v>100595000</v>
          </cell>
        </row>
        <row r="16">
          <cell r="C16" t="str">
            <v>Lanny</v>
          </cell>
          <cell r="D16">
            <v>1</v>
          </cell>
          <cell r="L16">
            <v>100595000</v>
          </cell>
        </row>
        <row r="17">
          <cell r="C17" t="str">
            <v>TERIMA PENJUALAN SHM @ 18,290 KG. INV 0024/LS....,</v>
          </cell>
          <cell r="D17">
            <v>1</v>
          </cell>
        </row>
        <row r="18">
          <cell r="C18" t="str">
            <v>Holding - Divisi</v>
          </cell>
          <cell r="D18">
            <v>1</v>
          </cell>
          <cell r="K18">
            <v>105450000</v>
          </cell>
        </row>
        <row r="19">
          <cell r="C19" t="str">
            <v>Java Multi Trading, PT</v>
          </cell>
          <cell r="D19">
            <v>1</v>
          </cell>
          <cell r="L19">
            <v>105450000</v>
          </cell>
        </row>
        <row r="20">
          <cell r="C20" t="str">
            <v>TERIMA UM PENJUALAN SHM @ 5,045.45 KG.  VIA HOLDING (IDR 616) INV 0025/JMT....</v>
          </cell>
          <cell r="D20">
            <v>1</v>
          </cell>
        </row>
        <row r="21">
          <cell r="C21" t="str">
            <v>Java Multi Trading, PT</v>
          </cell>
          <cell r="D21">
            <v>1</v>
          </cell>
          <cell r="K21">
            <v>104728500</v>
          </cell>
        </row>
        <row r="22">
          <cell r="C22" t="str">
            <v>Penjualan SHM</v>
          </cell>
          <cell r="D22">
            <v>1</v>
          </cell>
          <cell r="L22">
            <v>95207727.269999996</v>
          </cell>
        </row>
        <row r="23">
          <cell r="C23" t="str">
            <v>PPN</v>
          </cell>
          <cell r="D23">
            <v>1</v>
          </cell>
          <cell r="L23">
            <v>9520772.7300000004</v>
          </cell>
        </row>
        <row r="24">
          <cell r="C24" t="str">
            <v>PENJUALAN SHM @ 18.870 KG - PT. JAVA MULTI TRAD</v>
          </cell>
          <cell r="D24">
            <v>1</v>
          </cell>
        </row>
        <row r="25">
          <cell r="C25" t="str">
            <v>Tansil, Tn</v>
          </cell>
          <cell r="D25">
            <v>1</v>
          </cell>
          <cell r="K25">
            <v>6000000</v>
          </cell>
        </row>
        <row r="26">
          <cell r="C26" t="str">
            <v>Penjualan SHM</v>
          </cell>
          <cell r="D26">
            <v>1</v>
          </cell>
          <cell r="L26">
            <v>5454545</v>
          </cell>
        </row>
        <row r="27">
          <cell r="C27" t="str">
            <v>PPN</v>
          </cell>
          <cell r="D27">
            <v>1</v>
          </cell>
          <cell r="L27">
            <v>545455</v>
          </cell>
        </row>
        <row r="28">
          <cell r="C28" t="str">
            <v>PENJUALAN SHM @ 1.000 KG - TANSIL</v>
          </cell>
          <cell r="D28">
            <v>1</v>
          </cell>
        </row>
        <row r="29">
          <cell r="C29" t="str">
            <v>Bonus, Biaya</v>
          </cell>
          <cell r="D29">
            <v>1</v>
          </cell>
          <cell r="K29">
            <v>4000000</v>
          </cell>
        </row>
        <row r="30">
          <cell r="C30" t="str">
            <v>Tambak Gebang - Divisi</v>
          </cell>
          <cell r="D30">
            <v>1</v>
          </cell>
          <cell r="L30">
            <v>4000000</v>
          </cell>
        </row>
        <row r="31">
          <cell r="C31" t="str">
            <v>PEMBY BONUS KRY KEPALA UDANG.</v>
          </cell>
          <cell r="D31">
            <v>1</v>
          </cell>
        </row>
        <row r="32">
          <cell r="C32" t="str">
            <v>BPJS/Jamsostek,Biaya</v>
          </cell>
          <cell r="D32">
            <v>1</v>
          </cell>
          <cell r="K32">
            <v>386529</v>
          </cell>
        </row>
        <row r="33">
          <cell r="C33" t="str">
            <v>Biaya Yang Masih Harus Dibayar</v>
          </cell>
          <cell r="D33">
            <v>1</v>
          </cell>
          <cell r="L33">
            <v>386529</v>
          </cell>
        </row>
        <row r="34">
          <cell r="C34" t="str">
            <v>Iuran kesehatan bln jan'14</v>
          </cell>
          <cell r="D34">
            <v>1</v>
          </cell>
        </row>
        <row r="35">
          <cell r="C35" t="str">
            <v>Lembur, Biaya</v>
          </cell>
          <cell r="D35">
            <v>1</v>
          </cell>
          <cell r="K35">
            <v>29032</v>
          </cell>
        </row>
        <row r="36">
          <cell r="C36" t="str">
            <v>Biaya Yang Masih Harus Dibayar</v>
          </cell>
          <cell r="D36">
            <v>1</v>
          </cell>
          <cell r="L36">
            <v>29032</v>
          </cell>
        </row>
        <row r="37">
          <cell r="C37" t="str">
            <v>Lembur kry bulanan per 23-29 jan'14</v>
          </cell>
          <cell r="D37">
            <v>1</v>
          </cell>
        </row>
        <row r="38">
          <cell r="C38" t="str">
            <v>Perbaikan &amp; Pemeliharaan Mesin, Biaya</v>
          </cell>
          <cell r="D38">
            <v>1</v>
          </cell>
          <cell r="K38">
            <v>90000</v>
          </cell>
        </row>
        <row r="39">
          <cell r="C39" t="str">
            <v>Biaya Yang Masih Harus Dibayar</v>
          </cell>
          <cell r="D39">
            <v>1</v>
          </cell>
          <cell r="L39">
            <v>90000</v>
          </cell>
        </row>
        <row r="40">
          <cell r="C40" t="str">
            <v>spembvelian 1 unit accu kering untk servise timbangan</v>
          </cell>
          <cell r="D40">
            <v>1</v>
          </cell>
        </row>
        <row r="41">
          <cell r="C41" t="str">
            <v>Gaji Karyawan Kantor, Biaya</v>
          </cell>
          <cell r="D41">
            <v>1</v>
          </cell>
          <cell r="K41">
            <v>4272500</v>
          </cell>
        </row>
        <row r="42">
          <cell r="C42" t="str">
            <v>Tunjangan Karyawan, Biaya</v>
          </cell>
          <cell r="D42">
            <v>1</v>
          </cell>
          <cell r="K42">
            <v>50000</v>
          </cell>
        </row>
        <row r="43">
          <cell r="C43" t="str">
            <v>BPJS/Jamsostek,Biaya</v>
          </cell>
          <cell r="D43">
            <v>1</v>
          </cell>
          <cell r="K43">
            <v>374047</v>
          </cell>
        </row>
        <row r="44">
          <cell r="C44" t="str">
            <v>BPJS/Jamsostek,Biaya</v>
          </cell>
          <cell r="D44">
            <v>1</v>
          </cell>
          <cell r="L44">
            <v>479232</v>
          </cell>
        </row>
        <row r="45">
          <cell r="C45" t="str">
            <v>Biaya Yang Masih Harus Dibayar</v>
          </cell>
          <cell r="D45">
            <v>1</v>
          </cell>
          <cell r="L45">
            <v>4217315</v>
          </cell>
        </row>
        <row r="46">
          <cell r="C46" t="str">
            <v>Gaji kry bulanan per jan'14</v>
          </cell>
          <cell r="D46">
            <v>1</v>
          </cell>
        </row>
        <row r="47">
          <cell r="C47" t="str">
            <v>Upah Borongan, Biaya</v>
          </cell>
          <cell r="D47">
            <v>1</v>
          </cell>
          <cell r="K47">
            <v>1973440</v>
          </cell>
        </row>
        <row r="48">
          <cell r="C48" t="str">
            <v>Biaya Yang Masih Harus Dibayar</v>
          </cell>
          <cell r="D48">
            <v>1</v>
          </cell>
          <cell r="L48">
            <v>1973440</v>
          </cell>
        </row>
        <row r="49">
          <cell r="C49" t="str">
            <v>Upah kry borngan per 27-2 feb'14</v>
          </cell>
          <cell r="D49">
            <v>1</v>
          </cell>
        </row>
        <row r="50">
          <cell r="C50" t="str">
            <v>Konsumsi Karyawan, Biaya</v>
          </cell>
          <cell r="D50">
            <v>1</v>
          </cell>
          <cell r="K50">
            <v>190000</v>
          </cell>
        </row>
        <row r="51">
          <cell r="C51" t="str">
            <v>Biaya Yang Masih Harus Dibayar</v>
          </cell>
          <cell r="D51">
            <v>1</v>
          </cell>
          <cell r="L51">
            <v>190000</v>
          </cell>
        </row>
        <row r="52">
          <cell r="C52" t="str">
            <v>Konsumsi kary pakan per 27-31 jan'14</v>
          </cell>
          <cell r="D52">
            <v>1</v>
          </cell>
        </row>
        <row r="53">
          <cell r="C53" t="str">
            <v>Perbaikan-Pemeliharaan Sarana Produksi, Biaya</v>
          </cell>
          <cell r="D53">
            <v>1</v>
          </cell>
          <cell r="K53">
            <v>2469000</v>
          </cell>
        </row>
        <row r="54">
          <cell r="C54" t="str">
            <v>Biaya Yang Masih Harus Dibayar</v>
          </cell>
          <cell r="D54">
            <v>1</v>
          </cell>
          <cell r="L54">
            <v>2469000</v>
          </cell>
        </row>
        <row r="55">
          <cell r="C55" t="str">
            <v>pmebelian plat saringan utk kepala udang tgl 30/12/13</v>
          </cell>
          <cell r="D55">
            <v>1</v>
          </cell>
        </row>
        <row r="56">
          <cell r="C56" t="str">
            <v>Perbaikan-Pemeliharaan Sarana Produksi, Biaya</v>
          </cell>
          <cell r="D56">
            <v>1</v>
          </cell>
          <cell r="K56">
            <v>825000</v>
          </cell>
        </row>
        <row r="57">
          <cell r="C57" t="str">
            <v>Biaya Yang Masih Harus Dibayar</v>
          </cell>
          <cell r="D57">
            <v>1</v>
          </cell>
          <cell r="L57">
            <v>825000</v>
          </cell>
        </row>
        <row r="58">
          <cell r="C58" t="str">
            <v>Pembelian plat saringan tgl 30/12/13</v>
          </cell>
          <cell r="D58">
            <v>1</v>
          </cell>
        </row>
        <row r="59">
          <cell r="C59" t="str">
            <v>Lembur, Biaya</v>
          </cell>
          <cell r="D59">
            <v>1</v>
          </cell>
          <cell r="K59">
            <v>11922</v>
          </cell>
        </row>
        <row r="60">
          <cell r="C60" t="str">
            <v>Biaya Yang Masih Harus Dibayar</v>
          </cell>
          <cell r="D60">
            <v>1</v>
          </cell>
          <cell r="L60">
            <v>11922</v>
          </cell>
        </row>
        <row r="61">
          <cell r="C61" t="str">
            <v>Lembur kary bulanan per 9-15 jan'14</v>
          </cell>
          <cell r="D61">
            <v>1</v>
          </cell>
        </row>
        <row r="62">
          <cell r="C62" t="str">
            <v>Listrik, Biaya</v>
          </cell>
          <cell r="D62">
            <v>1</v>
          </cell>
          <cell r="K62">
            <v>5484490</v>
          </cell>
        </row>
        <row r="63">
          <cell r="C63" t="str">
            <v>PLN, PT Persero R. Teluk Betung</v>
          </cell>
          <cell r="D63">
            <v>1</v>
          </cell>
          <cell r="L63">
            <v>5484490</v>
          </cell>
        </row>
        <row r="64">
          <cell r="C64" t="str">
            <v>tagihan listrik per jan'14</v>
          </cell>
          <cell r="D64">
            <v>1</v>
          </cell>
        </row>
        <row r="65">
          <cell r="C65" t="str">
            <v>Penyusutan Bangunan, Biaya</v>
          </cell>
          <cell r="D65">
            <v>1</v>
          </cell>
          <cell r="K65">
            <v>3205532</v>
          </cell>
        </row>
        <row r="66">
          <cell r="C66" t="str">
            <v>Ak. Penyusutan Bangunan</v>
          </cell>
          <cell r="D66">
            <v>1</v>
          </cell>
          <cell r="L66">
            <v>3205532</v>
          </cell>
        </row>
        <row r="67">
          <cell r="C67" t="str">
            <v>Penyusutan bangunan per januari'14</v>
          </cell>
          <cell r="D67">
            <v>1</v>
          </cell>
        </row>
        <row r="68">
          <cell r="C68" t="str">
            <v>Penyusutan Mesin-Mesin, Biaya</v>
          </cell>
          <cell r="D68">
            <v>1</v>
          </cell>
          <cell r="K68">
            <v>5289301</v>
          </cell>
        </row>
        <row r="69">
          <cell r="C69" t="str">
            <v>Ak. Penyusutan Mesin-Mesin</v>
          </cell>
          <cell r="D69">
            <v>1</v>
          </cell>
          <cell r="L69">
            <v>5289301</v>
          </cell>
        </row>
        <row r="70">
          <cell r="C70" t="str">
            <v>Penyusutan mesin-mesin per januari'14</v>
          </cell>
          <cell r="D70">
            <v>1</v>
          </cell>
        </row>
        <row r="71">
          <cell r="C71" t="str">
            <v>Penyusutan Peralatan Kantor, Biaya</v>
          </cell>
          <cell r="D71">
            <v>1</v>
          </cell>
          <cell r="K71">
            <v>437176</v>
          </cell>
        </row>
        <row r="72">
          <cell r="C72" t="str">
            <v>Ak. Penyusutan Peralatan Kantor</v>
          </cell>
          <cell r="D72">
            <v>1</v>
          </cell>
          <cell r="L72">
            <v>437176</v>
          </cell>
        </row>
        <row r="73">
          <cell r="C73" t="str">
            <v>Penyusutan peralatan kantor per januari'14</v>
          </cell>
          <cell r="D73">
            <v>1</v>
          </cell>
        </row>
        <row r="74">
          <cell r="C74" t="str">
            <v>Penyusutan Peralatan Produksi, Biaya</v>
          </cell>
          <cell r="D74">
            <v>1</v>
          </cell>
          <cell r="K74">
            <v>5014620</v>
          </cell>
        </row>
        <row r="75">
          <cell r="C75" t="str">
            <v>Ak. Penyusutan &amp; Peralatan Produksi</v>
          </cell>
          <cell r="D75">
            <v>1</v>
          </cell>
          <cell r="L75">
            <v>5014620</v>
          </cell>
        </row>
        <row r="76">
          <cell r="C76" t="str">
            <v>penyusutan peralatan produksi per januari'14</v>
          </cell>
          <cell r="D76">
            <v>1</v>
          </cell>
        </row>
        <row r="77">
          <cell r="C77" t="str">
            <v>Penyusutan Peralatan Bengkel, Biaya</v>
          </cell>
          <cell r="D77">
            <v>1</v>
          </cell>
          <cell r="K77">
            <v>70776</v>
          </cell>
        </row>
        <row r="78">
          <cell r="C78" t="str">
            <v>Ak. Penyusutan Peralatan Bengkel</v>
          </cell>
          <cell r="D78">
            <v>1</v>
          </cell>
          <cell r="L78">
            <v>70776</v>
          </cell>
        </row>
        <row r="79">
          <cell r="C79" t="str">
            <v>Penyusutan peralatan bengkel per januari'14</v>
          </cell>
          <cell r="D79">
            <v>1</v>
          </cell>
        </row>
        <row r="80">
          <cell r="C80" t="str">
            <v>Penyusutan Infrastruktur, Biaya</v>
          </cell>
          <cell r="D80">
            <v>1</v>
          </cell>
          <cell r="K80">
            <v>486635</v>
          </cell>
        </row>
        <row r="81">
          <cell r="C81" t="str">
            <v>Ak. Penyusutan Infrastruktur</v>
          </cell>
          <cell r="D81">
            <v>1</v>
          </cell>
          <cell r="L81">
            <v>486635</v>
          </cell>
        </row>
        <row r="82">
          <cell r="C82" t="str">
            <v>Penyusutan infrastruktur per januari'14</v>
          </cell>
          <cell r="D82">
            <v>1</v>
          </cell>
        </row>
        <row r="83">
          <cell r="C83" t="str">
            <v>BBM Solar / Oli, Biaya</v>
          </cell>
          <cell r="D83">
            <v>1</v>
          </cell>
          <cell r="K83">
            <v>22779805</v>
          </cell>
        </row>
        <row r="84">
          <cell r="C84" t="str">
            <v>ISP 1 - Divisi</v>
          </cell>
          <cell r="D84">
            <v>1</v>
          </cell>
          <cell r="L84">
            <v>22779805</v>
          </cell>
        </row>
        <row r="85">
          <cell r="C85" t="str">
            <v>PEMAKAIAN SOLAR, PER JANUARI'14</v>
          </cell>
          <cell r="D85">
            <v>1</v>
          </cell>
        </row>
        <row r="86">
          <cell r="C86" t="str">
            <v>Tambak Ketapang - Divisi</v>
          </cell>
          <cell r="D86">
            <v>2</v>
          </cell>
          <cell r="K86">
            <v>450100</v>
          </cell>
        </row>
        <row r="87">
          <cell r="C87" t="str">
            <v>Bahan Pembantu Produksi, Biaya</v>
          </cell>
          <cell r="D87">
            <v>2</v>
          </cell>
          <cell r="L87">
            <v>450100</v>
          </cell>
        </row>
        <row r="88">
          <cell r="C88" t="str">
            <v>TRANSFER 50 KG SAFT INSTAN, KE TAMBAK KETAPANG</v>
          </cell>
          <cell r="D88">
            <v>2</v>
          </cell>
        </row>
        <row r="89">
          <cell r="C89" t="str">
            <v>Lanny</v>
          </cell>
          <cell r="D89">
            <v>2</v>
          </cell>
          <cell r="K89">
            <v>105655000</v>
          </cell>
        </row>
        <row r="90">
          <cell r="C90" t="str">
            <v>Penjualan SHM</v>
          </cell>
          <cell r="D90">
            <v>2</v>
          </cell>
          <cell r="L90">
            <v>96050000</v>
          </cell>
        </row>
        <row r="91">
          <cell r="C91" t="str">
            <v>PPN</v>
          </cell>
          <cell r="D91">
            <v>2</v>
          </cell>
          <cell r="L91">
            <v>9605000</v>
          </cell>
        </row>
        <row r="92">
          <cell r="C92" t="str">
            <v>PENJUALAN SHM @ 18.700 KG - LANNY / SUMARDI</v>
          </cell>
          <cell r="D92">
            <v>2</v>
          </cell>
        </row>
        <row r="93">
          <cell r="C93" t="str">
            <v>Holding - Divisi</v>
          </cell>
          <cell r="D93">
            <v>2</v>
          </cell>
          <cell r="K93">
            <v>128000000</v>
          </cell>
        </row>
        <row r="94">
          <cell r="C94" t="str">
            <v>Yudi</v>
          </cell>
          <cell r="D94">
            <v>2</v>
          </cell>
          <cell r="L94">
            <v>128000000</v>
          </cell>
        </row>
        <row r="95">
          <cell r="C95" t="str">
            <v>TERIMA UM PENJUALAN SHM @ 22,450 KG. DIV HOLDING ( IDR 616 ) INV 0027/YD......</v>
          </cell>
          <cell r="D95">
            <v>2</v>
          </cell>
        </row>
        <row r="96">
          <cell r="C96" t="str">
            <v>Holding - Divisi</v>
          </cell>
          <cell r="D96">
            <v>2</v>
          </cell>
          <cell r="K96">
            <v>5400000</v>
          </cell>
        </row>
        <row r="97">
          <cell r="C97" t="str">
            <v>Yudi</v>
          </cell>
          <cell r="D97">
            <v>2</v>
          </cell>
          <cell r="L97">
            <v>5400000</v>
          </cell>
        </row>
        <row r="98">
          <cell r="C98" t="str">
            <v>TERIMA PENJUALAN SHM @ 22.450 KG, VIA HOLDING (IDR-616)</v>
          </cell>
          <cell r="D98">
            <v>2</v>
          </cell>
        </row>
        <row r="99">
          <cell r="C99" t="str">
            <v>Tambak Gebang - Divisi</v>
          </cell>
          <cell r="D99">
            <v>2</v>
          </cell>
          <cell r="K99">
            <v>900200</v>
          </cell>
        </row>
        <row r="100">
          <cell r="C100" t="str">
            <v>Bahan Pembantu Produksi, Biaya</v>
          </cell>
          <cell r="D100">
            <v>2</v>
          </cell>
          <cell r="L100">
            <v>900200</v>
          </cell>
        </row>
        <row r="101">
          <cell r="C101" t="str">
            <v>TERANSFER 100 KG SAFT INSTAN, KE TAMBAK GEBANG</v>
          </cell>
          <cell r="D101">
            <v>2</v>
          </cell>
        </row>
        <row r="102">
          <cell r="C102" t="str">
            <v>Tambak Ketapang - Divisi</v>
          </cell>
          <cell r="D102">
            <v>2</v>
          </cell>
          <cell r="K102">
            <v>900200</v>
          </cell>
        </row>
        <row r="103">
          <cell r="C103" t="str">
            <v>Bahan Pembantu Produksi, Biaya</v>
          </cell>
          <cell r="D103">
            <v>2</v>
          </cell>
          <cell r="L103">
            <v>900200</v>
          </cell>
        </row>
        <row r="104">
          <cell r="C104" t="str">
            <v>TRANSFER 100 KG SAFT INSTAN, KE TAMBAK KETAPANG</v>
          </cell>
          <cell r="D104">
            <v>2</v>
          </cell>
        </row>
        <row r="105">
          <cell r="C105" t="str">
            <v>Holding - Divisi</v>
          </cell>
          <cell r="D105">
            <v>2</v>
          </cell>
          <cell r="K105">
            <v>105655000</v>
          </cell>
        </row>
        <row r="106">
          <cell r="C106" t="str">
            <v>Lanny</v>
          </cell>
          <cell r="D106">
            <v>2</v>
          </cell>
          <cell r="L106">
            <v>105655000</v>
          </cell>
        </row>
        <row r="107">
          <cell r="C107" t="str">
            <v>TERIMA PENJUALAN SHM @ 18,700 KG. VIA HOLDING ( IDR 616 ) INV 0026/SMR.....</v>
          </cell>
          <cell r="D107">
            <v>2</v>
          </cell>
        </row>
        <row r="108">
          <cell r="C108" t="str">
            <v>Yudi</v>
          </cell>
          <cell r="D108">
            <v>2</v>
          </cell>
          <cell r="K108">
            <v>130210000</v>
          </cell>
        </row>
        <row r="109">
          <cell r="C109" t="str">
            <v>Penjualan SHM</v>
          </cell>
          <cell r="D109">
            <v>2</v>
          </cell>
          <cell r="L109">
            <v>118372727.27</v>
          </cell>
        </row>
        <row r="110">
          <cell r="C110" t="str">
            <v>PPN</v>
          </cell>
          <cell r="D110">
            <v>2</v>
          </cell>
          <cell r="L110">
            <v>11837272.73</v>
          </cell>
        </row>
        <row r="111">
          <cell r="C111" t="str">
            <v>PENJUALAN SHM @ 22.450 KG - YUDI</v>
          </cell>
          <cell r="D111">
            <v>2</v>
          </cell>
        </row>
        <row r="112">
          <cell r="C112" t="str">
            <v>Tambak Gebang - Divisi</v>
          </cell>
          <cell r="D112">
            <v>2</v>
          </cell>
          <cell r="K112">
            <v>360080</v>
          </cell>
        </row>
        <row r="113">
          <cell r="C113" t="str">
            <v>Bahan Pembantu Produksi, Biaya</v>
          </cell>
          <cell r="D113">
            <v>2</v>
          </cell>
          <cell r="L113">
            <v>360080</v>
          </cell>
        </row>
        <row r="114">
          <cell r="C114" t="str">
            <v>TRANSFER 40 KG SAFT INSTANT, KE TAMBAK GEBANG</v>
          </cell>
          <cell r="D114">
            <v>2</v>
          </cell>
        </row>
        <row r="115">
          <cell r="C115" t="str">
            <v>Gaji Karyawan Kantor, Biaya</v>
          </cell>
          <cell r="D115">
            <v>2</v>
          </cell>
          <cell r="K115">
            <v>4272500</v>
          </cell>
        </row>
        <row r="116">
          <cell r="C116" t="str">
            <v>Tunjangan Karyawan, Biaya</v>
          </cell>
          <cell r="D116">
            <v>2</v>
          </cell>
          <cell r="K116">
            <v>50000</v>
          </cell>
        </row>
        <row r="117">
          <cell r="C117" t="str">
            <v>BPJS/Jamsostek,Biaya</v>
          </cell>
          <cell r="D117">
            <v>2</v>
          </cell>
          <cell r="K117">
            <v>374047</v>
          </cell>
        </row>
        <row r="118">
          <cell r="C118" t="str">
            <v>BPJS/Jamsostek,Biaya</v>
          </cell>
          <cell r="D118">
            <v>2</v>
          </cell>
          <cell r="L118">
            <v>479235</v>
          </cell>
        </row>
        <row r="119">
          <cell r="C119" t="str">
            <v>Biaya Yang Masih Harus Dibayar</v>
          </cell>
          <cell r="D119">
            <v>2</v>
          </cell>
          <cell r="L119">
            <v>4217312</v>
          </cell>
        </row>
        <row r="120">
          <cell r="C120" t="str">
            <v>Gaji kary bulanan kep udang bln feb'14</v>
          </cell>
          <cell r="D120">
            <v>2</v>
          </cell>
        </row>
        <row r="121">
          <cell r="C121" t="str">
            <v>BPJS/Jamsostek,Biaya</v>
          </cell>
          <cell r="D121">
            <v>2</v>
          </cell>
          <cell r="K121">
            <v>386529</v>
          </cell>
        </row>
        <row r="122">
          <cell r="C122" t="str">
            <v>Biaya Yang Masih Harus Dibayar</v>
          </cell>
          <cell r="D122">
            <v>2</v>
          </cell>
          <cell r="L122">
            <v>386529</v>
          </cell>
        </row>
        <row r="123">
          <cell r="C123" t="str">
            <v>Iuran kesehatan bln feb'14</v>
          </cell>
          <cell r="D123">
            <v>2</v>
          </cell>
        </row>
        <row r="124">
          <cell r="C124" t="str">
            <v>Upah Borongan, Biaya</v>
          </cell>
          <cell r="D124">
            <v>2</v>
          </cell>
          <cell r="K124">
            <v>2325400</v>
          </cell>
        </row>
        <row r="125">
          <cell r="C125" t="str">
            <v>Biaya Yang Masih Harus Dibayar</v>
          </cell>
          <cell r="D125">
            <v>2</v>
          </cell>
          <cell r="L125">
            <v>2325400</v>
          </cell>
        </row>
        <row r="126">
          <cell r="C126" t="str">
            <v>gaji kary borongan kep udang per 24-02 maret'14</v>
          </cell>
          <cell r="D126">
            <v>2</v>
          </cell>
        </row>
        <row r="127">
          <cell r="C127" t="str">
            <v>Perbaikan-Pemeliharaan Sarana Produksi, Biaya</v>
          </cell>
          <cell r="D127">
            <v>2</v>
          </cell>
          <cell r="K127">
            <v>4944000</v>
          </cell>
        </row>
        <row r="128">
          <cell r="C128" t="str">
            <v>Administrasi Bank, Biaya</v>
          </cell>
          <cell r="D128">
            <v>2</v>
          </cell>
          <cell r="K128">
            <v>10000</v>
          </cell>
        </row>
        <row r="129">
          <cell r="C129" t="str">
            <v>Biaya Yang Masih Harus Dibayar</v>
          </cell>
          <cell r="D129">
            <v>2</v>
          </cell>
          <cell r="L129">
            <v>4954000</v>
          </cell>
        </row>
        <row r="130">
          <cell r="C130" t="str">
            <v>pembelian plat saringan 2x4x8 mm @ 6 lbr &amp; by matrai</v>
          </cell>
          <cell r="D130">
            <v>2</v>
          </cell>
        </row>
        <row r="131">
          <cell r="C131" t="str">
            <v>Konsumsi Karyawan, Biaya</v>
          </cell>
          <cell r="D131">
            <v>2</v>
          </cell>
          <cell r="K131">
            <v>270000</v>
          </cell>
        </row>
        <row r="132">
          <cell r="C132" t="str">
            <v>Biaya Yang Masih Harus Dibayar</v>
          </cell>
          <cell r="D132">
            <v>2</v>
          </cell>
          <cell r="L132">
            <v>270000</v>
          </cell>
        </row>
        <row r="133">
          <cell r="C133" t="str">
            <v>konsumsi kary kep udang per 24-1 maret'14 - Nab Catring</v>
          </cell>
          <cell r="D133">
            <v>2</v>
          </cell>
        </row>
        <row r="134">
          <cell r="C134" t="str">
            <v>Insentif Karyawan, Biaya</v>
          </cell>
          <cell r="D134">
            <v>2</v>
          </cell>
          <cell r="K134">
            <v>250000</v>
          </cell>
        </row>
        <row r="135">
          <cell r="C135" t="str">
            <v>Biaya Yang Masih Harus Dibayar</v>
          </cell>
          <cell r="D135">
            <v>2</v>
          </cell>
          <cell r="L135">
            <v>250000</v>
          </cell>
        </row>
        <row r="136">
          <cell r="C136" t="str">
            <v>Insentive kary borongan bln feb'14</v>
          </cell>
          <cell r="D136">
            <v>2</v>
          </cell>
        </row>
        <row r="137">
          <cell r="C137" t="str">
            <v>Listrik, Biaya</v>
          </cell>
          <cell r="D137">
            <v>2</v>
          </cell>
          <cell r="K137">
            <v>4400000</v>
          </cell>
        </row>
        <row r="138">
          <cell r="C138" t="str">
            <v>PLN, PT Persero R. Teluk Betung</v>
          </cell>
          <cell r="D138">
            <v>2</v>
          </cell>
          <cell r="L138">
            <v>4400000</v>
          </cell>
        </row>
        <row r="139">
          <cell r="C139" t="str">
            <v>tagihan listrik bln feb'14 utk kep udang</v>
          </cell>
          <cell r="D139">
            <v>2</v>
          </cell>
        </row>
        <row r="140">
          <cell r="C140" t="str">
            <v>Penyusutan Bangunan, Biaya</v>
          </cell>
          <cell r="D140">
            <v>2</v>
          </cell>
          <cell r="K140">
            <v>3205532</v>
          </cell>
        </row>
        <row r="141">
          <cell r="C141" t="str">
            <v>Ak. Penyusutan Bangunan</v>
          </cell>
          <cell r="D141">
            <v>2</v>
          </cell>
          <cell r="L141">
            <v>3205532</v>
          </cell>
        </row>
        <row r="142">
          <cell r="C142" t="str">
            <v>penyusutan bangunan per februari'14</v>
          </cell>
          <cell r="D142">
            <v>2</v>
          </cell>
        </row>
        <row r="143">
          <cell r="C143" t="str">
            <v>Penyusutan Mesin-Mesin, Biaya</v>
          </cell>
          <cell r="D143">
            <v>2</v>
          </cell>
          <cell r="K143">
            <v>3289301</v>
          </cell>
        </row>
        <row r="144">
          <cell r="C144" t="str">
            <v>Ak. Penyusutan Mesin-Mesin</v>
          </cell>
          <cell r="D144">
            <v>2</v>
          </cell>
          <cell r="L144">
            <v>3289301</v>
          </cell>
        </row>
        <row r="145">
          <cell r="C145" t="str">
            <v>Penyusutan mesin-mesin per februari'14</v>
          </cell>
          <cell r="D145">
            <v>2</v>
          </cell>
        </row>
        <row r="146">
          <cell r="C146" t="str">
            <v>Penyusutan Peralatan Kantor, Biaya</v>
          </cell>
          <cell r="D146">
            <v>2</v>
          </cell>
          <cell r="K146">
            <v>437176</v>
          </cell>
        </row>
        <row r="147">
          <cell r="C147" t="str">
            <v>Ak. Penyusutan Peralatan Kantor</v>
          </cell>
          <cell r="D147">
            <v>2</v>
          </cell>
          <cell r="L147">
            <v>437176</v>
          </cell>
        </row>
        <row r="148">
          <cell r="C148" t="str">
            <v>Penyusutan peralatan per februari'14</v>
          </cell>
          <cell r="D148">
            <v>2</v>
          </cell>
        </row>
        <row r="149">
          <cell r="C149" t="str">
            <v>Penyusutan Peralatan Produksi, Biaya</v>
          </cell>
          <cell r="D149">
            <v>2</v>
          </cell>
          <cell r="K149">
            <v>5014620</v>
          </cell>
        </row>
        <row r="150">
          <cell r="C150" t="str">
            <v>Ak. Penyusutan &amp; Peralatan Produksi</v>
          </cell>
          <cell r="D150">
            <v>2</v>
          </cell>
          <cell r="L150">
            <v>5014620</v>
          </cell>
        </row>
        <row r="151">
          <cell r="C151" t="str">
            <v>Penyusutan peralatan produksi per februari'14</v>
          </cell>
          <cell r="D151">
            <v>2</v>
          </cell>
        </row>
        <row r="152">
          <cell r="C152" t="str">
            <v>Penyusutan Peralatan Bengkel, Biaya</v>
          </cell>
          <cell r="D152">
            <v>2</v>
          </cell>
          <cell r="K152">
            <v>70776</v>
          </cell>
        </row>
        <row r="153">
          <cell r="C153" t="str">
            <v>Ak. Penyusutan Peralatan Bengkel</v>
          </cell>
          <cell r="D153">
            <v>2</v>
          </cell>
          <cell r="L153">
            <v>70776</v>
          </cell>
        </row>
        <row r="154">
          <cell r="C154" t="str">
            <v>Penyusutan peralatan bengkel per februari'14</v>
          </cell>
          <cell r="D154">
            <v>2</v>
          </cell>
        </row>
        <row r="155">
          <cell r="C155" t="str">
            <v>Penyusutan Infrastruktur, Biaya</v>
          </cell>
          <cell r="D155">
            <v>2</v>
          </cell>
          <cell r="K155">
            <v>486635</v>
          </cell>
        </row>
        <row r="156">
          <cell r="C156" t="str">
            <v>Ak. Penyusutan Infrastruktur</v>
          </cell>
          <cell r="D156">
            <v>2</v>
          </cell>
          <cell r="L156">
            <v>486635</v>
          </cell>
        </row>
        <row r="157">
          <cell r="C157" t="str">
            <v>Penyusutan infrastruktur per februari'14</v>
          </cell>
          <cell r="D157">
            <v>2</v>
          </cell>
        </row>
        <row r="158">
          <cell r="C158" t="str">
            <v>BBM Solar / Oli, Biaya</v>
          </cell>
          <cell r="D158">
            <v>2</v>
          </cell>
          <cell r="K158">
            <v>21861335</v>
          </cell>
        </row>
        <row r="159">
          <cell r="C159" t="str">
            <v>ISP 1 - Divisi</v>
          </cell>
          <cell r="D159">
            <v>2</v>
          </cell>
          <cell r="L159">
            <v>21861335</v>
          </cell>
        </row>
        <row r="160">
          <cell r="C160" t="str">
            <v>PEMAKAIAN SOLAR DARI ISP @ 2.140,54 L. PER FEBRUARI'14</v>
          </cell>
          <cell r="D160">
            <v>2</v>
          </cell>
        </row>
        <row r="161">
          <cell r="C161" t="str">
            <v>Holding - Divisi</v>
          </cell>
          <cell r="D161">
            <v>3</v>
          </cell>
          <cell r="K161">
            <v>138000000</v>
          </cell>
        </row>
        <row r="162">
          <cell r="C162" t="str">
            <v>Yudi</v>
          </cell>
          <cell r="D162">
            <v>3</v>
          </cell>
          <cell r="L162">
            <v>138000000</v>
          </cell>
        </row>
        <row r="163">
          <cell r="C163" t="str">
            <v>TERIMA PENJUALAN SHM @ 22,240 KG. VIA HOLDING ( IDR 616 ) INV 0028/YD.....</v>
          </cell>
          <cell r="D163">
            <v>3</v>
          </cell>
        </row>
        <row r="164">
          <cell r="C164" t="str">
            <v>Tambak Gebang - Divisi</v>
          </cell>
          <cell r="D164">
            <v>3</v>
          </cell>
          <cell r="K164">
            <v>1800400</v>
          </cell>
        </row>
        <row r="165">
          <cell r="C165" t="str">
            <v>Bahan Pembantu Produksi, Biaya</v>
          </cell>
          <cell r="D165">
            <v>3</v>
          </cell>
          <cell r="L165">
            <v>1800400</v>
          </cell>
        </row>
        <row r="166">
          <cell r="C166" t="str">
            <v>TRANSFER 200 KG SAFT INSTAN, KE TAMBAK GEBANG.</v>
          </cell>
          <cell r="D166">
            <v>3</v>
          </cell>
        </row>
        <row r="167">
          <cell r="C167" t="str">
            <v>Yudi</v>
          </cell>
          <cell r="D167">
            <v>3</v>
          </cell>
          <cell r="K167">
            <v>133440000</v>
          </cell>
        </row>
        <row r="168">
          <cell r="C168" t="str">
            <v>Penjualan SHM</v>
          </cell>
          <cell r="D168">
            <v>3</v>
          </cell>
          <cell r="L168">
            <v>121309090.91</v>
          </cell>
        </row>
        <row r="169">
          <cell r="C169" t="str">
            <v>PPN</v>
          </cell>
          <cell r="D169">
            <v>3</v>
          </cell>
          <cell r="L169">
            <v>12130909.09</v>
          </cell>
        </row>
        <row r="170">
          <cell r="C170" t="str">
            <v>PENJUALAN SHM @ 22.240 KG - YUDI</v>
          </cell>
          <cell r="D170">
            <v>3</v>
          </cell>
        </row>
        <row r="171">
          <cell r="C171" t="str">
            <v>Holding - Divisi</v>
          </cell>
          <cell r="D171">
            <v>3</v>
          </cell>
          <cell r="K171">
            <v>130250000</v>
          </cell>
        </row>
        <row r="172">
          <cell r="C172" t="str">
            <v>Yudi</v>
          </cell>
          <cell r="D172">
            <v>3</v>
          </cell>
          <cell r="L172">
            <v>130250000</v>
          </cell>
        </row>
        <row r="173">
          <cell r="C173" t="str">
            <v>TERIMA UM PENJUALAN SHM @ 23,190 KG. VIA HOLDING ( IDR 616 ) INV 0029/YD....</v>
          </cell>
          <cell r="D173">
            <v>3</v>
          </cell>
        </row>
        <row r="174">
          <cell r="C174" t="str">
            <v>Gaji Karyawan Kantor, Biaya</v>
          </cell>
          <cell r="D174">
            <v>3</v>
          </cell>
          <cell r="K174">
            <v>4272500</v>
          </cell>
        </row>
        <row r="175">
          <cell r="C175" t="str">
            <v>Tunjangan Karyawan, Biaya</v>
          </cell>
          <cell r="D175">
            <v>3</v>
          </cell>
          <cell r="K175">
            <v>50000</v>
          </cell>
        </row>
        <row r="176">
          <cell r="C176" t="str">
            <v>BPJS/Jamsostek,Biaya</v>
          </cell>
          <cell r="D176">
            <v>3</v>
          </cell>
          <cell r="K176">
            <v>374047</v>
          </cell>
        </row>
        <row r="177">
          <cell r="C177" t="str">
            <v>BPJS/Jamsostek,Biaya</v>
          </cell>
          <cell r="D177">
            <v>3</v>
          </cell>
          <cell r="L177">
            <v>479235</v>
          </cell>
        </row>
        <row r="178">
          <cell r="C178" t="str">
            <v>Biaya Yang Masih Harus Dibayar</v>
          </cell>
          <cell r="D178">
            <v>3</v>
          </cell>
          <cell r="L178">
            <v>4217312</v>
          </cell>
        </row>
        <row r="179">
          <cell r="C179" t="str">
            <v>gaji kary bulanan kep udang bln mar'14</v>
          </cell>
          <cell r="D179">
            <v>3</v>
          </cell>
        </row>
        <row r="180">
          <cell r="C180" t="str">
            <v>Yudi</v>
          </cell>
          <cell r="D180">
            <v>3</v>
          </cell>
          <cell r="K180">
            <v>139140000</v>
          </cell>
        </row>
        <row r="181">
          <cell r="C181" t="str">
            <v>Penjualan SHM</v>
          </cell>
          <cell r="D181">
            <v>3</v>
          </cell>
          <cell r="L181">
            <v>126490909</v>
          </cell>
        </row>
        <row r="182">
          <cell r="C182" t="str">
            <v>PPN</v>
          </cell>
          <cell r="D182">
            <v>3</v>
          </cell>
          <cell r="L182">
            <v>12649091</v>
          </cell>
        </row>
        <row r="183">
          <cell r="C183" t="str">
            <v>PENJUALAN SHM @ 23.190 KG - YUDI</v>
          </cell>
          <cell r="D183">
            <v>3</v>
          </cell>
        </row>
        <row r="184">
          <cell r="C184" t="str">
            <v>Konsumsi Karyawan, Biaya</v>
          </cell>
          <cell r="D184">
            <v>3</v>
          </cell>
          <cell r="K184">
            <v>185000</v>
          </cell>
        </row>
        <row r="185">
          <cell r="C185" t="str">
            <v>Biaya Yang Masih Harus Dibayar</v>
          </cell>
          <cell r="D185">
            <v>3</v>
          </cell>
          <cell r="L185">
            <v>185000</v>
          </cell>
        </row>
        <row r="186">
          <cell r="C186" t="str">
            <v>Biaya konsumsi kary per 24-29 mar'14</v>
          </cell>
          <cell r="D186">
            <v>3</v>
          </cell>
        </row>
        <row r="187">
          <cell r="C187" t="str">
            <v>Upah Borongan, Biaya</v>
          </cell>
          <cell r="D187">
            <v>3</v>
          </cell>
          <cell r="K187">
            <v>385600</v>
          </cell>
        </row>
        <row r="188">
          <cell r="C188" t="str">
            <v>Biaya Yang Masih Harus Dibayar</v>
          </cell>
          <cell r="D188">
            <v>3</v>
          </cell>
          <cell r="L188">
            <v>385600</v>
          </cell>
        </row>
        <row r="189">
          <cell r="C189" t="str">
            <v>Pembyran upah bor kep udang per 31 maret - 6 april'14</v>
          </cell>
          <cell r="D189">
            <v>3</v>
          </cell>
        </row>
        <row r="190">
          <cell r="C190" t="str">
            <v>Perbaikan &amp; Pemeliharaan Mesin, Biaya</v>
          </cell>
          <cell r="D190">
            <v>3</v>
          </cell>
          <cell r="K190">
            <v>516450</v>
          </cell>
        </row>
        <row r="191">
          <cell r="C191" t="str">
            <v>Biaya Yang Masih Harus Dibayar</v>
          </cell>
          <cell r="D191">
            <v>3</v>
          </cell>
          <cell r="L191">
            <v>516450</v>
          </cell>
        </row>
        <row r="192">
          <cell r="C192" t="str">
            <v>pembelian kawat srprime, kertas, &amp; Selongsong utk bahan gulungan dinamo</v>
          </cell>
          <cell r="D192">
            <v>3</v>
          </cell>
        </row>
        <row r="193">
          <cell r="C193" t="str">
            <v>BPJS/Jamsostek,Biaya</v>
          </cell>
          <cell r="D193">
            <v>3</v>
          </cell>
          <cell r="K193">
            <v>289897</v>
          </cell>
        </row>
        <row r="194">
          <cell r="C194" t="str">
            <v>Biaya Yang Masih Harus Dibayar</v>
          </cell>
          <cell r="D194">
            <v>3</v>
          </cell>
          <cell r="L194">
            <v>289897</v>
          </cell>
        </row>
        <row r="195">
          <cell r="C195" t="str">
            <v>iuran kesehatan bln maret'14</v>
          </cell>
          <cell r="D195">
            <v>3</v>
          </cell>
        </row>
        <row r="196">
          <cell r="C196" t="str">
            <v>Upah Borongan, Biaya</v>
          </cell>
          <cell r="D196">
            <v>3</v>
          </cell>
          <cell r="K196">
            <v>1318720</v>
          </cell>
        </row>
        <row r="197">
          <cell r="C197" t="str">
            <v>Biaya Yang Masih Harus Dibayar</v>
          </cell>
          <cell r="D197">
            <v>3</v>
          </cell>
          <cell r="L197">
            <v>1318720</v>
          </cell>
        </row>
        <row r="198">
          <cell r="C198" t="str">
            <v>gaji kary bor kep udang per 24-30 maret'14</v>
          </cell>
          <cell r="D198">
            <v>3</v>
          </cell>
        </row>
        <row r="199">
          <cell r="C199" t="str">
            <v>Konsumsi Karyawan, Biaya</v>
          </cell>
          <cell r="D199">
            <v>3</v>
          </cell>
          <cell r="K199">
            <v>185000</v>
          </cell>
        </row>
        <row r="200">
          <cell r="C200" t="str">
            <v>Biaya Yang Masih Harus Dibayar</v>
          </cell>
          <cell r="D200">
            <v>3</v>
          </cell>
          <cell r="L200">
            <v>185000</v>
          </cell>
        </row>
        <row r="201">
          <cell r="C201" t="str">
            <v>konsumsi kary k udang tgl 24-29 maret'14</v>
          </cell>
          <cell r="D201">
            <v>3</v>
          </cell>
        </row>
        <row r="202">
          <cell r="C202" t="str">
            <v>Insentif Karyawan, Biaya</v>
          </cell>
          <cell r="D202">
            <v>3</v>
          </cell>
          <cell r="K202">
            <v>130000</v>
          </cell>
        </row>
        <row r="203">
          <cell r="C203" t="str">
            <v>Biaya Yang Masih Harus Dibayar</v>
          </cell>
          <cell r="D203">
            <v>3</v>
          </cell>
          <cell r="L203">
            <v>130000</v>
          </cell>
        </row>
        <row r="204">
          <cell r="C204" t="str">
            <v>insentive kary bor pakan bln maret'14</v>
          </cell>
          <cell r="D204">
            <v>3</v>
          </cell>
        </row>
        <row r="205">
          <cell r="C205" t="str">
            <v>Listrik, Biaya</v>
          </cell>
          <cell r="D205">
            <v>3</v>
          </cell>
          <cell r="K205">
            <v>4914360</v>
          </cell>
        </row>
        <row r="206">
          <cell r="C206" t="str">
            <v>PLN, PT Persero R. Teluk Betung</v>
          </cell>
          <cell r="D206">
            <v>3</v>
          </cell>
          <cell r="L206">
            <v>4914360</v>
          </cell>
        </row>
        <row r="207">
          <cell r="C207" t="str">
            <v>tagihan listrik per maret'14</v>
          </cell>
          <cell r="D207">
            <v>3</v>
          </cell>
        </row>
        <row r="208">
          <cell r="C208" t="str">
            <v>Penyusutan Bangunan, Biaya</v>
          </cell>
          <cell r="D208">
            <v>3</v>
          </cell>
          <cell r="K208">
            <v>3205532</v>
          </cell>
        </row>
        <row r="209">
          <cell r="C209" t="str">
            <v>Ak. Penyusutan Bangunan</v>
          </cell>
          <cell r="D209">
            <v>3</v>
          </cell>
          <cell r="L209">
            <v>3205532</v>
          </cell>
        </row>
        <row r="210">
          <cell r="C210" t="str">
            <v>Penyusutan bangunan per maret'14</v>
          </cell>
          <cell r="D210">
            <v>3</v>
          </cell>
        </row>
        <row r="211">
          <cell r="C211" t="str">
            <v>Penyusutan Mesin-Mesin, Biaya</v>
          </cell>
          <cell r="D211">
            <v>3</v>
          </cell>
          <cell r="K211">
            <v>3289301</v>
          </cell>
        </row>
        <row r="212">
          <cell r="C212" t="str">
            <v>Ak. Penyusutan Mesin-Mesin</v>
          </cell>
          <cell r="D212">
            <v>3</v>
          </cell>
          <cell r="L212">
            <v>3289301</v>
          </cell>
        </row>
        <row r="213">
          <cell r="C213" t="str">
            <v>Penyustan mesin-mesin per maret'14</v>
          </cell>
          <cell r="D213">
            <v>3</v>
          </cell>
        </row>
        <row r="214">
          <cell r="C214" t="str">
            <v>Penyusutan Peralatan Kantor, Biaya</v>
          </cell>
          <cell r="D214">
            <v>3</v>
          </cell>
          <cell r="K214">
            <v>437176</v>
          </cell>
        </row>
        <row r="215">
          <cell r="C215" t="str">
            <v>Ak. Penyusutan Peralatan Kantor</v>
          </cell>
          <cell r="D215">
            <v>3</v>
          </cell>
          <cell r="L215">
            <v>437176</v>
          </cell>
        </row>
        <row r="216">
          <cell r="C216" t="str">
            <v>Penyusutan peralatan kantor per maret'14</v>
          </cell>
          <cell r="D216">
            <v>3</v>
          </cell>
        </row>
        <row r="217">
          <cell r="C217" t="str">
            <v>Penyusutan Peralatan Produksi, Biaya</v>
          </cell>
          <cell r="D217">
            <v>3</v>
          </cell>
          <cell r="K217">
            <v>5011770</v>
          </cell>
        </row>
        <row r="218">
          <cell r="C218" t="str">
            <v>Ak. Penyusutan &amp; Peralatan Produksi</v>
          </cell>
          <cell r="D218">
            <v>3</v>
          </cell>
          <cell r="L218">
            <v>5011770</v>
          </cell>
        </row>
        <row r="219">
          <cell r="C219" t="str">
            <v>Penyustan peralatan produksi per maret'14</v>
          </cell>
          <cell r="D219">
            <v>3</v>
          </cell>
        </row>
        <row r="220">
          <cell r="C220" t="str">
            <v>Penyusutan Peralatan Bengkel, Biaya</v>
          </cell>
          <cell r="D220">
            <v>3</v>
          </cell>
          <cell r="K220">
            <v>70776</v>
          </cell>
        </row>
        <row r="221">
          <cell r="C221" t="str">
            <v>Ak. Penyusutan Peralatan Bengkel</v>
          </cell>
          <cell r="D221">
            <v>3</v>
          </cell>
          <cell r="L221">
            <v>70776</v>
          </cell>
        </row>
        <row r="222">
          <cell r="C222" t="str">
            <v>Penyusutan peralatan bengkel per maret'14</v>
          </cell>
          <cell r="D222">
            <v>3</v>
          </cell>
        </row>
        <row r="223">
          <cell r="C223" t="str">
            <v>Penyusutan Infrastruktur, Biaya</v>
          </cell>
          <cell r="D223">
            <v>3</v>
          </cell>
          <cell r="K223">
            <v>486635</v>
          </cell>
        </row>
        <row r="224">
          <cell r="C224" t="str">
            <v>Ak. Penyusutan Infrastruktur</v>
          </cell>
          <cell r="D224">
            <v>3</v>
          </cell>
          <cell r="L224">
            <v>486635</v>
          </cell>
        </row>
        <row r="225">
          <cell r="C225" t="str">
            <v>Penyusutan infrastruktur per maret'14</v>
          </cell>
          <cell r="D225">
            <v>3</v>
          </cell>
        </row>
        <row r="226">
          <cell r="C226" t="str">
            <v>BBM Solar / Oli, Biaya</v>
          </cell>
          <cell r="D226">
            <v>3</v>
          </cell>
          <cell r="K226">
            <v>24824975</v>
          </cell>
        </row>
        <row r="227">
          <cell r="C227" t="str">
            <v>ISP 1 - Divisi</v>
          </cell>
          <cell r="D227">
            <v>3</v>
          </cell>
          <cell r="L227">
            <v>24824975</v>
          </cell>
        </row>
        <row r="228">
          <cell r="C228" t="str">
            <v>PEMAKAIAN SOLAR DARI ISP @ 2.420,06 L. PER MARET'14</v>
          </cell>
          <cell r="D228">
            <v>3</v>
          </cell>
        </row>
        <row r="229">
          <cell r="C229" t="str">
            <v>Holding - Divisi</v>
          </cell>
          <cell r="D229">
            <v>4</v>
          </cell>
          <cell r="K229">
            <v>1140000</v>
          </cell>
        </row>
        <row r="230">
          <cell r="C230" t="str">
            <v>Yudi</v>
          </cell>
          <cell r="D230">
            <v>4</v>
          </cell>
          <cell r="L230">
            <v>1140000</v>
          </cell>
        </row>
        <row r="231">
          <cell r="C231" t="str">
            <v>TERIMA PELUNASAN PENJUALAN SHM.</v>
          </cell>
          <cell r="D231">
            <v>4</v>
          </cell>
        </row>
        <row r="232">
          <cell r="C232" t="str">
            <v>Mesin-Mesin</v>
          </cell>
          <cell r="D232">
            <v>4</v>
          </cell>
          <cell r="K232">
            <v>4500000</v>
          </cell>
        </row>
        <row r="233">
          <cell r="C233" t="str">
            <v>Materai, Koran, Majalah, Biaya</v>
          </cell>
          <cell r="D233">
            <v>4</v>
          </cell>
          <cell r="L233">
            <v>6000</v>
          </cell>
        </row>
        <row r="234">
          <cell r="C234" t="str">
            <v>Biaya Yang Masih Harus Dibayar</v>
          </cell>
          <cell r="D234">
            <v>4</v>
          </cell>
          <cell r="L234">
            <v>4494000</v>
          </cell>
        </row>
        <row r="235">
          <cell r="C235" t="str">
            <v>Pembelian mesin crusher</v>
          </cell>
          <cell r="D235">
            <v>4</v>
          </cell>
        </row>
        <row r="236">
          <cell r="C236" t="str">
            <v>Holding - Divisi</v>
          </cell>
          <cell r="D236">
            <v>4</v>
          </cell>
          <cell r="K236">
            <v>138000000</v>
          </cell>
        </row>
        <row r="237">
          <cell r="C237" t="str">
            <v>Yudi</v>
          </cell>
          <cell r="D237">
            <v>4</v>
          </cell>
          <cell r="L237">
            <v>138000000</v>
          </cell>
        </row>
        <row r="238">
          <cell r="C238" t="str">
            <v>TERIMA UM PENJUALAN SHM @20.792 KG. VIA HOLDING ( IDR 616 )  INV 0030/YD....</v>
          </cell>
          <cell r="D238">
            <v>4</v>
          </cell>
        </row>
        <row r="239">
          <cell r="C239" t="str">
            <v>Lembur, Biaya</v>
          </cell>
          <cell r="D239">
            <v>4</v>
          </cell>
          <cell r="K239">
            <v>127760</v>
          </cell>
        </row>
        <row r="240">
          <cell r="C240" t="str">
            <v>Biaya Yang Masih Harus Dibayar</v>
          </cell>
          <cell r="D240">
            <v>4</v>
          </cell>
          <cell r="L240">
            <v>127760</v>
          </cell>
        </row>
        <row r="241">
          <cell r="C241" t="str">
            <v>Pembyran upah lembur karyawan tgl 17-23 april'14</v>
          </cell>
          <cell r="D241">
            <v>4</v>
          </cell>
        </row>
        <row r="242">
          <cell r="C242" t="str">
            <v>Gaji Karyawan Kantor, Biaya</v>
          </cell>
          <cell r="D242">
            <v>4</v>
          </cell>
          <cell r="K242">
            <v>4272500</v>
          </cell>
        </row>
        <row r="243">
          <cell r="C243" t="str">
            <v>Tunjangan Karyawan, Biaya</v>
          </cell>
          <cell r="D243">
            <v>4</v>
          </cell>
          <cell r="K243">
            <v>50000</v>
          </cell>
        </row>
        <row r="244">
          <cell r="C244" t="str">
            <v>BPJS/Jamsostek,Biaya</v>
          </cell>
          <cell r="D244">
            <v>4</v>
          </cell>
          <cell r="K244">
            <v>374047</v>
          </cell>
        </row>
        <row r="245">
          <cell r="C245" t="str">
            <v>BPJS/Jamsostek,Biaya</v>
          </cell>
          <cell r="D245">
            <v>4</v>
          </cell>
          <cell r="L245">
            <v>479235</v>
          </cell>
        </row>
        <row r="246">
          <cell r="C246" t="str">
            <v>Biaya Yang Masih Harus Dibayar</v>
          </cell>
          <cell r="D246">
            <v>4</v>
          </cell>
          <cell r="L246">
            <v>4217312</v>
          </cell>
        </row>
        <row r="247">
          <cell r="C247" t="str">
            <v>gaji kary bulanan kep udang bln April'14</v>
          </cell>
          <cell r="D247">
            <v>4</v>
          </cell>
        </row>
        <row r="248">
          <cell r="C248" t="str">
            <v>BPJS/Jamsostek,Biaya</v>
          </cell>
          <cell r="D248">
            <v>4</v>
          </cell>
          <cell r="K248">
            <v>289897</v>
          </cell>
        </row>
        <row r="249">
          <cell r="C249" t="str">
            <v>Biaya Yang Masih Harus Dibayar</v>
          </cell>
          <cell r="D249">
            <v>4</v>
          </cell>
          <cell r="L249">
            <v>289897</v>
          </cell>
        </row>
        <row r="250">
          <cell r="C250" t="str">
            <v>Iuran  kesehatan bln april'14</v>
          </cell>
          <cell r="D250">
            <v>4</v>
          </cell>
        </row>
        <row r="251">
          <cell r="C251" t="str">
            <v>Konsumsi Karyawan, Biaya</v>
          </cell>
          <cell r="D251">
            <v>4</v>
          </cell>
          <cell r="K251">
            <v>271000</v>
          </cell>
        </row>
        <row r="252">
          <cell r="C252" t="str">
            <v>Biaya Yang Masih Harus Dibayar</v>
          </cell>
          <cell r="D252">
            <v>4</v>
          </cell>
          <cell r="L252">
            <v>271000</v>
          </cell>
        </row>
        <row r="253">
          <cell r="C253" t="str">
            <v>Konsumsi kry kepala udang per 21-26 april'14</v>
          </cell>
          <cell r="D253">
            <v>4</v>
          </cell>
        </row>
        <row r="254">
          <cell r="C254" t="str">
            <v>Upah Borongan, Biaya</v>
          </cell>
          <cell r="D254">
            <v>4</v>
          </cell>
          <cell r="K254">
            <v>2641600</v>
          </cell>
        </row>
        <row r="255">
          <cell r="C255" t="str">
            <v>Biaya Yang Masih Harus Dibayar</v>
          </cell>
          <cell r="D255">
            <v>4</v>
          </cell>
          <cell r="L255">
            <v>2641600</v>
          </cell>
        </row>
        <row r="256">
          <cell r="C256" t="str">
            <v>Gaji kary borongan Kary kep Udang per 21-27 April'14</v>
          </cell>
          <cell r="D256">
            <v>4</v>
          </cell>
        </row>
        <row r="257">
          <cell r="C257" t="str">
            <v>Upah Bongkar &amp; Muat, Biaya</v>
          </cell>
          <cell r="D257">
            <v>4</v>
          </cell>
          <cell r="K257">
            <v>226988</v>
          </cell>
        </row>
        <row r="258">
          <cell r="C258" t="str">
            <v>Biaya Yang Masih Harus Dibayar</v>
          </cell>
          <cell r="D258">
            <v>4</v>
          </cell>
          <cell r="L258">
            <v>226988</v>
          </cell>
        </row>
        <row r="259">
          <cell r="C259" t="str">
            <v>Upah  Muat tepung SHM @ 20.790 Kg ( 895 Colly )  - Bor ICP</v>
          </cell>
          <cell r="D259">
            <v>4</v>
          </cell>
        </row>
        <row r="260">
          <cell r="C260" t="str">
            <v>Lembur, Biaya</v>
          </cell>
          <cell r="D260">
            <v>4</v>
          </cell>
          <cell r="K260">
            <v>29032</v>
          </cell>
        </row>
        <row r="261">
          <cell r="C261" t="str">
            <v>Biaya Yang Masih Harus Dibayar</v>
          </cell>
          <cell r="D261">
            <v>4</v>
          </cell>
          <cell r="L261">
            <v>29032</v>
          </cell>
        </row>
        <row r="262">
          <cell r="C262" t="str">
            <v>Lembur kry kpl udang per 24-30 April'14</v>
          </cell>
          <cell r="D262">
            <v>4</v>
          </cell>
        </row>
        <row r="263">
          <cell r="C263" t="str">
            <v>Konsumsi Karyawan, Biaya</v>
          </cell>
          <cell r="D263">
            <v>4</v>
          </cell>
          <cell r="K263">
            <v>100000</v>
          </cell>
        </row>
        <row r="264">
          <cell r="C264" t="str">
            <v>Biaya Yang Masih Harus Dibayar</v>
          </cell>
          <cell r="D264">
            <v>4</v>
          </cell>
          <cell r="L264">
            <v>100000</v>
          </cell>
        </row>
        <row r="265">
          <cell r="C265" t="str">
            <v>Konsumsi kry per 28-30 April'14</v>
          </cell>
          <cell r="D265">
            <v>4</v>
          </cell>
        </row>
        <row r="266">
          <cell r="C266" t="str">
            <v>Insentif Karyawan, Biaya</v>
          </cell>
          <cell r="D266">
            <v>4</v>
          </cell>
          <cell r="K266">
            <v>150000</v>
          </cell>
        </row>
        <row r="267">
          <cell r="C267" t="str">
            <v>Biaya Yang Masih Harus Dibayar</v>
          </cell>
          <cell r="D267">
            <v>4</v>
          </cell>
          <cell r="L267">
            <v>150000</v>
          </cell>
        </row>
        <row r="268">
          <cell r="C268" t="str">
            <v>Insentif kry borongan kepala udang, per April'14</v>
          </cell>
          <cell r="D268">
            <v>4</v>
          </cell>
        </row>
        <row r="269">
          <cell r="C269" t="str">
            <v>Upah Borongan, Biaya</v>
          </cell>
          <cell r="D269">
            <v>4</v>
          </cell>
          <cell r="K269">
            <v>669280</v>
          </cell>
        </row>
        <row r="270">
          <cell r="C270" t="str">
            <v>Biaya Yang Masih Harus Dibayar</v>
          </cell>
          <cell r="D270">
            <v>4</v>
          </cell>
          <cell r="L270">
            <v>669280</v>
          </cell>
        </row>
        <row r="271">
          <cell r="C271" t="str">
            <v>Upah kry borongan kpl udang per 28-30 April'14</v>
          </cell>
          <cell r="D271">
            <v>4</v>
          </cell>
        </row>
        <row r="272">
          <cell r="C272" t="str">
            <v>Penyusutan Bangunan, Biaya</v>
          </cell>
          <cell r="D272">
            <v>4</v>
          </cell>
          <cell r="K272">
            <v>3205532</v>
          </cell>
        </row>
        <row r="273">
          <cell r="C273" t="str">
            <v>Ak. Penyusutan Bangunan</v>
          </cell>
          <cell r="D273">
            <v>4</v>
          </cell>
          <cell r="L273">
            <v>3205532</v>
          </cell>
        </row>
        <row r="274">
          <cell r="C274" t="str">
            <v>Penyusutan bangunan pakan per bulan april</v>
          </cell>
          <cell r="D274">
            <v>4</v>
          </cell>
        </row>
        <row r="275">
          <cell r="C275" t="str">
            <v>Penyusutan Mesin-Mesin, Biaya</v>
          </cell>
          <cell r="D275">
            <v>4</v>
          </cell>
          <cell r="K275">
            <v>3326801</v>
          </cell>
        </row>
        <row r="276">
          <cell r="C276" t="str">
            <v>Ak. Penyusutan Mesin-Mesin</v>
          </cell>
          <cell r="D276">
            <v>4</v>
          </cell>
          <cell r="L276">
            <v>3326801</v>
          </cell>
        </row>
        <row r="277">
          <cell r="C277" t="str">
            <v>Penyusutan mesin-mesin pakan per april'14</v>
          </cell>
          <cell r="D277">
            <v>4</v>
          </cell>
        </row>
        <row r="278">
          <cell r="C278" t="str">
            <v>Penyusutan Peralatan Bengkel, Biaya</v>
          </cell>
          <cell r="D278">
            <v>4</v>
          </cell>
          <cell r="K278">
            <v>70776</v>
          </cell>
        </row>
        <row r="279">
          <cell r="C279" t="str">
            <v>Ak. Penyusutan Peralatan Bengkel</v>
          </cell>
          <cell r="D279">
            <v>4</v>
          </cell>
          <cell r="L279">
            <v>70776</v>
          </cell>
        </row>
        <row r="280">
          <cell r="C280" t="str">
            <v>Penyusutan peralatan bengkel per april'14</v>
          </cell>
          <cell r="D280">
            <v>4</v>
          </cell>
        </row>
        <row r="281">
          <cell r="C281" t="str">
            <v>Penyusutan Peralatan Kantor, Biaya</v>
          </cell>
          <cell r="D281">
            <v>4</v>
          </cell>
          <cell r="K281">
            <v>437176</v>
          </cell>
        </row>
        <row r="282">
          <cell r="C282" t="str">
            <v>Ak. Penyusutan Peralatan Kantor</v>
          </cell>
          <cell r="D282">
            <v>4</v>
          </cell>
          <cell r="L282">
            <v>437176</v>
          </cell>
        </row>
        <row r="283">
          <cell r="C283" t="str">
            <v>Penyusutan peralatan kantor pakan per april'14</v>
          </cell>
          <cell r="D283">
            <v>4</v>
          </cell>
        </row>
        <row r="284">
          <cell r="C284" t="str">
            <v>Penyusutan Peralatan Produksi, Biaya</v>
          </cell>
          <cell r="D284">
            <v>4</v>
          </cell>
          <cell r="K284">
            <v>5011770</v>
          </cell>
        </row>
        <row r="285">
          <cell r="C285" t="str">
            <v>Ak. Penyusutan &amp; Peralatan Produksi</v>
          </cell>
          <cell r="D285">
            <v>4</v>
          </cell>
          <cell r="L285">
            <v>5011770</v>
          </cell>
        </row>
        <row r="286">
          <cell r="C286" t="str">
            <v>Penyustan peralatan produksi pakan per april'14</v>
          </cell>
          <cell r="D286">
            <v>4</v>
          </cell>
        </row>
        <row r="287">
          <cell r="C287" t="str">
            <v>Penyusutan Infrastruktur, Biaya</v>
          </cell>
          <cell r="D287">
            <v>4</v>
          </cell>
          <cell r="K287">
            <v>486635</v>
          </cell>
        </row>
        <row r="288">
          <cell r="C288" t="str">
            <v>Ak. Penyusutan Infrastruktur</v>
          </cell>
          <cell r="D288">
            <v>4</v>
          </cell>
          <cell r="L288">
            <v>486635</v>
          </cell>
        </row>
        <row r="289">
          <cell r="C289" t="str">
            <v>Penyusutan infrastruktur per april'14</v>
          </cell>
          <cell r="D289">
            <v>4</v>
          </cell>
        </row>
        <row r="290">
          <cell r="C290" t="str">
            <v>Yudi</v>
          </cell>
          <cell r="D290">
            <v>4</v>
          </cell>
          <cell r="K290">
            <v>124740000</v>
          </cell>
        </row>
        <row r="291">
          <cell r="C291" t="str">
            <v>Penjualan SHM</v>
          </cell>
          <cell r="D291">
            <v>4</v>
          </cell>
          <cell r="L291">
            <v>113400000</v>
          </cell>
        </row>
        <row r="292">
          <cell r="C292" t="str">
            <v>PPN</v>
          </cell>
          <cell r="D292">
            <v>4</v>
          </cell>
          <cell r="L292">
            <v>11340000</v>
          </cell>
        </row>
        <row r="293">
          <cell r="C293" t="str">
            <v>PENJUALAN SHM @ 20.790 KG - YUDI</v>
          </cell>
          <cell r="D293">
            <v>4</v>
          </cell>
        </row>
        <row r="294">
          <cell r="C294" t="str">
            <v>BBM Solar / Oli, Biaya</v>
          </cell>
          <cell r="D294">
            <v>4</v>
          </cell>
          <cell r="K294">
            <v>19722244</v>
          </cell>
        </row>
        <row r="295">
          <cell r="C295" t="str">
            <v>ISP 1 - Divisi</v>
          </cell>
          <cell r="D295">
            <v>4</v>
          </cell>
          <cell r="L295">
            <v>19722244</v>
          </cell>
        </row>
        <row r="296">
          <cell r="C296" t="str">
            <v>PEMAKAIAN SOLAR DARI ISP @ 1.917,76 L. PER APRIL'14</v>
          </cell>
          <cell r="D296">
            <v>4</v>
          </cell>
        </row>
        <row r="297">
          <cell r="C297" t="str">
            <v>Konsumsi Karyawan, Biaya</v>
          </cell>
          <cell r="D297">
            <v>5</v>
          </cell>
          <cell r="K297">
            <v>65000</v>
          </cell>
        </row>
        <row r="298">
          <cell r="C298" t="str">
            <v>Biaya Yang Masih Harus Dibayar</v>
          </cell>
          <cell r="D298">
            <v>5</v>
          </cell>
          <cell r="L298">
            <v>65000</v>
          </cell>
        </row>
        <row r="299">
          <cell r="C299" t="str">
            <v>Konsumsi kry per 1-3 mei'14</v>
          </cell>
          <cell r="D299">
            <v>5</v>
          </cell>
        </row>
        <row r="300">
          <cell r="C300" t="str">
            <v>Upah Borongan, Biaya</v>
          </cell>
          <cell r="D300">
            <v>5</v>
          </cell>
          <cell r="K300">
            <v>374200</v>
          </cell>
        </row>
        <row r="301">
          <cell r="C301" t="str">
            <v>Biaya Yang Masih Harus Dibayar</v>
          </cell>
          <cell r="D301">
            <v>5</v>
          </cell>
          <cell r="L301">
            <v>374200</v>
          </cell>
        </row>
        <row r="302">
          <cell r="C302" t="str">
            <v>Upah borongan kepala udang, per 1-4 Mei'14</v>
          </cell>
          <cell r="D302">
            <v>5</v>
          </cell>
        </row>
        <row r="303">
          <cell r="C303" t="str">
            <v>ISP 1 - Divisi</v>
          </cell>
          <cell r="D303">
            <v>5</v>
          </cell>
          <cell r="K303">
            <v>508657</v>
          </cell>
        </row>
        <row r="304">
          <cell r="C304" t="str">
            <v>Agung Susilo Wahyudi, Tn</v>
          </cell>
          <cell r="D304">
            <v>5</v>
          </cell>
          <cell r="L304">
            <v>508657</v>
          </cell>
        </row>
        <row r="305">
          <cell r="C305" t="str">
            <v>Pelunasan pinjaman Agung susilo wahyudi.</v>
          </cell>
          <cell r="D305">
            <v>5</v>
          </cell>
        </row>
        <row r="306">
          <cell r="C306" t="str">
            <v>Listrik, Biaya</v>
          </cell>
          <cell r="D306">
            <v>5</v>
          </cell>
          <cell r="K306">
            <v>5115110</v>
          </cell>
        </row>
        <row r="307">
          <cell r="C307" t="str">
            <v>PLN, PT Persero R. Teluk Betung</v>
          </cell>
          <cell r="D307">
            <v>5</v>
          </cell>
          <cell r="L307">
            <v>5115110</v>
          </cell>
        </row>
        <row r="308">
          <cell r="C308" t="str">
            <v>Tagihan listriki bln april'14</v>
          </cell>
          <cell r="D308">
            <v>5</v>
          </cell>
        </row>
        <row r="309">
          <cell r="C309" t="str">
            <v>Tambak Ketapang - Divisi</v>
          </cell>
          <cell r="D309">
            <v>5</v>
          </cell>
          <cell r="K309">
            <v>900246.29</v>
          </cell>
        </row>
        <row r="310">
          <cell r="C310" t="str">
            <v>Bahan Pembantu Produksi, Biaya</v>
          </cell>
          <cell r="D310">
            <v>5</v>
          </cell>
          <cell r="L310">
            <v>900246.29</v>
          </cell>
        </row>
        <row r="311">
          <cell r="C311" t="str">
            <v>TRANSFER 100 KG SAFT INSTAN, KE TAMBAK KETAPANG</v>
          </cell>
          <cell r="D311">
            <v>5</v>
          </cell>
        </row>
        <row r="312">
          <cell r="C312" t="str">
            <v>Lembur, Biaya</v>
          </cell>
          <cell r="D312">
            <v>5</v>
          </cell>
          <cell r="K312">
            <v>20737</v>
          </cell>
        </row>
        <row r="313">
          <cell r="C313" t="str">
            <v>Biaya Yang Masih Harus Dibayar</v>
          </cell>
          <cell r="D313">
            <v>5</v>
          </cell>
          <cell r="L313">
            <v>20737</v>
          </cell>
        </row>
        <row r="314">
          <cell r="C314" t="str">
            <v>LEMBUR PER 8-14 MEI'14.</v>
          </cell>
          <cell r="D314">
            <v>5</v>
          </cell>
        </row>
        <row r="315">
          <cell r="C315" t="str">
            <v>Yudi</v>
          </cell>
          <cell r="D315">
            <v>5</v>
          </cell>
          <cell r="K315">
            <v>116340000</v>
          </cell>
        </row>
        <row r="316">
          <cell r="C316" t="str">
            <v>Penjualan SHM</v>
          </cell>
          <cell r="D316">
            <v>5</v>
          </cell>
          <cell r="L316">
            <v>105763636.36</v>
          </cell>
        </row>
        <row r="317">
          <cell r="C317" t="str">
            <v>PPN</v>
          </cell>
          <cell r="D317">
            <v>5</v>
          </cell>
          <cell r="L317">
            <v>10576363.640000001</v>
          </cell>
        </row>
        <row r="318">
          <cell r="C318" t="str">
            <v>PENJUALAN SHM @ 19.390 KG INV 0031/YD.....</v>
          </cell>
          <cell r="D318">
            <v>5</v>
          </cell>
        </row>
        <row r="319">
          <cell r="C319" t="str">
            <v>Holding - Divisi</v>
          </cell>
          <cell r="D319">
            <v>5</v>
          </cell>
          <cell r="K319">
            <v>124740000</v>
          </cell>
        </row>
        <row r="320">
          <cell r="C320" t="str">
            <v>Yudi</v>
          </cell>
          <cell r="D320">
            <v>5</v>
          </cell>
          <cell r="L320">
            <v>124740000</v>
          </cell>
        </row>
        <row r="321">
          <cell r="C321" t="str">
            <v>TERIMA PENJ SHM @ 19.390 KG. VIA HOLDING (IDR-616)</v>
          </cell>
          <cell r="D321">
            <v>5</v>
          </cell>
        </row>
        <row r="322">
          <cell r="C322" t="str">
            <v>Konsumsi Karyawan, Biaya</v>
          </cell>
          <cell r="D322">
            <v>5</v>
          </cell>
          <cell r="K322">
            <v>265000</v>
          </cell>
        </row>
        <row r="323">
          <cell r="C323" t="str">
            <v>Biaya Yang Masih Harus Dibayar</v>
          </cell>
          <cell r="D323">
            <v>5</v>
          </cell>
          <cell r="L323">
            <v>265000</v>
          </cell>
        </row>
        <row r="324">
          <cell r="C324" t="str">
            <v>konsumsi kary kep udang per 19-24 mei'14</v>
          </cell>
          <cell r="D324">
            <v>5</v>
          </cell>
        </row>
        <row r="325">
          <cell r="C325" t="str">
            <v>Upah Borongan, Biaya</v>
          </cell>
          <cell r="D325">
            <v>5</v>
          </cell>
          <cell r="K325">
            <v>2722260</v>
          </cell>
        </row>
        <row r="326">
          <cell r="C326" t="str">
            <v>Biaya Yang Masih Harus Dibayar</v>
          </cell>
          <cell r="D326">
            <v>5</v>
          </cell>
          <cell r="L326">
            <v>2722260</v>
          </cell>
        </row>
        <row r="327">
          <cell r="C327" t="str">
            <v>upah karyawan borongan kep udang per 19-25 mei'14</v>
          </cell>
          <cell r="D327">
            <v>5</v>
          </cell>
        </row>
        <row r="328">
          <cell r="C328" t="str">
            <v>Gaji Karyawan Kantor, Biaya</v>
          </cell>
          <cell r="D328">
            <v>5</v>
          </cell>
          <cell r="K328">
            <v>4272500</v>
          </cell>
        </row>
        <row r="329">
          <cell r="C329" t="str">
            <v>Tunjangan Karyawan, Biaya</v>
          </cell>
          <cell r="D329">
            <v>5</v>
          </cell>
          <cell r="K329">
            <v>225000</v>
          </cell>
        </row>
        <row r="330">
          <cell r="C330" t="str">
            <v>BPJS/Jamsostek,Biaya</v>
          </cell>
          <cell r="D330">
            <v>5</v>
          </cell>
          <cell r="K330">
            <v>374047</v>
          </cell>
        </row>
        <row r="331">
          <cell r="C331" t="str">
            <v>BPJS/Jamsostek,Biaya</v>
          </cell>
          <cell r="D331">
            <v>5</v>
          </cell>
          <cell r="L331">
            <v>479235</v>
          </cell>
        </row>
        <row r="332">
          <cell r="C332" t="str">
            <v>Biaya Yang Masih Harus Dibayar</v>
          </cell>
          <cell r="D332">
            <v>5</v>
          </cell>
          <cell r="L332">
            <v>4392312</v>
          </cell>
        </row>
        <row r="333">
          <cell r="C333" t="str">
            <v>GAJI KRY KEPALA UDANG, PER MEI'14</v>
          </cell>
          <cell r="D333">
            <v>5</v>
          </cell>
        </row>
        <row r="334">
          <cell r="C334" t="str">
            <v>BPJS/Jamsostek,Biaya</v>
          </cell>
          <cell r="D334">
            <v>5</v>
          </cell>
          <cell r="K334">
            <v>289897</v>
          </cell>
        </row>
        <row r="335">
          <cell r="C335" t="str">
            <v>Biaya Yang Masih Harus Dibayar</v>
          </cell>
          <cell r="D335">
            <v>5</v>
          </cell>
          <cell r="L335">
            <v>289897</v>
          </cell>
        </row>
        <row r="336">
          <cell r="C336" t="str">
            <v>IURAN KESEHATAN KARY KEPALA UDANG, PER MEI'14</v>
          </cell>
          <cell r="D336">
            <v>5</v>
          </cell>
        </row>
        <row r="337">
          <cell r="C337" t="str">
            <v>Konsumsi Karyawan, Biaya</v>
          </cell>
          <cell r="D337">
            <v>5</v>
          </cell>
          <cell r="K337">
            <v>220000</v>
          </cell>
        </row>
        <row r="338">
          <cell r="C338" t="str">
            <v>Biaya Yang Masih Harus Dibayar</v>
          </cell>
          <cell r="D338">
            <v>5</v>
          </cell>
          <cell r="L338">
            <v>220000</v>
          </cell>
        </row>
        <row r="339">
          <cell r="C339" t="str">
            <v>KONSUMSI PER 26-30 MEI'14</v>
          </cell>
          <cell r="D339">
            <v>5</v>
          </cell>
        </row>
        <row r="340">
          <cell r="C340" t="str">
            <v>Yudi</v>
          </cell>
          <cell r="D340">
            <v>5</v>
          </cell>
          <cell r="K340">
            <v>21660000</v>
          </cell>
        </row>
        <row r="341">
          <cell r="C341" t="str">
            <v>ISP 1 - Divisi</v>
          </cell>
          <cell r="D341">
            <v>5</v>
          </cell>
          <cell r="L341">
            <v>21660000</v>
          </cell>
        </row>
        <row r="342">
          <cell r="C342" t="str">
            <v>Pengembalian kelebihan bayar penjualan SHM</v>
          </cell>
          <cell r="D342">
            <v>5</v>
          </cell>
        </row>
        <row r="343">
          <cell r="C343" t="str">
            <v>Penyusutan Bangunan, Biaya</v>
          </cell>
          <cell r="D343">
            <v>5</v>
          </cell>
          <cell r="K343">
            <v>3205532</v>
          </cell>
        </row>
        <row r="344">
          <cell r="C344" t="str">
            <v>Ak. Penyusutan Bangunan</v>
          </cell>
          <cell r="D344">
            <v>5</v>
          </cell>
          <cell r="L344">
            <v>3205532</v>
          </cell>
        </row>
        <row r="345">
          <cell r="C345" t="str">
            <v>penyusutan bangunan per mei"14</v>
          </cell>
          <cell r="D345">
            <v>5</v>
          </cell>
        </row>
        <row r="346">
          <cell r="C346" t="str">
            <v>Penyusutan Mesin-Mesin, Biaya</v>
          </cell>
          <cell r="D346">
            <v>5</v>
          </cell>
          <cell r="K346">
            <v>3326801</v>
          </cell>
        </row>
        <row r="347">
          <cell r="C347" t="str">
            <v>Ak. Penyusutan Mesin-Mesin</v>
          </cell>
          <cell r="D347">
            <v>5</v>
          </cell>
          <cell r="L347">
            <v>3326801</v>
          </cell>
        </row>
        <row r="348">
          <cell r="C348" t="str">
            <v>PENYUSUTAN MESIN PER MEI'14</v>
          </cell>
          <cell r="D348">
            <v>5</v>
          </cell>
        </row>
        <row r="349">
          <cell r="C349" t="str">
            <v>Penyusutan Peralatan Kantor, Biaya</v>
          </cell>
          <cell r="D349">
            <v>5</v>
          </cell>
          <cell r="K349">
            <v>437176</v>
          </cell>
        </row>
        <row r="350">
          <cell r="C350" t="str">
            <v>Ak. Penyusutan Peralatan Kantor</v>
          </cell>
          <cell r="D350">
            <v>5</v>
          </cell>
          <cell r="L350">
            <v>437176</v>
          </cell>
        </row>
        <row r="351">
          <cell r="C351" t="str">
            <v>PENYUSUTAN PERALATAN KANTOR PER MEI'14</v>
          </cell>
          <cell r="D351">
            <v>5</v>
          </cell>
        </row>
        <row r="352">
          <cell r="C352" t="str">
            <v>Penyusutan Peralatan Produksi, Biaya</v>
          </cell>
          <cell r="D352">
            <v>5</v>
          </cell>
          <cell r="K352">
            <v>5011770</v>
          </cell>
        </row>
        <row r="353">
          <cell r="C353" t="str">
            <v>Ak. Penyusutan &amp; Peralatan Produksi</v>
          </cell>
          <cell r="D353">
            <v>5</v>
          </cell>
          <cell r="L353">
            <v>5011770</v>
          </cell>
        </row>
        <row r="354">
          <cell r="C354" t="str">
            <v>PENYUSUTAN PERALATAN PRODUKSI PER MEI'14</v>
          </cell>
          <cell r="D354">
            <v>5</v>
          </cell>
        </row>
        <row r="355">
          <cell r="C355" t="str">
            <v>Penyusutan Peralatan Bengkel, Biaya</v>
          </cell>
          <cell r="D355">
            <v>5</v>
          </cell>
          <cell r="K355">
            <v>70776</v>
          </cell>
        </row>
        <row r="356">
          <cell r="C356" t="str">
            <v>Ak. Penyusutan Peralatan Bengkel</v>
          </cell>
          <cell r="D356">
            <v>5</v>
          </cell>
          <cell r="L356">
            <v>70776</v>
          </cell>
        </row>
        <row r="357">
          <cell r="C357" t="str">
            <v>PENYUSUTAN PERALATAN BENGKEL PER MEI'14</v>
          </cell>
          <cell r="D357">
            <v>5</v>
          </cell>
        </row>
        <row r="358">
          <cell r="C358" t="str">
            <v>Penyusutan Infrastruktur, Biaya</v>
          </cell>
          <cell r="D358">
            <v>5</v>
          </cell>
          <cell r="K358">
            <v>486635</v>
          </cell>
        </row>
        <row r="359">
          <cell r="C359" t="str">
            <v>Ak. Penyusutan Infrastruktur</v>
          </cell>
          <cell r="D359">
            <v>5</v>
          </cell>
          <cell r="L359">
            <v>486635</v>
          </cell>
        </row>
        <row r="360">
          <cell r="C360" t="str">
            <v>PENYUSUTAN INFRASTRUKTUR PER MEI'14</v>
          </cell>
          <cell r="D360">
            <v>5</v>
          </cell>
        </row>
        <row r="361">
          <cell r="C361" t="str">
            <v>Upah Borongan, Biaya</v>
          </cell>
          <cell r="D361">
            <v>5</v>
          </cell>
          <cell r="K361">
            <v>1907745</v>
          </cell>
        </row>
        <row r="362">
          <cell r="C362" t="str">
            <v>Biaya Yang Masih Harus Dibayar</v>
          </cell>
          <cell r="D362">
            <v>5</v>
          </cell>
          <cell r="L362">
            <v>1907745</v>
          </cell>
        </row>
        <row r="363">
          <cell r="C363" t="str">
            <v>upah karyawan bor kep udang per 26-1 juni'14</v>
          </cell>
          <cell r="D363">
            <v>5</v>
          </cell>
        </row>
        <row r="364">
          <cell r="C364" t="str">
            <v>Lembur, Biaya</v>
          </cell>
          <cell r="D364">
            <v>5</v>
          </cell>
          <cell r="K364">
            <v>199075</v>
          </cell>
        </row>
        <row r="365">
          <cell r="C365" t="str">
            <v>Biaya Yang Masih Harus Dibayar</v>
          </cell>
          <cell r="D365">
            <v>5</v>
          </cell>
          <cell r="L365">
            <v>199075</v>
          </cell>
        </row>
        <row r="366">
          <cell r="C366" t="str">
            <v>LEMBUR KARY KEP UDANG PER 29-31 MEI'14</v>
          </cell>
          <cell r="D366">
            <v>5</v>
          </cell>
        </row>
        <row r="367">
          <cell r="C367" t="str">
            <v>Listrik, Biaya</v>
          </cell>
          <cell r="D367">
            <v>5</v>
          </cell>
          <cell r="K367">
            <v>4472710</v>
          </cell>
        </row>
        <row r="368">
          <cell r="C368" t="str">
            <v>PLN, PT Persero R. Teluk Betung</v>
          </cell>
          <cell r="D368">
            <v>5</v>
          </cell>
          <cell r="L368">
            <v>4472710</v>
          </cell>
        </row>
        <row r="369">
          <cell r="C369" t="str">
            <v>TAGIHAN LISTRIK KEPALA UDANG  BULAN MEI'14</v>
          </cell>
          <cell r="D369">
            <v>5</v>
          </cell>
        </row>
        <row r="370">
          <cell r="C370" t="str">
            <v>BBM Solar / Oli, Biaya</v>
          </cell>
          <cell r="D370">
            <v>5</v>
          </cell>
          <cell r="K370">
            <v>19468682.199999999</v>
          </cell>
        </row>
        <row r="371">
          <cell r="C371" t="str">
            <v>ISP 1 - Divisi</v>
          </cell>
          <cell r="D371">
            <v>5</v>
          </cell>
          <cell r="L371">
            <v>19468682.199999999</v>
          </cell>
        </row>
        <row r="372">
          <cell r="C372" t="str">
            <v>PEMAKAIAN SOLAR DARI ISP @ 1.892,92 L. PER MEI'14</v>
          </cell>
          <cell r="D372">
            <v>5</v>
          </cell>
        </row>
        <row r="373">
          <cell r="C373" t="str">
            <v>Holding - Divisi</v>
          </cell>
          <cell r="D373">
            <v>6</v>
          </cell>
          <cell r="K373">
            <v>128000000</v>
          </cell>
        </row>
        <row r="374">
          <cell r="C374" t="str">
            <v>Yudi</v>
          </cell>
          <cell r="D374">
            <v>6</v>
          </cell>
          <cell r="L374">
            <v>128000000</v>
          </cell>
        </row>
        <row r="375">
          <cell r="C375" t="str">
            <v>Terima penj SHM @ 20.490 kg,inv : 0032/yd......</v>
          </cell>
          <cell r="D375">
            <v>6</v>
          </cell>
        </row>
        <row r="376">
          <cell r="C376" t="str">
            <v>Holding - Divisi</v>
          </cell>
          <cell r="D376">
            <v>6</v>
          </cell>
          <cell r="K376">
            <v>3136000</v>
          </cell>
        </row>
        <row r="377">
          <cell r="C377" t="str">
            <v>Yudi</v>
          </cell>
          <cell r="D377">
            <v>6</v>
          </cell>
          <cell r="L377">
            <v>3136000</v>
          </cell>
        </row>
        <row r="378">
          <cell r="C378" t="str">
            <v>Terima pelunasan penj SHM @ 20.490 kg</v>
          </cell>
          <cell r="D378">
            <v>6</v>
          </cell>
        </row>
        <row r="379">
          <cell r="C379" t="str">
            <v>Yudi</v>
          </cell>
          <cell r="D379">
            <v>6</v>
          </cell>
          <cell r="K379">
            <v>131136000</v>
          </cell>
        </row>
        <row r="380">
          <cell r="C380" t="str">
            <v>Penjualan SHM</v>
          </cell>
          <cell r="D380">
            <v>6</v>
          </cell>
          <cell r="L380">
            <v>119214545.45</v>
          </cell>
        </row>
        <row r="381">
          <cell r="C381" t="str">
            <v>PPN</v>
          </cell>
          <cell r="D381">
            <v>6</v>
          </cell>
          <cell r="L381">
            <v>11921454.550000001</v>
          </cell>
        </row>
        <row r="382">
          <cell r="C382" t="str">
            <v>PENJUALAN SHM @ 20.490 KG, INV 0032/YD/IN/06/2014</v>
          </cell>
          <cell r="D382">
            <v>6</v>
          </cell>
        </row>
        <row r="383">
          <cell r="C383" t="str">
            <v>Gaji Karyawan Kantor, Biaya</v>
          </cell>
          <cell r="D383">
            <v>6</v>
          </cell>
          <cell r="K383">
            <v>4272500</v>
          </cell>
        </row>
        <row r="384">
          <cell r="C384" t="str">
            <v>Tunjangan Karyawan, Biaya</v>
          </cell>
          <cell r="D384">
            <v>6</v>
          </cell>
          <cell r="K384">
            <v>225000</v>
          </cell>
        </row>
        <row r="385">
          <cell r="C385" t="str">
            <v>BPJS/Jamsostek,Biaya</v>
          </cell>
          <cell r="D385">
            <v>6</v>
          </cell>
          <cell r="K385">
            <v>374047</v>
          </cell>
        </row>
        <row r="386">
          <cell r="C386" t="str">
            <v>BPJS/Jamsostek,Biaya</v>
          </cell>
          <cell r="D386">
            <v>6</v>
          </cell>
          <cell r="L386">
            <v>479235</v>
          </cell>
        </row>
        <row r="387">
          <cell r="C387" t="str">
            <v>Biaya Yang Masih Harus Dibayar</v>
          </cell>
          <cell r="D387">
            <v>6</v>
          </cell>
          <cell r="L387">
            <v>4392312</v>
          </cell>
        </row>
        <row r="388">
          <cell r="C388" t="str">
            <v>Gaji kary bulana kep udang per juni'14</v>
          </cell>
          <cell r="D388">
            <v>6</v>
          </cell>
        </row>
        <row r="389">
          <cell r="C389" t="str">
            <v>BPJS/Jamsostek,Biaya</v>
          </cell>
          <cell r="D389">
            <v>6</v>
          </cell>
          <cell r="K389">
            <v>289897</v>
          </cell>
        </row>
        <row r="390">
          <cell r="C390" t="str">
            <v>Biaya Yang Masih Harus Dibayar</v>
          </cell>
          <cell r="D390">
            <v>6</v>
          </cell>
          <cell r="L390">
            <v>289897</v>
          </cell>
        </row>
        <row r="391">
          <cell r="C391" t="str">
            <v>iuran bulan juni'14 @ 3 org</v>
          </cell>
          <cell r="D391">
            <v>6</v>
          </cell>
        </row>
        <row r="392">
          <cell r="C392" t="str">
            <v>Upah Borongan, Biaya</v>
          </cell>
          <cell r="D392">
            <v>6</v>
          </cell>
          <cell r="K392">
            <v>1933760</v>
          </cell>
        </row>
        <row r="393">
          <cell r="C393" t="str">
            <v>Biaya Yang Masih Harus Dibayar</v>
          </cell>
          <cell r="D393">
            <v>6</v>
          </cell>
          <cell r="L393">
            <v>1933760</v>
          </cell>
        </row>
        <row r="394">
          <cell r="C394" t="str">
            <v>Upah kary borongan kep udang per 23-29 juni'14</v>
          </cell>
          <cell r="D394">
            <v>6</v>
          </cell>
        </row>
        <row r="395">
          <cell r="C395" t="str">
            <v>Konsumsi Karyawan, Biaya</v>
          </cell>
          <cell r="D395">
            <v>6</v>
          </cell>
          <cell r="K395">
            <v>220000</v>
          </cell>
        </row>
        <row r="396">
          <cell r="C396" t="str">
            <v>Biaya Yang Masih Harus Dibayar</v>
          </cell>
          <cell r="D396">
            <v>6</v>
          </cell>
          <cell r="L396">
            <v>220000</v>
          </cell>
        </row>
        <row r="397">
          <cell r="C397" t="str">
            <v>Konsumsi karyawan Kep udang Per 23-27 juni'14 @ 44 org</v>
          </cell>
          <cell r="D397">
            <v>6</v>
          </cell>
        </row>
        <row r="398">
          <cell r="C398" t="str">
            <v>Lembur, Biaya</v>
          </cell>
          <cell r="D398">
            <v>6</v>
          </cell>
          <cell r="K398">
            <v>53916</v>
          </cell>
        </row>
        <row r="399">
          <cell r="C399" t="str">
            <v>Biaya Yang Masih Harus Dibayar</v>
          </cell>
          <cell r="D399">
            <v>6</v>
          </cell>
          <cell r="L399">
            <v>53916</v>
          </cell>
        </row>
        <row r="400">
          <cell r="C400" t="str">
            <v>Lembur kary kep udang per 26-30 juni'14</v>
          </cell>
          <cell r="D400">
            <v>6</v>
          </cell>
        </row>
        <row r="401">
          <cell r="C401" t="str">
            <v>Listrik, Biaya</v>
          </cell>
          <cell r="D401">
            <v>6</v>
          </cell>
          <cell r="K401">
            <v>4673460</v>
          </cell>
        </row>
        <row r="402">
          <cell r="C402" t="str">
            <v>PLN, PT Persero R. Teluk Betung</v>
          </cell>
          <cell r="D402">
            <v>6</v>
          </cell>
          <cell r="L402">
            <v>4673460</v>
          </cell>
        </row>
        <row r="403">
          <cell r="C403" t="str">
            <v>Tagihan listrik Kep udang per juni'14</v>
          </cell>
          <cell r="D403">
            <v>6</v>
          </cell>
        </row>
        <row r="404">
          <cell r="C404" t="str">
            <v>Penyusutan Bangunan, Biaya</v>
          </cell>
          <cell r="D404">
            <v>6</v>
          </cell>
          <cell r="K404">
            <v>3205532</v>
          </cell>
        </row>
        <row r="405">
          <cell r="C405" t="str">
            <v>Ak. Penyusutan Bangunan</v>
          </cell>
          <cell r="D405">
            <v>6</v>
          </cell>
          <cell r="L405">
            <v>3205532</v>
          </cell>
        </row>
        <row r="406">
          <cell r="C406" t="str">
            <v>Penyusutan bangunan per juni'14</v>
          </cell>
          <cell r="D406">
            <v>6</v>
          </cell>
        </row>
        <row r="407">
          <cell r="C407" t="str">
            <v>Penyusutan Mesin-Mesin, Biaya</v>
          </cell>
          <cell r="D407">
            <v>6</v>
          </cell>
          <cell r="K407">
            <v>3326801</v>
          </cell>
        </row>
        <row r="408">
          <cell r="C408" t="str">
            <v>Ak. Penyusutan Mesin-Mesin</v>
          </cell>
          <cell r="D408">
            <v>6</v>
          </cell>
          <cell r="L408">
            <v>3326801</v>
          </cell>
        </row>
        <row r="409">
          <cell r="C409" t="str">
            <v>penyusutan mesin per juni'14</v>
          </cell>
          <cell r="D409">
            <v>6</v>
          </cell>
        </row>
        <row r="410">
          <cell r="C410" t="str">
            <v>Penyusutan Peralatan Kantor, Biaya</v>
          </cell>
          <cell r="D410">
            <v>6</v>
          </cell>
          <cell r="K410">
            <v>437176</v>
          </cell>
        </row>
        <row r="411">
          <cell r="C411" t="str">
            <v>Ak. Penyusutan Peralatan Kantor</v>
          </cell>
          <cell r="D411">
            <v>6</v>
          </cell>
          <cell r="L411">
            <v>437176</v>
          </cell>
        </row>
        <row r="412">
          <cell r="C412" t="str">
            <v>Penyusutan perlengkapan kantor per juni'14</v>
          </cell>
          <cell r="D412">
            <v>6</v>
          </cell>
        </row>
        <row r="413">
          <cell r="C413" t="str">
            <v>Penyusutan Peralatan Produksi, Biaya</v>
          </cell>
          <cell r="D413">
            <v>6</v>
          </cell>
          <cell r="K413">
            <v>5011770</v>
          </cell>
        </row>
        <row r="414">
          <cell r="C414" t="str">
            <v>Ak. Penyusutan &amp; Peralatan Produksi</v>
          </cell>
          <cell r="D414">
            <v>6</v>
          </cell>
          <cell r="L414">
            <v>5011770</v>
          </cell>
        </row>
        <row r="415">
          <cell r="C415" t="str">
            <v>Penyusutan peralatan produksi per juni'14</v>
          </cell>
          <cell r="D415">
            <v>6</v>
          </cell>
        </row>
        <row r="416">
          <cell r="C416" t="str">
            <v>Penyusutan Peralatan Bengkel, Biaya</v>
          </cell>
          <cell r="D416">
            <v>6</v>
          </cell>
          <cell r="K416">
            <v>70776</v>
          </cell>
        </row>
        <row r="417">
          <cell r="C417" t="str">
            <v>Ak. Penyusutan Peralatan Bengkel</v>
          </cell>
          <cell r="D417">
            <v>6</v>
          </cell>
          <cell r="L417">
            <v>70776</v>
          </cell>
        </row>
        <row r="418">
          <cell r="C418" t="str">
            <v>Penyusutan peralatan bengkel per juni'14</v>
          </cell>
          <cell r="D418">
            <v>6</v>
          </cell>
        </row>
        <row r="419">
          <cell r="C419" t="str">
            <v>Penyusutan Infrastruktur, Biaya</v>
          </cell>
          <cell r="D419">
            <v>6</v>
          </cell>
          <cell r="K419">
            <v>486635</v>
          </cell>
        </row>
        <row r="420">
          <cell r="C420" t="str">
            <v>Ak. Penyusutan Infrastruktur</v>
          </cell>
          <cell r="D420">
            <v>6</v>
          </cell>
          <cell r="L420">
            <v>486635</v>
          </cell>
        </row>
        <row r="421">
          <cell r="C421" t="str">
            <v>Penyusutan infrastruktur per juni'14</v>
          </cell>
          <cell r="D421">
            <v>6</v>
          </cell>
        </row>
        <row r="422">
          <cell r="C422" t="str">
            <v>BBM Solar / Oli, Biaya</v>
          </cell>
          <cell r="D422">
            <v>6</v>
          </cell>
          <cell r="K422">
            <v>21473142.600000001</v>
          </cell>
        </row>
        <row r="423">
          <cell r="C423" t="str">
            <v>ISP 1 - Divisi</v>
          </cell>
          <cell r="D423">
            <v>6</v>
          </cell>
          <cell r="L423">
            <v>21473142.600000001</v>
          </cell>
        </row>
        <row r="424">
          <cell r="C424" t="str">
            <v>PEMAKAIAN SOLAR DARI ISP @ 2..069,90 L. PER JUNI'14</v>
          </cell>
          <cell r="D424">
            <v>6</v>
          </cell>
        </row>
        <row r="425">
          <cell r="C425" t="str">
            <v>Lanny</v>
          </cell>
          <cell r="D425">
            <v>7</v>
          </cell>
          <cell r="K425">
            <v>108672000</v>
          </cell>
        </row>
        <row r="426">
          <cell r="C426" t="str">
            <v>Penjualan SHM</v>
          </cell>
          <cell r="D426">
            <v>7</v>
          </cell>
          <cell r="L426">
            <v>98792727.269999996</v>
          </cell>
        </row>
        <row r="427">
          <cell r="C427" t="str">
            <v>PPN</v>
          </cell>
          <cell r="D427">
            <v>7</v>
          </cell>
          <cell r="L427">
            <v>9879272.7300000004</v>
          </cell>
        </row>
        <row r="428">
          <cell r="C428" t="str">
            <v>Penj Tepung SHM Grade A @ 16.980 Kg, Tgl 15/7/14</v>
          </cell>
          <cell r="D428">
            <v>7</v>
          </cell>
        </row>
        <row r="429">
          <cell r="C429" t="str">
            <v>Holding - Divisi</v>
          </cell>
          <cell r="D429">
            <v>7</v>
          </cell>
          <cell r="K429">
            <v>115200000</v>
          </cell>
        </row>
        <row r="430">
          <cell r="C430" t="str">
            <v>Lanny</v>
          </cell>
          <cell r="D430">
            <v>7</v>
          </cell>
          <cell r="L430">
            <v>115200000</v>
          </cell>
        </row>
        <row r="431">
          <cell r="C431" t="str">
            <v>Terima penj SHM @ 16.980 Kg, inv 0033/sd.......</v>
          </cell>
          <cell r="D431">
            <v>7</v>
          </cell>
        </row>
        <row r="432">
          <cell r="C432" t="str">
            <v>Upah Borongan, Biaya</v>
          </cell>
          <cell r="D432">
            <v>7</v>
          </cell>
          <cell r="K432">
            <v>2889280</v>
          </cell>
        </row>
        <row r="433">
          <cell r="C433" t="str">
            <v>Biaya Yang Masih Harus Dibayar</v>
          </cell>
          <cell r="D433">
            <v>7</v>
          </cell>
          <cell r="L433">
            <v>2889280</v>
          </cell>
        </row>
        <row r="434">
          <cell r="C434" t="str">
            <v>upah borongan kepala udang per 14 - 20 juli'14</v>
          </cell>
          <cell r="D434">
            <v>7</v>
          </cell>
        </row>
        <row r="435">
          <cell r="C435" t="str">
            <v>Gaji Karyawan Kantor, Biaya</v>
          </cell>
          <cell r="D435">
            <v>7</v>
          </cell>
          <cell r="K435">
            <v>4272500</v>
          </cell>
        </row>
        <row r="436">
          <cell r="C436" t="str">
            <v>Tunjangan Karyawan, Biaya</v>
          </cell>
          <cell r="D436">
            <v>7</v>
          </cell>
          <cell r="K436">
            <v>225000</v>
          </cell>
        </row>
        <row r="437">
          <cell r="C437" t="str">
            <v>BPJS/Jamsostek,Biaya</v>
          </cell>
          <cell r="D437">
            <v>7</v>
          </cell>
          <cell r="K437">
            <v>374047</v>
          </cell>
        </row>
        <row r="438">
          <cell r="C438" t="str">
            <v>BPJS/Jamsostek,Biaya</v>
          </cell>
          <cell r="D438">
            <v>7</v>
          </cell>
          <cell r="L438">
            <v>479235</v>
          </cell>
        </row>
        <row r="439">
          <cell r="C439" t="str">
            <v>Biaya Yang Masih Harus Dibayar</v>
          </cell>
          <cell r="D439">
            <v>7</v>
          </cell>
          <cell r="L439">
            <v>4392312</v>
          </cell>
        </row>
        <row r="440">
          <cell r="C440" t="str">
            <v>gaji karyawan kepala udang per juli'14</v>
          </cell>
          <cell r="D440">
            <v>7</v>
          </cell>
        </row>
        <row r="441">
          <cell r="C441" t="str">
            <v>BPJS/Jamsostek,Biaya</v>
          </cell>
          <cell r="D441">
            <v>7</v>
          </cell>
          <cell r="K441">
            <v>289897</v>
          </cell>
        </row>
        <row r="442">
          <cell r="C442" t="str">
            <v>Biaya Yang Masih Harus Dibayar</v>
          </cell>
          <cell r="D442">
            <v>7</v>
          </cell>
          <cell r="L442">
            <v>289897</v>
          </cell>
        </row>
        <row r="443">
          <cell r="C443" t="str">
            <v>iuran bulan juli'14 @ 3 orang</v>
          </cell>
          <cell r="D443">
            <v>7</v>
          </cell>
        </row>
        <row r="444">
          <cell r="C444" t="str">
            <v>Konsumsi Karyawan, Biaya</v>
          </cell>
          <cell r="D444">
            <v>7</v>
          </cell>
          <cell r="K444">
            <v>180000</v>
          </cell>
        </row>
        <row r="445">
          <cell r="C445" t="str">
            <v>Biaya Yang Masih Harus Dibayar</v>
          </cell>
          <cell r="D445">
            <v>7</v>
          </cell>
          <cell r="L445">
            <v>180000</v>
          </cell>
        </row>
        <row r="446">
          <cell r="C446" t="str">
            <v>uang makan kary kepala udang per 14 -20 juli'14 @ 9 org</v>
          </cell>
          <cell r="D446">
            <v>7</v>
          </cell>
        </row>
        <row r="447">
          <cell r="C447" t="str">
            <v>Upah Borongan, Biaya</v>
          </cell>
          <cell r="D447">
            <v>7</v>
          </cell>
          <cell r="K447">
            <v>476480</v>
          </cell>
        </row>
        <row r="448">
          <cell r="C448" t="str">
            <v>Biaya Yang Masih Harus Dibayar</v>
          </cell>
          <cell r="D448">
            <v>7</v>
          </cell>
          <cell r="L448">
            <v>476480</v>
          </cell>
        </row>
        <row r="449">
          <cell r="C449" t="str">
            <v>UPAH BORONGA PAKAN PER 21-22 JULI'14</v>
          </cell>
          <cell r="D449">
            <v>7</v>
          </cell>
        </row>
        <row r="450">
          <cell r="C450" t="str">
            <v>Penyusutan Bangunan, Biaya</v>
          </cell>
          <cell r="D450">
            <v>7</v>
          </cell>
          <cell r="K450">
            <v>3205532</v>
          </cell>
        </row>
        <row r="451">
          <cell r="C451" t="str">
            <v>Ak. Penyusutan Bangunan</v>
          </cell>
          <cell r="D451">
            <v>7</v>
          </cell>
          <cell r="L451">
            <v>3205532</v>
          </cell>
        </row>
        <row r="452">
          <cell r="C452" t="str">
            <v>Penyusutan bangunan per juli'14</v>
          </cell>
          <cell r="D452">
            <v>7</v>
          </cell>
        </row>
        <row r="453">
          <cell r="C453" t="str">
            <v>Penyusutan Mesin-Mesin, Biaya</v>
          </cell>
          <cell r="D453">
            <v>7</v>
          </cell>
          <cell r="K453">
            <v>3326801</v>
          </cell>
        </row>
        <row r="454">
          <cell r="C454" t="str">
            <v>Ak. Penyusutan Mesin-Mesin</v>
          </cell>
          <cell r="D454">
            <v>7</v>
          </cell>
          <cell r="L454">
            <v>3326801</v>
          </cell>
        </row>
        <row r="455">
          <cell r="C455" t="str">
            <v>Penyusutan mesin" per juli'14</v>
          </cell>
          <cell r="D455">
            <v>7</v>
          </cell>
        </row>
        <row r="456">
          <cell r="C456" t="str">
            <v>Penyusutan Peralatan Kantor, Biaya</v>
          </cell>
          <cell r="D456">
            <v>7</v>
          </cell>
          <cell r="K456">
            <v>437176</v>
          </cell>
        </row>
        <row r="457">
          <cell r="C457" t="str">
            <v>Ak. Penyusutan Peralatan Kantor</v>
          </cell>
          <cell r="D457">
            <v>7</v>
          </cell>
          <cell r="L457">
            <v>437176</v>
          </cell>
        </row>
        <row r="458">
          <cell r="C458" t="str">
            <v>Penyusutan peralatan kantor per juli'14</v>
          </cell>
          <cell r="D458">
            <v>7</v>
          </cell>
        </row>
        <row r="459">
          <cell r="C459" t="str">
            <v>Penyusutan Peralatan Produksi, Biaya</v>
          </cell>
          <cell r="D459">
            <v>7</v>
          </cell>
          <cell r="K459">
            <v>5041437</v>
          </cell>
        </row>
        <row r="460">
          <cell r="C460" t="str">
            <v>Ak. Penyusutan &amp; Peralatan Produksi</v>
          </cell>
          <cell r="D460">
            <v>7</v>
          </cell>
          <cell r="L460">
            <v>5041437</v>
          </cell>
        </row>
        <row r="461">
          <cell r="C461" t="str">
            <v>Penyusutan peralatan produksi per juli'14</v>
          </cell>
          <cell r="D461">
            <v>7</v>
          </cell>
        </row>
        <row r="462">
          <cell r="C462" t="str">
            <v>Penyusutan Peralatan Bengkel, Biaya</v>
          </cell>
          <cell r="D462">
            <v>7</v>
          </cell>
          <cell r="K462">
            <v>70776</v>
          </cell>
        </row>
        <row r="463">
          <cell r="C463" t="str">
            <v>Ak. Penyusutan Peralatan Bengkel</v>
          </cell>
          <cell r="D463">
            <v>7</v>
          </cell>
          <cell r="L463">
            <v>70776</v>
          </cell>
        </row>
        <row r="464">
          <cell r="C464" t="str">
            <v>Penyusutan peralatan bengkel per juli'14</v>
          </cell>
          <cell r="D464">
            <v>7</v>
          </cell>
        </row>
        <row r="465">
          <cell r="C465" t="str">
            <v>Penyusutan Infrastruktur, Biaya</v>
          </cell>
          <cell r="D465">
            <v>7</v>
          </cell>
          <cell r="K465">
            <v>486635</v>
          </cell>
        </row>
        <row r="466">
          <cell r="C466" t="str">
            <v>Ak. Penyusutan Infrastruktur</v>
          </cell>
          <cell r="D466">
            <v>7</v>
          </cell>
          <cell r="L466">
            <v>486635</v>
          </cell>
        </row>
        <row r="467">
          <cell r="C467" t="str">
            <v>Penyusutan infrastruktur per juli'14</v>
          </cell>
          <cell r="D467">
            <v>7</v>
          </cell>
        </row>
        <row r="468">
          <cell r="C468" t="str">
            <v>Konsumsi Karyawan, Biaya</v>
          </cell>
          <cell r="D468">
            <v>7</v>
          </cell>
          <cell r="K468">
            <v>170000</v>
          </cell>
        </row>
        <row r="469">
          <cell r="C469" t="str">
            <v>Biaya Yang Masih Harus Dibayar</v>
          </cell>
          <cell r="D469">
            <v>7</v>
          </cell>
          <cell r="L469">
            <v>170000</v>
          </cell>
        </row>
        <row r="470">
          <cell r="C470" t="str">
            <v>UANG MAKAN, PERIODE 21-27 JULI'14</v>
          </cell>
          <cell r="D470">
            <v>7</v>
          </cell>
        </row>
        <row r="471">
          <cell r="C471" t="str">
            <v>Listrik, Biaya</v>
          </cell>
          <cell r="D471">
            <v>7</v>
          </cell>
          <cell r="K471">
            <v>3987200</v>
          </cell>
        </row>
        <row r="472">
          <cell r="C472" t="str">
            <v>PLN, PT Persero R. Teluk Betung</v>
          </cell>
          <cell r="D472">
            <v>7</v>
          </cell>
          <cell r="L472">
            <v>3987200</v>
          </cell>
        </row>
        <row r="473">
          <cell r="C473" t="str">
            <v>Tagihan listrik kepala udang per juli'14</v>
          </cell>
          <cell r="D473">
            <v>7</v>
          </cell>
        </row>
        <row r="474">
          <cell r="C474" t="str">
            <v>Upah Borongan, Biaya</v>
          </cell>
          <cell r="D474">
            <v>7</v>
          </cell>
          <cell r="K474">
            <v>1207360</v>
          </cell>
        </row>
        <row r="475">
          <cell r="C475" t="str">
            <v>Biaya Yang Masih Harus Dibayar</v>
          </cell>
          <cell r="D475">
            <v>7</v>
          </cell>
          <cell r="L475">
            <v>1207360</v>
          </cell>
        </row>
        <row r="476">
          <cell r="C476" t="str">
            <v>upah borongan kepala udang per 23-26 juli'14</v>
          </cell>
          <cell r="D476">
            <v>7</v>
          </cell>
        </row>
        <row r="477">
          <cell r="C477" t="str">
            <v>BBM Solar / Oli, Biaya</v>
          </cell>
          <cell r="D477">
            <v>7</v>
          </cell>
          <cell r="K477">
            <v>19271678.719999999</v>
          </cell>
        </row>
        <row r="478">
          <cell r="C478" t="str">
            <v>ISP 1 - Divisi</v>
          </cell>
          <cell r="D478">
            <v>7</v>
          </cell>
          <cell r="L478">
            <v>19271678.719999999</v>
          </cell>
        </row>
        <row r="479">
          <cell r="C479" t="str">
            <v>PEMAKAIAN SOLAR DARI ISP @ 1.864,52 L. PER JULI'14</v>
          </cell>
          <cell r="D479">
            <v>7</v>
          </cell>
        </row>
        <row r="480">
          <cell r="C480" t="str">
            <v>Matahari Sakti</v>
          </cell>
          <cell r="D480">
            <v>8</v>
          </cell>
          <cell r="K480">
            <v>126630000</v>
          </cell>
        </row>
        <row r="481">
          <cell r="C481" t="str">
            <v>Penjualan SHM</v>
          </cell>
          <cell r="D481">
            <v>8</v>
          </cell>
          <cell r="L481">
            <v>115118181.81999999</v>
          </cell>
        </row>
        <row r="482">
          <cell r="C482" t="str">
            <v>PPN</v>
          </cell>
          <cell r="D482">
            <v>8</v>
          </cell>
          <cell r="L482">
            <v>11511818.18</v>
          </cell>
        </row>
        <row r="483">
          <cell r="C483" t="str">
            <v>Penj SHM @ 18.090 Kg, Inv : 0034/MS.....</v>
          </cell>
          <cell r="D483">
            <v>8</v>
          </cell>
        </row>
        <row r="484">
          <cell r="C484" t="str">
            <v>Gaji Karyawan Kantor, Biaya</v>
          </cell>
          <cell r="D484">
            <v>8</v>
          </cell>
          <cell r="K484">
            <v>4272500</v>
          </cell>
        </row>
        <row r="485">
          <cell r="C485" t="str">
            <v>Tunjangan Karyawan, Biaya</v>
          </cell>
          <cell r="D485">
            <v>8</v>
          </cell>
          <cell r="K485">
            <v>275000</v>
          </cell>
        </row>
        <row r="486">
          <cell r="C486" t="str">
            <v>BPJS/Jamsostek,Biaya</v>
          </cell>
          <cell r="D486">
            <v>8</v>
          </cell>
          <cell r="K486">
            <v>374047</v>
          </cell>
        </row>
        <row r="487">
          <cell r="C487" t="str">
            <v>BPJS/Jamsostek,Biaya</v>
          </cell>
          <cell r="D487">
            <v>8</v>
          </cell>
          <cell r="L487">
            <v>479235</v>
          </cell>
        </row>
        <row r="488">
          <cell r="C488" t="str">
            <v>Biaya Yang Masih Harus Dibayar</v>
          </cell>
          <cell r="D488">
            <v>8</v>
          </cell>
          <cell r="L488">
            <v>4442312</v>
          </cell>
        </row>
        <row r="489">
          <cell r="C489" t="str">
            <v>Gaji karyawan bulanan kepala udang per agustus'14</v>
          </cell>
          <cell r="D489">
            <v>8</v>
          </cell>
        </row>
        <row r="490">
          <cell r="C490" t="str">
            <v>Konsumsi Karyawan, Biaya</v>
          </cell>
          <cell r="D490">
            <v>8</v>
          </cell>
          <cell r="K490">
            <v>165000</v>
          </cell>
        </row>
        <row r="491">
          <cell r="C491" t="str">
            <v>Biaya Yang Masih Harus Dibayar</v>
          </cell>
          <cell r="D491">
            <v>8</v>
          </cell>
          <cell r="L491">
            <v>165000</v>
          </cell>
        </row>
        <row r="492">
          <cell r="C492" t="str">
            <v>Konsumsi kary kepala udang per 25-29 agustus'14 @ 33 org</v>
          </cell>
          <cell r="D492">
            <v>8</v>
          </cell>
        </row>
        <row r="493">
          <cell r="C493" t="str">
            <v>Upah Borongan, Biaya</v>
          </cell>
          <cell r="D493">
            <v>8</v>
          </cell>
          <cell r="K493">
            <v>1577920</v>
          </cell>
        </row>
        <row r="494">
          <cell r="C494" t="str">
            <v>Biaya Yang Masih Harus Dibayar</v>
          </cell>
          <cell r="D494">
            <v>8</v>
          </cell>
          <cell r="L494">
            <v>1577920</v>
          </cell>
        </row>
        <row r="495">
          <cell r="C495" t="str">
            <v>UPAH BORONGAN KEPALA UDANG, PER 25-31 AGUSTUS'14</v>
          </cell>
          <cell r="D495">
            <v>8</v>
          </cell>
        </row>
        <row r="496">
          <cell r="C496" t="str">
            <v>Listrik, Biaya</v>
          </cell>
          <cell r="D496">
            <v>8</v>
          </cell>
          <cell r="K496">
            <v>3933440</v>
          </cell>
        </row>
        <row r="497">
          <cell r="C497" t="str">
            <v>PLN, PT Persero R. Teluk Betung</v>
          </cell>
          <cell r="D497">
            <v>8</v>
          </cell>
          <cell r="L497">
            <v>3933440</v>
          </cell>
        </row>
        <row r="498">
          <cell r="C498" t="str">
            <v>TAGIHAN LISTRIK, PER AGUSTUS'14</v>
          </cell>
          <cell r="D498">
            <v>8</v>
          </cell>
        </row>
        <row r="499">
          <cell r="C499" t="str">
            <v>Penyusutan Bangunan, Biaya</v>
          </cell>
          <cell r="D499">
            <v>8</v>
          </cell>
          <cell r="K499">
            <v>3205532</v>
          </cell>
        </row>
        <row r="500">
          <cell r="C500" t="str">
            <v>Ak. Penyusutan Bangunan</v>
          </cell>
          <cell r="D500">
            <v>8</v>
          </cell>
          <cell r="L500">
            <v>3205532</v>
          </cell>
        </row>
        <row r="501">
          <cell r="C501" t="str">
            <v>Penyusutan bangunan per agustus'14</v>
          </cell>
          <cell r="D501">
            <v>8</v>
          </cell>
        </row>
        <row r="502">
          <cell r="C502" t="str">
            <v>Penyusutan Mesin-Mesin, Biaya</v>
          </cell>
          <cell r="D502">
            <v>8</v>
          </cell>
          <cell r="K502">
            <v>3326801</v>
          </cell>
        </row>
        <row r="503">
          <cell r="C503" t="str">
            <v>Ak. Penyusutan Mesin-Mesin</v>
          </cell>
          <cell r="D503">
            <v>8</v>
          </cell>
          <cell r="L503">
            <v>3326801</v>
          </cell>
        </row>
        <row r="504">
          <cell r="C504" t="str">
            <v>Penyusutan Mesin per agustus'14</v>
          </cell>
          <cell r="D504">
            <v>8</v>
          </cell>
        </row>
        <row r="505">
          <cell r="C505" t="str">
            <v>Penyusutan Peralatan Kantor, Biaya</v>
          </cell>
          <cell r="D505">
            <v>8</v>
          </cell>
          <cell r="K505">
            <v>437176</v>
          </cell>
        </row>
        <row r="506">
          <cell r="C506" t="str">
            <v>Ak. Penyusutan Peralatan Kantor</v>
          </cell>
          <cell r="D506">
            <v>8</v>
          </cell>
          <cell r="L506">
            <v>437176</v>
          </cell>
        </row>
        <row r="507">
          <cell r="C507" t="str">
            <v>Penyusutan peralatan &amp; perlengkapan kantor per agustus'14</v>
          </cell>
          <cell r="D507">
            <v>8</v>
          </cell>
        </row>
        <row r="508">
          <cell r="C508" t="str">
            <v>Penyusutan Peralatan Produksi, Biaya</v>
          </cell>
          <cell r="D508">
            <v>8</v>
          </cell>
          <cell r="K508">
            <v>5041437</v>
          </cell>
        </row>
        <row r="509">
          <cell r="C509" t="str">
            <v>Ak. Penyusutan &amp; Peralatan Produksi</v>
          </cell>
          <cell r="D509">
            <v>8</v>
          </cell>
          <cell r="L509">
            <v>5041437</v>
          </cell>
        </row>
        <row r="510">
          <cell r="C510" t="str">
            <v>Penyusutan perlengkapan &amp; peralatan produksi per agustus'14</v>
          </cell>
          <cell r="D510">
            <v>8</v>
          </cell>
        </row>
        <row r="511">
          <cell r="C511" t="str">
            <v>Penyusutan Peralatan Bengkel, Biaya</v>
          </cell>
          <cell r="D511">
            <v>8</v>
          </cell>
          <cell r="K511">
            <v>70776</v>
          </cell>
        </row>
        <row r="512">
          <cell r="C512" t="str">
            <v>Ak. Penyusutan Peralatan Bengkel</v>
          </cell>
          <cell r="D512">
            <v>8</v>
          </cell>
          <cell r="L512">
            <v>70776</v>
          </cell>
        </row>
        <row r="513">
          <cell r="C513" t="str">
            <v>Penyusutan peralatan bengkel per agustus'14</v>
          </cell>
          <cell r="D513">
            <v>8</v>
          </cell>
        </row>
        <row r="514">
          <cell r="C514" t="str">
            <v>Penyusutan Infrastruktur, Biaya</v>
          </cell>
          <cell r="D514">
            <v>8</v>
          </cell>
          <cell r="K514">
            <v>486635</v>
          </cell>
        </row>
        <row r="515">
          <cell r="C515" t="str">
            <v>Ak. Penyusutan Infrastruktur</v>
          </cell>
          <cell r="D515">
            <v>8</v>
          </cell>
          <cell r="L515">
            <v>486635</v>
          </cell>
        </row>
        <row r="516">
          <cell r="C516" t="str">
            <v>Penyusutan infrastruktur per agustus'14</v>
          </cell>
          <cell r="D516">
            <v>8</v>
          </cell>
        </row>
        <row r="517">
          <cell r="C517" t="str">
            <v>BBM Solar / Oli, Biaya</v>
          </cell>
          <cell r="D517">
            <v>8</v>
          </cell>
          <cell r="K517">
            <v>14281965</v>
          </cell>
        </row>
        <row r="518">
          <cell r="C518" t="str">
            <v>ISP 1 - Divisi</v>
          </cell>
          <cell r="D518">
            <v>8</v>
          </cell>
          <cell r="L518">
            <v>14281965</v>
          </cell>
        </row>
        <row r="519">
          <cell r="C519" t="str">
            <v>PEMAKAIAN SOLAR DARI ISP @ 1.379,90 L. PER AGUSTUS'14</v>
          </cell>
          <cell r="D519">
            <v>8</v>
          </cell>
        </row>
        <row r="520">
          <cell r="C520" t="str">
            <v>Bumi Indah, CV</v>
          </cell>
          <cell r="D520">
            <v>8</v>
          </cell>
          <cell r="K520">
            <v>2025400</v>
          </cell>
        </row>
        <row r="521">
          <cell r="C521" t="str">
            <v>Bumiraya Technotama, PT</v>
          </cell>
          <cell r="D521">
            <v>8</v>
          </cell>
          <cell r="K521">
            <v>13899952.800000001</v>
          </cell>
        </row>
        <row r="522">
          <cell r="C522" t="str">
            <v>Connel Bersaudara Chemindo, PT</v>
          </cell>
          <cell r="D522">
            <v>8</v>
          </cell>
          <cell r="K522">
            <v>154001</v>
          </cell>
        </row>
        <row r="523">
          <cell r="C523" t="str">
            <v>Dwi Karya Mulia, UD</v>
          </cell>
          <cell r="D523">
            <v>8</v>
          </cell>
          <cell r="K523">
            <v>9035260</v>
          </cell>
        </row>
        <row r="524">
          <cell r="C524" t="str">
            <v>Lautan Luas, PT</v>
          </cell>
          <cell r="D524">
            <v>8</v>
          </cell>
          <cell r="K524">
            <v>3528200</v>
          </cell>
        </row>
        <row r="525">
          <cell r="C525" t="str">
            <v>Minatama, CV</v>
          </cell>
          <cell r="D525">
            <v>8</v>
          </cell>
          <cell r="K525">
            <v>24996350</v>
          </cell>
        </row>
        <row r="526">
          <cell r="C526" t="str">
            <v>Politama Pakindo, PT</v>
          </cell>
          <cell r="D526">
            <v>8</v>
          </cell>
          <cell r="K526">
            <v>2196200</v>
          </cell>
        </row>
        <row r="527">
          <cell r="C527" t="str">
            <v>Hutang Usaha</v>
          </cell>
          <cell r="D527">
            <v>8</v>
          </cell>
          <cell r="K527">
            <v>992902</v>
          </cell>
        </row>
        <row r="528">
          <cell r="C528" t="str">
            <v>Laba-Rugi Ditahan</v>
          </cell>
          <cell r="D528">
            <v>8</v>
          </cell>
          <cell r="K528">
            <v>135052134.19999999</v>
          </cell>
        </row>
        <row r="529">
          <cell r="C529" t="str">
            <v>Bogasari Flour Mills</v>
          </cell>
          <cell r="D529">
            <v>8</v>
          </cell>
          <cell r="L529">
            <v>191880400</v>
          </cell>
        </row>
        <row r="530">
          <cell r="C530" t="str">
            <v>REKLASIFIKASI REKENING.</v>
          </cell>
          <cell r="D530">
            <v>8</v>
          </cell>
        </row>
        <row r="531">
          <cell r="C531" t="str">
            <v>Holding - Divisi</v>
          </cell>
          <cell r="D531">
            <v>9</v>
          </cell>
          <cell r="K531">
            <v>126630000</v>
          </cell>
        </row>
        <row r="532">
          <cell r="C532" t="str">
            <v>Matahari Sakti</v>
          </cell>
          <cell r="D532">
            <v>9</v>
          </cell>
          <cell r="L532">
            <v>126630000</v>
          </cell>
        </row>
        <row r="533">
          <cell r="C533" t="str">
            <v>PELUNASAN DARI MATAHARI SAKTI, ATAS PENJUALAN SHM @ 18.090 KG. INV 0034,....</v>
          </cell>
          <cell r="D533">
            <v>9</v>
          </cell>
        </row>
        <row r="534">
          <cell r="C534" t="str">
            <v>Holding - Divisi</v>
          </cell>
          <cell r="D534">
            <v>9</v>
          </cell>
          <cell r="K534">
            <v>108800000</v>
          </cell>
        </row>
        <row r="535">
          <cell r="C535" t="str">
            <v>Lanny</v>
          </cell>
          <cell r="D535">
            <v>9</v>
          </cell>
          <cell r="L535">
            <v>108800000</v>
          </cell>
        </row>
        <row r="536">
          <cell r="C536" t="str">
            <v>Terima penj shm</v>
          </cell>
          <cell r="D536">
            <v>9</v>
          </cell>
        </row>
        <row r="537">
          <cell r="C537" t="str">
            <v>Lanny</v>
          </cell>
          <cell r="D537">
            <v>9</v>
          </cell>
          <cell r="K537">
            <v>123392000</v>
          </cell>
        </row>
        <row r="538">
          <cell r="C538" t="str">
            <v>Penjualan SHM</v>
          </cell>
          <cell r="D538">
            <v>9</v>
          </cell>
          <cell r="L538">
            <v>112174545.45</v>
          </cell>
        </row>
        <row r="539">
          <cell r="C539" t="str">
            <v>PPN</v>
          </cell>
          <cell r="D539">
            <v>9</v>
          </cell>
          <cell r="L539">
            <v>11217454.550000001</v>
          </cell>
        </row>
        <row r="540">
          <cell r="C540" t="str">
            <v>PENJUALAN TEPUNG SHM @ 19.280 KG, INV : 0035/SD/IN .........</v>
          </cell>
          <cell r="D540">
            <v>9</v>
          </cell>
        </row>
        <row r="541">
          <cell r="C541" t="str">
            <v>Holding - Divisi</v>
          </cell>
          <cell r="D541">
            <v>9</v>
          </cell>
          <cell r="K541">
            <v>14592000</v>
          </cell>
        </row>
        <row r="542">
          <cell r="C542" t="str">
            <v>Lanny</v>
          </cell>
          <cell r="D542">
            <v>9</v>
          </cell>
          <cell r="L542">
            <v>14592000</v>
          </cell>
        </row>
        <row r="543">
          <cell r="C543" t="str">
            <v>Terima pelunasan penj SHM</v>
          </cell>
          <cell r="D543">
            <v>9</v>
          </cell>
        </row>
        <row r="544">
          <cell r="C544" t="str">
            <v>Gaji Karyawan Kantor, Biaya</v>
          </cell>
          <cell r="D544">
            <v>9</v>
          </cell>
          <cell r="K544">
            <v>4272500</v>
          </cell>
        </row>
        <row r="545">
          <cell r="C545" t="str">
            <v>Tunjangan Karyawan, Biaya</v>
          </cell>
          <cell r="D545">
            <v>9</v>
          </cell>
          <cell r="K545">
            <v>275000</v>
          </cell>
        </row>
        <row r="546">
          <cell r="C546" t="str">
            <v>BPJS/Jamsostek,Biaya</v>
          </cell>
          <cell r="D546">
            <v>9</v>
          </cell>
          <cell r="K546">
            <v>374048</v>
          </cell>
        </row>
        <row r="547">
          <cell r="C547" t="str">
            <v>BPJS/Jamsostek,Biaya</v>
          </cell>
          <cell r="D547">
            <v>9</v>
          </cell>
          <cell r="L547">
            <v>479235</v>
          </cell>
        </row>
        <row r="548">
          <cell r="C548" t="str">
            <v>Gaji Karyawan Kantor, Biaya</v>
          </cell>
          <cell r="D548">
            <v>9</v>
          </cell>
          <cell r="L548">
            <v>229600</v>
          </cell>
        </row>
        <row r="549">
          <cell r="C549" t="str">
            <v>Biaya Yang Masih Harus Dibayar</v>
          </cell>
          <cell r="D549">
            <v>9</v>
          </cell>
          <cell r="L549">
            <v>4212713</v>
          </cell>
        </row>
        <row r="550">
          <cell r="C550" t="str">
            <v>GAJI KARY BULANAN, PER SEPT'14</v>
          </cell>
          <cell r="D550">
            <v>9</v>
          </cell>
        </row>
        <row r="551">
          <cell r="C551" t="str">
            <v>BPJS/Jamsostek,Biaya</v>
          </cell>
          <cell r="D551">
            <v>9</v>
          </cell>
          <cell r="K551">
            <v>289897</v>
          </cell>
        </row>
        <row r="552">
          <cell r="C552" t="str">
            <v>Biaya Yang Masih Harus Dibayar</v>
          </cell>
          <cell r="D552">
            <v>9</v>
          </cell>
          <cell r="L552">
            <v>289897</v>
          </cell>
        </row>
        <row r="553">
          <cell r="C553" t="str">
            <v>IURAN BPJS KETENAGAKERJAAN, PER SEPT'14</v>
          </cell>
          <cell r="D553">
            <v>9</v>
          </cell>
        </row>
        <row r="554">
          <cell r="C554" t="str">
            <v>Konsumsi Karyawan, Biaya</v>
          </cell>
          <cell r="D554">
            <v>9</v>
          </cell>
          <cell r="K554">
            <v>260000</v>
          </cell>
        </row>
        <row r="555">
          <cell r="C555" t="str">
            <v>Biaya Yang Masih Harus Dibayar</v>
          </cell>
          <cell r="D555">
            <v>9</v>
          </cell>
          <cell r="L555">
            <v>260000</v>
          </cell>
        </row>
        <row r="556">
          <cell r="C556" t="str">
            <v>Konsumsi kary kepala udang per 22-27 sep'14</v>
          </cell>
          <cell r="D556">
            <v>9</v>
          </cell>
        </row>
        <row r="557">
          <cell r="C557" t="str">
            <v>Upah Borongan, Biaya</v>
          </cell>
          <cell r="D557">
            <v>9</v>
          </cell>
          <cell r="K557">
            <v>2090240</v>
          </cell>
        </row>
        <row r="558">
          <cell r="C558" t="str">
            <v>Biaya Yang Masih Harus Dibayar</v>
          </cell>
          <cell r="D558">
            <v>9</v>
          </cell>
          <cell r="L558">
            <v>2090240</v>
          </cell>
        </row>
        <row r="559">
          <cell r="C559" t="str">
            <v>Upah bor kepala udang per 22-28 sep'14</v>
          </cell>
          <cell r="D559">
            <v>9</v>
          </cell>
        </row>
        <row r="560">
          <cell r="C560" t="str">
            <v>Penyusutan Bangunan, Biaya</v>
          </cell>
          <cell r="D560">
            <v>9</v>
          </cell>
          <cell r="K560">
            <v>3205532</v>
          </cell>
        </row>
        <row r="561">
          <cell r="C561" t="str">
            <v>Ak. Penyusutan Bangunan</v>
          </cell>
          <cell r="D561">
            <v>9</v>
          </cell>
          <cell r="L561">
            <v>3205532</v>
          </cell>
        </row>
        <row r="562">
          <cell r="C562" t="str">
            <v>Penyusuta bangunan per sep'14</v>
          </cell>
          <cell r="D562">
            <v>9</v>
          </cell>
        </row>
        <row r="563">
          <cell r="C563" t="str">
            <v>Penyusutan Mesin-Mesin, Biaya</v>
          </cell>
          <cell r="D563">
            <v>9</v>
          </cell>
          <cell r="K563">
            <v>3326801</v>
          </cell>
        </row>
        <row r="564">
          <cell r="C564" t="str">
            <v>Ak. Penyusutan Mesin-Mesin</v>
          </cell>
          <cell r="D564">
            <v>9</v>
          </cell>
          <cell r="L564">
            <v>3326801</v>
          </cell>
        </row>
        <row r="565">
          <cell r="C565" t="str">
            <v>Penyusutan mesin" per sep'14</v>
          </cell>
          <cell r="D565">
            <v>9</v>
          </cell>
        </row>
        <row r="566">
          <cell r="C566" t="str">
            <v>Penyusutan Peralatan Kantor, Biaya</v>
          </cell>
          <cell r="D566">
            <v>9</v>
          </cell>
          <cell r="K566">
            <v>437176</v>
          </cell>
        </row>
        <row r="567">
          <cell r="C567" t="str">
            <v>Ak. Penyusutan Peralatan Kantor</v>
          </cell>
          <cell r="D567">
            <v>9</v>
          </cell>
          <cell r="L567">
            <v>437176</v>
          </cell>
        </row>
        <row r="568">
          <cell r="C568" t="str">
            <v>Penyusutan peralatan kantor per sep'14</v>
          </cell>
          <cell r="D568">
            <v>9</v>
          </cell>
        </row>
        <row r="569">
          <cell r="C569" t="str">
            <v>Penyusutan Peralatan Produksi, Biaya</v>
          </cell>
          <cell r="D569">
            <v>9</v>
          </cell>
          <cell r="K569">
            <v>5041437</v>
          </cell>
        </row>
        <row r="570">
          <cell r="C570" t="str">
            <v>Ak. Penyusutan &amp; Peralatan Produksi</v>
          </cell>
          <cell r="D570">
            <v>9</v>
          </cell>
          <cell r="L570">
            <v>5041437</v>
          </cell>
        </row>
        <row r="571">
          <cell r="C571" t="str">
            <v>Penyusutan peralatan produksi per sep'14</v>
          </cell>
          <cell r="D571">
            <v>9</v>
          </cell>
        </row>
        <row r="572">
          <cell r="C572" t="str">
            <v>Penyusutan Peralatan Bengkel, Biaya</v>
          </cell>
          <cell r="D572">
            <v>9</v>
          </cell>
          <cell r="K572">
            <v>70776</v>
          </cell>
        </row>
        <row r="573">
          <cell r="C573" t="str">
            <v>Ak. Penyusutan Peralatan Bengkel</v>
          </cell>
          <cell r="D573">
            <v>9</v>
          </cell>
          <cell r="L573">
            <v>70776</v>
          </cell>
        </row>
        <row r="574">
          <cell r="C574" t="str">
            <v>Penyusutan peralatan bengkel per september'14</v>
          </cell>
          <cell r="D574">
            <v>9</v>
          </cell>
        </row>
        <row r="575">
          <cell r="C575" t="str">
            <v>Penyusutan Infrastruktur, Biaya</v>
          </cell>
          <cell r="D575">
            <v>9</v>
          </cell>
          <cell r="K575">
            <v>486635</v>
          </cell>
        </row>
        <row r="576">
          <cell r="C576" t="str">
            <v>Ak. Penyusutan Infrastruktur</v>
          </cell>
          <cell r="D576">
            <v>9</v>
          </cell>
          <cell r="L576">
            <v>486635</v>
          </cell>
        </row>
        <row r="577">
          <cell r="C577" t="str">
            <v>Penyusutan Infrastruktur per sep'14</v>
          </cell>
          <cell r="D577">
            <v>9</v>
          </cell>
        </row>
        <row r="578">
          <cell r="C578" t="str">
            <v>Upah Borongan, Biaya</v>
          </cell>
          <cell r="D578">
            <v>9</v>
          </cell>
          <cell r="K578">
            <v>652480</v>
          </cell>
        </row>
        <row r="579">
          <cell r="C579" t="str">
            <v>Biaya Yang Masih Harus Dibayar</v>
          </cell>
          <cell r="D579">
            <v>9</v>
          </cell>
          <cell r="L579">
            <v>652480</v>
          </cell>
        </row>
        <row r="580">
          <cell r="C580" t="str">
            <v>UPAH BORONGAN KEPALA UDANG, PER 29-30 SEPT'14</v>
          </cell>
          <cell r="D580">
            <v>9</v>
          </cell>
        </row>
        <row r="581">
          <cell r="C581" t="str">
            <v>Listrik, Biaya</v>
          </cell>
          <cell r="D581">
            <v>9</v>
          </cell>
          <cell r="K581">
            <v>4264960</v>
          </cell>
        </row>
        <row r="582">
          <cell r="C582" t="str">
            <v>PLN, PT Persero R. Teluk Betung</v>
          </cell>
          <cell r="D582">
            <v>9</v>
          </cell>
          <cell r="L582">
            <v>4264960</v>
          </cell>
        </row>
        <row r="583">
          <cell r="C583" t="str">
            <v>TAGIHAN LISTRIK PABRIK KEPALA UDANG, PER SEPT'14</v>
          </cell>
          <cell r="D583">
            <v>9</v>
          </cell>
        </row>
        <row r="584">
          <cell r="C584" t="str">
            <v>BBM Solar / Oli, Biaya</v>
          </cell>
          <cell r="D584">
            <v>9</v>
          </cell>
          <cell r="K584">
            <v>16822270.359999999</v>
          </cell>
        </row>
        <row r="585">
          <cell r="C585" t="str">
            <v>ISP 1 - Divisi</v>
          </cell>
          <cell r="D585">
            <v>9</v>
          </cell>
          <cell r="L585">
            <v>16822270.359999999</v>
          </cell>
        </row>
        <row r="586">
          <cell r="C586" t="str">
            <v>PEMAKAIAN SOLAR DARI ISP, @ 1.604,26 KG. PER SEPT'14</v>
          </cell>
          <cell r="D586">
            <v>9</v>
          </cell>
        </row>
        <row r="587">
          <cell r="C587" t="str">
            <v>Upah Borongan, Biaya</v>
          </cell>
          <cell r="D587">
            <v>10</v>
          </cell>
          <cell r="K587">
            <v>1192640</v>
          </cell>
        </row>
        <row r="588">
          <cell r="C588" t="str">
            <v>Biaya Yang Masih Harus Dibayar</v>
          </cell>
          <cell r="D588">
            <v>10</v>
          </cell>
          <cell r="L588">
            <v>1192640</v>
          </cell>
        </row>
        <row r="589">
          <cell r="C589" t="str">
            <v>UPAH BORONGAN KEPALA UDANG, PER 1-5 OKT'14</v>
          </cell>
          <cell r="D589">
            <v>10</v>
          </cell>
        </row>
        <row r="590">
          <cell r="C590" t="str">
            <v>Tambak Ketapang - Divisi</v>
          </cell>
          <cell r="D590">
            <v>10</v>
          </cell>
          <cell r="K590">
            <v>165706.54</v>
          </cell>
        </row>
        <row r="591">
          <cell r="C591" t="str">
            <v>Bahan Pembantu Produksi, Biaya</v>
          </cell>
          <cell r="D591">
            <v>10</v>
          </cell>
          <cell r="L591">
            <v>165706.54</v>
          </cell>
        </row>
        <row r="592">
          <cell r="C592" t="str">
            <v>PENGIRIMAN SOYA LECITIN KE TAMBAK KETAPANG @ 10 KG. TGL 9/10/14</v>
          </cell>
          <cell r="D592">
            <v>10</v>
          </cell>
        </row>
        <row r="593">
          <cell r="C593" t="str">
            <v>Lanny</v>
          </cell>
          <cell r="D593">
            <v>10</v>
          </cell>
          <cell r="K593">
            <v>117120000</v>
          </cell>
        </row>
        <row r="594">
          <cell r="C594" t="str">
            <v>Penjualan SHM</v>
          </cell>
          <cell r="D594">
            <v>10</v>
          </cell>
          <cell r="L594">
            <v>106472727.27</v>
          </cell>
        </row>
        <row r="595">
          <cell r="C595" t="str">
            <v>PPN</v>
          </cell>
          <cell r="D595">
            <v>10</v>
          </cell>
          <cell r="L595">
            <v>10647272.73</v>
          </cell>
        </row>
        <row r="596">
          <cell r="C596" t="str">
            <v>Penjualan SHM @ 18.300 Kg,</v>
          </cell>
          <cell r="D596">
            <v>10</v>
          </cell>
        </row>
        <row r="597">
          <cell r="C597" t="str">
            <v>Holding - Divisi</v>
          </cell>
          <cell r="D597">
            <v>10</v>
          </cell>
          <cell r="K597">
            <v>98800000</v>
          </cell>
        </row>
        <row r="598">
          <cell r="C598" t="str">
            <v>Lanny</v>
          </cell>
          <cell r="D598">
            <v>10</v>
          </cell>
          <cell r="L598">
            <v>98800000</v>
          </cell>
        </row>
        <row r="599">
          <cell r="C599" t="str">
            <v>Terima UM penjualan SHM dari Lanny</v>
          </cell>
          <cell r="D599">
            <v>10</v>
          </cell>
        </row>
        <row r="600">
          <cell r="C600" t="str">
            <v>Holding - Divisi</v>
          </cell>
          <cell r="D600">
            <v>10</v>
          </cell>
          <cell r="K600">
            <v>18320000</v>
          </cell>
        </row>
        <row r="601">
          <cell r="C601" t="str">
            <v>Lanny</v>
          </cell>
          <cell r="D601">
            <v>10</v>
          </cell>
          <cell r="L601">
            <v>18320000</v>
          </cell>
        </row>
        <row r="602">
          <cell r="C602" t="str">
            <v>PELUNASAN DARI TRI DARMO / LANNY, ATAS PENJ SHM</v>
          </cell>
          <cell r="D602">
            <v>10</v>
          </cell>
        </row>
        <row r="603">
          <cell r="C603" t="str">
            <v>Holding - Divisi</v>
          </cell>
          <cell r="D603">
            <v>10</v>
          </cell>
          <cell r="K603">
            <v>97500000</v>
          </cell>
        </row>
        <row r="604">
          <cell r="C604" t="str">
            <v>Lanny</v>
          </cell>
          <cell r="D604">
            <v>10</v>
          </cell>
          <cell r="L604">
            <v>97500000</v>
          </cell>
        </row>
        <row r="605">
          <cell r="C605" t="str">
            <v>Terima UM penjualan SHM</v>
          </cell>
          <cell r="D605">
            <v>10</v>
          </cell>
        </row>
        <row r="606">
          <cell r="C606" t="str">
            <v>Konsumsi Karyawan, Biaya</v>
          </cell>
          <cell r="D606">
            <v>10</v>
          </cell>
          <cell r="K606">
            <v>75000</v>
          </cell>
        </row>
        <row r="607">
          <cell r="C607" t="str">
            <v>Biaya Yang Masih Harus Dibayar</v>
          </cell>
          <cell r="D607">
            <v>10</v>
          </cell>
          <cell r="L607">
            <v>75000</v>
          </cell>
        </row>
        <row r="608">
          <cell r="C608" t="str">
            <v>Konsumsi karyawan kepala udang per 20-24 okt'14</v>
          </cell>
          <cell r="D608">
            <v>10</v>
          </cell>
        </row>
        <row r="609">
          <cell r="C609" t="str">
            <v>Upah Borongan, Biaya</v>
          </cell>
          <cell r="D609">
            <v>10</v>
          </cell>
          <cell r="K609">
            <v>1220480</v>
          </cell>
        </row>
        <row r="610">
          <cell r="C610" t="str">
            <v>Biaya Yang Masih Harus Dibayar</v>
          </cell>
          <cell r="D610">
            <v>10</v>
          </cell>
          <cell r="L610">
            <v>1220480</v>
          </cell>
        </row>
        <row r="611">
          <cell r="C611" t="str">
            <v>Upah Karyawan borongan kepala udang per 20 -26 okt'14</v>
          </cell>
          <cell r="D611">
            <v>10</v>
          </cell>
        </row>
        <row r="612">
          <cell r="C612" t="str">
            <v>Holding - Divisi</v>
          </cell>
          <cell r="D612">
            <v>10</v>
          </cell>
          <cell r="K612">
            <v>15015000</v>
          </cell>
        </row>
        <row r="613">
          <cell r="C613" t="str">
            <v>Lanny</v>
          </cell>
          <cell r="D613">
            <v>10</v>
          </cell>
          <cell r="L613">
            <v>15015000</v>
          </cell>
        </row>
        <row r="614">
          <cell r="C614" t="str">
            <v>Terima pelunasan penjualan SHm</v>
          </cell>
          <cell r="D614">
            <v>10</v>
          </cell>
        </row>
        <row r="615">
          <cell r="C615" t="str">
            <v>Gaji Karyawan Kantor, Biaya</v>
          </cell>
          <cell r="D615">
            <v>10</v>
          </cell>
          <cell r="K615">
            <v>4272500</v>
          </cell>
        </row>
        <row r="616">
          <cell r="C616" t="str">
            <v>Tunjangan Karyawan, Biaya</v>
          </cell>
          <cell r="D616">
            <v>10</v>
          </cell>
          <cell r="K616">
            <v>275000</v>
          </cell>
        </row>
        <row r="617">
          <cell r="C617" t="str">
            <v>BPJS/Jamsostek,Biaya</v>
          </cell>
          <cell r="D617">
            <v>10</v>
          </cell>
          <cell r="K617">
            <v>374047</v>
          </cell>
        </row>
        <row r="618">
          <cell r="C618" t="str">
            <v>BPJS/Jamsostek,Biaya</v>
          </cell>
          <cell r="D618">
            <v>10</v>
          </cell>
          <cell r="L618">
            <v>479234</v>
          </cell>
        </row>
        <row r="619">
          <cell r="C619" t="str">
            <v>Biaya Yang Masih Harus Dibayar</v>
          </cell>
          <cell r="D619">
            <v>10</v>
          </cell>
          <cell r="L619">
            <v>4442313</v>
          </cell>
        </row>
        <row r="620">
          <cell r="C620" t="str">
            <v>GAJI KARY KEPALA UDANG, PER OKT'14</v>
          </cell>
          <cell r="D620">
            <v>10</v>
          </cell>
        </row>
        <row r="621">
          <cell r="C621" t="str">
            <v>BPJS/Jamsostek,Biaya</v>
          </cell>
          <cell r="D621">
            <v>10</v>
          </cell>
          <cell r="K621">
            <v>289897</v>
          </cell>
        </row>
        <row r="622">
          <cell r="C622" t="str">
            <v>Biaya Yang Masih Harus Dibayar</v>
          </cell>
          <cell r="D622">
            <v>10</v>
          </cell>
          <cell r="L622">
            <v>289897</v>
          </cell>
        </row>
        <row r="623">
          <cell r="C623" t="str">
            <v>IURAN BPJS KETENAGAKERJAAN, KARY KEPALA UDANG. PER OKT'14</v>
          </cell>
          <cell r="D623">
            <v>10</v>
          </cell>
        </row>
        <row r="624">
          <cell r="C624" t="str">
            <v>Lanny</v>
          </cell>
          <cell r="D624">
            <v>10</v>
          </cell>
          <cell r="K624">
            <v>112125000</v>
          </cell>
        </row>
        <row r="625">
          <cell r="C625" t="str">
            <v>Penjualan SHM</v>
          </cell>
          <cell r="D625">
            <v>10</v>
          </cell>
          <cell r="L625">
            <v>101931818.18000001</v>
          </cell>
        </row>
        <row r="626">
          <cell r="C626" t="str">
            <v>PPN</v>
          </cell>
          <cell r="D626">
            <v>10</v>
          </cell>
          <cell r="L626">
            <v>10193181.82</v>
          </cell>
        </row>
        <row r="627">
          <cell r="C627" t="str">
            <v>Penjualan SHM @ 17.250 Kg</v>
          </cell>
          <cell r="D627">
            <v>10</v>
          </cell>
        </row>
        <row r="628">
          <cell r="C628" t="str">
            <v>Konsumsi Karyawan, Biaya</v>
          </cell>
          <cell r="D628">
            <v>10</v>
          </cell>
          <cell r="K628">
            <v>240000</v>
          </cell>
        </row>
        <row r="629">
          <cell r="C629" t="str">
            <v>Biaya Yang Masih Harus Dibayar</v>
          </cell>
          <cell r="D629">
            <v>10</v>
          </cell>
          <cell r="L629">
            <v>240000</v>
          </cell>
        </row>
        <row r="630">
          <cell r="C630" t="str">
            <v>Konsumsi karyawan kepala udang per 27-31 okt'14</v>
          </cell>
          <cell r="D630">
            <v>10</v>
          </cell>
        </row>
        <row r="631">
          <cell r="C631" t="str">
            <v>Upah Borongan, Biaya</v>
          </cell>
          <cell r="D631">
            <v>10</v>
          </cell>
          <cell r="K631">
            <v>2331840</v>
          </cell>
        </row>
        <row r="632">
          <cell r="C632" t="str">
            <v>Biaya Yang Masih Harus Dibayar</v>
          </cell>
          <cell r="D632">
            <v>10</v>
          </cell>
          <cell r="L632">
            <v>2331840</v>
          </cell>
        </row>
        <row r="633">
          <cell r="C633" t="str">
            <v>Upah borongan kepal udang per 27-31 Okt'14</v>
          </cell>
          <cell r="D633">
            <v>10</v>
          </cell>
        </row>
        <row r="634">
          <cell r="C634" t="str">
            <v>Listrik, Biaya</v>
          </cell>
          <cell r="D634">
            <v>10</v>
          </cell>
          <cell r="K634">
            <v>5004990</v>
          </cell>
        </row>
        <row r="635">
          <cell r="C635" t="str">
            <v>PLN, PT Persero R. Teluk Betung</v>
          </cell>
          <cell r="D635">
            <v>10</v>
          </cell>
          <cell r="L635">
            <v>5004990</v>
          </cell>
        </row>
        <row r="636">
          <cell r="C636" t="str">
            <v>Tagihan Listrik kepala udang per Okt'14</v>
          </cell>
          <cell r="D636">
            <v>10</v>
          </cell>
        </row>
        <row r="637">
          <cell r="C637" t="str">
            <v>BBM Solar / Oli, Biaya</v>
          </cell>
          <cell r="D637">
            <v>10</v>
          </cell>
          <cell r="K637">
            <v>17058334.260000002</v>
          </cell>
        </row>
        <row r="638">
          <cell r="C638" t="str">
            <v>ISP 1 - Divisi</v>
          </cell>
          <cell r="D638">
            <v>10</v>
          </cell>
          <cell r="L638">
            <v>17058334.260000002</v>
          </cell>
        </row>
        <row r="639">
          <cell r="C639" t="str">
            <v>Pemakain Solar Kepala Udang @ 1630.66 Liter Per Oktober'14</v>
          </cell>
          <cell r="D639">
            <v>10</v>
          </cell>
        </row>
        <row r="640">
          <cell r="C640" t="str">
            <v>Penyusutan Bangunan, Biaya</v>
          </cell>
          <cell r="D640">
            <v>10</v>
          </cell>
          <cell r="K640">
            <v>3205532</v>
          </cell>
        </row>
        <row r="641">
          <cell r="C641" t="str">
            <v>Ak. Penyusutan Bangunan</v>
          </cell>
          <cell r="D641">
            <v>10</v>
          </cell>
          <cell r="L641">
            <v>3205532</v>
          </cell>
        </row>
        <row r="642">
          <cell r="C642" t="str">
            <v>Penyusutan bangunan per okt'14</v>
          </cell>
          <cell r="D642">
            <v>10</v>
          </cell>
        </row>
        <row r="643">
          <cell r="C643" t="str">
            <v>Penyusutan Mesin-Mesin, Biaya</v>
          </cell>
          <cell r="D643">
            <v>10</v>
          </cell>
          <cell r="K643">
            <v>3326801</v>
          </cell>
        </row>
        <row r="644">
          <cell r="C644" t="str">
            <v>Ak. Penyusutan Mesin-Mesin</v>
          </cell>
          <cell r="D644">
            <v>10</v>
          </cell>
          <cell r="L644">
            <v>3326801</v>
          </cell>
        </row>
        <row r="645">
          <cell r="C645" t="str">
            <v>Penyusutan mesin" per Oktober'14</v>
          </cell>
          <cell r="D645">
            <v>10</v>
          </cell>
        </row>
        <row r="646">
          <cell r="C646" t="str">
            <v>Penyusutan Peralatan Kantor, Biaya</v>
          </cell>
          <cell r="D646">
            <v>10</v>
          </cell>
          <cell r="K646">
            <v>437176</v>
          </cell>
        </row>
        <row r="647">
          <cell r="C647" t="str">
            <v>Ak. Penyusutan Peralatan Kantor</v>
          </cell>
          <cell r="D647">
            <v>10</v>
          </cell>
          <cell r="L647">
            <v>437176</v>
          </cell>
        </row>
        <row r="648">
          <cell r="C648" t="str">
            <v>Penyusutan peralatan &amp; perlengkapan kantor per oktober'14</v>
          </cell>
          <cell r="D648">
            <v>10</v>
          </cell>
        </row>
        <row r="649">
          <cell r="C649" t="str">
            <v>Penyusutan Peralatan Produksi, Biaya</v>
          </cell>
          <cell r="D649">
            <v>10</v>
          </cell>
          <cell r="K649">
            <v>5041437</v>
          </cell>
        </row>
        <row r="650">
          <cell r="C650" t="str">
            <v>Ak. Penyusutan &amp; Peralatan Produksi</v>
          </cell>
          <cell r="D650">
            <v>10</v>
          </cell>
          <cell r="L650">
            <v>5041437</v>
          </cell>
        </row>
        <row r="651">
          <cell r="C651" t="str">
            <v>Penyustan peralatan &amp; perlengkapan Produksi per okt'14</v>
          </cell>
          <cell r="D651">
            <v>10</v>
          </cell>
        </row>
        <row r="652">
          <cell r="C652" t="str">
            <v>Penyusutan Peralatan Bengkel, Biaya</v>
          </cell>
          <cell r="D652">
            <v>10</v>
          </cell>
          <cell r="K652">
            <v>70776</v>
          </cell>
        </row>
        <row r="653">
          <cell r="C653" t="str">
            <v>Ak. Penyusutan Peralatan Bengkel</v>
          </cell>
          <cell r="D653">
            <v>10</v>
          </cell>
          <cell r="L653">
            <v>70776</v>
          </cell>
        </row>
        <row r="654">
          <cell r="C654" t="str">
            <v>Penyusutan peralatan bengkel per oktober'14</v>
          </cell>
          <cell r="D654">
            <v>10</v>
          </cell>
        </row>
        <row r="655">
          <cell r="C655" t="str">
            <v>Penyusutan Infrastruktur, Biaya</v>
          </cell>
          <cell r="D655">
            <v>10</v>
          </cell>
          <cell r="K655">
            <v>486635</v>
          </cell>
        </row>
        <row r="656">
          <cell r="C656" t="str">
            <v>Ak. Penyusutan Infrastruktur</v>
          </cell>
          <cell r="D656">
            <v>10</v>
          </cell>
          <cell r="L656">
            <v>486635</v>
          </cell>
        </row>
        <row r="657">
          <cell r="C657" t="str">
            <v>Penyusutan infrastruktur per okt'14</v>
          </cell>
          <cell r="D657">
            <v>10</v>
          </cell>
        </row>
        <row r="658">
          <cell r="C658" t="str">
            <v>Konsumsi Karyawan, Biaya</v>
          </cell>
          <cell r="D658">
            <v>11</v>
          </cell>
          <cell r="K658">
            <v>50000</v>
          </cell>
        </row>
        <row r="659">
          <cell r="C659" t="str">
            <v>Biaya Yang Masih Harus Dibayar</v>
          </cell>
          <cell r="D659">
            <v>11</v>
          </cell>
          <cell r="L659">
            <v>50000</v>
          </cell>
        </row>
        <row r="660">
          <cell r="C660" t="str">
            <v>Konsumsi karyawan kepal udang per 1 nov'14</v>
          </cell>
          <cell r="D660">
            <v>11</v>
          </cell>
        </row>
        <row r="661">
          <cell r="C661" t="str">
            <v>Upah Borongan, Biaya</v>
          </cell>
          <cell r="D661">
            <v>11</v>
          </cell>
          <cell r="K661">
            <v>449280</v>
          </cell>
        </row>
        <row r="662">
          <cell r="C662" t="str">
            <v>Biaya Yang Masih Harus Dibayar</v>
          </cell>
          <cell r="D662">
            <v>11</v>
          </cell>
          <cell r="L662">
            <v>449280</v>
          </cell>
        </row>
        <row r="663">
          <cell r="C663" t="str">
            <v>Upah borongan kepala udang per 1-2 nov'14</v>
          </cell>
          <cell r="D663">
            <v>11</v>
          </cell>
        </row>
        <row r="664">
          <cell r="C664" t="str">
            <v>PT.Karka Nutri Industri</v>
          </cell>
          <cell r="D664">
            <v>11</v>
          </cell>
          <cell r="K664">
            <v>141834000</v>
          </cell>
        </row>
        <row r="665">
          <cell r="C665" t="str">
            <v>Penjualan SHM</v>
          </cell>
          <cell r="D665">
            <v>11</v>
          </cell>
          <cell r="L665">
            <v>128940000</v>
          </cell>
        </row>
        <row r="666">
          <cell r="C666" t="str">
            <v>PPN</v>
          </cell>
          <cell r="D666">
            <v>11</v>
          </cell>
          <cell r="L666">
            <v>12894000</v>
          </cell>
        </row>
        <row r="667">
          <cell r="C667" t="str">
            <v>Penjualan SHM @ 18.420 Kg,</v>
          </cell>
          <cell r="D667">
            <v>11</v>
          </cell>
        </row>
        <row r="668">
          <cell r="C668" t="str">
            <v>BPJS/Jamsostek,Biaya</v>
          </cell>
          <cell r="D668">
            <v>11</v>
          </cell>
          <cell r="K668">
            <v>189338</v>
          </cell>
        </row>
        <row r="669">
          <cell r="C669" t="str">
            <v>Biaya Yang Masih Harus Dibayar</v>
          </cell>
          <cell r="D669">
            <v>11</v>
          </cell>
          <cell r="L669">
            <v>189338</v>
          </cell>
        </row>
        <row r="670">
          <cell r="C670" t="str">
            <v>IURAN BPJS KESEHATAN 3 KARY KEPALA UDANG, PER NOV'14</v>
          </cell>
          <cell r="D670">
            <v>11</v>
          </cell>
        </row>
        <row r="671">
          <cell r="C671" t="str">
            <v>Konsumsi Karyawan, Biaya</v>
          </cell>
          <cell r="D671">
            <v>11</v>
          </cell>
          <cell r="K671">
            <v>170000</v>
          </cell>
        </row>
        <row r="672">
          <cell r="C672" t="str">
            <v>Biaya Yang Masih Harus Dibayar</v>
          </cell>
          <cell r="D672">
            <v>11</v>
          </cell>
          <cell r="L672">
            <v>170000</v>
          </cell>
        </row>
        <row r="673">
          <cell r="C673" t="str">
            <v>Konsumsi karyawan kepala udang per 17-22 Nov'14 - Nabila catring</v>
          </cell>
          <cell r="D673">
            <v>11</v>
          </cell>
        </row>
        <row r="674">
          <cell r="C674" t="str">
            <v>Upah Borongan, Biaya</v>
          </cell>
          <cell r="D674">
            <v>11</v>
          </cell>
          <cell r="K674">
            <v>1644160</v>
          </cell>
        </row>
        <row r="675">
          <cell r="C675" t="str">
            <v>Biaya Yang Masih Harus Dibayar</v>
          </cell>
          <cell r="D675">
            <v>11</v>
          </cell>
          <cell r="L675">
            <v>1644160</v>
          </cell>
        </row>
        <row r="676">
          <cell r="C676" t="str">
            <v>Upah borongan kepala udang per 17-23 nov'14</v>
          </cell>
          <cell r="D676">
            <v>11</v>
          </cell>
        </row>
        <row r="677">
          <cell r="C677" t="str">
            <v>Gaji Karyawan Kantor, Biaya</v>
          </cell>
          <cell r="D677">
            <v>11</v>
          </cell>
          <cell r="K677">
            <v>4272500</v>
          </cell>
        </row>
        <row r="678">
          <cell r="C678" t="str">
            <v>Tunjangan Karyawan, Biaya</v>
          </cell>
          <cell r="D678">
            <v>11</v>
          </cell>
          <cell r="K678">
            <v>275000</v>
          </cell>
        </row>
        <row r="679">
          <cell r="C679" t="str">
            <v>BPJS/Jamsostek,Biaya</v>
          </cell>
          <cell r="D679">
            <v>11</v>
          </cell>
          <cell r="K679">
            <v>374046</v>
          </cell>
        </row>
        <row r="680">
          <cell r="C680" t="str">
            <v>BPJS/Jamsostek,Biaya</v>
          </cell>
          <cell r="D680">
            <v>11</v>
          </cell>
          <cell r="L680">
            <v>479234</v>
          </cell>
        </row>
        <row r="681">
          <cell r="C681" t="str">
            <v>Gaji Karyawan Kantor, Biaya</v>
          </cell>
          <cell r="D681">
            <v>11</v>
          </cell>
          <cell r="L681">
            <v>114800</v>
          </cell>
        </row>
        <row r="682">
          <cell r="C682" t="str">
            <v>Biaya Yang Masih Harus Dibayar</v>
          </cell>
          <cell r="D682">
            <v>11</v>
          </cell>
          <cell r="L682">
            <v>4327512</v>
          </cell>
        </row>
        <row r="683">
          <cell r="C683" t="str">
            <v>Gaji karyawan kantor per Nov'14</v>
          </cell>
          <cell r="D683">
            <v>11</v>
          </cell>
        </row>
        <row r="684">
          <cell r="C684" t="str">
            <v>Pendidikan &amp; Pelatihan, Biaya</v>
          </cell>
          <cell r="D684">
            <v>11</v>
          </cell>
          <cell r="K684">
            <v>100000</v>
          </cell>
        </row>
        <row r="685">
          <cell r="C685" t="str">
            <v>Biaya Yang Masih Harus Dibayar</v>
          </cell>
          <cell r="D685">
            <v>11</v>
          </cell>
          <cell r="L685">
            <v>100000</v>
          </cell>
        </row>
        <row r="686">
          <cell r="C686" t="str">
            <v>SEMINAR PENGEMBANGAN INDUSTRI HASIL PERIKANAN NON KONSUMSI. (EKA &amp; IIN)</v>
          </cell>
          <cell r="D686">
            <v>11</v>
          </cell>
        </row>
        <row r="687">
          <cell r="C687" t="str">
            <v>Upah Borongan, Biaya</v>
          </cell>
          <cell r="D687">
            <v>11</v>
          </cell>
          <cell r="K687">
            <v>1744000</v>
          </cell>
        </row>
        <row r="688">
          <cell r="C688" t="str">
            <v>Biaya Yang Masih Harus Dibayar</v>
          </cell>
          <cell r="D688">
            <v>11</v>
          </cell>
          <cell r="L688">
            <v>1744000</v>
          </cell>
        </row>
        <row r="689">
          <cell r="C689" t="str">
            <v>Upah karyawan borongan kepala udang per 24-30 Nov'14</v>
          </cell>
          <cell r="D689">
            <v>11</v>
          </cell>
        </row>
        <row r="690">
          <cell r="C690" t="str">
            <v>Penyusutan Bangunan, Biaya</v>
          </cell>
          <cell r="D690">
            <v>11</v>
          </cell>
          <cell r="K690">
            <v>3205532</v>
          </cell>
        </row>
        <row r="691">
          <cell r="C691" t="str">
            <v>Ak. Penyusutan Bangunan</v>
          </cell>
          <cell r="D691">
            <v>11</v>
          </cell>
          <cell r="L691">
            <v>3205532</v>
          </cell>
        </row>
        <row r="692">
          <cell r="C692" t="str">
            <v>Penyusutan bangunan per nov'14</v>
          </cell>
          <cell r="D692">
            <v>11</v>
          </cell>
        </row>
        <row r="693">
          <cell r="C693" t="str">
            <v>Penyusutan Mesin-Mesin, Biaya</v>
          </cell>
          <cell r="D693">
            <v>11</v>
          </cell>
          <cell r="K693">
            <v>3326801</v>
          </cell>
        </row>
        <row r="694">
          <cell r="C694" t="str">
            <v>Ak. Penyusutan Mesin-Mesin</v>
          </cell>
          <cell r="D694">
            <v>11</v>
          </cell>
          <cell r="L694">
            <v>3326801</v>
          </cell>
        </row>
        <row r="695">
          <cell r="C695" t="str">
            <v>Penyusutan mesin per Nov'14</v>
          </cell>
          <cell r="D695">
            <v>11</v>
          </cell>
        </row>
        <row r="696">
          <cell r="C696" t="str">
            <v>Penyusutan Peralatan Kantor, Biaya</v>
          </cell>
          <cell r="D696">
            <v>11</v>
          </cell>
          <cell r="K696">
            <v>437176</v>
          </cell>
        </row>
        <row r="697">
          <cell r="C697" t="str">
            <v>Ak. Penyusutan Peralatan Kantor</v>
          </cell>
          <cell r="D697">
            <v>11</v>
          </cell>
          <cell r="L697">
            <v>437176</v>
          </cell>
        </row>
        <row r="698">
          <cell r="C698" t="str">
            <v>Penyusutan peralatan kantor per Nov'14</v>
          </cell>
          <cell r="D698">
            <v>11</v>
          </cell>
        </row>
        <row r="699">
          <cell r="C699" t="str">
            <v>Penyusutan Peralatan Produksi, Biaya</v>
          </cell>
          <cell r="D699">
            <v>11</v>
          </cell>
          <cell r="K699">
            <v>5041437</v>
          </cell>
        </row>
        <row r="700">
          <cell r="C700" t="str">
            <v>Ak. Penyusutan &amp; Peralatan Produksi</v>
          </cell>
          <cell r="D700">
            <v>11</v>
          </cell>
          <cell r="L700">
            <v>5041437</v>
          </cell>
        </row>
        <row r="701">
          <cell r="C701" t="str">
            <v>Penyusutan peralatan produksi per nov'14</v>
          </cell>
          <cell r="D701">
            <v>11</v>
          </cell>
        </row>
        <row r="702">
          <cell r="C702" t="str">
            <v>Penyusutan Peralatan Bengkel, Biaya</v>
          </cell>
          <cell r="D702">
            <v>11</v>
          </cell>
          <cell r="K702">
            <v>70776</v>
          </cell>
        </row>
        <row r="703">
          <cell r="C703" t="str">
            <v>Ak. Penyusutan Peralatan Bengkel</v>
          </cell>
          <cell r="D703">
            <v>11</v>
          </cell>
          <cell r="L703">
            <v>70776</v>
          </cell>
        </row>
        <row r="704">
          <cell r="C704" t="str">
            <v>Penyusutan peralatan bengkel per nov'14</v>
          </cell>
          <cell r="D704">
            <v>11</v>
          </cell>
        </row>
        <row r="705">
          <cell r="C705" t="str">
            <v>Penyusutan Infrastruktur, Biaya</v>
          </cell>
          <cell r="D705">
            <v>11</v>
          </cell>
          <cell r="K705">
            <v>486635</v>
          </cell>
        </row>
        <row r="706">
          <cell r="C706" t="str">
            <v>Ak. Penyusutan Infrastruktur</v>
          </cell>
          <cell r="D706">
            <v>11</v>
          </cell>
          <cell r="L706">
            <v>486635</v>
          </cell>
        </row>
        <row r="707">
          <cell r="C707" t="str">
            <v>Penyusutan Infrastruktur per nov'14</v>
          </cell>
          <cell r="D707">
            <v>11</v>
          </cell>
        </row>
        <row r="708">
          <cell r="C708" t="str">
            <v>Listrik, Biaya</v>
          </cell>
          <cell r="D708">
            <v>11</v>
          </cell>
          <cell r="K708">
            <v>5530400</v>
          </cell>
        </row>
        <row r="709">
          <cell r="C709" t="str">
            <v>PLN, PT Persero R. Teluk Betung</v>
          </cell>
          <cell r="D709">
            <v>11</v>
          </cell>
          <cell r="L709">
            <v>5530400</v>
          </cell>
        </row>
        <row r="710">
          <cell r="C710" t="str">
            <v>Tagihan listrik per nov'14 kepala udang</v>
          </cell>
          <cell r="D710">
            <v>11</v>
          </cell>
        </row>
        <row r="711">
          <cell r="C711" t="str">
            <v>BBM Solar / Oli, Biaya</v>
          </cell>
          <cell r="D711">
            <v>11</v>
          </cell>
          <cell r="K711">
            <v>17077162.359999999</v>
          </cell>
        </row>
        <row r="712">
          <cell r="C712" t="str">
            <v>ISP 1 - Divisi</v>
          </cell>
          <cell r="D712">
            <v>11</v>
          </cell>
          <cell r="L712">
            <v>17077162.359999999</v>
          </cell>
        </row>
        <row r="713">
          <cell r="C713" t="str">
            <v>PEMAKAIAN SOLAR DARI PT.ISP @ 1.063,64 L. PERIODE NOV'14</v>
          </cell>
          <cell r="D713">
            <v>11</v>
          </cell>
        </row>
        <row r="714">
          <cell r="C714" t="str">
            <v>BPJS/Jamsostek,Biaya</v>
          </cell>
          <cell r="D714">
            <v>11</v>
          </cell>
          <cell r="K714">
            <v>289897</v>
          </cell>
        </row>
        <row r="715">
          <cell r="C715" t="str">
            <v>Biaya Yang Masih Harus Dibayar</v>
          </cell>
          <cell r="D715">
            <v>11</v>
          </cell>
          <cell r="L715">
            <v>289897</v>
          </cell>
        </row>
        <row r="716">
          <cell r="C716" t="str">
            <v>Iuran bpjs ketenaga kerjaan per nov'14</v>
          </cell>
          <cell r="D716">
            <v>11</v>
          </cell>
        </row>
        <row r="717">
          <cell r="C717" t="str">
            <v>Konsumsi Karyawan, Biaya</v>
          </cell>
          <cell r="D717">
            <v>12</v>
          </cell>
          <cell r="K717">
            <v>235000</v>
          </cell>
        </row>
        <row r="718">
          <cell r="C718" t="str">
            <v>Biaya Yang Masih Harus Dibayar</v>
          </cell>
          <cell r="D718">
            <v>12</v>
          </cell>
          <cell r="L718">
            <v>235000</v>
          </cell>
        </row>
        <row r="719">
          <cell r="C719" t="str">
            <v>Konsumsi karyawan kepala udang per 24-29 Nov'14</v>
          </cell>
          <cell r="D719">
            <v>12</v>
          </cell>
        </row>
        <row r="720">
          <cell r="C720" t="str">
            <v>Matahari Sakti</v>
          </cell>
          <cell r="D720">
            <v>12</v>
          </cell>
          <cell r="K720">
            <v>148122000</v>
          </cell>
        </row>
        <row r="721">
          <cell r="C721" t="str">
            <v>Penjualan SHM</v>
          </cell>
          <cell r="D721">
            <v>12</v>
          </cell>
          <cell r="L721">
            <v>134656636.63999999</v>
          </cell>
        </row>
        <row r="722">
          <cell r="C722" t="str">
            <v>PPN</v>
          </cell>
          <cell r="D722">
            <v>12</v>
          </cell>
          <cell r="L722">
            <v>13465363.359999999</v>
          </cell>
        </row>
        <row r="723">
          <cell r="C723" t="str">
            <v>Penjualan Shm @ 18.990 Kg To Matahari Sakti</v>
          </cell>
          <cell r="D723">
            <v>12</v>
          </cell>
        </row>
        <row r="724">
          <cell r="C724" t="str">
            <v>Gaji Karyawan Kantor, Biaya</v>
          </cell>
          <cell r="D724">
            <v>12</v>
          </cell>
          <cell r="K724">
            <v>863600</v>
          </cell>
        </row>
        <row r="725">
          <cell r="C725" t="str">
            <v>Biaya Yang Masih Harus Dibayar</v>
          </cell>
          <cell r="D725">
            <v>12</v>
          </cell>
          <cell r="L725">
            <v>863600</v>
          </cell>
        </row>
        <row r="726">
          <cell r="C726" t="str">
            <v>Rekap karyawan PKWT a/n Suprapto bagian kepala udang</v>
          </cell>
          <cell r="D726">
            <v>12</v>
          </cell>
        </row>
        <row r="727">
          <cell r="C727" t="str">
            <v>Ongkos Angkut, Biaya</v>
          </cell>
          <cell r="D727">
            <v>12</v>
          </cell>
          <cell r="K727">
            <v>6860000</v>
          </cell>
        </row>
        <row r="728">
          <cell r="C728" t="str">
            <v>Andi Riza</v>
          </cell>
          <cell r="D728">
            <v>12</v>
          </cell>
          <cell r="L728">
            <v>6860000</v>
          </cell>
        </row>
        <row r="729">
          <cell r="C729" t="str">
            <v>By kirim SHM Ke Karka Nutri Industri</v>
          </cell>
          <cell r="D729">
            <v>12</v>
          </cell>
        </row>
        <row r="730">
          <cell r="C730" t="str">
            <v>Holding - Divisi</v>
          </cell>
          <cell r="D730">
            <v>12</v>
          </cell>
          <cell r="K730">
            <v>141747000</v>
          </cell>
        </row>
        <row r="731">
          <cell r="C731" t="str">
            <v>PT.Karka Nutri Industri</v>
          </cell>
          <cell r="D731">
            <v>12</v>
          </cell>
          <cell r="L731">
            <v>141747000</v>
          </cell>
        </row>
        <row r="732">
          <cell r="C732" t="str">
            <v>Terima pelunasan penj SHM - PT. Karka Nutri Indonesia</v>
          </cell>
          <cell r="D732">
            <v>12</v>
          </cell>
        </row>
        <row r="733">
          <cell r="C733" t="str">
            <v>Lembur, Biaya</v>
          </cell>
          <cell r="D733">
            <v>12</v>
          </cell>
          <cell r="K733">
            <v>64742</v>
          </cell>
        </row>
        <row r="734">
          <cell r="C734" t="str">
            <v>Biaya Yang Masih Harus Dibayar</v>
          </cell>
          <cell r="D734">
            <v>12</v>
          </cell>
          <cell r="L734">
            <v>64742</v>
          </cell>
        </row>
        <row r="735">
          <cell r="C735" t="str">
            <v>Lembur periode 18 sd 24 Des'2014 - Kepala Udang</v>
          </cell>
          <cell r="D735">
            <v>12</v>
          </cell>
        </row>
        <row r="736">
          <cell r="C736" t="str">
            <v>Upah Bongkar &amp; Muat, Biaya</v>
          </cell>
          <cell r="D736">
            <v>12</v>
          </cell>
          <cell r="K736">
            <v>241575</v>
          </cell>
        </row>
        <row r="737">
          <cell r="C737" t="str">
            <v>Biaya Yang Masih Harus Dibayar</v>
          </cell>
          <cell r="D737">
            <v>12</v>
          </cell>
          <cell r="L737">
            <v>241575</v>
          </cell>
        </row>
        <row r="738">
          <cell r="C738" t="str">
            <v>Upah muat tepung SHM @ 1.278 Colly utk di kirim ke matahari sakti</v>
          </cell>
          <cell r="D738">
            <v>12</v>
          </cell>
        </row>
        <row r="739">
          <cell r="C739" t="str">
            <v>Konsumsi Karyawan, Biaya</v>
          </cell>
          <cell r="D739">
            <v>12</v>
          </cell>
          <cell r="K739">
            <v>170000</v>
          </cell>
        </row>
        <row r="740">
          <cell r="C740" t="str">
            <v>Biaya Yang Masih Harus Dibayar</v>
          </cell>
          <cell r="D740">
            <v>12</v>
          </cell>
          <cell r="L740">
            <v>170000</v>
          </cell>
        </row>
        <row r="741">
          <cell r="C741" t="str">
            <v>Konsumsi karyawan kepala udang per 23-27 des'14</v>
          </cell>
          <cell r="D741">
            <v>12</v>
          </cell>
        </row>
        <row r="742">
          <cell r="C742" t="str">
            <v>Upah Borongan, Biaya</v>
          </cell>
          <cell r="D742">
            <v>12</v>
          </cell>
          <cell r="K742">
            <v>1529280</v>
          </cell>
        </row>
        <row r="743">
          <cell r="C743" t="str">
            <v>Biaya Yang Masih Harus Dibayar</v>
          </cell>
          <cell r="D743">
            <v>12</v>
          </cell>
          <cell r="L743">
            <v>1529280</v>
          </cell>
        </row>
        <row r="744">
          <cell r="C744" t="str">
            <v>Upah karyawan borongan kepala udang per 22-28 des'14</v>
          </cell>
          <cell r="D744">
            <v>12</v>
          </cell>
        </row>
        <row r="745">
          <cell r="C745" t="str">
            <v>Gaji Karyawan Kantor, Biaya</v>
          </cell>
          <cell r="D745">
            <v>12</v>
          </cell>
          <cell r="K745">
            <v>2837500</v>
          </cell>
        </row>
        <row r="746">
          <cell r="C746" t="str">
            <v>Tunjangan Karyawan, Biaya</v>
          </cell>
          <cell r="D746">
            <v>12</v>
          </cell>
          <cell r="K746">
            <v>175000</v>
          </cell>
        </row>
        <row r="747">
          <cell r="C747" t="str">
            <v>BPJS/Jamsostek,Biaya</v>
          </cell>
          <cell r="D747">
            <v>12</v>
          </cell>
          <cell r="K747">
            <v>249365</v>
          </cell>
        </row>
        <row r="748">
          <cell r="C748" t="str">
            <v>BPJS/Jamsostek,Biaya</v>
          </cell>
          <cell r="D748">
            <v>12</v>
          </cell>
          <cell r="L748">
            <v>319490</v>
          </cell>
        </row>
        <row r="749">
          <cell r="C749" t="str">
            <v>Biaya Yang Masih Harus Dibayar</v>
          </cell>
          <cell r="D749">
            <v>12</v>
          </cell>
          <cell r="L749">
            <v>2942375</v>
          </cell>
        </row>
        <row r="750">
          <cell r="C750" t="str">
            <v>Gaji karyawan bulanan kepala udang per Des'14</v>
          </cell>
          <cell r="D750">
            <v>12</v>
          </cell>
        </row>
        <row r="751">
          <cell r="C751" t="str">
            <v>Matahari Sakti</v>
          </cell>
          <cell r="D751">
            <v>12</v>
          </cell>
          <cell r="K751">
            <v>123708000</v>
          </cell>
        </row>
        <row r="752">
          <cell r="C752" t="str">
            <v>Penjualan SHM</v>
          </cell>
          <cell r="D752">
            <v>12</v>
          </cell>
          <cell r="L752">
            <v>112461818.18000001</v>
          </cell>
        </row>
        <row r="753">
          <cell r="C753" t="str">
            <v>PPN</v>
          </cell>
          <cell r="D753">
            <v>12</v>
          </cell>
          <cell r="L753">
            <v>11246181.82</v>
          </cell>
        </row>
        <row r="754">
          <cell r="C754" t="str">
            <v>Penjualan SHM @ 15.860 Kg, - Matahari Sakti</v>
          </cell>
          <cell r="D754">
            <v>12</v>
          </cell>
        </row>
        <row r="755">
          <cell r="C755" t="str">
            <v>Upah Borongan, Biaya</v>
          </cell>
          <cell r="D755">
            <v>12</v>
          </cell>
          <cell r="K755">
            <v>1152000</v>
          </cell>
        </row>
        <row r="756">
          <cell r="C756" t="str">
            <v>Biaya Yang Masih Harus Dibayar</v>
          </cell>
          <cell r="D756">
            <v>12</v>
          </cell>
          <cell r="L756">
            <v>1152000</v>
          </cell>
        </row>
        <row r="757">
          <cell r="C757" t="str">
            <v>UPAH BORONGAN, PER 29-31 DES'14</v>
          </cell>
          <cell r="D757">
            <v>12</v>
          </cell>
        </row>
        <row r="758">
          <cell r="C758" t="str">
            <v>Konsumsi Karyawan, Biaya</v>
          </cell>
          <cell r="D758">
            <v>12</v>
          </cell>
          <cell r="K758">
            <v>115000</v>
          </cell>
        </row>
        <row r="759">
          <cell r="C759" t="str">
            <v>Biaya Yang Masih Harus Dibayar</v>
          </cell>
          <cell r="D759">
            <v>12</v>
          </cell>
          <cell r="L759">
            <v>115000</v>
          </cell>
        </row>
        <row r="760">
          <cell r="C760" t="str">
            <v>KONSUMSI KARY KEPALA UDANG, PER 29-31 DES'14</v>
          </cell>
          <cell r="D760">
            <v>12</v>
          </cell>
        </row>
        <row r="761">
          <cell r="C761" t="str">
            <v>Listrik, Biaya</v>
          </cell>
          <cell r="D761">
            <v>12</v>
          </cell>
          <cell r="K761">
            <v>5965250</v>
          </cell>
        </row>
        <row r="762">
          <cell r="C762" t="str">
            <v>PLN, PT Persero R. Teluk Betung</v>
          </cell>
          <cell r="D762">
            <v>12</v>
          </cell>
          <cell r="L762">
            <v>5965250</v>
          </cell>
        </row>
        <row r="763">
          <cell r="C763" t="str">
            <v>Tagihan Listrik kepala udang Per Des'14</v>
          </cell>
          <cell r="D763">
            <v>12</v>
          </cell>
        </row>
        <row r="764">
          <cell r="C764" t="str">
            <v>Penyusutan Bangunan, Biaya</v>
          </cell>
          <cell r="D764">
            <v>12</v>
          </cell>
          <cell r="K764">
            <v>3205532</v>
          </cell>
        </row>
        <row r="765">
          <cell r="C765" t="str">
            <v>Ak. Penyusutan Bangunan</v>
          </cell>
          <cell r="D765">
            <v>12</v>
          </cell>
          <cell r="L765">
            <v>3205532</v>
          </cell>
        </row>
        <row r="766">
          <cell r="C766" t="str">
            <v>Penyusutan bangunan per des'14</v>
          </cell>
          <cell r="D766">
            <v>12</v>
          </cell>
        </row>
        <row r="767">
          <cell r="C767" t="str">
            <v>Penyusutan Mesin-Mesin, Biaya</v>
          </cell>
          <cell r="D767">
            <v>12</v>
          </cell>
          <cell r="K767">
            <v>326801</v>
          </cell>
        </row>
        <row r="768">
          <cell r="C768" t="str">
            <v>Ak. Penyusutan Mesin-Mesin</v>
          </cell>
          <cell r="D768">
            <v>12</v>
          </cell>
          <cell r="L768">
            <v>326801</v>
          </cell>
        </row>
        <row r="769">
          <cell r="C769" t="str">
            <v>Penyusutan mesin per Des'14</v>
          </cell>
          <cell r="D769">
            <v>12</v>
          </cell>
        </row>
        <row r="770">
          <cell r="C770" t="str">
            <v>Penyusutan Peralatan Kantor, Biaya</v>
          </cell>
          <cell r="D770">
            <v>12</v>
          </cell>
          <cell r="K770">
            <v>437176</v>
          </cell>
        </row>
        <row r="771">
          <cell r="C771" t="str">
            <v>Ak. Penyusutan Peralatan Kantor</v>
          </cell>
          <cell r="D771">
            <v>12</v>
          </cell>
          <cell r="L771">
            <v>437176</v>
          </cell>
        </row>
        <row r="772">
          <cell r="C772" t="str">
            <v>Penyusutan peralatan Kantor per Des'14</v>
          </cell>
          <cell r="D772">
            <v>12</v>
          </cell>
        </row>
        <row r="773">
          <cell r="C773" t="str">
            <v>Penyusutan Peralatan Produksi, Biaya</v>
          </cell>
          <cell r="D773">
            <v>12</v>
          </cell>
          <cell r="K773">
            <v>5041437</v>
          </cell>
        </row>
        <row r="774">
          <cell r="C774" t="str">
            <v>Ak. Penyusutan &amp; Peralatan Produksi</v>
          </cell>
          <cell r="D774">
            <v>12</v>
          </cell>
          <cell r="L774">
            <v>5041437</v>
          </cell>
        </row>
        <row r="775">
          <cell r="C775" t="str">
            <v>Penyusutan peralatan produksi per des'14</v>
          </cell>
          <cell r="D775">
            <v>12</v>
          </cell>
        </row>
        <row r="776">
          <cell r="C776" t="str">
            <v>Penyusutan Peralatan Bengkel, Biaya</v>
          </cell>
          <cell r="D776">
            <v>12</v>
          </cell>
          <cell r="K776">
            <v>70776</v>
          </cell>
        </row>
        <row r="777">
          <cell r="C777" t="str">
            <v>Ak. Penyusutan Peralatan Bengkel</v>
          </cell>
          <cell r="D777">
            <v>12</v>
          </cell>
          <cell r="L777">
            <v>70776</v>
          </cell>
        </row>
        <row r="778">
          <cell r="C778" t="str">
            <v>Penyusutan peralatan bengkel per des'14</v>
          </cell>
          <cell r="D778">
            <v>12</v>
          </cell>
        </row>
        <row r="779">
          <cell r="C779" t="str">
            <v>Penyusutan Infrastruktur, Biaya</v>
          </cell>
          <cell r="D779">
            <v>12</v>
          </cell>
          <cell r="K779">
            <v>486635</v>
          </cell>
        </row>
        <row r="780">
          <cell r="C780" t="str">
            <v>Ak. Penyusutan Infrastruktur</v>
          </cell>
          <cell r="D780">
            <v>12</v>
          </cell>
          <cell r="L780">
            <v>486635</v>
          </cell>
        </row>
        <row r="781">
          <cell r="C781" t="str">
            <v>Penyusutan infrastruktur per des'14</v>
          </cell>
          <cell r="D781">
            <v>12</v>
          </cell>
        </row>
        <row r="782">
          <cell r="C782" t="str">
            <v>BBM Solar / Oli, Biaya</v>
          </cell>
          <cell r="D782">
            <v>12</v>
          </cell>
          <cell r="K782">
            <v>14016049.92</v>
          </cell>
        </row>
        <row r="783">
          <cell r="C783" t="str">
            <v>ISP 1 - Divisi</v>
          </cell>
          <cell r="D783">
            <v>12</v>
          </cell>
          <cell r="L783">
            <v>14016049.92</v>
          </cell>
        </row>
        <row r="784">
          <cell r="C784" t="str">
            <v>PEMAKAIAN BAHAN BAKAR SOLAR, PER DES'14</v>
          </cell>
          <cell r="D784">
            <v>12</v>
          </cell>
        </row>
      </sheetData>
      <sheetData sheetId="3">
        <row r="7">
          <cell r="C7" t="str">
            <v>Biaya Yang Masih Harus Dibayar</v>
          </cell>
          <cell r="D7">
            <v>1</v>
          </cell>
          <cell r="K7">
            <v>14874</v>
          </cell>
        </row>
        <row r="8">
          <cell r="C8" t="str">
            <v>Kas Harian</v>
          </cell>
          <cell r="D8">
            <v>1</v>
          </cell>
          <cell r="L8">
            <v>14874</v>
          </cell>
        </row>
        <row r="9">
          <cell r="C9" t="str">
            <v>Pembvayaran muat SHM @ 67 colly untk di jual ke bp tansil</v>
          </cell>
          <cell r="D9">
            <v>1</v>
          </cell>
        </row>
        <row r="10">
          <cell r="C10" t="str">
            <v>Biaya Yang Masih Harus Dibayar</v>
          </cell>
          <cell r="D10">
            <v>1</v>
          </cell>
          <cell r="K10">
            <v>100000</v>
          </cell>
        </row>
        <row r="11">
          <cell r="C11" t="str">
            <v>Kas Harian</v>
          </cell>
          <cell r="D11">
            <v>1</v>
          </cell>
          <cell r="L11">
            <v>100000</v>
          </cell>
        </row>
        <row r="12">
          <cell r="C12" t="str">
            <v>Pembayaran prmbrlian Skop pasir @ 2 pcs</v>
          </cell>
          <cell r="D12">
            <v>1</v>
          </cell>
        </row>
        <row r="13">
          <cell r="C13" t="str">
            <v>Biaya Yang Masih Harus Dibayar</v>
          </cell>
          <cell r="D13">
            <v>1</v>
          </cell>
          <cell r="K13">
            <v>92000</v>
          </cell>
        </row>
        <row r="14">
          <cell r="C14" t="str">
            <v>Kas Harian</v>
          </cell>
          <cell r="D14">
            <v>1</v>
          </cell>
          <cell r="L14">
            <v>92000</v>
          </cell>
        </row>
        <row r="15">
          <cell r="C15" t="str">
            <v>Pembayaran upah gaji per 21-26 des'13</v>
          </cell>
          <cell r="D15">
            <v>1</v>
          </cell>
        </row>
        <row r="16">
          <cell r="C16" t="str">
            <v>Biaya Yang Masih Harus Dibayar</v>
          </cell>
          <cell r="D16">
            <v>1</v>
          </cell>
          <cell r="K16">
            <v>170000</v>
          </cell>
        </row>
        <row r="17">
          <cell r="C17" t="str">
            <v>Kas Harian</v>
          </cell>
          <cell r="D17">
            <v>1</v>
          </cell>
          <cell r="L17">
            <v>170000</v>
          </cell>
        </row>
        <row r="18">
          <cell r="C18" t="str">
            <v>Pembyran konsumsi kary pakan 23-27 des'13</v>
          </cell>
          <cell r="D18">
            <v>1</v>
          </cell>
        </row>
        <row r="19">
          <cell r="C19" t="str">
            <v>Biaya Yang Masih Harus Dibayar</v>
          </cell>
          <cell r="D19">
            <v>1</v>
          </cell>
          <cell r="K19">
            <v>120000</v>
          </cell>
        </row>
        <row r="20">
          <cell r="C20" t="str">
            <v>Kas Harian</v>
          </cell>
          <cell r="D20">
            <v>1</v>
          </cell>
          <cell r="L20">
            <v>120000</v>
          </cell>
        </row>
        <row r="21">
          <cell r="C21" t="str">
            <v>Pembyran upah gaji per 21-26 des'13</v>
          </cell>
          <cell r="D21">
            <v>1</v>
          </cell>
        </row>
        <row r="22">
          <cell r="C22" t="str">
            <v>Holding - Divisi</v>
          </cell>
          <cell r="D22">
            <v>1</v>
          </cell>
          <cell r="K22">
            <v>4414115</v>
          </cell>
        </row>
        <row r="23">
          <cell r="C23" t="str">
            <v>Kas Harian</v>
          </cell>
          <cell r="D23">
            <v>1</v>
          </cell>
          <cell r="L23">
            <v>4414115</v>
          </cell>
        </row>
        <row r="24">
          <cell r="C24" t="str">
            <v>Pembyran angsuran Pinjaman pda holding</v>
          </cell>
          <cell r="D24">
            <v>1</v>
          </cell>
        </row>
        <row r="25">
          <cell r="C25" t="str">
            <v>Surat-Surat Perizinan, Biaya</v>
          </cell>
          <cell r="D25">
            <v>1</v>
          </cell>
          <cell r="K25">
            <v>25000</v>
          </cell>
        </row>
        <row r="26">
          <cell r="C26" t="str">
            <v>Kas Harian</v>
          </cell>
          <cell r="D26">
            <v>1</v>
          </cell>
          <cell r="L26">
            <v>25000</v>
          </cell>
        </row>
        <row r="27">
          <cell r="C27" t="str">
            <v>Pembyran penctatan &amp; pengeshan kontrak krja - Suprapto</v>
          </cell>
          <cell r="D27">
            <v>1</v>
          </cell>
        </row>
        <row r="28">
          <cell r="C28" t="str">
            <v>Upah Borongan, Biaya</v>
          </cell>
          <cell r="D28">
            <v>1</v>
          </cell>
          <cell r="K28">
            <v>1034485</v>
          </cell>
        </row>
        <row r="29">
          <cell r="C29" t="str">
            <v>Kas Harian</v>
          </cell>
          <cell r="D29">
            <v>1</v>
          </cell>
          <cell r="L29">
            <v>1034485</v>
          </cell>
        </row>
        <row r="30">
          <cell r="C30" t="str">
            <v>Pembyran upah bor per 1-5 jan'14  - Kary bor kpla udang</v>
          </cell>
          <cell r="D30">
            <v>1</v>
          </cell>
        </row>
        <row r="31">
          <cell r="C31" t="str">
            <v>Biaya Yang Masih Harus Dibayar</v>
          </cell>
          <cell r="D31">
            <v>1</v>
          </cell>
          <cell r="K31">
            <v>526400</v>
          </cell>
        </row>
        <row r="32">
          <cell r="C32" t="str">
            <v>Kas Harian</v>
          </cell>
          <cell r="D32">
            <v>1</v>
          </cell>
          <cell r="L32">
            <v>526400</v>
          </cell>
        </row>
        <row r="33">
          <cell r="C33" t="str">
            <v>Pembyrn Upah kary bor kpla udang per 30-31 des'13</v>
          </cell>
          <cell r="D33">
            <v>1</v>
          </cell>
        </row>
        <row r="34">
          <cell r="C34" t="str">
            <v>BPJS/Jamsostek,Biaya</v>
          </cell>
          <cell r="D34">
            <v>1</v>
          </cell>
          <cell r="K34">
            <v>315563</v>
          </cell>
        </row>
        <row r="35">
          <cell r="C35" t="str">
            <v>Kas Harian</v>
          </cell>
          <cell r="D35">
            <v>1</v>
          </cell>
          <cell r="L35">
            <v>315563</v>
          </cell>
        </row>
        <row r="36">
          <cell r="C36" t="str">
            <v>Pembyran iuran kesehatan bln januari 2014 @ 5 org</v>
          </cell>
          <cell r="D36">
            <v>1</v>
          </cell>
        </row>
        <row r="37">
          <cell r="C37" t="str">
            <v>Biaya Yang Masih Harus Dibayar</v>
          </cell>
          <cell r="D37">
            <v>1</v>
          </cell>
          <cell r="K37">
            <v>50000</v>
          </cell>
        </row>
        <row r="38">
          <cell r="C38" t="str">
            <v>Kas Harian</v>
          </cell>
          <cell r="D38">
            <v>1</v>
          </cell>
          <cell r="L38">
            <v>50000</v>
          </cell>
        </row>
        <row r="39">
          <cell r="C39" t="str">
            <v>Pembyran Insentif bor kepla udang bln Des'13</v>
          </cell>
          <cell r="D39">
            <v>1</v>
          </cell>
        </row>
        <row r="40">
          <cell r="C40" t="str">
            <v>Konsumsi Karyawan, Biaya</v>
          </cell>
          <cell r="D40">
            <v>1</v>
          </cell>
          <cell r="K40">
            <v>130000</v>
          </cell>
        </row>
        <row r="41">
          <cell r="C41" t="str">
            <v>Kas Harian</v>
          </cell>
          <cell r="D41">
            <v>1</v>
          </cell>
          <cell r="L41">
            <v>130000</v>
          </cell>
        </row>
        <row r="42">
          <cell r="C42" t="str">
            <v>Pembyran kons kary pakan per 2-4 jan'14  @ 26 org</v>
          </cell>
          <cell r="D42">
            <v>1</v>
          </cell>
        </row>
        <row r="43">
          <cell r="C43" t="str">
            <v>Biaya Yang Masih Harus Dibayar</v>
          </cell>
          <cell r="D43">
            <v>1</v>
          </cell>
          <cell r="K43">
            <v>75000</v>
          </cell>
        </row>
        <row r="44">
          <cell r="C44" t="str">
            <v>Kas Harian</v>
          </cell>
          <cell r="D44">
            <v>1</v>
          </cell>
          <cell r="L44">
            <v>75000</v>
          </cell>
        </row>
        <row r="45">
          <cell r="C45" t="str">
            <v>Pembyran konsumsi kary pakan per 30-31 des'13  @ 15 org</v>
          </cell>
          <cell r="D45">
            <v>1</v>
          </cell>
        </row>
        <row r="46">
          <cell r="C46" t="str">
            <v>Upah Borongan, Biaya</v>
          </cell>
          <cell r="D46">
            <v>1</v>
          </cell>
          <cell r="K46">
            <v>2567620</v>
          </cell>
        </row>
        <row r="47">
          <cell r="C47" t="str">
            <v>Kas Harian</v>
          </cell>
          <cell r="D47">
            <v>1</v>
          </cell>
          <cell r="L47">
            <v>2567620</v>
          </cell>
        </row>
        <row r="48">
          <cell r="C48" t="str">
            <v>Pembyaran Upah bor  per 06-12 jan'14</v>
          </cell>
          <cell r="D48">
            <v>1</v>
          </cell>
        </row>
        <row r="49">
          <cell r="C49" t="str">
            <v>Upah Bongkar &amp; Muat, Biaya</v>
          </cell>
          <cell r="D49">
            <v>1</v>
          </cell>
          <cell r="K49">
            <v>421911</v>
          </cell>
        </row>
        <row r="50">
          <cell r="C50" t="str">
            <v>Kas Harian</v>
          </cell>
          <cell r="D50">
            <v>1</v>
          </cell>
          <cell r="L50">
            <v>421911</v>
          </cell>
        </row>
        <row r="51">
          <cell r="C51" t="str">
            <v>Pembyaran upah bongkar muat  SHM @ 1267 Colly Utk di kirim ke Bp Suryo</v>
          </cell>
          <cell r="D51">
            <v>1</v>
          </cell>
        </row>
        <row r="52">
          <cell r="C52" t="str">
            <v>Perbaikan &amp; Pemeliharaan Infrastruktur, Biaya</v>
          </cell>
          <cell r="D52">
            <v>1</v>
          </cell>
          <cell r="K52">
            <v>10000</v>
          </cell>
        </row>
        <row r="53">
          <cell r="C53" t="str">
            <v>Kas Harian</v>
          </cell>
          <cell r="D53">
            <v>1</v>
          </cell>
          <cell r="L53">
            <v>10000</v>
          </cell>
        </row>
        <row r="54">
          <cell r="C54" t="str">
            <v>Pembayaran per baikan atap P.Pakan 6/1/14</v>
          </cell>
          <cell r="D54">
            <v>1</v>
          </cell>
        </row>
        <row r="55">
          <cell r="C55" t="str">
            <v>Analisa / Uji Lainnya, Biaya</v>
          </cell>
          <cell r="D55">
            <v>1</v>
          </cell>
          <cell r="K55">
            <v>441000</v>
          </cell>
        </row>
        <row r="56">
          <cell r="C56" t="str">
            <v>Kas Harian</v>
          </cell>
          <cell r="D56">
            <v>1</v>
          </cell>
          <cell r="L56">
            <v>441000</v>
          </cell>
        </row>
        <row r="57">
          <cell r="C57" t="str">
            <v>Pembyaran jasa pest control per Bln November'13 area P.Pakan</v>
          </cell>
          <cell r="D57">
            <v>1</v>
          </cell>
        </row>
        <row r="58">
          <cell r="C58" t="str">
            <v>Konsumsi Karyawan, Biaya</v>
          </cell>
          <cell r="D58">
            <v>1</v>
          </cell>
          <cell r="K58">
            <v>255000</v>
          </cell>
        </row>
        <row r="59">
          <cell r="C59" t="str">
            <v>Kas Harian</v>
          </cell>
          <cell r="D59">
            <v>1</v>
          </cell>
          <cell r="L59">
            <v>255000</v>
          </cell>
        </row>
        <row r="60">
          <cell r="C60" t="str">
            <v>Pembayaran kons Kary Pakan per 6-11 jan'14 @ 51 Org</v>
          </cell>
          <cell r="D60">
            <v>1</v>
          </cell>
        </row>
        <row r="61">
          <cell r="C61" t="str">
            <v>Upah Borongan, Biaya</v>
          </cell>
          <cell r="D61">
            <v>1</v>
          </cell>
          <cell r="K61">
            <v>60000</v>
          </cell>
        </row>
        <row r="62">
          <cell r="C62" t="str">
            <v>Kas Harian</v>
          </cell>
          <cell r="D62">
            <v>1</v>
          </cell>
          <cell r="L62">
            <v>60000</v>
          </cell>
        </row>
        <row r="63">
          <cell r="C63" t="str">
            <v>Pembyran lembur giling SHM @ 4 org - bor kep Udang</v>
          </cell>
          <cell r="D63">
            <v>1</v>
          </cell>
        </row>
        <row r="64">
          <cell r="C64" t="str">
            <v>Konsumsi Karyawan, Biaya</v>
          </cell>
          <cell r="D64">
            <v>1</v>
          </cell>
          <cell r="K64">
            <v>10000</v>
          </cell>
        </row>
        <row r="65">
          <cell r="C65" t="str">
            <v>Kas Harian</v>
          </cell>
          <cell r="D65">
            <v>1</v>
          </cell>
          <cell r="L65">
            <v>10000</v>
          </cell>
        </row>
        <row r="66">
          <cell r="C66" t="str">
            <v>Pembyran kons kary pakan 13 jan'14 -Yuni A</v>
          </cell>
          <cell r="D66">
            <v>1</v>
          </cell>
        </row>
        <row r="67">
          <cell r="C67" t="str">
            <v>Lembur, Biaya</v>
          </cell>
          <cell r="D67">
            <v>1</v>
          </cell>
          <cell r="K67">
            <v>50289</v>
          </cell>
        </row>
        <row r="68">
          <cell r="C68" t="str">
            <v>Kas Harian</v>
          </cell>
          <cell r="D68">
            <v>1</v>
          </cell>
          <cell r="L68">
            <v>50289</v>
          </cell>
        </row>
        <row r="69">
          <cell r="C69" t="str">
            <v>Pembyran lemburan Per 9-15 jan'14</v>
          </cell>
          <cell r="D69">
            <v>1</v>
          </cell>
        </row>
        <row r="70">
          <cell r="C70" t="str">
            <v>Upah Borongan, Biaya</v>
          </cell>
          <cell r="D70">
            <v>1</v>
          </cell>
          <cell r="K70">
            <v>2356200</v>
          </cell>
        </row>
        <row r="71">
          <cell r="C71" t="str">
            <v>Kas Harian</v>
          </cell>
          <cell r="D71">
            <v>1</v>
          </cell>
          <cell r="L71">
            <v>2356200</v>
          </cell>
        </row>
        <row r="72">
          <cell r="C72" t="str">
            <v>Pembyran upah bor kep Udang per 13-19 jan'14</v>
          </cell>
          <cell r="D72">
            <v>1</v>
          </cell>
        </row>
        <row r="73">
          <cell r="C73" t="str">
            <v>Konsumsi Karyawan, Biaya</v>
          </cell>
          <cell r="D73">
            <v>1</v>
          </cell>
          <cell r="K73">
            <v>215000</v>
          </cell>
        </row>
        <row r="74">
          <cell r="C74" t="str">
            <v>Kas Harian</v>
          </cell>
          <cell r="D74">
            <v>1</v>
          </cell>
          <cell r="L74">
            <v>215000</v>
          </cell>
        </row>
        <row r="75">
          <cell r="C75" t="str">
            <v>Pembyaran Kons Kary pakan per 13-17 jan'14 @ 43 org - Nab Catring</v>
          </cell>
          <cell r="D75">
            <v>1</v>
          </cell>
        </row>
        <row r="76">
          <cell r="C76" t="str">
            <v>Upah Bongkar &amp; Muat, Biaya</v>
          </cell>
          <cell r="D76">
            <v>1</v>
          </cell>
          <cell r="K76">
            <v>348207</v>
          </cell>
        </row>
        <row r="77">
          <cell r="C77" t="str">
            <v>Kas Harian</v>
          </cell>
          <cell r="D77">
            <v>1</v>
          </cell>
          <cell r="L77">
            <v>348207</v>
          </cell>
        </row>
        <row r="78">
          <cell r="C78" t="str">
            <v>Pembyran Muat SHM @ 1273 Colly utk di jual ke Ibu Lanny</v>
          </cell>
          <cell r="D78">
            <v>1</v>
          </cell>
        </row>
        <row r="79">
          <cell r="C79" t="str">
            <v>Upah Bongkar &amp; Muat, Biaya</v>
          </cell>
          <cell r="D79">
            <v>1</v>
          </cell>
          <cell r="K79">
            <v>14208</v>
          </cell>
        </row>
        <row r="80">
          <cell r="C80" t="str">
            <v>Kas Harian</v>
          </cell>
          <cell r="D80">
            <v>1</v>
          </cell>
          <cell r="L80">
            <v>14208</v>
          </cell>
        </row>
        <row r="81">
          <cell r="C81" t="str">
            <v>Pembyran Muat  SHM @ 64 Colly di jual Ke bp Tansil</v>
          </cell>
          <cell r="D81">
            <v>1</v>
          </cell>
        </row>
        <row r="82">
          <cell r="C82" t="str">
            <v>Upah Borongan, Biaya</v>
          </cell>
          <cell r="D82">
            <v>1</v>
          </cell>
          <cell r="K82">
            <v>1550000</v>
          </cell>
        </row>
        <row r="83">
          <cell r="C83" t="str">
            <v>Kas Harian</v>
          </cell>
          <cell r="D83">
            <v>1</v>
          </cell>
          <cell r="L83">
            <v>1550000</v>
          </cell>
        </row>
        <row r="84">
          <cell r="C84" t="str">
            <v>Bonus kary borongan Pakan</v>
          </cell>
          <cell r="D84">
            <v>1</v>
          </cell>
        </row>
        <row r="85">
          <cell r="C85" t="str">
            <v>Biaya Yang Masih Harus Dibayar</v>
          </cell>
          <cell r="D85">
            <v>1</v>
          </cell>
          <cell r="K85">
            <v>85000</v>
          </cell>
        </row>
        <row r="86">
          <cell r="C86" t="str">
            <v>Kas Harian</v>
          </cell>
          <cell r="D86">
            <v>1</v>
          </cell>
          <cell r="L86">
            <v>85000</v>
          </cell>
        </row>
        <row r="87">
          <cell r="C87" t="str">
            <v>Pembayaran Has Band 1 Roll Utk kepla udang - Abadi Teknik</v>
          </cell>
          <cell r="D87">
            <v>1</v>
          </cell>
        </row>
        <row r="88">
          <cell r="C88" t="str">
            <v>Upah Borongan, Biaya</v>
          </cell>
          <cell r="D88">
            <v>1</v>
          </cell>
          <cell r="K88">
            <v>2267720</v>
          </cell>
        </row>
        <row r="89">
          <cell r="C89" t="str">
            <v>Kas Harian</v>
          </cell>
          <cell r="D89">
            <v>1</v>
          </cell>
          <cell r="L89">
            <v>2267720</v>
          </cell>
        </row>
        <row r="90">
          <cell r="C90" t="str">
            <v>Pembayaran upah bor Kep udang per 20-26 jan'14</v>
          </cell>
          <cell r="D90">
            <v>1</v>
          </cell>
        </row>
        <row r="91">
          <cell r="C91" t="str">
            <v>Bahan Pembantu Produksi, Biaya</v>
          </cell>
          <cell r="D91">
            <v>1</v>
          </cell>
          <cell r="K91">
            <v>14144200</v>
          </cell>
        </row>
        <row r="92">
          <cell r="C92" t="str">
            <v>Kas Harian</v>
          </cell>
          <cell r="D92">
            <v>1</v>
          </cell>
          <cell r="L92">
            <v>14144200</v>
          </cell>
        </row>
        <row r="93">
          <cell r="C93" t="str">
            <v>Pembayran pembelian kayu karet, by Timbang kayu - Bp Bakdi</v>
          </cell>
          <cell r="D93">
            <v>1</v>
          </cell>
        </row>
        <row r="94">
          <cell r="C94" t="str">
            <v>Konsumsi Karyawan, Biaya</v>
          </cell>
          <cell r="D94">
            <v>1</v>
          </cell>
          <cell r="K94">
            <v>245000</v>
          </cell>
        </row>
        <row r="95">
          <cell r="C95" t="str">
            <v>Kas Harian</v>
          </cell>
          <cell r="D95">
            <v>1</v>
          </cell>
          <cell r="L95">
            <v>245000</v>
          </cell>
        </row>
        <row r="96">
          <cell r="C96" t="str">
            <v>Pembyran kons Kary pakan per 20-25 jan'14 @ 49 org  - Nab Catring</v>
          </cell>
          <cell r="D96">
            <v>1</v>
          </cell>
        </row>
        <row r="97">
          <cell r="C97" t="str">
            <v>Biaya Yang Masih Harus Dibayar</v>
          </cell>
          <cell r="D97">
            <v>2</v>
          </cell>
          <cell r="K97">
            <v>386529</v>
          </cell>
        </row>
        <row r="98">
          <cell r="C98" t="str">
            <v>Kas Harian</v>
          </cell>
          <cell r="D98">
            <v>2</v>
          </cell>
          <cell r="L98">
            <v>386529</v>
          </cell>
        </row>
        <row r="99">
          <cell r="C99" t="str">
            <v>Pembyran iuran kesehatan bln jan'14 @ 4 org  - Jamsostek</v>
          </cell>
          <cell r="D99">
            <v>2</v>
          </cell>
        </row>
        <row r="100">
          <cell r="C100" t="str">
            <v>Biaya Yang Masih Harus Dibayar</v>
          </cell>
          <cell r="D100">
            <v>2</v>
          </cell>
          <cell r="K100">
            <v>29032</v>
          </cell>
        </row>
        <row r="101">
          <cell r="C101" t="str">
            <v>Kas Harian</v>
          </cell>
          <cell r="D101">
            <v>2</v>
          </cell>
          <cell r="L101">
            <v>29032</v>
          </cell>
        </row>
        <row r="102">
          <cell r="C102" t="str">
            <v>Pembayaran lembur per 23-29 jan'14 - Kary Bulanan</v>
          </cell>
          <cell r="D102">
            <v>2</v>
          </cell>
        </row>
        <row r="103">
          <cell r="C103" t="str">
            <v>Biaya Yang Masih Harus Dibayar</v>
          </cell>
          <cell r="D103">
            <v>2</v>
          </cell>
          <cell r="K103">
            <v>90000</v>
          </cell>
        </row>
        <row r="104">
          <cell r="C104" t="str">
            <v>Kas Harian</v>
          </cell>
          <cell r="D104">
            <v>2</v>
          </cell>
          <cell r="L104">
            <v>90000</v>
          </cell>
        </row>
        <row r="105">
          <cell r="C105" t="str">
            <v>Pembayaran Accu Kering @ 1 Unit utk service timbangan</v>
          </cell>
          <cell r="D105">
            <v>2</v>
          </cell>
        </row>
        <row r="106">
          <cell r="C106" t="str">
            <v>Biaya Yang Masih Harus Dibayar</v>
          </cell>
          <cell r="D106">
            <v>2</v>
          </cell>
          <cell r="K106">
            <v>4217313</v>
          </cell>
        </row>
        <row r="107">
          <cell r="C107" t="str">
            <v>Kas Harian</v>
          </cell>
          <cell r="D107">
            <v>2</v>
          </cell>
          <cell r="L107">
            <v>4217313</v>
          </cell>
        </row>
        <row r="108">
          <cell r="C108" t="str">
            <v>Pembayaran gaji kary bulan jan'14  - Kary bulanan pakan</v>
          </cell>
          <cell r="D108">
            <v>2</v>
          </cell>
        </row>
        <row r="109">
          <cell r="C109" t="str">
            <v>Biaya Yang Masih Harus Dibayar</v>
          </cell>
          <cell r="D109">
            <v>2</v>
          </cell>
          <cell r="K109">
            <v>1973440</v>
          </cell>
        </row>
        <row r="110">
          <cell r="C110" t="str">
            <v>Kas Harian</v>
          </cell>
          <cell r="D110">
            <v>2</v>
          </cell>
          <cell r="L110">
            <v>1973440</v>
          </cell>
        </row>
        <row r="111">
          <cell r="C111" t="str">
            <v>Pembayaran upah bor per 27 jan - 2 feb'14 - Kary bor kep udang</v>
          </cell>
          <cell r="D111">
            <v>2</v>
          </cell>
        </row>
        <row r="112">
          <cell r="C112" t="str">
            <v>Biaya Yang Masih Harus Dibayar</v>
          </cell>
          <cell r="D112">
            <v>2</v>
          </cell>
          <cell r="K112">
            <v>190000</v>
          </cell>
        </row>
        <row r="113">
          <cell r="C113" t="str">
            <v>Kas Harian</v>
          </cell>
          <cell r="D113">
            <v>2</v>
          </cell>
          <cell r="L113">
            <v>190000</v>
          </cell>
        </row>
        <row r="114">
          <cell r="C114" t="str">
            <v>Pembyaran kons kary pakan per 27-31 jan'14  @ 38 org  -  Nab Catring</v>
          </cell>
          <cell r="D114">
            <v>2</v>
          </cell>
        </row>
        <row r="115">
          <cell r="C115" t="str">
            <v>BPJS/Jamsostek,Biaya</v>
          </cell>
          <cell r="D115">
            <v>2</v>
          </cell>
          <cell r="K115">
            <v>252450</v>
          </cell>
        </row>
        <row r="116">
          <cell r="C116" t="str">
            <v>Kas Harian</v>
          </cell>
          <cell r="D116">
            <v>2</v>
          </cell>
          <cell r="L116">
            <v>252450</v>
          </cell>
        </row>
        <row r="117">
          <cell r="C117" t="str">
            <v>Pembayran iuran kesehatan bln feb'14 - BPJS Jamsostek</v>
          </cell>
          <cell r="D117">
            <v>2</v>
          </cell>
        </row>
        <row r="118">
          <cell r="C118" t="str">
            <v>Lembur, Biaya</v>
          </cell>
          <cell r="D118">
            <v>2</v>
          </cell>
          <cell r="K118">
            <v>23121</v>
          </cell>
        </row>
        <row r="119">
          <cell r="C119" t="str">
            <v>Kas Harian</v>
          </cell>
          <cell r="D119">
            <v>2</v>
          </cell>
          <cell r="L119">
            <v>23121</v>
          </cell>
        </row>
        <row r="120">
          <cell r="C120" t="str">
            <v>Pembayran lembur per 30 jan - 5 feb'14 - kary bulanan</v>
          </cell>
          <cell r="D120">
            <v>2</v>
          </cell>
        </row>
        <row r="121">
          <cell r="C121" t="str">
            <v>Bahan Pembantu Produksi, Biaya</v>
          </cell>
          <cell r="D121">
            <v>2</v>
          </cell>
          <cell r="K121">
            <v>1394000</v>
          </cell>
        </row>
        <row r="122">
          <cell r="C122" t="str">
            <v>Kas Harian</v>
          </cell>
          <cell r="D122">
            <v>2</v>
          </cell>
          <cell r="L122">
            <v>1394000</v>
          </cell>
        </row>
        <row r="123">
          <cell r="C123" t="str">
            <v>Pembayaran pembelian brnang jahit, utk jahit tepung SHM tgl 3/2/14</v>
          </cell>
          <cell r="D123">
            <v>2</v>
          </cell>
        </row>
        <row r="124">
          <cell r="C124" t="str">
            <v>Biaya Yang Masih Harus Dibayar</v>
          </cell>
          <cell r="D124">
            <v>2</v>
          </cell>
          <cell r="K124">
            <v>2469000</v>
          </cell>
        </row>
        <row r="125">
          <cell r="C125" t="str">
            <v>Administrasi Bank, Biaya</v>
          </cell>
          <cell r="D125">
            <v>2</v>
          </cell>
          <cell r="K125">
            <v>10000</v>
          </cell>
        </row>
        <row r="126">
          <cell r="C126" t="str">
            <v>Kas Harian</v>
          </cell>
          <cell r="D126">
            <v>2</v>
          </cell>
          <cell r="L126">
            <v>2479000</v>
          </cell>
        </row>
        <row r="127">
          <cell r="C127" t="str">
            <v>Pembyran pembekian plat saringan 2x4x8x1 3mm @ 3 lbr &amp; by transfer - Kota Mulia</v>
          </cell>
          <cell r="D127">
            <v>2</v>
          </cell>
        </row>
        <row r="128">
          <cell r="C128" t="str">
            <v>Biaya Yang Masih Harus Dibayar</v>
          </cell>
          <cell r="D128">
            <v>2</v>
          </cell>
          <cell r="K128">
            <v>825000</v>
          </cell>
        </row>
        <row r="129">
          <cell r="C129" t="str">
            <v>Kas Harian</v>
          </cell>
          <cell r="D129">
            <v>2</v>
          </cell>
          <cell r="L129">
            <v>825000</v>
          </cell>
        </row>
        <row r="130">
          <cell r="C130" t="str">
            <v>Pembayaran pembelian plat saringan utk kpala Udang tgl 30/12/13 - Kota Mulia</v>
          </cell>
          <cell r="D130">
            <v>2</v>
          </cell>
        </row>
        <row r="131">
          <cell r="C131" t="str">
            <v>Biaya Yang Masih Harus Dibayar</v>
          </cell>
          <cell r="D131">
            <v>2</v>
          </cell>
          <cell r="K131">
            <v>11922</v>
          </cell>
        </row>
        <row r="132">
          <cell r="C132" t="str">
            <v>Kas Harian</v>
          </cell>
          <cell r="D132">
            <v>2</v>
          </cell>
          <cell r="L132">
            <v>11922</v>
          </cell>
        </row>
        <row r="133">
          <cell r="C133" t="str">
            <v>Pembayaran lembur per 9-15 jan'14 - kary bulanan</v>
          </cell>
          <cell r="D133">
            <v>2</v>
          </cell>
        </row>
        <row r="134">
          <cell r="C134" t="str">
            <v>Upah Borongan, Biaya</v>
          </cell>
          <cell r="D134">
            <v>2</v>
          </cell>
          <cell r="K134">
            <v>2253440</v>
          </cell>
        </row>
        <row r="135">
          <cell r="C135" t="str">
            <v>Kas Harian</v>
          </cell>
          <cell r="D135">
            <v>2</v>
          </cell>
          <cell r="L135">
            <v>2253440</v>
          </cell>
        </row>
        <row r="136">
          <cell r="C136" t="str">
            <v>Pembayaran upah bor per 3-9 feb'14 - kary bor kepala udang</v>
          </cell>
          <cell r="D136">
            <v>2</v>
          </cell>
        </row>
        <row r="137">
          <cell r="C137" t="str">
            <v>Perlengkapan Sarana Produksi, Biaya</v>
          </cell>
          <cell r="D137">
            <v>2</v>
          </cell>
          <cell r="K137">
            <v>90000</v>
          </cell>
        </row>
        <row r="138">
          <cell r="C138" t="str">
            <v>Kas Harian</v>
          </cell>
          <cell r="D138">
            <v>2</v>
          </cell>
          <cell r="L138">
            <v>90000</v>
          </cell>
        </row>
        <row r="139">
          <cell r="C139" t="str">
            <v>Pembyran pembelian papan 2x30x4 @ 2 keping utk papan adukan kepala udang - Bp cipto</v>
          </cell>
          <cell r="D139">
            <v>2</v>
          </cell>
        </row>
        <row r="140">
          <cell r="C140" t="str">
            <v>Biaya Yang Masih Harus Dibayar</v>
          </cell>
          <cell r="D140">
            <v>2</v>
          </cell>
          <cell r="K140">
            <v>441000</v>
          </cell>
        </row>
        <row r="141">
          <cell r="C141" t="str">
            <v>Kas Harian</v>
          </cell>
          <cell r="D141">
            <v>2</v>
          </cell>
          <cell r="L141">
            <v>441000</v>
          </cell>
        </row>
        <row r="142">
          <cell r="C142" t="str">
            <v>Pembyran Jasa pest control per bln des'13 - Terminix</v>
          </cell>
          <cell r="D142">
            <v>2</v>
          </cell>
        </row>
        <row r="143">
          <cell r="C143" t="str">
            <v>Konsumsi Karyawan, Biaya</v>
          </cell>
          <cell r="D143">
            <v>2</v>
          </cell>
          <cell r="K143">
            <v>265000</v>
          </cell>
        </row>
        <row r="144">
          <cell r="C144" t="str">
            <v>Kas Harian</v>
          </cell>
          <cell r="D144">
            <v>2</v>
          </cell>
          <cell r="L144">
            <v>265000</v>
          </cell>
        </row>
        <row r="145">
          <cell r="C145" t="str">
            <v>Pembayran kons kary pakan @ 53 org tgl 3-8 feb'14 - Nab Catring</v>
          </cell>
          <cell r="D145">
            <v>2</v>
          </cell>
        </row>
        <row r="146">
          <cell r="C146" t="str">
            <v>Bahan Pembantu Produksi, Biaya</v>
          </cell>
          <cell r="D146">
            <v>2</v>
          </cell>
          <cell r="K146">
            <v>12241700</v>
          </cell>
        </row>
        <row r="147">
          <cell r="C147" t="str">
            <v>Kas Harian</v>
          </cell>
          <cell r="D147">
            <v>2</v>
          </cell>
          <cell r="L147">
            <v>12241700</v>
          </cell>
        </row>
        <row r="148">
          <cell r="C148" t="str">
            <v>Pmbyran Pemb kayu karet &amp; By Timbang - Bp Bakdi</v>
          </cell>
          <cell r="D148">
            <v>2</v>
          </cell>
        </row>
        <row r="149">
          <cell r="C149" t="str">
            <v>Upah Borongan, Biaya</v>
          </cell>
          <cell r="D149">
            <v>2</v>
          </cell>
          <cell r="K149">
            <v>1406160</v>
          </cell>
        </row>
        <row r="150">
          <cell r="C150" t="str">
            <v>Kas Harian</v>
          </cell>
          <cell r="D150">
            <v>2</v>
          </cell>
          <cell r="L150">
            <v>1406160</v>
          </cell>
        </row>
        <row r="151">
          <cell r="C151" t="str">
            <v>Pembyran upah bor kep Udang tgl 10-16 Feb'14</v>
          </cell>
          <cell r="D151">
            <v>2</v>
          </cell>
        </row>
        <row r="152">
          <cell r="C152" t="str">
            <v>Biaya Yang Masih Harus Dibayar</v>
          </cell>
          <cell r="D152">
            <v>2</v>
          </cell>
          <cell r="K152">
            <v>5484490</v>
          </cell>
        </row>
        <row r="153">
          <cell r="C153" t="str">
            <v>Kas Harian</v>
          </cell>
          <cell r="D153">
            <v>2</v>
          </cell>
          <cell r="L153">
            <v>5484490</v>
          </cell>
        </row>
        <row r="154">
          <cell r="C154" t="str">
            <v>Pmbyrn tagihan listrik per januari'14 utk kpala udang - PT. PLN</v>
          </cell>
          <cell r="D154">
            <v>2</v>
          </cell>
        </row>
        <row r="155">
          <cell r="C155" t="str">
            <v>Upah Bongkar &amp; Muat, Biaya</v>
          </cell>
          <cell r="D155">
            <v>2</v>
          </cell>
          <cell r="K155">
            <v>423252</v>
          </cell>
        </row>
        <row r="156">
          <cell r="C156" t="str">
            <v>Kas Harian</v>
          </cell>
          <cell r="D156">
            <v>2</v>
          </cell>
          <cell r="L156">
            <v>423252</v>
          </cell>
        </row>
        <row r="157">
          <cell r="C157" t="str">
            <v>Pembyrn muat Tepung SHM @ 1543 Colly - Bor Kepala Udang</v>
          </cell>
          <cell r="D157">
            <v>2</v>
          </cell>
        </row>
        <row r="158">
          <cell r="C158" t="str">
            <v>Konsumsi Karyawan, Biaya</v>
          </cell>
          <cell r="D158">
            <v>2</v>
          </cell>
          <cell r="K158">
            <v>220000</v>
          </cell>
        </row>
        <row r="159">
          <cell r="C159" t="str">
            <v>Kas Harian</v>
          </cell>
          <cell r="D159">
            <v>2</v>
          </cell>
          <cell r="L159">
            <v>220000</v>
          </cell>
        </row>
        <row r="160">
          <cell r="C160" t="str">
            <v>Pembyrn Kons Kary pakan  tgl 10-15 feb'14 - Nab Catring</v>
          </cell>
          <cell r="D160">
            <v>2</v>
          </cell>
        </row>
        <row r="161">
          <cell r="C161" t="str">
            <v>Bahan Pembantu Produksi, Biaya</v>
          </cell>
          <cell r="D161">
            <v>2</v>
          </cell>
          <cell r="K161">
            <v>1394000</v>
          </cell>
        </row>
        <row r="162">
          <cell r="C162" t="str">
            <v>Administrasi Bank, Biaya</v>
          </cell>
          <cell r="D162">
            <v>2</v>
          </cell>
          <cell r="K162">
            <v>10000</v>
          </cell>
        </row>
        <row r="163">
          <cell r="C163" t="str">
            <v>Kas Harian</v>
          </cell>
          <cell r="D163">
            <v>2</v>
          </cell>
          <cell r="L163">
            <v>1404000</v>
          </cell>
        </row>
        <row r="164">
          <cell r="C164" t="str">
            <v>Pembyran pembelian karung plastik &amp; By Transfer utk Pengemasan SHM - Bp Suwanto</v>
          </cell>
          <cell r="D164">
            <v>2</v>
          </cell>
        </row>
        <row r="165">
          <cell r="C165" t="str">
            <v>Upah Borongan, Biaya</v>
          </cell>
          <cell r="D165">
            <v>2</v>
          </cell>
          <cell r="K165">
            <v>2289810</v>
          </cell>
        </row>
        <row r="166">
          <cell r="C166" t="str">
            <v>Kas Harian</v>
          </cell>
          <cell r="D166">
            <v>2</v>
          </cell>
          <cell r="L166">
            <v>2289810</v>
          </cell>
        </row>
        <row r="167">
          <cell r="C167" t="str">
            <v>Pembyran Upah Bor  kpla Udang  per 17-23 feb'14</v>
          </cell>
          <cell r="D167">
            <v>2</v>
          </cell>
        </row>
        <row r="168">
          <cell r="C168" t="str">
            <v>Perbaikan &amp; Pemeliharaan Infrastruktur, Biaya</v>
          </cell>
          <cell r="D168">
            <v>2</v>
          </cell>
          <cell r="K168">
            <v>150000</v>
          </cell>
        </row>
        <row r="169">
          <cell r="C169" t="str">
            <v>Kas Harian</v>
          </cell>
          <cell r="D169">
            <v>2</v>
          </cell>
          <cell r="L169">
            <v>150000</v>
          </cell>
        </row>
        <row r="170">
          <cell r="C170" t="str">
            <v>Pmbyrn Pembelian Kunci partisi utk kntor kpala udang - Bp Cipto</v>
          </cell>
          <cell r="D170">
            <v>2</v>
          </cell>
        </row>
        <row r="171">
          <cell r="C171" t="str">
            <v>Konsumsi Karyawan, Biaya</v>
          </cell>
          <cell r="D171">
            <v>2</v>
          </cell>
          <cell r="K171">
            <v>270000</v>
          </cell>
        </row>
        <row r="172">
          <cell r="C172" t="str">
            <v>Kas Harian</v>
          </cell>
          <cell r="D172">
            <v>2</v>
          </cell>
          <cell r="L172">
            <v>270000</v>
          </cell>
        </row>
        <row r="173">
          <cell r="C173" t="str">
            <v>Pembyrn Kons Kary Pakan per 17-21 feb'14 @ 54 org  - Nab Catring</v>
          </cell>
          <cell r="D173">
            <v>2</v>
          </cell>
        </row>
        <row r="174">
          <cell r="C174" t="str">
            <v>Biaya Yang Masih Harus Dibayar</v>
          </cell>
          <cell r="D174">
            <v>3</v>
          </cell>
          <cell r="K174">
            <v>4217313</v>
          </cell>
        </row>
        <row r="175">
          <cell r="C175" t="str">
            <v>Kas Harian</v>
          </cell>
          <cell r="D175">
            <v>3</v>
          </cell>
          <cell r="L175">
            <v>4217313</v>
          </cell>
        </row>
        <row r="176">
          <cell r="C176" t="str">
            <v>Pembyran gaji bln Feb'14 -Kary Bulanan kep udang</v>
          </cell>
          <cell r="D176">
            <v>3</v>
          </cell>
        </row>
        <row r="177">
          <cell r="C177" t="str">
            <v>Biaya Yang Masih Harus Dibayar</v>
          </cell>
          <cell r="D177">
            <v>3</v>
          </cell>
          <cell r="K177">
            <v>386529</v>
          </cell>
        </row>
        <row r="178">
          <cell r="C178" t="str">
            <v>Kas Harian</v>
          </cell>
          <cell r="D178">
            <v>3</v>
          </cell>
          <cell r="L178">
            <v>386529</v>
          </cell>
        </row>
        <row r="179">
          <cell r="C179" t="str">
            <v>Pembyran iuran Bln feb'14 - Jamsostek</v>
          </cell>
          <cell r="D179">
            <v>3</v>
          </cell>
        </row>
        <row r="180">
          <cell r="C180" t="str">
            <v>Biaya Yang Masih Harus Dibayar</v>
          </cell>
          <cell r="D180">
            <v>3</v>
          </cell>
          <cell r="K180">
            <v>2325400</v>
          </cell>
        </row>
        <row r="181">
          <cell r="C181" t="str">
            <v>Kas Harian</v>
          </cell>
          <cell r="D181">
            <v>3</v>
          </cell>
          <cell r="L181">
            <v>2325400</v>
          </cell>
        </row>
        <row r="182">
          <cell r="C182" t="str">
            <v>Pembyaran upah bor kepala udang per 24 feb-2 mar'14</v>
          </cell>
          <cell r="D182">
            <v>3</v>
          </cell>
        </row>
        <row r="183">
          <cell r="C183" t="str">
            <v>Biaya Yang Masih Harus Dibayar</v>
          </cell>
          <cell r="D183">
            <v>3</v>
          </cell>
          <cell r="K183">
            <v>4944000</v>
          </cell>
        </row>
        <row r="184">
          <cell r="C184" t="str">
            <v>Administrasi Bank, Biaya</v>
          </cell>
          <cell r="D184">
            <v>3</v>
          </cell>
          <cell r="K184">
            <v>10000</v>
          </cell>
        </row>
        <row r="185">
          <cell r="C185" t="str">
            <v>Kas Harian</v>
          </cell>
          <cell r="D185">
            <v>3</v>
          </cell>
          <cell r="L185">
            <v>4954000</v>
          </cell>
        </row>
        <row r="186">
          <cell r="C186" t="str">
            <v>Pembyran pembelian Saringan @ 6 Lbr - Kota Mulia</v>
          </cell>
          <cell r="D186">
            <v>3</v>
          </cell>
        </row>
        <row r="187">
          <cell r="C187" t="str">
            <v>BPJS/Jamsostek,Biaya</v>
          </cell>
          <cell r="D187">
            <v>3</v>
          </cell>
          <cell r="K187">
            <v>189338</v>
          </cell>
        </row>
        <row r="188">
          <cell r="C188" t="str">
            <v>Kas Harian</v>
          </cell>
          <cell r="D188">
            <v>3</v>
          </cell>
          <cell r="L188">
            <v>189338</v>
          </cell>
        </row>
        <row r="189">
          <cell r="C189" t="str">
            <v>Pembyran iuran ksehatan bln mar'14 - BPJS Jamsostek</v>
          </cell>
          <cell r="D189">
            <v>3</v>
          </cell>
        </row>
        <row r="190">
          <cell r="C190" t="str">
            <v>Biaya Yang Masih Harus Dibayar</v>
          </cell>
          <cell r="D190">
            <v>3</v>
          </cell>
          <cell r="K190">
            <v>270000</v>
          </cell>
        </row>
        <row r="191">
          <cell r="C191" t="str">
            <v>Kas Harian</v>
          </cell>
          <cell r="D191">
            <v>3</v>
          </cell>
          <cell r="L191">
            <v>270000</v>
          </cell>
        </row>
        <row r="192">
          <cell r="C192" t="str">
            <v>Pembyaran Kons Kary Kep Udang tgl 24 feb-1 mar'14 @ 54 org  - Nabila Catring</v>
          </cell>
          <cell r="D192">
            <v>3</v>
          </cell>
        </row>
        <row r="193">
          <cell r="C193" t="str">
            <v>Alat Tulis Kantor, Biaya</v>
          </cell>
          <cell r="D193">
            <v>3</v>
          </cell>
          <cell r="K193">
            <v>2700</v>
          </cell>
        </row>
        <row r="194">
          <cell r="C194" t="str">
            <v>Kas Harian</v>
          </cell>
          <cell r="D194">
            <v>3</v>
          </cell>
          <cell r="L194">
            <v>2700</v>
          </cell>
        </row>
        <row r="195">
          <cell r="C195" t="str">
            <v>Pembyrn pembelian buku Ria Octavo @ 100 lbr utk logistik</v>
          </cell>
          <cell r="D195">
            <v>3</v>
          </cell>
        </row>
        <row r="196">
          <cell r="C196" t="str">
            <v>Perbaikan-Pemeliharaan Sarana Produksi, Biaya</v>
          </cell>
          <cell r="D196">
            <v>3</v>
          </cell>
          <cell r="K196">
            <v>100000</v>
          </cell>
        </row>
        <row r="197">
          <cell r="C197" t="str">
            <v>Kas Harian</v>
          </cell>
          <cell r="D197">
            <v>3</v>
          </cell>
          <cell r="L197">
            <v>100000</v>
          </cell>
        </row>
        <row r="198">
          <cell r="C198" t="str">
            <v>Pmbyran Pmblian sikat kawat @ 4 Pcs utk membersihkan Plat Blower</v>
          </cell>
          <cell r="D198">
            <v>3</v>
          </cell>
        </row>
        <row r="199">
          <cell r="C199" t="str">
            <v>Perbaikan &amp; Pemeliharaan Infrastruktur, Biaya</v>
          </cell>
          <cell r="D199">
            <v>3</v>
          </cell>
          <cell r="K199">
            <v>30000</v>
          </cell>
        </row>
        <row r="200">
          <cell r="C200" t="str">
            <v>Kas Harian</v>
          </cell>
          <cell r="D200">
            <v>3</v>
          </cell>
          <cell r="L200">
            <v>30000</v>
          </cell>
        </row>
        <row r="201">
          <cell r="C201" t="str">
            <v>Pembyran pembelian Grendel Holy 4" @ 2 Pcs - Bp Cipto</v>
          </cell>
          <cell r="D201">
            <v>3</v>
          </cell>
        </row>
        <row r="202">
          <cell r="C202" t="str">
            <v>Biaya Yang Masih Harus Dibayar</v>
          </cell>
          <cell r="D202">
            <v>3</v>
          </cell>
          <cell r="K202">
            <v>250000</v>
          </cell>
        </row>
        <row r="203">
          <cell r="C203" t="str">
            <v>Kas Harian</v>
          </cell>
          <cell r="D203">
            <v>3</v>
          </cell>
          <cell r="L203">
            <v>250000</v>
          </cell>
        </row>
        <row r="204">
          <cell r="C204" t="str">
            <v>Pembyran Insentif kary Bor Pakan bln Feb'14</v>
          </cell>
          <cell r="D204">
            <v>3</v>
          </cell>
        </row>
        <row r="205">
          <cell r="C205" t="str">
            <v>Upah Borongan, Biaya</v>
          </cell>
          <cell r="D205">
            <v>3</v>
          </cell>
          <cell r="K205">
            <v>2957120</v>
          </cell>
        </row>
        <row r="206">
          <cell r="C206" t="str">
            <v>Kas Harian</v>
          </cell>
          <cell r="D206">
            <v>3</v>
          </cell>
          <cell r="L206">
            <v>2957120</v>
          </cell>
        </row>
        <row r="207">
          <cell r="C207" t="str">
            <v>Pembayran Upah Bor Kepla Udang per 03-09 mar'14</v>
          </cell>
          <cell r="D207">
            <v>3</v>
          </cell>
        </row>
        <row r="208">
          <cell r="C208" t="str">
            <v>Konsumsi Karyawan, Biaya</v>
          </cell>
          <cell r="D208">
            <v>3</v>
          </cell>
          <cell r="K208">
            <v>250000</v>
          </cell>
        </row>
        <row r="209">
          <cell r="C209" t="str">
            <v>Kas Harian</v>
          </cell>
          <cell r="D209">
            <v>3</v>
          </cell>
          <cell r="L209">
            <v>250000</v>
          </cell>
        </row>
        <row r="210">
          <cell r="C210" t="str">
            <v>Pembyran Kons kary Kepala Udang per  3-8 mar'14 - Nab Catring</v>
          </cell>
          <cell r="D210">
            <v>3</v>
          </cell>
        </row>
        <row r="211">
          <cell r="C211" t="str">
            <v>Upah Bongkar &amp; Muat, Biaya</v>
          </cell>
          <cell r="D211">
            <v>3</v>
          </cell>
          <cell r="K211">
            <v>228084</v>
          </cell>
        </row>
        <row r="212">
          <cell r="C212" t="str">
            <v>Kas Harian</v>
          </cell>
          <cell r="D212">
            <v>3</v>
          </cell>
          <cell r="L212">
            <v>228084</v>
          </cell>
        </row>
        <row r="213">
          <cell r="C213" t="str">
            <v>Pembyran muat tepung SHM @ 936 Colly utk di jual ke bp Yudi</v>
          </cell>
          <cell r="D213">
            <v>3</v>
          </cell>
        </row>
        <row r="214">
          <cell r="C214" t="str">
            <v>Upah Borongan, Biaya</v>
          </cell>
          <cell r="D214">
            <v>3</v>
          </cell>
          <cell r="K214">
            <v>50867</v>
          </cell>
        </row>
        <row r="215">
          <cell r="C215" t="str">
            <v>Kas Harian</v>
          </cell>
          <cell r="D215">
            <v>3</v>
          </cell>
          <cell r="L215">
            <v>50867</v>
          </cell>
        </row>
        <row r="216">
          <cell r="C216" t="str">
            <v>Pembyran lembur per 6-12 mar'14</v>
          </cell>
          <cell r="D216">
            <v>3</v>
          </cell>
        </row>
        <row r="217">
          <cell r="C217" t="str">
            <v>Upah Borongan, Biaya</v>
          </cell>
          <cell r="D217">
            <v>3</v>
          </cell>
          <cell r="K217">
            <v>2852480</v>
          </cell>
        </row>
        <row r="218">
          <cell r="C218" t="str">
            <v>Kas Harian</v>
          </cell>
          <cell r="D218">
            <v>3</v>
          </cell>
          <cell r="L218">
            <v>2852480</v>
          </cell>
        </row>
        <row r="219">
          <cell r="C219" t="str">
            <v>Pembyran upah bor Kep Udang per 10-16 mar'14</v>
          </cell>
          <cell r="D219">
            <v>3</v>
          </cell>
        </row>
        <row r="220">
          <cell r="C220" t="str">
            <v>Bahan Pembantu Produksi, Biaya</v>
          </cell>
          <cell r="D220">
            <v>3</v>
          </cell>
          <cell r="K220">
            <v>21243250</v>
          </cell>
        </row>
        <row r="221">
          <cell r="C221" t="str">
            <v>Kas Harian</v>
          </cell>
          <cell r="D221">
            <v>3</v>
          </cell>
          <cell r="L221">
            <v>21243250</v>
          </cell>
        </row>
        <row r="222">
          <cell r="C222" t="str">
            <v>Pembyran pembelian kayu karet utk pengovenan Kep Udang - bakdi</v>
          </cell>
          <cell r="D222">
            <v>3</v>
          </cell>
        </row>
        <row r="223">
          <cell r="C223" t="str">
            <v>PLN, PT Persero R. Teluk Betung</v>
          </cell>
          <cell r="D223">
            <v>3</v>
          </cell>
          <cell r="K223">
            <v>4400440</v>
          </cell>
        </row>
        <row r="224">
          <cell r="C224" t="str">
            <v>Kas Harian</v>
          </cell>
          <cell r="D224">
            <v>3</v>
          </cell>
          <cell r="L224">
            <v>4400440</v>
          </cell>
        </row>
        <row r="225">
          <cell r="C225" t="str">
            <v>Pembyran tagiha listrik  per feb'14 Utk Kepla udang</v>
          </cell>
          <cell r="D225">
            <v>3</v>
          </cell>
        </row>
        <row r="226">
          <cell r="C226" t="str">
            <v>Perbaikan &amp; Pemeliharaan Infrastruktur, Biaya</v>
          </cell>
          <cell r="D226">
            <v>3</v>
          </cell>
          <cell r="K226">
            <v>1250000</v>
          </cell>
        </row>
        <row r="227">
          <cell r="C227" t="str">
            <v>Kas Harian</v>
          </cell>
          <cell r="D227">
            <v>3</v>
          </cell>
          <cell r="L227">
            <v>1250000</v>
          </cell>
        </row>
        <row r="228">
          <cell r="C228" t="str">
            <v>Pembyran pembelian besi @ 5 btg utk perbaikan atap - bhineka</v>
          </cell>
          <cell r="D228">
            <v>3</v>
          </cell>
        </row>
        <row r="229">
          <cell r="C229" t="str">
            <v>Konsumsi Karyawan, Biaya</v>
          </cell>
          <cell r="D229">
            <v>3</v>
          </cell>
          <cell r="K229">
            <v>265000</v>
          </cell>
        </row>
        <row r="230">
          <cell r="C230" t="str">
            <v>Kas Harian</v>
          </cell>
          <cell r="D230">
            <v>3</v>
          </cell>
          <cell r="L230">
            <v>265000</v>
          </cell>
        </row>
        <row r="231">
          <cell r="C231" t="str">
            <v>Pembyran kons kary kepala udang per 10-15 mar'14 - Nab Catring</v>
          </cell>
          <cell r="D231">
            <v>3</v>
          </cell>
        </row>
        <row r="232">
          <cell r="C232" t="str">
            <v>Perbaikan &amp; Pemeliharaan Mesin, Biaya</v>
          </cell>
          <cell r="D232">
            <v>3</v>
          </cell>
          <cell r="K232">
            <v>675000</v>
          </cell>
        </row>
        <row r="233">
          <cell r="C233" t="str">
            <v>Kas Harian</v>
          </cell>
          <cell r="D233">
            <v>3</v>
          </cell>
          <cell r="L233">
            <v>675000</v>
          </cell>
        </row>
        <row r="234">
          <cell r="C234" t="str">
            <v>Pembyran pembelian liner / gigi palang pintu FFC 45 utk mrsin giling</v>
          </cell>
          <cell r="D234">
            <v>3</v>
          </cell>
        </row>
        <row r="235">
          <cell r="C235" t="str">
            <v>Upah Borongan, Biaya</v>
          </cell>
          <cell r="D235">
            <v>3</v>
          </cell>
          <cell r="K235">
            <v>2143040</v>
          </cell>
        </row>
        <row r="236">
          <cell r="C236" t="str">
            <v>Kas Harian</v>
          </cell>
          <cell r="D236">
            <v>3</v>
          </cell>
          <cell r="L236">
            <v>2143040</v>
          </cell>
        </row>
        <row r="237">
          <cell r="C237" t="str">
            <v>Pembyran upah kepla udang per 17-23 mar'14</v>
          </cell>
          <cell r="D237">
            <v>3</v>
          </cell>
        </row>
        <row r="238">
          <cell r="C238" t="str">
            <v>Bahan Pembantu Produksi, Biaya</v>
          </cell>
          <cell r="D238">
            <v>3</v>
          </cell>
          <cell r="K238">
            <v>1294000</v>
          </cell>
        </row>
        <row r="239">
          <cell r="C239" t="str">
            <v>Kas Harian</v>
          </cell>
          <cell r="D239">
            <v>3</v>
          </cell>
          <cell r="L239">
            <v>1294000</v>
          </cell>
        </row>
        <row r="240">
          <cell r="C240" t="str">
            <v>Pembyran pembelian karung plastik utk bahan paking kep udang</v>
          </cell>
          <cell r="D240">
            <v>3</v>
          </cell>
        </row>
        <row r="241">
          <cell r="C241" t="str">
            <v>Perbaikan &amp; Pemeliharaan Infrastruktur, Biaya</v>
          </cell>
          <cell r="D241">
            <v>3</v>
          </cell>
          <cell r="K241">
            <v>148000</v>
          </cell>
        </row>
        <row r="242">
          <cell r="C242" t="str">
            <v>Kas Harian</v>
          </cell>
          <cell r="D242">
            <v>3</v>
          </cell>
          <cell r="L242">
            <v>148000</v>
          </cell>
        </row>
        <row r="243">
          <cell r="C243" t="str">
            <v>Pembyran pembelian gembok &amp; batu gerinda - Abadi teknik</v>
          </cell>
          <cell r="D243">
            <v>3</v>
          </cell>
        </row>
        <row r="244">
          <cell r="C244" t="str">
            <v>Konsumsi Karyawan, Biaya</v>
          </cell>
          <cell r="D244">
            <v>3</v>
          </cell>
          <cell r="K244">
            <v>220000</v>
          </cell>
        </row>
        <row r="245">
          <cell r="C245" t="str">
            <v>Kas Harian</v>
          </cell>
          <cell r="D245">
            <v>3</v>
          </cell>
          <cell r="L245">
            <v>220000</v>
          </cell>
        </row>
        <row r="246">
          <cell r="C246" t="str">
            <v>Pembyran kons kary kep udang per 17-22 mar'14  - Nab Catring</v>
          </cell>
          <cell r="D246">
            <v>3</v>
          </cell>
        </row>
        <row r="247">
          <cell r="C247" t="str">
            <v>Biaya Yang Masih Harus Dibayar</v>
          </cell>
          <cell r="D247">
            <v>3</v>
          </cell>
          <cell r="K247">
            <v>4217313</v>
          </cell>
        </row>
        <row r="248">
          <cell r="C248" t="str">
            <v>Kas Harian</v>
          </cell>
          <cell r="D248">
            <v>3</v>
          </cell>
          <cell r="L248">
            <v>4217313</v>
          </cell>
        </row>
        <row r="249">
          <cell r="C249" t="str">
            <v>Pembyran gaji bln mar'14 -  kary bulanan kepala udang</v>
          </cell>
          <cell r="D249">
            <v>3</v>
          </cell>
        </row>
        <row r="250">
          <cell r="C250" t="str">
            <v>Biaya Yang Masih Harus Dibayar</v>
          </cell>
          <cell r="D250">
            <v>4</v>
          </cell>
          <cell r="K250">
            <v>516450</v>
          </cell>
        </row>
        <row r="251">
          <cell r="C251" t="str">
            <v>Administrasi Bank, Biaya</v>
          </cell>
          <cell r="D251">
            <v>4</v>
          </cell>
          <cell r="K251">
            <v>10000</v>
          </cell>
        </row>
        <row r="252">
          <cell r="C252" t="str">
            <v>Kas Harian</v>
          </cell>
          <cell r="D252">
            <v>4</v>
          </cell>
          <cell r="L252">
            <v>526450</v>
          </cell>
        </row>
        <row r="253">
          <cell r="C253" t="str">
            <v>Pembyran pembelian Kawat, kertas nomex, Dll Utk bahan gulungan dinamo</v>
          </cell>
          <cell r="D253">
            <v>4</v>
          </cell>
        </row>
        <row r="254">
          <cell r="C254" t="str">
            <v>Biaya Yang Masih Harus Dibayar</v>
          </cell>
          <cell r="D254">
            <v>4</v>
          </cell>
          <cell r="K254">
            <v>289897</v>
          </cell>
        </row>
        <row r="255">
          <cell r="C255" t="str">
            <v>Kas Harian</v>
          </cell>
          <cell r="D255">
            <v>4</v>
          </cell>
          <cell r="L255">
            <v>289897</v>
          </cell>
        </row>
        <row r="256">
          <cell r="C256" t="str">
            <v>Pembyran iuran bln mar'14 - BPJS Jamsostek</v>
          </cell>
          <cell r="D256">
            <v>4</v>
          </cell>
        </row>
        <row r="257">
          <cell r="C257" t="str">
            <v>Biaya Yang Masih Harus Dibayar</v>
          </cell>
          <cell r="D257">
            <v>4</v>
          </cell>
          <cell r="K257">
            <v>1318720</v>
          </cell>
        </row>
        <row r="258">
          <cell r="C258" t="str">
            <v>Kas Harian</v>
          </cell>
          <cell r="D258">
            <v>4</v>
          </cell>
          <cell r="L258">
            <v>1318720</v>
          </cell>
        </row>
        <row r="259">
          <cell r="C259" t="str">
            <v>Pembyran gaji kary bor kep udang per 24-30 mar'14</v>
          </cell>
          <cell r="D259">
            <v>4</v>
          </cell>
        </row>
        <row r="260">
          <cell r="C260" t="str">
            <v>Biaya Yang Masih Harus Dibayar</v>
          </cell>
          <cell r="D260">
            <v>4</v>
          </cell>
          <cell r="K260">
            <v>185000</v>
          </cell>
        </row>
        <row r="261">
          <cell r="C261" t="str">
            <v>Kas Harian</v>
          </cell>
          <cell r="D261">
            <v>4</v>
          </cell>
          <cell r="L261">
            <v>185000</v>
          </cell>
        </row>
        <row r="262">
          <cell r="C262" t="str">
            <v>Pembyran Konsumsi kary kep udang per 24-29 maret'14  - Nab Catring</v>
          </cell>
          <cell r="D262">
            <v>4</v>
          </cell>
        </row>
        <row r="263">
          <cell r="C263" t="str">
            <v>Upah Bongkar &amp; Muat, Biaya</v>
          </cell>
          <cell r="D263">
            <v>4</v>
          </cell>
          <cell r="K263">
            <v>255747</v>
          </cell>
        </row>
        <row r="264">
          <cell r="C264" t="str">
            <v>Kas Harian</v>
          </cell>
          <cell r="D264">
            <v>4</v>
          </cell>
          <cell r="L264">
            <v>255747</v>
          </cell>
        </row>
        <row r="265">
          <cell r="C265" t="str">
            <v>Pembyran muat tepung SHM  @ 1350 colly - Bor Kepala udang</v>
          </cell>
          <cell r="D265">
            <v>4</v>
          </cell>
        </row>
        <row r="266">
          <cell r="C266" t="str">
            <v>BPJS/Jamsostek,Biaya</v>
          </cell>
          <cell r="D266">
            <v>4</v>
          </cell>
          <cell r="K266">
            <v>189338</v>
          </cell>
        </row>
        <row r="267">
          <cell r="C267" t="str">
            <v>Kas Harian</v>
          </cell>
          <cell r="D267">
            <v>4</v>
          </cell>
          <cell r="L267">
            <v>189338</v>
          </cell>
        </row>
        <row r="268">
          <cell r="C268" t="str">
            <v>Pembyran iuran kesehatan bln april'14 @ 3 org - BPJS Kesehatan</v>
          </cell>
          <cell r="D268">
            <v>4</v>
          </cell>
        </row>
        <row r="269">
          <cell r="C269" t="str">
            <v>Upah Borongan, Biaya</v>
          </cell>
          <cell r="D269">
            <v>4</v>
          </cell>
          <cell r="K269">
            <v>2000000</v>
          </cell>
        </row>
        <row r="270">
          <cell r="C270" t="str">
            <v>Biaya Yang Masih Harus Dibayar</v>
          </cell>
          <cell r="D270">
            <v>4</v>
          </cell>
          <cell r="K270">
            <v>385600</v>
          </cell>
        </row>
        <row r="271">
          <cell r="C271" t="str">
            <v>Kas Harian</v>
          </cell>
          <cell r="D271">
            <v>4</v>
          </cell>
          <cell r="L271">
            <v>2385600</v>
          </cell>
        </row>
        <row r="272">
          <cell r="C272" t="str">
            <v>Pembyran by upah bor kep udang  per 31/3 - 6/4/14</v>
          </cell>
          <cell r="D272">
            <v>4</v>
          </cell>
        </row>
        <row r="273">
          <cell r="C273" t="str">
            <v>Konsumsi Karyawan, Biaya</v>
          </cell>
          <cell r="D273">
            <v>4</v>
          </cell>
          <cell r="K273">
            <v>215000</v>
          </cell>
        </row>
        <row r="274">
          <cell r="C274" t="str">
            <v>Kas Harian</v>
          </cell>
          <cell r="D274">
            <v>4</v>
          </cell>
          <cell r="L274">
            <v>215000</v>
          </cell>
        </row>
        <row r="275">
          <cell r="C275" t="str">
            <v>Pembyran by konsumsi tgl 1-5 april'14 Nabila catring</v>
          </cell>
          <cell r="D275">
            <v>4</v>
          </cell>
        </row>
        <row r="276">
          <cell r="C276" t="str">
            <v>Upah Borongan, Biaya</v>
          </cell>
          <cell r="D276">
            <v>4</v>
          </cell>
          <cell r="K276">
            <v>75000</v>
          </cell>
        </row>
        <row r="277">
          <cell r="C277" t="str">
            <v>Kas Harian</v>
          </cell>
          <cell r="D277">
            <v>4</v>
          </cell>
          <cell r="L277">
            <v>75000</v>
          </cell>
        </row>
        <row r="278">
          <cell r="C278" t="str">
            <v>Pembyran by upah @ 5 org - bor kep udang</v>
          </cell>
          <cell r="D278">
            <v>4</v>
          </cell>
        </row>
        <row r="279">
          <cell r="C279" t="str">
            <v>Biaya Yang Masih Harus Dibayar</v>
          </cell>
          <cell r="D279">
            <v>4</v>
          </cell>
          <cell r="K279">
            <v>130000</v>
          </cell>
        </row>
        <row r="280">
          <cell r="C280" t="str">
            <v>Kas Harian</v>
          </cell>
          <cell r="D280">
            <v>4</v>
          </cell>
          <cell r="L280">
            <v>130000</v>
          </cell>
        </row>
        <row r="281">
          <cell r="C281" t="str">
            <v>Pembyran insentive kary bor pakan bln mar'14</v>
          </cell>
          <cell r="D281">
            <v>4</v>
          </cell>
        </row>
        <row r="282">
          <cell r="C282" t="str">
            <v>Perbaikan &amp; Pemeliharaan Infrastruktur, Biaya</v>
          </cell>
          <cell r="D282">
            <v>4</v>
          </cell>
          <cell r="K282">
            <v>300000</v>
          </cell>
        </row>
        <row r="283">
          <cell r="C283" t="str">
            <v>Kas Harian</v>
          </cell>
          <cell r="D283">
            <v>4</v>
          </cell>
          <cell r="L283">
            <v>300000</v>
          </cell>
        </row>
        <row r="284">
          <cell r="C284" t="str">
            <v>Pembyran pembelian kasau @ 10 btg utk pembuatan pintu masuk - Cipto</v>
          </cell>
          <cell r="D284">
            <v>4</v>
          </cell>
        </row>
        <row r="285">
          <cell r="C285" t="str">
            <v>Perbaikan &amp; Pemeliharaan Infrastruktur, Biaya</v>
          </cell>
          <cell r="D285">
            <v>4</v>
          </cell>
          <cell r="K285">
            <v>35000</v>
          </cell>
        </row>
        <row r="286">
          <cell r="C286" t="str">
            <v>Kas Harian</v>
          </cell>
          <cell r="D286">
            <v>4</v>
          </cell>
          <cell r="L286">
            <v>35000</v>
          </cell>
        </row>
        <row r="287">
          <cell r="C287" t="str">
            <v>Pembyran pembelian paku seri utk pembuatan pintu masuk kepala udang</v>
          </cell>
          <cell r="D287">
            <v>4</v>
          </cell>
        </row>
        <row r="288">
          <cell r="C288" t="str">
            <v>Upah Borongan, Biaya</v>
          </cell>
          <cell r="D288">
            <v>4</v>
          </cell>
          <cell r="K288">
            <v>2152000</v>
          </cell>
        </row>
        <row r="289">
          <cell r="C289" t="str">
            <v>Kas Harian</v>
          </cell>
          <cell r="D289">
            <v>4</v>
          </cell>
          <cell r="L289">
            <v>2152000</v>
          </cell>
        </row>
        <row r="290">
          <cell r="C290" t="str">
            <v>Pembyran by upah borongan kary kepla udang tgl 7-13 april'14</v>
          </cell>
          <cell r="D290">
            <v>4</v>
          </cell>
        </row>
        <row r="291">
          <cell r="C291" t="str">
            <v>Perbaikan &amp; Pemeliharaan Mesin, Biaya</v>
          </cell>
          <cell r="D291">
            <v>4</v>
          </cell>
          <cell r="K291">
            <v>4494000</v>
          </cell>
        </row>
        <row r="292">
          <cell r="C292" t="str">
            <v>Administrasi Bank, Biaya</v>
          </cell>
          <cell r="D292">
            <v>4</v>
          </cell>
          <cell r="K292">
            <v>10000</v>
          </cell>
        </row>
        <row r="293">
          <cell r="C293" t="str">
            <v>Kas Harian</v>
          </cell>
          <cell r="D293">
            <v>4</v>
          </cell>
          <cell r="L293">
            <v>4504000</v>
          </cell>
        </row>
        <row r="294">
          <cell r="C294" t="str">
            <v>Pembyran pembelian mesin Crusher FFC utk mesin penggiling</v>
          </cell>
          <cell r="D294">
            <v>4</v>
          </cell>
        </row>
        <row r="295">
          <cell r="C295" t="str">
            <v>PLN, PT Persero R. Teluk Betung</v>
          </cell>
          <cell r="D295">
            <v>4</v>
          </cell>
          <cell r="K295">
            <v>4914360</v>
          </cell>
        </row>
        <row r="296">
          <cell r="C296" t="str">
            <v>Kas Harian</v>
          </cell>
          <cell r="D296">
            <v>4</v>
          </cell>
          <cell r="L296">
            <v>4914360</v>
          </cell>
        </row>
        <row r="297">
          <cell r="C297" t="str">
            <v>Pembyran tagihan listrik per bln maret 2014 - Pt PLN</v>
          </cell>
          <cell r="D297">
            <v>4</v>
          </cell>
        </row>
        <row r="298">
          <cell r="C298" t="str">
            <v>Konsumsi Karyawan, Biaya</v>
          </cell>
          <cell r="D298">
            <v>4</v>
          </cell>
          <cell r="K298">
            <v>215000</v>
          </cell>
        </row>
        <row r="299">
          <cell r="C299" t="str">
            <v>Kas Harian</v>
          </cell>
          <cell r="D299">
            <v>4</v>
          </cell>
          <cell r="L299">
            <v>215000</v>
          </cell>
        </row>
        <row r="300">
          <cell r="C300" t="str">
            <v>Pembyran kons kary kep Udang per 7-12 april'14 - Nab Catring</v>
          </cell>
          <cell r="D300">
            <v>4</v>
          </cell>
        </row>
        <row r="301">
          <cell r="C301" t="str">
            <v>Perbaikan &amp; Pemeliharaan Mesin, Biaya</v>
          </cell>
          <cell r="D301">
            <v>4</v>
          </cell>
          <cell r="K301">
            <v>450000</v>
          </cell>
        </row>
        <row r="302">
          <cell r="C302" t="str">
            <v>Kas Harian</v>
          </cell>
          <cell r="D302">
            <v>4</v>
          </cell>
          <cell r="L302">
            <v>450000</v>
          </cell>
        </row>
        <row r="303">
          <cell r="C303" t="str">
            <v>Pembyran pemb Verbos dudukan bearing - PD. Kencana Baru</v>
          </cell>
          <cell r="D303">
            <v>4</v>
          </cell>
        </row>
        <row r="304">
          <cell r="C304" t="str">
            <v>Upah Borongan, Biaya</v>
          </cell>
          <cell r="D304">
            <v>4</v>
          </cell>
          <cell r="K304">
            <v>2728960</v>
          </cell>
        </row>
        <row r="305">
          <cell r="C305" t="str">
            <v>Kas Harian</v>
          </cell>
          <cell r="D305">
            <v>4</v>
          </cell>
          <cell r="L305">
            <v>2728960</v>
          </cell>
        </row>
        <row r="306">
          <cell r="C306" t="str">
            <v>Pembyran upah bor karywan kepala udang  tgl 14-20 april'14</v>
          </cell>
          <cell r="D306">
            <v>4</v>
          </cell>
        </row>
        <row r="307">
          <cell r="C307" t="str">
            <v>Konsumsi Karyawan, Biaya</v>
          </cell>
          <cell r="D307">
            <v>4</v>
          </cell>
          <cell r="K307">
            <v>220000</v>
          </cell>
        </row>
        <row r="308">
          <cell r="C308" t="str">
            <v>Kas Harian</v>
          </cell>
          <cell r="D308">
            <v>4</v>
          </cell>
          <cell r="L308">
            <v>220000</v>
          </cell>
        </row>
        <row r="309">
          <cell r="C309" t="str">
            <v>Pembyran konsumsi kary Tgl 14-18 april'14</v>
          </cell>
          <cell r="D309">
            <v>4</v>
          </cell>
        </row>
        <row r="310">
          <cell r="C310" t="str">
            <v>Perbaikan &amp; Pemeliharaan Infrastruktur, Biaya</v>
          </cell>
          <cell r="D310">
            <v>4</v>
          </cell>
          <cell r="K310">
            <v>75000</v>
          </cell>
        </row>
        <row r="311">
          <cell r="C311" t="str">
            <v>Kas Harian</v>
          </cell>
          <cell r="D311">
            <v>4</v>
          </cell>
          <cell r="L311">
            <v>75000</v>
          </cell>
        </row>
        <row r="312">
          <cell r="C312" t="str">
            <v>Pembyran pemb gembok leher panjang 60 mm ATS  utk kantor pakan - Abadi teknik</v>
          </cell>
          <cell r="D312">
            <v>4</v>
          </cell>
        </row>
        <row r="313">
          <cell r="C313" t="str">
            <v>Perlengkapan Sarana Produksi, Biaya</v>
          </cell>
          <cell r="D313">
            <v>4</v>
          </cell>
          <cell r="K313">
            <v>60000</v>
          </cell>
        </row>
        <row r="314">
          <cell r="C314" t="str">
            <v>Kas Harian</v>
          </cell>
          <cell r="D314">
            <v>4</v>
          </cell>
          <cell r="L314">
            <v>60000</v>
          </cell>
        </row>
        <row r="315">
          <cell r="C315" t="str">
            <v>Pembyran pemb sapu senar nagata utk kep udang - Bp Cipto</v>
          </cell>
          <cell r="D315">
            <v>4</v>
          </cell>
        </row>
        <row r="316">
          <cell r="C316" t="str">
            <v>Biaya Yang Masih Harus Dibayar</v>
          </cell>
          <cell r="D316">
            <v>4</v>
          </cell>
          <cell r="K316">
            <v>127760</v>
          </cell>
        </row>
        <row r="317">
          <cell r="C317" t="str">
            <v>Kas Harian</v>
          </cell>
          <cell r="D317">
            <v>4</v>
          </cell>
          <cell r="L317">
            <v>127760</v>
          </cell>
        </row>
        <row r="318">
          <cell r="C318" t="str">
            <v>Pembyran lembur kary per 17-23 April'14 @ 2 org - Agus &amp; Waluyo</v>
          </cell>
          <cell r="D318">
            <v>4</v>
          </cell>
        </row>
        <row r="319">
          <cell r="C319" t="str">
            <v>Bahan Pembantu Produksi, Biaya</v>
          </cell>
          <cell r="D319">
            <v>4</v>
          </cell>
          <cell r="K319">
            <v>14054750</v>
          </cell>
        </row>
        <row r="320">
          <cell r="C320" t="str">
            <v>Kas Harian</v>
          </cell>
          <cell r="D320">
            <v>4</v>
          </cell>
          <cell r="L320">
            <v>14054750</v>
          </cell>
        </row>
        <row r="321">
          <cell r="C321" t="str">
            <v>Pembyran pemb kayu karet @ 51,130 Kg utk pengopenan kep udang  - Bp Bakdi</v>
          </cell>
          <cell r="D321">
            <v>4</v>
          </cell>
        </row>
        <row r="322">
          <cell r="C322" t="str">
            <v>Biaya Yang Masih Harus Dibayar</v>
          </cell>
          <cell r="D322">
            <v>4</v>
          </cell>
          <cell r="K322">
            <v>4217313</v>
          </cell>
        </row>
        <row r="323">
          <cell r="C323" t="str">
            <v>Kas Harian</v>
          </cell>
          <cell r="D323">
            <v>4</v>
          </cell>
          <cell r="L323">
            <v>4217313</v>
          </cell>
        </row>
        <row r="324">
          <cell r="C324" t="str">
            <v>Pembyran gaji Kary Bulanan bln April'14 @ 3 Org</v>
          </cell>
          <cell r="D324">
            <v>4</v>
          </cell>
        </row>
        <row r="325">
          <cell r="C325" t="str">
            <v>Biaya Yang Masih Harus Dibayar</v>
          </cell>
          <cell r="D325">
            <v>4</v>
          </cell>
          <cell r="K325">
            <v>2641600</v>
          </cell>
        </row>
        <row r="326">
          <cell r="C326" t="str">
            <v>Kas Harian</v>
          </cell>
          <cell r="D326">
            <v>4</v>
          </cell>
          <cell r="L326">
            <v>2641600</v>
          </cell>
        </row>
        <row r="327">
          <cell r="C327" t="str">
            <v>Pembyran gaji kary bor kep Udang per 21-27 april'14</v>
          </cell>
          <cell r="D327">
            <v>4</v>
          </cell>
        </row>
        <row r="328">
          <cell r="C328" t="str">
            <v>Biaya Yang Masih Harus Dibayar</v>
          </cell>
          <cell r="D328">
            <v>4</v>
          </cell>
          <cell r="K328">
            <v>226988</v>
          </cell>
        </row>
        <row r="329">
          <cell r="C329" t="str">
            <v>Kas Harian</v>
          </cell>
          <cell r="D329">
            <v>4</v>
          </cell>
          <cell r="L329">
            <v>226988</v>
          </cell>
        </row>
        <row r="330">
          <cell r="C330" t="str">
            <v>Pembyran muat tepung SHM @ 20,790 Kg (895 Colly) utk di jual ke Bp Yudi - Bor ICP</v>
          </cell>
          <cell r="D330">
            <v>4</v>
          </cell>
        </row>
        <row r="331">
          <cell r="C331" t="str">
            <v>Biaya Yang Masih Harus Dibayar</v>
          </cell>
          <cell r="D331">
            <v>4</v>
          </cell>
          <cell r="K331">
            <v>271000</v>
          </cell>
        </row>
        <row r="332">
          <cell r="C332" t="str">
            <v>Kas Harian</v>
          </cell>
          <cell r="D332">
            <v>4</v>
          </cell>
          <cell r="L332">
            <v>271000</v>
          </cell>
        </row>
        <row r="333">
          <cell r="C333" t="str">
            <v>Pembyran kons kary Kepla Udang tgl 21-26 april'14 - Nab Catring</v>
          </cell>
          <cell r="D333">
            <v>4</v>
          </cell>
        </row>
        <row r="334">
          <cell r="C334" t="str">
            <v>Biaya Yang Masih Harus Dibayar</v>
          </cell>
          <cell r="D334">
            <v>5</v>
          </cell>
          <cell r="K334">
            <v>289897</v>
          </cell>
        </row>
        <row r="335">
          <cell r="C335" t="str">
            <v>Kas Harian</v>
          </cell>
          <cell r="D335">
            <v>5</v>
          </cell>
          <cell r="L335">
            <v>289897</v>
          </cell>
        </row>
        <row r="336">
          <cell r="C336" t="str">
            <v>Pembyran iuran kesehatan bln April'14 - PT. Jamsostek</v>
          </cell>
          <cell r="D336">
            <v>5</v>
          </cell>
        </row>
        <row r="337">
          <cell r="C337" t="str">
            <v>Bahan Pembantu Produksi, Biaya</v>
          </cell>
          <cell r="D337">
            <v>5</v>
          </cell>
          <cell r="K337">
            <v>1294000</v>
          </cell>
        </row>
        <row r="338">
          <cell r="C338" t="str">
            <v>Kas Harian</v>
          </cell>
          <cell r="D338">
            <v>5</v>
          </cell>
          <cell r="L338">
            <v>1294000</v>
          </cell>
        </row>
        <row r="339">
          <cell r="C339" t="str">
            <v>Pembyran pemb karung plastik bekas ukr 50 kg utk bahan packing K.Udang - Bp suwanto</v>
          </cell>
          <cell r="D339">
            <v>5</v>
          </cell>
        </row>
        <row r="340">
          <cell r="C340" t="str">
            <v>Biaya Yang Masih Harus Dibayar</v>
          </cell>
          <cell r="D340">
            <v>5</v>
          </cell>
          <cell r="K340">
            <v>29032</v>
          </cell>
        </row>
        <row r="341">
          <cell r="C341" t="str">
            <v>Kas Harian</v>
          </cell>
          <cell r="D341">
            <v>5</v>
          </cell>
          <cell r="L341">
            <v>29032</v>
          </cell>
        </row>
        <row r="342">
          <cell r="C342" t="str">
            <v>Pmbyran lembur per 24-30 april'14 - Suprapto</v>
          </cell>
          <cell r="D342">
            <v>5</v>
          </cell>
        </row>
        <row r="343">
          <cell r="C343" t="str">
            <v>Biaya Yang Masih Harus Dibayar</v>
          </cell>
          <cell r="D343">
            <v>5</v>
          </cell>
          <cell r="K343">
            <v>150000</v>
          </cell>
        </row>
        <row r="344">
          <cell r="C344" t="str">
            <v>Kas Harian</v>
          </cell>
          <cell r="D344">
            <v>5</v>
          </cell>
          <cell r="L344">
            <v>150000</v>
          </cell>
        </row>
        <row r="345">
          <cell r="C345" t="str">
            <v>Pmbyran insentive kary bor pakan bulan april'14 @ 4 org</v>
          </cell>
          <cell r="D345">
            <v>5</v>
          </cell>
        </row>
        <row r="346">
          <cell r="C346" t="str">
            <v>Biaya Yang Masih Harus Dibayar</v>
          </cell>
          <cell r="D346">
            <v>5</v>
          </cell>
          <cell r="K346">
            <v>1043480</v>
          </cell>
        </row>
        <row r="347">
          <cell r="C347" t="str">
            <v>Kas Harian</v>
          </cell>
          <cell r="D347">
            <v>5</v>
          </cell>
          <cell r="L347">
            <v>1043480</v>
          </cell>
        </row>
        <row r="348">
          <cell r="C348" t="str">
            <v>Pmyran upah kary borongan K.Udang per 28 april - 4 mei'14</v>
          </cell>
          <cell r="D348">
            <v>5</v>
          </cell>
        </row>
        <row r="349">
          <cell r="C349" t="str">
            <v>Perbaikan &amp; Pemeliharaan Infrastruktur, Biaya</v>
          </cell>
          <cell r="D349">
            <v>5</v>
          </cell>
          <cell r="K349">
            <v>82500</v>
          </cell>
        </row>
        <row r="350">
          <cell r="C350" t="str">
            <v>Kas Harian</v>
          </cell>
          <cell r="D350">
            <v>5</v>
          </cell>
          <cell r="L350">
            <v>82500</v>
          </cell>
        </row>
        <row r="351">
          <cell r="C351" t="str">
            <v>Pembyran pembelian engsel BLC 4" @ 3 pasang utk pembuatan engsel pintu masuk - Bp Cipto</v>
          </cell>
          <cell r="D351">
            <v>5</v>
          </cell>
        </row>
        <row r="352">
          <cell r="C352" t="str">
            <v>BPJS/Jamsostek,Biaya</v>
          </cell>
          <cell r="D352">
            <v>5</v>
          </cell>
          <cell r="K352">
            <v>189338</v>
          </cell>
        </row>
        <row r="353">
          <cell r="C353" t="str">
            <v>Kas Harian</v>
          </cell>
          <cell r="D353">
            <v>5</v>
          </cell>
          <cell r="L353">
            <v>189338</v>
          </cell>
        </row>
        <row r="354">
          <cell r="C354" t="str">
            <v>Pembyran iuran kesehatan bln mei @ 3 org - PT Jamsostek</v>
          </cell>
          <cell r="D354">
            <v>5</v>
          </cell>
        </row>
        <row r="355">
          <cell r="C355" t="str">
            <v>Perbaikan &amp; Pemeliharaan Mesin, Biaya</v>
          </cell>
          <cell r="D355">
            <v>5</v>
          </cell>
          <cell r="K355">
            <v>404000</v>
          </cell>
        </row>
        <row r="356">
          <cell r="C356" t="str">
            <v>Kas Harian</v>
          </cell>
          <cell r="D356">
            <v>5</v>
          </cell>
          <cell r="L356">
            <v>404000</v>
          </cell>
        </row>
        <row r="357">
          <cell r="C357" t="str">
            <v>Pembyran pembelian bearing SKF 6308 @ 2 pcs utk bahan gulungan dinamo - Sumatra motor</v>
          </cell>
          <cell r="D357">
            <v>5</v>
          </cell>
        </row>
        <row r="358">
          <cell r="C358" t="str">
            <v>Biaya Yang Masih Harus Dibayar</v>
          </cell>
          <cell r="D358">
            <v>5</v>
          </cell>
          <cell r="K358">
            <v>165000</v>
          </cell>
        </row>
        <row r="359">
          <cell r="C359" t="str">
            <v>Kas Harian</v>
          </cell>
          <cell r="D359">
            <v>5</v>
          </cell>
          <cell r="L359">
            <v>165000</v>
          </cell>
        </row>
        <row r="360">
          <cell r="C360" t="str">
            <v>Pembyran kons kary kep Udang tgl 28/4 - 3/5/14 @ 33 org - Nab catring</v>
          </cell>
          <cell r="D360">
            <v>5</v>
          </cell>
        </row>
        <row r="361">
          <cell r="C361" t="str">
            <v>Lembur, Biaya</v>
          </cell>
          <cell r="D361">
            <v>5</v>
          </cell>
          <cell r="K361">
            <v>41618</v>
          </cell>
        </row>
        <row r="362">
          <cell r="C362" t="str">
            <v>Kas Harian</v>
          </cell>
          <cell r="D362">
            <v>5</v>
          </cell>
          <cell r="L362">
            <v>41618</v>
          </cell>
        </row>
        <row r="363">
          <cell r="C363" t="str">
            <v>PEMBY LEMBUR PER 1-7 MEI'14 @ 1 ORG -AGUS S</v>
          </cell>
          <cell r="D363">
            <v>5</v>
          </cell>
        </row>
        <row r="364">
          <cell r="C364" t="str">
            <v>Upah Borongan, Biaya</v>
          </cell>
          <cell r="D364">
            <v>5</v>
          </cell>
          <cell r="K364">
            <v>2323840</v>
          </cell>
        </row>
        <row r="365">
          <cell r="C365" t="str">
            <v>Kas Harian</v>
          </cell>
          <cell r="D365">
            <v>5</v>
          </cell>
          <cell r="L365">
            <v>2323840</v>
          </cell>
        </row>
        <row r="366">
          <cell r="C366" t="str">
            <v>PEMBY UPAH KARY BOR KEPALA UDANG PER 5-11 MEI'14</v>
          </cell>
          <cell r="D366">
            <v>5</v>
          </cell>
        </row>
        <row r="367">
          <cell r="C367" t="str">
            <v>Analisa / Uji Lainnya, Biaya</v>
          </cell>
          <cell r="D367">
            <v>5</v>
          </cell>
          <cell r="K367">
            <v>210000</v>
          </cell>
        </row>
        <row r="368">
          <cell r="C368" t="str">
            <v>Kas Harian</v>
          </cell>
          <cell r="D368">
            <v>5</v>
          </cell>
          <cell r="L368">
            <v>210000</v>
          </cell>
        </row>
        <row r="369">
          <cell r="C369" t="str">
            <v>PEMBY JASA ANALISA PENGUJIAN PROTEIN KEPALA UDANG  INV SPJ-214</v>
          </cell>
          <cell r="D369">
            <v>5</v>
          </cell>
        </row>
        <row r="370">
          <cell r="C370" t="str">
            <v>Konsumsi Karyawan, Biaya</v>
          </cell>
          <cell r="D370">
            <v>5</v>
          </cell>
          <cell r="K370">
            <v>265000</v>
          </cell>
        </row>
        <row r="371">
          <cell r="C371" t="str">
            <v>Kas Harian</v>
          </cell>
          <cell r="D371">
            <v>5</v>
          </cell>
          <cell r="L371">
            <v>265000</v>
          </cell>
        </row>
        <row r="372">
          <cell r="C372" t="str">
            <v>pemby konsumsi karyawan kepala udang per 5-10 mei'14 @ 53 karyawan</v>
          </cell>
          <cell r="D372">
            <v>5</v>
          </cell>
        </row>
        <row r="373">
          <cell r="C373" t="str">
            <v>Bahan Pembantu Produksi, Biaya</v>
          </cell>
          <cell r="D373">
            <v>5</v>
          </cell>
          <cell r="K373">
            <v>1294000</v>
          </cell>
        </row>
        <row r="374">
          <cell r="C374" t="str">
            <v>Kas Harian</v>
          </cell>
          <cell r="D374">
            <v>5</v>
          </cell>
          <cell r="L374">
            <v>1294000</v>
          </cell>
        </row>
        <row r="375">
          <cell r="C375" t="str">
            <v>PEMBYRAN PEMB KARUNG PLASTIK BEKAS @ 1000 LBR UTK TEPUNG SHM - VD AMPUH JAYA</v>
          </cell>
          <cell r="D375">
            <v>5</v>
          </cell>
        </row>
        <row r="376">
          <cell r="C376" t="str">
            <v>PLN, PT Persero R. Teluk Betung</v>
          </cell>
          <cell r="D376">
            <v>5</v>
          </cell>
          <cell r="K376">
            <v>5115110</v>
          </cell>
        </row>
        <row r="377">
          <cell r="C377" t="str">
            <v>Kas Harian</v>
          </cell>
          <cell r="D377">
            <v>5</v>
          </cell>
          <cell r="L377">
            <v>5115110</v>
          </cell>
        </row>
        <row r="378">
          <cell r="C378" t="str">
            <v>PEMBYRAN TAGIHAN LISTRIK PER APRIL'14 UTK KEPALA UDANG</v>
          </cell>
          <cell r="D378">
            <v>5</v>
          </cell>
        </row>
        <row r="379">
          <cell r="C379" t="str">
            <v>Upah Bongkar &amp; Muat, Biaya</v>
          </cell>
          <cell r="D379">
            <v>5</v>
          </cell>
          <cell r="K379">
            <v>254100</v>
          </cell>
        </row>
        <row r="380">
          <cell r="C380" t="str">
            <v>Kas Harian</v>
          </cell>
          <cell r="D380">
            <v>5</v>
          </cell>
          <cell r="L380">
            <v>254100</v>
          </cell>
        </row>
        <row r="381">
          <cell r="C381" t="str">
            <v>PEMBYRAN MUAT TEPUNG SHM @ 847 COLLY UTK DI JUAL KE Bp YUDI - BORONGAN ICP</v>
          </cell>
          <cell r="D381">
            <v>5</v>
          </cell>
        </row>
        <row r="382">
          <cell r="C382" t="str">
            <v>Biaya Yang Masih Harus Dibayar</v>
          </cell>
          <cell r="D382">
            <v>5</v>
          </cell>
          <cell r="K382">
            <v>20737</v>
          </cell>
        </row>
        <row r="383">
          <cell r="C383" t="str">
            <v>Kas Harian</v>
          </cell>
          <cell r="D383">
            <v>5</v>
          </cell>
          <cell r="L383">
            <v>20737</v>
          </cell>
        </row>
        <row r="384">
          <cell r="C384" t="str">
            <v>PEMBYRAN LEMBUR PER 8-14 MEI'14 @ 1 ORG - SUPRAPTO</v>
          </cell>
          <cell r="D384">
            <v>5</v>
          </cell>
        </row>
        <row r="385">
          <cell r="C385" t="str">
            <v>Upah Borongan, Biaya</v>
          </cell>
          <cell r="D385">
            <v>5</v>
          </cell>
          <cell r="K385">
            <v>2423300</v>
          </cell>
        </row>
        <row r="386">
          <cell r="C386" t="str">
            <v>Kas Harian</v>
          </cell>
          <cell r="D386">
            <v>5</v>
          </cell>
          <cell r="L386">
            <v>2423300</v>
          </cell>
        </row>
        <row r="387">
          <cell r="C387" t="str">
            <v>PEMBYRAN UPAH KARY BORONGAN KEP UDANG PER 12-18 MEI'14</v>
          </cell>
          <cell r="D387">
            <v>5</v>
          </cell>
        </row>
        <row r="388">
          <cell r="C388" t="str">
            <v>Konsumsi Karyawan, Biaya</v>
          </cell>
          <cell r="D388">
            <v>5</v>
          </cell>
          <cell r="K388">
            <v>215000</v>
          </cell>
        </row>
        <row r="389">
          <cell r="C389" t="str">
            <v>Kas Harian</v>
          </cell>
          <cell r="D389">
            <v>5</v>
          </cell>
          <cell r="L389">
            <v>215000</v>
          </cell>
        </row>
        <row r="390">
          <cell r="C390" t="str">
            <v>PEMBY KONSUMSI KARY KEP UDANG PER 12-16 MEI'14 @ 43 ORG</v>
          </cell>
          <cell r="D390">
            <v>5</v>
          </cell>
        </row>
        <row r="391">
          <cell r="C391" t="str">
            <v>Bahan Pembantu Produksi, Biaya</v>
          </cell>
          <cell r="D391">
            <v>5</v>
          </cell>
          <cell r="K391">
            <v>14492000</v>
          </cell>
        </row>
        <row r="392">
          <cell r="C392" t="str">
            <v>Kas Harian</v>
          </cell>
          <cell r="D392">
            <v>5</v>
          </cell>
          <cell r="L392">
            <v>14492000</v>
          </cell>
        </row>
        <row r="393">
          <cell r="C393" t="str">
            <v>PEMBY PEMB KAYU KARET @ 52,720 KG - Bp BAKDI</v>
          </cell>
          <cell r="D393">
            <v>5</v>
          </cell>
        </row>
        <row r="394">
          <cell r="C394" t="str">
            <v>Perbaikan &amp; Pemeliharaan Infrastruktur, Biaya</v>
          </cell>
          <cell r="D394">
            <v>5</v>
          </cell>
          <cell r="K394">
            <v>63000</v>
          </cell>
        </row>
        <row r="395">
          <cell r="C395" t="str">
            <v>Kas Harian</v>
          </cell>
          <cell r="D395">
            <v>5</v>
          </cell>
          <cell r="L395">
            <v>63000</v>
          </cell>
        </row>
        <row r="396">
          <cell r="C396" t="str">
            <v>PEMBY PEMB KABEL LAN UTK JARINGAN  - PERSAHABATAN ELEKTRIK</v>
          </cell>
          <cell r="D396">
            <v>5</v>
          </cell>
        </row>
        <row r="397">
          <cell r="C397" t="str">
            <v>Bahan Pembantu Produksi, Biaya</v>
          </cell>
          <cell r="D397">
            <v>5</v>
          </cell>
          <cell r="K397">
            <v>1294000</v>
          </cell>
        </row>
        <row r="398">
          <cell r="C398" t="str">
            <v>Kas Harian</v>
          </cell>
          <cell r="D398">
            <v>5</v>
          </cell>
          <cell r="L398">
            <v>1294000</v>
          </cell>
        </row>
        <row r="399">
          <cell r="C399" t="str">
            <v>PEMBY PEMB KARUNG PLASTIK BEKAS @ 1000 LBR UTK TEPUNG SHM - UD. AMPUH JAYA</v>
          </cell>
          <cell r="D399">
            <v>5</v>
          </cell>
        </row>
        <row r="400">
          <cell r="C400" t="str">
            <v>Biaya Yang Masih Harus Dibayar</v>
          </cell>
          <cell r="D400">
            <v>5</v>
          </cell>
          <cell r="K400">
            <v>2722260</v>
          </cell>
        </row>
        <row r="401">
          <cell r="C401" t="str">
            <v>Kas Harian</v>
          </cell>
          <cell r="D401">
            <v>5</v>
          </cell>
          <cell r="L401">
            <v>2722260</v>
          </cell>
        </row>
        <row r="402">
          <cell r="C402" t="str">
            <v>PEMBY UPAH KARYAWAN BORONGAN KEP UDANG PER 19-25 MEI'14</v>
          </cell>
          <cell r="D402">
            <v>5</v>
          </cell>
        </row>
        <row r="403">
          <cell r="C403" t="str">
            <v>Biaya Yang Masih Harus Dibayar</v>
          </cell>
          <cell r="D403">
            <v>5</v>
          </cell>
          <cell r="K403">
            <v>265000</v>
          </cell>
        </row>
        <row r="404">
          <cell r="C404" t="str">
            <v>Kas Harian</v>
          </cell>
          <cell r="D404">
            <v>5</v>
          </cell>
          <cell r="L404">
            <v>265000</v>
          </cell>
        </row>
        <row r="405">
          <cell r="C405" t="str">
            <v>PEMBY KONSUMSI KARY KEP UDANG PER 19-24 MEI'14 - NAB CATRING</v>
          </cell>
          <cell r="D405">
            <v>5</v>
          </cell>
        </row>
        <row r="406">
          <cell r="C406" t="str">
            <v>Rumah Tangga Kantor, Biaya</v>
          </cell>
          <cell r="D406">
            <v>5</v>
          </cell>
          <cell r="K406">
            <v>35000</v>
          </cell>
        </row>
        <row r="407">
          <cell r="C407" t="str">
            <v>Kas Harian</v>
          </cell>
          <cell r="D407">
            <v>5</v>
          </cell>
          <cell r="L407">
            <v>35000</v>
          </cell>
        </row>
        <row r="408">
          <cell r="C408" t="str">
            <v>PEMBY PEMB ALARM DIGITAL @ 1 UNIT - Bp CIPTO</v>
          </cell>
          <cell r="D408">
            <v>5</v>
          </cell>
        </row>
        <row r="409">
          <cell r="C409" t="str">
            <v>Biaya Yang Masih Harus Dibayar</v>
          </cell>
          <cell r="D409">
            <v>5</v>
          </cell>
          <cell r="K409">
            <v>4392313</v>
          </cell>
        </row>
        <row r="410">
          <cell r="C410" t="str">
            <v>Kas Harian</v>
          </cell>
          <cell r="D410">
            <v>5</v>
          </cell>
          <cell r="L410">
            <v>4392313</v>
          </cell>
        </row>
        <row r="411">
          <cell r="C411" t="str">
            <v>PEMBY GAJI KARY KEP UDANG PER  MEI'14 @ 3 ORG</v>
          </cell>
          <cell r="D411">
            <v>5</v>
          </cell>
        </row>
        <row r="412">
          <cell r="C412" t="str">
            <v>Biaya Yang Masih Harus Dibayar</v>
          </cell>
          <cell r="D412">
            <v>6</v>
          </cell>
          <cell r="K412">
            <v>289897</v>
          </cell>
        </row>
        <row r="413">
          <cell r="C413" t="str">
            <v>Kas Harian</v>
          </cell>
          <cell r="D413">
            <v>6</v>
          </cell>
          <cell r="L413">
            <v>289897</v>
          </cell>
        </row>
        <row r="414">
          <cell r="C414" t="str">
            <v>PEMBY IURAN KESEHATAN BLN MEI'14 @ 3 ORG - PT. JAMSOSTEK</v>
          </cell>
          <cell r="D414">
            <v>6</v>
          </cell>
        </row>
        <row r="415">
          <cell r="C415" t="str">
            <v>Biaya Yang Masih Harus Dibayar</v>
          </cell>
          <cell r="D415">
            <v>6</v>
          </cell>
          <cell r="K415">
            <v>1907745</v>
          </cell>
        </row>
        <row r="416">
          <cell r="C416" t="str">
            <v>Kas Harian</v>
          </cell>
          <cell r="D416">
            <v>6</v>
          </cell>
          <cell r="L416">
            <v>1907745</v>
          </cell>
        </row>
        <row r="417">
          <cell r="C417" t="str">
            <v>PEMBY UPAH KARY BORONGAN KEPALA UDANG PER 26-1 JUNI'14</v>
          </cell>
          <cell r="D417">
            <v>6</v>
          </cell>
        </row>
        <row r="418">
          <cell r="C418" t="str">
            <v>Biaya Yang Masih Harus Dibayar</v>
          </cell>
          <cell r="D418">
            <v>6</v>
          </cell>
          <cell r="K418">
            <v>220000</v>
          </cell>
        </row>
        <row r="419">
          <cell r="C419" t="str">
            <v>Kas Harian</v>
          </cell>
          <cell r="D419">
            <v>6</v>
          </cell>
          <cell r="L419">
            <v>220000</v>
          </cell>
        </row>
        <row r="420">
          <cell r="C420" t="str">
            <v>PEMBY KONSUMSI KARY KEP UDANG PER 26-1 JUNI'14 @ 44 ORG - NABILA CATRING</v>
          </cell>
          <cell r="D420">
            <v>6</v>
          </cell>
        </row>
        <row r="421">
          <cell r="C421" t="str">
            <v>Insentif Karyawan, Biaya</v>
          </cell>
          <cell r="D421">
            <v>6</v>
          </cell>
          <cell r="K421">
            <v>240000</v>
          </cell>
        </row>
        <row r="422">
          <cell r="C422" t="str">
            <v>Kas Harian</v>
          </cell>
          <cell r="D422">
            <v>6</v>
          </cell>
          <cell r="L422">
            <v>240000</v>
          </cell>
        </row>
        <row r="423">
          <cell r="C423" t="str">
            <v>PEMBY INSENTIVE LEMBUR HARI LIBUR TGL 31/5/14 - NURSALIM &amp; SUPRISTIWANTO</v>
          </cell>
          <cell r="D423">
            <v>6</v>
          </cell>
        </row>
        <row r="424">
          <cell r="C424" t="str">
            <v>Biaya Yang Masih Harus Dibayar</v>
          </cell>
          <cell r="D424">
            <v>6</v>
          </cell>
          <cell r="K424">
            <v>199075</v>
          </cell>
        </row>
        <row r="425">
          <cell r="C425" t="str">
            <v>Kas Harian</v>
          </cell>
          <cell r="D425">
            <v>6</v>
          </cell>
          <cell r="L425">
            <v>199075</v>
          </cell>
        </row>
        <row r="426">
          <cell r="C426" t="str">
            <v>PEMBY LEMBUR PER 29-31 MEI'14 - KARYAWAN BULANAN</v>
          </cell>
          <cell r="D426">
            <v>6</v>
          </cell>
        </row>
        <row r="427">
          <cell r="C427" t="str">
            <v>BPJS/Jamsostek,Biaya</v>
          </cell>
          <cell r="D427">
            <v>6</v>
          </cell>
          <cell r="K427">
            <v>189338</v>
          </cell>
        </row>
        <row r="428">
          <cell r="C428" t="str">
            <v>Kas Harian</v>
          </cell>
          <cell r="D428">
            <v>6</v>
          </cell>
          <cell r="L428">
            <v>189338</v>
          </cell>
        </row>
        <row r="429">
          <cell r="C429" t="str">
            <v>PEMBY IURAN KESEHATAN KARY BULAN JUNI'14 @ 3 ORG</v>
          </cell>
          <cell r="D429">
            <v>6</v>
          </cell>
        </row>
        <row r="430">
          <cell r="C430" t="str">
            <v>Upah Borongan, Biaya</v>
          </cell>
          <cell r="D430">
            <v>6</v>
          </cell>
          <cell r="K430">
            <v>3148135</v>
          </cell>
        </row>
        <row r="431">
          <cell r="C431" t="str">
            <v>Kas Harian</v>
          </cell>
          <cell r="D431">
            <v>6</v>
          </cell>
          <cell r="L431">
            <v>3148135</v>
          </cell>
        </row>
        <row r="432">
          <cell r="C432" t="str">
            <v>PEMBY UPAH KARY BOR KEP UDANG PER 2-8 JUNI'14</v>
          </cell>
          <cell r="D432">
            <v>6</v>
          </cell>
        </row>
        <row r="433">
          <cell r="C433" t="str">
            <v>Perbaikan &amp; Pemeliharaan Mesin, Biaya</v>
          </cell>
          <cell r="D433">
            <v>6</v>
          </cell>
          <cell r="K433">
            <v>130000</v>
          </cell>
        </row>
        <row r="434">
          <cell r="C434" t="str">
            <v>Kas Harian</v>
          </cell>
          <cell r="D434">
            <v>6</v>
          </cell>
          <cell r="L434">
            <v>130000</v>
          </cell>
        </row>
        <row r="435">
          <cell r="C435" t="str">
            <v>PEMBY PEMB PELAMPUNG 3/4 ONDA @ 1 PCS UTK WATER TENGKI BOILER  - DWI PUTRA</v>
          </cell>
          <cell r="D435">
            <v>6</v>
          </cell>
        </row>
        <row r="436">
          <cell r="C436" t="str">
            <v>Konsumsi Karyawan, Biaya</v>
          </cell>
          <cell r="D436">
            <v>6</v>
          </cell>
          <cell r="K436">
            <v>260000</v>
          </cell>
        </row>
        <row r="437">
          <cell r="C437" t="str">
            <v>Kas Harian</v>
          </cell>
          <cell r="D437">
            <v>6</v>
          </cell>
          <cell r="L437">
            <v>260000</v>
          </cell>
        </row>
        <row r="438">
          <cell r="C438" t="str">
            <v>PEMBY KONSUMSI KARY KEP UDANG PER 2-7 JUNI'14 @ 52 ORG - NABILA CATRING</v>
          </cell>
          <cell r="D438">
            <v>6</v>
          </cell>
        </row>
        <row r="439">
          <cell r="C439" t="str">
            <v>Upah Bongkar &amp; Muat, Biaya</v>
          </cell>
          <cell r="D439">
            <v>6</v>
          </cell>
          <cell r="K439">
            <v>441500</v>
          </cell>
        </row>
        <row r="440">
          <cell r="C440" t="str">
            <v>Kas Harian</v>
          </cell>
          <cell r="D440">
            <v>6</v>
          </cell>
          <cell r="L440">
            <v>441500</v>
          </cell>
        </row>
        <row r="441">
          <cell r="C441" t="str">
            <v>PEMBY MUAT TEPUNG SHM @ 20,490 KG UTK DI JUAL KE Bp YUDI</v>
          </cell>
          <cell r="D441">
            <v>6</v>
          </cell>
        </row>
        <row r="442">
          <cell r="C442" t="str">
            <v>Lembur, Biaya</v>
          </cell>
          <cell r="D442">
            <v>6</v>
          </cell>
          <cell r="K442">
            <v>28374</v>
          </cell>
        </row>
        <row r="443">
          <cell r="C443" t="str">
            <v>Kas Harian</v>
          </cell>
          <cell r="D443">
            <v>6</v>
          </cell>
          <cell r="L443">
            <v>28374</v>
          </cell>
        </row>
        <row r="444">
          <cell r="C444" t="str">
            <v>PEMBY LEMBUR PER 5-11 JUNI'14 @ 1 ORG - KARYAWAN BULANAN</v>
          </cell>
          <cell r="D444">
            <v>6</v>
          </cell>
        </row>
        <row r="445">
          <cell r="C445" t="str">
            <v>Upah Borongan, Biaya</v>
          </cell>
          <cell r="D445">
            <v>6</v>
          </cell>
          <cell r="K445">
            <v>2258560</v>
          </cell>
        </row>
        <row r="446">
          <cell r="C446" t="str">
            <v>Kas Harian</v>
          </cell>
          <cell r="D446">
            <v>6</v>
          </cell>
          <cell r="L446">
            <v>2258560</v>
          </cell>
        </row>
        <row r="447">
          <cell r="C447" t="str">
            <v>PEMBY UPAH KARY BOR KEP UDANG PER 9-15 JUNI'14</v>
          </cell>
          <cell r="D447">
            <v>6</v>
          </cell>
        </row>
        <row r="448">
          <cell r="C448" t="str">
            <v>Bahan Pembantu Produksi, Biaya</v>
          </cell>
          <cell r="D448">
            <v>6</v>
          </cell>
          <cell r="K448">
            <v>13678000</v>
          </cell>
        </row>
        <row r="449">
          <cell r="C449" t="str">
            <v>Kas Harian</v>
          </cell>
          <cell r="D449">
            <v>6</v>
          </cell>
          <cell r="L449">
            <v>13678000</v>
          </cell>
        </row>
        <row r="450">
          <cell r="C450" t="str">
            <v>PEMBY PEMB KAYU KARET @ 49.760 KG - Bp BAKDI</v>
          </cell>
          <cell r="D450">
            <v>6</v>
          </cell>
        </row>
        <row r="451">
          <cell r="C451" t="str">
            <v>PLN, PT Persero R. Teluk Betung</v>
          </cell>
          <cell r="D451">
            <v>6</v>
          </cell>
          <cell r="K451">
            <v>4472710</v>
          </cell>
        </row>
        <row r="452">
          <cell r="C452" t="str">
            <v>Kas Harian</v>
          </cell>
          <cell r="D452">
            <v>6</v>
          </cell>
          <cell r="L452">
            <v>4472710</v>
          </cell>
        </row>
        <row r="453">
          <cell r="C453" t="str">
            <v>PEMBY TAGIHAN LISTRIK PER MEI'14 UTK KEP UDANG</v>
          </cell>
          <cell r="D453">
            <v>6</v>
          </cell>
        </row>
        <row r="454">
          <cell r="C454" t="str">
            <v>Bahan Pembantu Produksi, Biaya</v>
          </cell>
          <cell r="D454">
            <v>6</v>
          </cell>
          <cell r="K454">
            <v>1294000</v>
          </cell>
        </row>
        <row r="455">
          <cell r="C455" t="str">
            <v>Kas Harian</v>
          </cell>
          <cell r="D455">
            <v>6</v>
          </cell>
          <cell r="L455">
            <v>1294000</v>
          </cell>
        </row>
        <row r="456">
          <cell r="C456" t="str">
            <v>PEMBY PEMB KARUNG PLASTIK BEKAS @ 1000 LBR UTK TEPUNG SHM - SUWANTO</v>
          </cell>
          <cell r="D456">
            <v>6</v>
          </cell>
        </row>
        <row r="457">
          <cell r="C457" t="str">
            <v>Konsumsi Karyawan, Biaya</v>
          </cell>
          <cell r="D457">
            <v>6</v>
          </cell>
          <cell r="K457">
            <v>255000</v>
          </cell>
        </row>
        <row r="458">
          <cell r="C458" t="str">
            <v>Kas Harian</v>
          </cell>
          <cell r="D458">
            <v>6</v>
          </cell>
          <cell r="L458">
            <v>255000</v>
          </cell>
        </row>
        <row r="459">
          <cell r="C459" t="str">
            <v>Pemby konsumsi kary kep udang per 9-14 juni'14 @ 51 org - nabila catring</v>
          </cell>
          <cell r="D459">
            <v>6</v>
          </cell>
        </row>
        <row r="460">
          <cell r="C460" t="str">
            <v>Upah Borongan, Biaya</v>
          </cell>
          <cell r="D460">
            <v>6</v>
          </cell>
          <cell r="K460">
            <v>2089920</v>
          </cell>
        </row>
        <row r="461">
          <cell r="C461" t="str">
            <v>Kas Harian</v>
          </cell>
          <cell r="D461">
            <v>6</v>
          </cell>
          <cell r="L461">
            <v>2089920</v>
          </cell>
        </row>
        <row r="462">
          <cell r="C462" t="str">
            <v>By gaji kary borongan per 16-22 juni'14</v>
          </cell>
          <cell r="D462">
            <v>6</v>
          </cell>
        </row>
        <row r="463">
          <cell r="C463" t="str">
            <v>Perbaikan &amp; Pemeliharaan Mesin, Biaya</v>
          </cell>
          <cell r="D463">
            <v>6</v>
          </cell>
          <cell r="K463">
            <v>411000</v>
          </cell>
        </row>
        <row r="464">
          <cell r="C464" t="str">
            <v>Kas Harian</v>
          </cell>
          <cell r="D464">
            <v>6</v>
          </cell>
          <cell r="L464">
            <v>411000</v>
          </cell>
        </row>
        <row r="465">
          <cell r="C465" t="str">
            <v>Pemby pemb bearing skf @ 2 pcs - sumatra motor</v>
          </cell>
          <cell r="D465">
            <v>6</v>
          </cell>
        </row>
        <row r="466">
          <cell r="C466" t="str">
            <v>Konsumsi Karyawan, Biaya</v>
          </cell>
          <cell r="D466">
            <v>6</v>
          </cell>
          <cell r="K466">
            <v>225000</v>
          </cell>
        </row>
        <row r="467">
          <cell r="C467" t="str">
            <v>Kas Harian</v>
          </cell>
          <cell r="D467">
            <v>6</v>
          </cell>
          <cell r="L467">
            <v>225000</v>
          </cell>
        </row>
        <row r="468">
          <cell r="C468" t="str">
            <v>Pemby konsumsi kary tgl 16-21 juni'14 - Nabila catring</v>
          </cell>
          <cell r="D468">
            <v>6</v>
          </cell>
        </row>
        <row r="469">
          <cell r="C469" t="str">
            <v>Biaya Yang Masih Harus Dibayar</v>
          </cell>
          <cell r="D469">
            <v>6</v>
          </cell>
          <cell r="K469">
            <v>4392313</v>
          </cell>
        </row>
        <row r="470">
          <cell r="C470" t="str">
            <v>Kas Harian</v>
          </cell>
          <cell r="D470">
            <v>6</v>
          </cell>
          <cell r="L470">
            <v>4392313</v>
          </cell>
        </row>
        <row r="471">
          <cell r="C471" t="str">
            <v>Pemby gaji kary kepala udang  per juni'14</v>
          </cell>
          <cell r="D471">
            <v>6</v>
          </cell>
        </row>
        <row r="472">
          <cell r="C472" t="str">
            <v>Biaya Yang Masih Harus Dibayar</v>
          </cell>
          <cell r="D472">
            <v>7</v>
          </cell>
          <cell r="K472">
            <v>289897</v>
          </cell>
        </row>
        <row r="473">
          <cell r="C473" t="str">
            <v>Kas Harian</v>
          </cell>
          <cell r="D473">
            <v>7</v>
          </cell>
          <cell r="L473">
            <v>289897</v>
          </cell>
        </row>
        <row r="474">
          <cell r="C474" t="str">
            <v>Pemby iuran ketenaga kerjaan per juni'14 @ 3 org</v>
          </cell>
          <cell r="D474">
            <v>7</v>
          </cell>
        </row>
        <row r="475">
          <cell r="C475" t="str">
            <v>Biaya Yang Masih Harus Dibayar</v>
          </cell>
          <cell r="D475">
            <v>7</v>
          </cell>
          <cell r="K475">
            <v>1933760</v>
          </cell>
        </row>
        <row r="476">
          <cell r="C476" t="str">
            <v>Kas Harian</v>
          </cell>
          <cell r="D476">
            <v>7</v>
          </cell>
          <cell r="L476">
            <v>1933760</v>
          </cell>
        </row>
        <row r="477">
          <cell r="C477" t="str">
            <v>Pemby Upah kary kep udang per 23-29 juni'14</v>
          </cell>
          <cell r="D477">
            <v>7</v>
          </cell>
        </row>
        <row r="478">
          <cell r="C478" t="str">
            <v>Biaya Yang Masih Harus Dibayar</v>
          </cell>
          <cell r="D478">
            <v>7</v>
          </cell>
          <cell r="K478">
            <v>220000</v>
          </cell>
        </row>
        <row r="479">
          <cell r="C479" t="str">
            <v>Kas Harian</v>
          </cell>
          <cell r="D479">
            <v>7</v>
          </cell>
          <cell r="L479">
            <v>220000</v>
          </cell>
        </row>
        <row r="480">
          <cell r="C480" t="str">
            <v>Pemby konsumsi kary kep udang per 23-27 juni'14</v>
          </cell>
          <cell r="D480">
            <v>7</v>
          </cell>
        </row>
        <row r="481">
          <cell r="C481" t="str">
            <v>Biaya Yang Masih Harus Dibayar</v>
          </cell>
          <cell r="D481">
            <v>7</v>
          </cell>
          <cell r="K481">
            <v>53916</v>
          </cell>
        </row>
        <row r="482">
          <cell r="C482" t="str">
            <v>Kas Harian</v>
          </cell>
          <cell r="D482">
            <v>7</v>
          </cell>
          <cell r="L482">
            <v>53916</v>
          </cell>
        </row>
        <row r="483">
          <cell r="C483" t="str">
            <v>Pemby lembur kary kep udang per 26-2 juli'14</v>
          </cell>
          <cell r="D483">
            <v>7</v>
          </cell>
        </row>
        <row r="484">
          <cell r="C484" t="str">
            <v>BPJS/Jamsostek,Biaya</v>
          </cell>
          <cell r="D484">
            <v>7</v>
          </cell>
          <cell r="K484">
            <v>189338</v>
          </cell>
        </row>
        <row r="485">
          <cell r="C485" t="str">
            <v>Kas Harian</v>
          </cell>
          <cell r="D485">
            <v>7</v>
          </cell>
          <cell r="L485">
            <v>189338</v>
          </cell>
        </row>
        <row r="486">
          <cell r="C486" t="str">
            <v>Pemby iuran bulan juli'14 @ 3 org - Bpjs Kesehatan</v>
          </cell>
          <cell r="D486">
            <v>7</v>
          </cell>
        </row>
        <row r="487">
          <cell r="C487" t="str">
            <v>Upah Borongan, Biaya</v>
          </cell>
          <cell r="D487">
            <v>7</v>
          </cell>
          <cell r="K487">
            <v>1969280</v>
          </cell>
        </row>
        <row r="488">
          <cell r="C488" t="str">
            <v>Kas Harian</v>
          </cell>
          <cell r="D488">
            <v>7</v>
          </cell>
          <cell r="L488">
            <v>1969280</v>
          </cell>
        </row>
        <row r="489">
          <cell r="C489" t="str">
            <v>Pemby upah kary bor per 30- 6 juli'14</v>
          </cell>
          <cell r="D489">
            <v>7</v>
          </cell>
        </row>
        <row r="490">
          <cell r="C490" t="str">
            <v>Perbaikan-Pemeliharaan Sarana Produksi, Biaya</v>
          </cell>
          <cell r="D490">
            <v>7</v>
          </cell>
          <cell r="K490">
            <v>1774000</v>
          </cell>
        </row>
        <row r="491">
          <cell r="C491" t="str">
            <v>Kas Harian</v>
          </cell>
          <cell r="D491">
            <v>7</v>
          </cell>
          <cell r="L491">
            <v>1774000</v>
          </cell>
        </row>
        <row r="492">
          <cell r="C492" t="str">
            <v>Pemb plat hitam 2 mm x 4 x 8 @ 4 lbr</v>
          </cell>
          <cell r="D492">
            <v>7</v>
          </cell>
        </row>
        <row r="493">
          <cell r="C493" t="str">
            <v>Konsumsi Karyawan, Biaya</v>
          </cell>
          <cell r="D493">
            <v>7</v>
          </cell>
          <cell r="K493">
            <v>120000</v>
          </cell>
        </row>
        <row r="494">
          <cell r="C494" t="str">
            <v>Kas Harian</v>
          </cell>
          <cell r="D494">
            <v>7</v>
          </cell>
          <cell r="L494">
            <v>120000</v>
          </cell>
        </row>
        <row r="495">
          <cell r="C495" t="str">
            <v>Pemby uang makan ramadan per 30-6 juli'14</v>
          </cell>
          <cell r="D495">
            <v>7</v>
          </cell>
        </row>
        <row r="496">
          <cell r="C496" t="str">
            <v>Claim, Biaya</v>
          </cell>
          <cell r="D496">
            <v>7</v>
          </cell>
          <cell r="K496">
            <v>4098000</v>
          </cell>
        </row>
        <row r="497">
          <cell r="C497" t="str">
            <v>Administrasi Bank, Biaya</v>
          </cell>
          <cell r="D497">
            <v>7</v>
          </cell>
          <cell r="K497">
            <v>10000</v>
          </cell>
        </row>
        <row r="498">
          <cell r="C498" t="str">
            <v>Kas Harian</v>
          </cell>
          <cell r="D498">
            <v>7</v>
          </cell>
          <cell r="L498">
            <v>4108000</v>
          </cell>
        </row>
        <row r="499">
          <cell r="C499" t="str">
            <v>Pemby refaksi pemb SHM per 14 juni'14</v>
          </cell>
          <cell r="D499">
            <v>7</v>
          </cell>
        </row>
        <row r="500">
          <cell r="C500" t="str">
            <v>Upah Bongkar &amp; Muat, Biaya</v>
          </cell>
          <cell r="D500">
            <v>7</v>
          </cell>
          <cell r="K500">
            <v>360000</v>
          </cell>
        </row>
        <row r="501">
          <cell r="C501" t="str">
            <v>Kas Harian</v>
          </cell>
          <cell r="D501">
            <v>7</v>
          </cell>
          <cell r="L501">
            <v>360000</v>
          </cell>
        </row>
        <row r="502">
          <cell r="C502" t="str">
            <v>Pemby upah muat tepung SHM @720 Colly</v>
          </cell>
          <cell r="D502">
            <v>7</v>
          </cell>
        </row>
        <row r="503">
          <cell r="C503" t="str">
            <v>Upah Borongan, Biaya</v>
          </cell>
          <cell r="D503">
            <v>7</v>
          </cell>
          <cell r="K503">
            <v>1663360</v>
          </cell>
        </row>
        <row r="504">
          <cell r="C504" t="str">
            <v>Kas Harian</v>
          </cell>
          <cell r="D504">
            <v>7</v>
          </cell>
          <cell r="L504">
            <v>1663360</v>
          </cell>
        </row>
        <row r="505">
          <cell r="C505" t="str">
            <v>Pemby upah kary borongan per 7-13 juli'14</v>
          </cell>
          <cell r="D505">
            <v>7</v>
          </cell>
        </row>
        <row r="506">
          <cell r="C506" t="str">
            <v>Konsumsi Karyawan, Biaya</v>
          </cell>
          <cell r="D506">
            <v>7</v>
          </cell>
          <cell r="K506">
            <v>175000</v>
          </cell>
        </row>
        <row r="507">
          <cell r="C507" t="str">
            <v>Kas Harian</v>
          </cell>
          <cell r="D507">
            <v>7</v>
          </cell>
          <cell r="L507">
            <v>175000</v>
          </cell>
        </row>
        <row r="508">
          <cell r="C508" t="str">
            <v>Pemby uang makan kary bulanan per 7-13 juli'14 @ 9 org</v>
          </cell>
          <cell r="D508">
            <v>7</v>
          </cell>
        </row>
        <row r="509">
          <cell r="C509" t="str">
            <v>Konsumsi Karyawan, Biaya</v>
          </cell>
          <cell r="D509">
            <v>7</v>
          </cell>
          <cell r="K509">
            <v>70000</v>
          </cell>
        </row>
        <row r="510">
          <cell r="C510" t="str">
            <v>Kas Harian</v>
          </cell>
          <cell r="D510">
            <v>7</v>
          </cell>
          <cell r="L510">
            <v>70000</v>
          </cell>
        </row>
        <row r="511">
          <cell r="C511" t="str">
            <v>Pemby uang makan kary borongan per 30 juni - 6 juli'14</v>
          </cell>
          <cell r="D511">
            <v>7</v>
          </cell>
        </row>
        <row r="512">
          <cell r="C512" t="str">
            <v>Bahan Pembantu Produksi, Biaya</v>
          </cell>
          <cell r="D512">
            <v>7</v>
          </cell>
          <cell r="K512">
            <v>14266500</v>
          </cell>
        </row>
        <row r="513">
          <cell r="C513" t="str">
            <v>Kas Harian</v>
          </cell>
          <cell r="D513">
            <v>7</v>
          </cell>
          <cell r="L513">
            <v>14266500</v>
          </cell>
        </row>
        <row r="514">
          <cell r="C514" t="str">
            <v>Pemby kayu karet @ 51.900 Kg - Bp Bakdi</v>
          </cell>
          <cell r="D514">
            <v>7</v>
          </cell>
        </row>
        <row r="515">
          <cell r="C515" t="str">
            <v>PLN, PT Persero R. Teluk Betung</v>
          </cell>
          <cell r="D515">
            <v>7</v>
          </cell>
          <cell r="K515">
            <v>4673460</v>
          </cell>
        </row>
        <row r="516">
          <cell r="C516" t="str">
            <v>Kas Harian</v>
          </cell>
          <cell r="D516">
            <v>7</v>
          </cell>
          <cell r="L516">
            <v>4673460</v>
          </cell>
        </row>
        <row r="517">
          <cell r="C517" t="str">
            <v>pemby tagihan listrik kepala udang per juni'14</v>
          </cell>
          <cell r="D517">
            <v>7</v>
          </cell>
        </row>
        <row r="518">
          <cell r="C518" t="str">
            <v>Analisa / Uji Lainnya, Biaya</v>
          </cell>
          <cell r="D518">
            <v>7</v>
          </cell>
          <cell r="K518">
            <v>210000</v>
          </cell>
        </row>
        <row r="519">
          <cell r="C519" t="str">
            <v>Kas Harian</v>
          </cell>
          <cell r="D519">
            <v>7</v>
          </cell>
          <cell r="L519">
            <v>210000</v>
          </cell>
        </row>
        <row r="520">
          <cell r="C520" t="str">
            <v>pemby jasa analisa pengujian kepala udang</v>
          </cell>
          <cell r="D520">
            <v>7</v>
          </cell>
        </row>
        <row r="521">
          <cell r="C521" t="str">
            <v>Administrasi Bank, Biaya</v>
          </cell>
          <cell r="D521">
            <v>7</v>
          </cell>
          <cell r="K521">
            <v>34000</v>
          </cell>
        </row>
        <row r="522">
          <cell r="C522" t="str">
            <v>Kas Harian</v>
          </cell>
          <cell r="D522">
            <v>7</v>
          </cell>
          <cell r="L522">
            <v>34000</v>
          </cell>
        </row>
        <row r="523">
          <cell r="C523" t="str">
            <v>Pemby by kirim tepung shm dari B.lampung - surabaya</v>
          </cell>
          <cell r="D523">
            <v>7</v>
          </cell>
        </row>
        <row r="524">
          <cell r="C524" t="str">
            <v>Tunjangan Hari Raya, Biaya</v>
          </cell>
          <cell r="D524">
            <v>7</v>
          </cell>
          <cell r="K524">
            <v>4380625</v>
          </cell>
        </row>
        <row r="525">
          <cell r="C525" t="str">
            <v>Kas Harian</v>
          </cell>
          <cell r="D525">
            <v>7</v>
          </cell>
          <cell r="L525">
            <v>4380625</v>
          </cell>
        </row>
        <row r="526">
          <cell r="C526" t="str">
            <v>Pemby THR kary kepala udang per @ 3 org</v>
          </cell>
          <cell r="D526">
            <v>7</v>
          </cell>
        </row>
        <row r="527">
          <cell r="C527" t="str">
            <v>Upah Borongan, Biaya</v>
          </cell>
          <cell r="D527">
            <v>7</v>
          </cell>
          <cell r="K527">
            <v>2450000</v>
          </cell>
        </row>
        <row r="528">
          <cell r="C528" t="str">
            <v>Kas Harian</v>
          </cell>
          <cell r="D528">
            <v>7</v>
          </cell>
          <cell r="L528">
            <v>2450000</v>
          </cell>
        </row>
        <row r="529">
          <cell r="C529" t="str">
            <v>pemby THR kary bor kepala udang</v>
          </cell>
          <cell r="D529">
            <v>7</v>
          </cell>
        </row>
        <row r="530">
          <cell r="C530" t="str">
            <v>Tunjangan Hari Raya, Biaya</v>
          </cell>
          <cell r="D530">
            <v>7</v>
          </cell>
          <cell r="K530">
            <v>3000000</v>
          </cell>
        </row>
        <row r="531">
          <cell r="C531" t="str">
            <v>Upah Borongan, Biaya</v>
          </cell>
          <cell r="D531">
            <v>7</v>
          </cell>
          <cell r="K531">
            <v>5000000</v>
          </cell>
        </row>
        <row r="532">
          <cell r="C532" t="str">
            <v>Kas Harian</v>
          </cell>
          <cell r="D532">
            <v>7</v>
          </cell>
          <cell r="L532">
            <v>8000000</v>
          </cell>
        </row>
        <row r="533">
          <cell r="C533" t="str">
            <v>Pemby zakat kary bulanan kepala udang @ 3 Org + 5 org karyawan borongan</v>
          </cell>
          <cell r="D533">
            <v>7</v>
          </cell>
        </row>
        <row r="534">
          <cell r="C534" t="str">
            <v>Upah Bongkar &amp; Muat, Biaya</v>
          </cell>
          <cell r="D534">
            <v>7</v>
          </cell>
          <cell r="K534">
            <v>33000</v>
          </cell>
        </row>
        <row r="535">
          <cell r="C535" t="str">
            <v>Kas Harian</v>
          </cell>
          <cell r="D535">
            <v>7</v>
          </cell>
          <cell r="L535">
            <v>33000</v>
          </cell>
        </row>
        <row r="536">
          <cell r="C536" t="str">
            <v>Pemby by kirim tepung SHm dari lampung ke malang</v>
          </cell>
          <cell r="D536">
            <v>7</v>
          </cell>
        </row>
        <row r="537">
          <cell r="C537" t="str">
            <v>Perbaikan &amp; Pemeliharaan Peralatan Kantor, Biaya</v>
          </cell>
          <cell r="D537">
            <v>7</v>
          </cell>
          <cell r="K537">
            <v>700000</v>
          </cell>
        </row>
        <row r="538">
          <cell r="C538" t="str">
            <v>Kas Harian</v>
          </cell>
          <cell r="D538">
            <v>7</v>
          </cell>
          <cell r="L538">
            <v>700000</v>
          </cell>
        </row>
        <row r="539">
          <cell r="C539" t="str">
            <v>Pemby by service printer epson</v>
          </cell>
          <cell r="D539">
            <v>7</v>
          </cell>
        </row>
        <row r="540">
          <cell r="C540" t="str">
            <v>Lanny</v>
          </cell>
          <cell r="D540">
            <v>7</v>
          </cell>
          <cell r="K540">
            <v>6528000</v>
          </cell>
        </row>
        <row r="541">
          <cell r="C541" t="str">
            <v>Kas Harian</v>
          </cell>
          <cell r="D541">
            <v>7</v>
          </cell>
          <cell r="L541">
            <v>6528000</v>
          </cell>
        </row>
        <row r="542">
          <cell r="C542" t="str">
            <v>Pemby pengembalian lebih bayar pembelian SHM</v>
          </cell>
          <cell r="D542">
            <v>7</v>
          </cell>
        </row>
        <row r="543">
          <cell r="C543" t="str">
            <v>Bahan Pembantu Produksi, Biaya</v>
          </cell>
          <cell r="D543">
            <v>7</v>
          </cell>
          <cell r="K543">
            <v>1294000</v>
          </cell>
        </row>
        <row r="544">
          <cell r="C544" t="str">
            <v>Kas Harian</v>
          </cell>
          <cell r="D544">
            <v>7</v>
          </cell>
          <cell r="L544">
            <v>1294000</v>
          </cell>
        </row>
        <row r="545">
          <cell r="C545" t="str">
            <v>Pemby pembelian karung bekas @ 1000 lbr</v>
          </cell>
          <cell r="D545">
            <v>7</v>
          </cell>
        </row>
        <row r="546">
          <cell r="C546" t="str">
            <v>Biaya Yang Masih Harus Dibayar</v>
          </cell>
          <cell r="D546">
            <v>7</v>
          </cell>
          <cell r="K546">
            <v>180000</v>
          </cell>
        </row>
        <row r="547">
          <cell r="C547" t="str">
            <v>Kas Harian</v>
          </cell>
          <cell r="D547">
            <v>7</v>
          </cell>
          <cell r="L547">
            <v>180000</v>
          </cell>
        </row>
        <row r="548">
          <cell r="C548" t="str">
            <v>Pemby uang makan kary kepala udang per 14 - 20 juli'14</v>
          </cell>
          <cell r="D548">
            <v>7</v>
          </cell>
        </row>
        <row r="549">
          <cell r="C549" t="str">
            <v>Biaya Yang Masih Harus Dibayar</v>
          </cell>
          <cell r="D549">
            <v>7</v>
          </cell>
          <cell r="K549">
            <v>2889280</v>
          </cell>
        </row>
        <row r="550">
          <cell r="C550" t="str">
            <v>Kas Harian</v>
          </cell>
          <cell r="D550">
            <v>7</v>
          </cell>
          <cell r="L550">
            <v>2889280</v>
          </cell>
        </row>
        <row r="551">
          <cell r="C551" t="str">
            <v>Pemby upah karyawan borongan kepala udang per 14 - 20 juli'14</v>
          </cell>
          <cell r="D551">
            <v>7</v>
          </cell>
        </row>
        <row r="552">
          <cell r="C552" t="str">
            <v>Bahan Pembantu Produksi, Biaya</v>
          </cell>
          <cell r="D552">
            <v>7</v>
          </cell>
          <cell r="K552">
            <v>1294000</v>
          </cell>
        </row>
        <row r="553">
          <cell r="C553" t="str">
            <v>Kas Harian</v>
          </cell>
          <cell r="D553">
            <v>7</v>
          </cell>
          <cell r="L553">
            <v>1294000</v>
          </cell>
        </row>
        <row r="554">
          <cell r="C554" t="str">
            <v>Pmby pembelian karung plastik bekas</v>
          </cell>
          <cell r="D554">
            <v>7</v>
          </cell>
        </row>
        <row r="555">
          <cell r="C555" t="str">
            <v>Biaya Yang Masih Harus Dibayar</v>
          </cell>
          <cell r="D555">
            <v>7</v>
          </cell>
          <cell r="K555">
            <v>476480</v>
          </cell>
        </row>
        <row r="556">
          <cell r="C556" t="str">
            <v>Kas Harian</v>
          </cell>
          <cell r="D556">
            <v>7</v>
          </cell>
          <cell r="L556">
            <v>476480</v>
          </cell>
        </row>
        <row r="557">
          <cell r="C557" t="str">
            <v>Pemby upah borongan kepala udang per 21-22 juli'14</v>
          </cell>
          <cell r="D557">
            <v>7</v>
          </cell>
        </row>
        <row r="558">
          <cell r="C558" t="str">
            <v>Biaya Yang Masih Harus Dibayar</v>
          </cell>
          <cell r="D558">
            <v>7</v>
          </cell>
          <cell r="K558">
            <v>4392313</v>
          </cell>
        </row>
        <row r="559">
          <cell r="C559" t="str">
            <v>Kas Harian</v>
          </cell>
          <cell r="D559">
            <v>7</v>
          </cell>
          <cell r="L559">
            <v>4392313</v>
          </cell>
        </row>
        <row r="560">
          <cell r="C560" t="str">
            <v>Pembyaran gaji karyawan kepal udang per juli'14</v>
          </cell>
          <cell r="D560">
            <v>7</v>
          </cell>
        </row>
        <row r="561">
          <cell r="C561" t="str">
            <v>Bahan Pembantu Produksi, Biaya</v>
          </cell>
          <cell r="D561">
            <v>7</v>
          </cell>
          <cell r="K561">
            <v>3786250</v>
          </cell>
        </row>
        <row r="562">
          <cell r="C562" t="str">
            <v>Kas Harian</v>
          </cell>
          <cell r="D562">
            <v>7</v>
          </cell>
          <cell r="L562">
            <v>3786250</v>
          </cell>
        </row>
        <row r="563">
          <cell r="C563" t="str">
            <v>Pemby pembelian kayu karet @ 13.790 Kg, Tgl 18/7/14</v>
          </cell>
          <cell r="D563">
            <v>7</v>
          </cell>
        </row>
        <row r="564">
          <cell r="C564" t="str">
            <v>Biaya Yang Masih Harus Dibayar</v>
          </cell>
          <cell r="D564">
            <v>8</v>
          </cell>
          <cell r="K564">
            <v>289897</v>
          </cell>
        </row>
        <row r="565">
          <cell r="C565" t="str">
            <v>Kas Harian</v>
          </cell>
          <cell r="D565">
            <v>8</v>
          </cell>
          <cell r="L565">
            <v>289897</v>
          </cell>
        </row>
        <row r="566">
          <cell r="C566" t="str">
            <v>Pemby iuran bulan juli'14 @ 3 Org</v>
          </cell>
          <cell r="D566">
            <v>8</v>
          </cell>
        </row>
        <row r="567">
          <cell r="C567" t="str">
            <v>Biaya Yang Masih Harus Dibayar</v>
          </cell>
          <cell r="D567">
            <v>8</v>
          </cell>
          <cell r="K567">
            <v>1207360</v>
          </cell>
        </row>
        <row r="568">
          <cell r="C568" t="str">
            <v>Kas Harian</v>
          </cell>
          <cell r="D568">
            <v>8</v>
          </cell>
          <cell r="L568">
            <v>1207360</v>
          </cell>
        </row>
        <row r="569">
          <cell r="C569" t="str">
            <v>Pemby upah karyawan borongan per 23-27 juli'14</v>
          </cell>
          <cell r="D569">
            <v>8</v>
          </cell>
        </row>
        <row r="570">
          <cell r="C570" t="str">
            <v>BPJS/Jamsostek,Biaya</v>
          </cell>
          <cell r="D570">
            <v>8</v>
          </cell>
          <cell r="K570">
            <v>189338</v>
          </cell>
        </row>
        <row r="571">
          <cell r="C571" t="str">
            <v>Kas Harian</v>
          </cell>
          <cell r="D571">
            <v>8</v>
          </cell>
          <cell r="L571">
            <v>189338</v>
          </cell>
        </row>
        <row r="572">
          <cell r="C572" t="str">
            <v>Pemby iuran per agustus'14 @ 3 Org</v>
          </cell>
          <cell r="D572">
            <v>8</v>
          </cell>
        </row>
        <row r="573">
          <cell r="C573" t="str">
            <v>Biaya Yang Masih Harus Dibayar</v>
          </cell>
          <cell r="D573">
            <v>8</v>
          </cell>
          <cell r="K573">
            <v>170000</v>
          </cell>
        </row>
        <row r="574">
          <cell r="C574" t="str">
            <v>Kas Harian</v>
          </cell>
          <cell r="D574">
            <v>8</v>
          </cell>
          <cell r="L574">
            <v>170000</v>
          </cell>
        </row>
        <row r="575">
          <cell r="C575" t="str">
            <v>Pemby uang makan per 21-27 juli'14 @ 9 Org</v>
          </cell>
          <cell r="D575">
            <v>8</v>
          </cell>
        </row>
        <row r="576">
          <cell r="C576" t="str">
            <v>Upah Borongan, Biaya</v>
          </cell>
          <cell r="D576">
            <v>8</v>
          </cell>
          <cell r="K576">
            <v>1072960</v>
          </cell>
        </row>
        <row r="577">
          <cell r="C577" t="str">
            <v>Kas Harian</v>
          </cell>
          <cell r="D577">
            <v>8</v>
          </cell>
          <cell r="L577">
            <v>1072960</v>
          </cell>
        </row>
        <row r="578">
          <cell r="C578" t="str">
            <v>Pemby upah per 4-10 agustus'14 utk karyawan borongan kepala udang</v>
          </cell>
          <cell r="D578">
            <v>8</v>
          </cell>
        </row>
        <row r="579">
          <cell r="C579" t="str">
            <v>PLN, PT Persero R. Teluk Betung</v>
          </cell>
          <cell r="D579">
            <v>8</v>
          </cell>
          <cell r="K579">
            <v>3987200</v>
          </cell>
        </row>
        <row r="580">
          <cell r="C580" t="str">
            <v>Kas Harian</v>
          </cell>
          <cell r="D580">
            <v>8</v>
          </cell>
          <cell r="L580">
            <v>3987200</v>
          </cell>
        </row>
        <row r="581">
          <cell r="C581" t="str">
            <v>Pemby tagihan listrik per bulan juli'14 utk kepala udang</v>
          </cell>
          <cell r="D581">
            <v>8</v>
          </cell>
        </row>
        <row r="582">
          <cell r="C582" t="str">
            <v>Perbaikan &amp; Pemeliharaan Mesin, Biaya</v>
          </cell>
          <cell r="D582">
            <v>8</v>
          </cell>
          <cell r="K582">
            <v>280000</v>
          </cell>
        </row>
        <row r="583">
          <cell r="C583" t="str">
            <v>Kas Harian</v>
          </cell>
          <cell r="D583">
            <v>8</v>
          </cell>
          <cell r="L583">
            <v>280000</v>
          </cell>
        </row>
        <row r="584">
          <cell r="C584" t="str">
            <v>Pemby baut + Karet sambungan pompa @ 10 Pcs</v>
          </cell>
          <cell r="D584">
            <v>8</v>
          </cell>
        </row>
        <row r="585">
          <cell r="C585" t="str">
            <v>Bonus, Biaya</v>
          </cell>
          <cell r="D585">
            <v>8</v>
          </cell>
          <cell r="K585">
            <v>3050000</v>
          </cell>
        </row>
        <row r="586">
          <cell r="C586" t="str">
            <v>Kas Harian</v>
          </cell>
          <cell r="D586">
            <v>8</v>
          </cell>
          <cell r="L586">
            <v>3050000</v>
          </cell>
        </row>
        <row r="587">
          <cell r="C587" t="str">
            <v>Pemby bonus karyawan kepala udang bulanan</v>
          </cell>
          <cell r="D587">
            <v>8</v>
          </cell>
        </row>
        <row r="588">
          <cell r="C588" t="str">
            <v>Upah Borongan, Biaya</v>
          </cell>
          <cell r="D588">
            <v>8</v>
          </cell>
          <cell r="K588">
            <v>2380000</v>
          </cell>
        </row>
        <row r="589">
          <cell r="C589" t="str">
            <v>Kas Harian</v>
          </cell>
          <cell r="D589">
            <v>8</v>
          </cell>
          <cell r="L589">
            <v>2380000</v>
          </cell>
        </row>
        <row r="590">
          <cell r="C590" t="str">
            <v>Pemby bonus karyawan borongan kepala udang</v>
          </cell>
          <cell r="D590">
            <v>8</v>
          </cell>
        </row>
        <row r="591">
          <cell r="C591" t="str">
            <v>Upah Bongkar &amp; Muat, Biaya</v>
          </cell>
          <cell r="D591">
            <v>8</v>
          </cell>
          <cell r="K591">
            <v>379000</v>
          </cell>
        </row>
        <row r="592">
          <cell r="C592" t="str">
            <v>Kas Harian</v>
          </cell>
          <cell r="D592">
            <v>8</v>
          </cell>
          <cell r="L592">
            <v>379000</v>
          </cell>
        </row>
        <row r="593">
          <cell r="C593" t="str">
            <v>Pemby muat tepung SHM @ 758 Colly utk di jual ke matahari sakti</v>
          </cell>
          <cell r="D593">
            <v>8</v>
          </cell>
        </row>
        <row r="594">
          <cell r="C594" t="str">
            <v>Konsumsi Karyawan, Biaya</v>
          </cell>
          <cell r="D594">
            <v>8</v>
          </cell>
          <cell r="K594">
            <v>145000</v>
          </cell>
        </row>
        <row r="595">
          <cell r="C595" t="str">
            <v>Kas Harian</v>
          </cell>
          <cell r="D595">
            <v>8</v>
          </cell>
          <cell r="L595">
            <v>145000</v>
          </cell>
        </row>
        <row r="596">
          <cell r="C596" t="str">
            <v>Pemby konsumsi kary kep udang per 4-9 agustus'14 @ 29 org</v>
          </cell>
          <cell r="D596">
            <v>8</v>
          </cell>
        </row>
        <row r="597">
          <cell r="C597" t="str">
            <v>Upah Borongan, Biaya</v>
          </cell>
          <cell r="D597">
            <v>8</v>
          </cell>
          <cell r="K597">
            <v>2609600</v>
          </cell>
        </row>
        <row r="598">
          <cell r="C598" t="str">
            <v>Kas Harian</v>
          </cell>
          <cell r="D598">
            <v>8</v>
          </cell>
          <cell r="L598">
            <v>2609600</v>
          </cell>
        </row>
        <row r="599">
          <cell r="C599" t="str">
            <v>pembyupah karyawan borongan per 11-17 agustus 2014</v>
          </cell>
          <cell r="D599">
            <v>8</v>
          </cell>
        </row>
        <row r="600">
          <cell r="C600" t="str">
            <v>Konsumsi Karyawan, Biaya</v>
          </cell>
          <cell r="D600">
            <v>8</v>
          </cell>
          <cell r="K600">
            <v>270000</v>
          </cell>
        </row>
        <row r="601">
          <cell r="C601" t="str">
            <v>Kas Harian</v>
          </cell>
          <cell r="D601">
            <v>8</v>
          </cell>
          <cell r="L601">
            <v>270000</v>
          </cell>
        </row>
        <row r="602">
          <cell r="C602" t="str">
            <v>Pemby konsumsi kary tgl 11-16 agustus'14 @ 54 org</v>
          </cell>
          <cell r="D602">
            <v>8</v>
          </cell>
        </row>
        <row r="603">
          <cell r="C603" t="str">
            <v>Upah Borongan, Biaya</v>
          </cell>
          <cell r="D603">
            <v>8</v>
          </cell>
          <cell r="K603">
            <v>1478400</v>
          </cell>
        </row>
        <row r="604">
          <cell r="C604" t="str">
            <v>Kas Harian</v>
          </cell>
          <cell r="D604">
            <v>8</v>
          </cell>
          <cell r="L604">
            <v>1478400</v>
          </cell>
        </row>
        <row r="605">
          <cell r="C605" t="str">
            <v>Pemby upah per 18-24 agustus'14 u/ Karyawan kepala udang</v>
          </cell>
          <cell r="D605">
            <v>8</v>
          </cell>
        </row>
        <row r="606">
          <cell r="C606" t="str">
            <v>Konsumsi Karyawan, Biaya</v>
          </cell>
          <cell r="D606">
            <v>8</v>
          </cell>
          <cell r="K606">
            <v>175000</v>
          </cell>
        </row>
        <row r="607">
          <cell r="C607" t="str">
            <v>Kas Harian</v>
          </cell>
          <cell r="D607">
            <v>8</v>
          </cell>
          <cell r="L607">
            <v>175000</v>
          </cell>
        </row>
        <row r="608">
          <cell r="C608" t="str">
            <v>Pemby konsumsi kary kepala udang per 18-23 agustus'14 @ 35 org</v>
          </cell>
          <cell r="D608">
            <v>8</v>
          </cell>
        </row>
        <row r="609">
          <cell r="C609" t="str">
            <v>Biaya Yang Masih Harus Dibayar</v>
          </cell>
          <cell r="D609">
            <v>8</v>
          </cell>
          <cell r="K609">
            <v>4442313</v>
          </cell>
        </row>
        <row r="610">
          <cell r="C610" t="str">
            <v>Kas Harian</v>
          </cell>
          <cell r="D610">
            <v>8</v>
          </cell>
          <cell r="L610">
            <v>4442313</v>
          </cell>
        </row>
        <row r="611">
          <cell r="C611" t="str">
            <v>Pemby gaji karyawan kepala udang per agustus'14 @ 3 Org</v>
          </cell>
          <cell r="D611">
            <v>8</v>
          </cell>
        </row>
        <row r="612">
          <cell r="C612" t="str">
            <v>BPJS/Jamsostek,Biaya</v>
          </cell>
          <cell r="D612">
            <v>8</v>
          </cell>
          <cell r="K612">
            <v>289897</v>
          </cell>
        </row>
        <row r="613">
          <cell r="C613" t="str">
            <v>Kas Harian</v>
          </cell>
          <cell r="D613">
            <v>8</v>
          </cell>
          <cell r="L613">
            <v>289897</v>
          </cell>
        </row>
        <row r="614">
          <cell r="C614" t="str">
            <v>Pemby iuran bulan agustus'14 karyawan bulanan</v>
          </cell>
          <cell r="D614">
            <v>8</v>
          </cell>
        </row>
        <row r="615">
          <cell r="C615" t="str">
            <v>Perbaikan &amp; Pemeliharaan Mesin, Biaya</v>
          </cell>
          <cell r="D615">
            <v>9</v>
          </cell>
          <cell r="K615">
            <v>50000</v>
          </cell>
        </row>
        <row r="616">
          <cell r="C616" t="str">
            <v>Kas Harian</v>
          </cell>
          <cell r="D616">
            <v>9</v>
          </cell>
          <cell r="L616">
            <v>50000</v>
          </cell>
        </row>
        <row r="617">
          <cell r="C617" t="str">
            <v>Pemby lem silicon putih @ 2 pcs, utk perbaikan boiler &amp; spare part tgl 24/7/14</v>
          </cell>
          <cell r="D617">
            <v>9</v>
          </cell>
        </row>
        <row r="618">
          <cell r="C618" t="str">
            <v>Biaya Yang Masih Harus Dibayar</v>
          </cell>
          <cell r="D618">
            <v>9</v>
          </cell>
          <cell r="K618">
            <v>1577920</v>
          </cell>
        </row>
        <row r="619">
          <cell r="C619" t="str">
            <v>Kas Harian</v>
          </cell>
          <cell r="D619">
            <v>9</v>
          </cell>
          <cell r="L619">
            <v>1577920</v>
          </cell>
        </row>
        <row r="620">
          <cell r="C620" t="str">
            <v>Pemby upah karyawan borongan kepala udang per 25-31 agustus'14</v>
          </cell>
          <cell r="D620">
            <v>9</v>
          </cell>
        </row>
        <row r="621">
          <cell r="C621" t="str">
            <v>Bogasari Flour Mills</v>
          </cell>
          <cell r="D621">
            <v>9</v>
          </cell>
          <cell r="K621">
            <v>96307200</v>
          </cell>
        </row>
        <row r="622">
          <cell r="C622" t="str">
            <v>Kas Harian</v>
          </cell>
          <cell r="D622">
            <v>9</v>
          </cell>
          <cell r="L622">
            <v>96307200</v>
          </cell>
        </row>
        <row r="623">
          <cell r="C623" t="str">
            <v>PEMBY TERIGU LENCANA MERAH @ 18.000 KG</v>
          </cell>
          <cell r="D623">
            <v>9</v>
          </cell>
        </row>
        <row r="624">
          <cell r="C624" t="str">
            <v>Bogasari Flour Mills</v>
          </cell>
          <cell r="D624">
            <v>9</v>
          </cell>
          <cell r="K624">
            <v>96307200</v>
          </cell>
        </row>
        <row r="625">
          <cell r="C625" t="str">
            <v>Kas Harian</v>
          </cell>
          <cell r="D625">
            <v>9</v>
          </cell>
          <cell r="L625">
            <v>96307200</v>
          </cell>
        </row>
        <row r="626">
          <cell r="C626" t="str">
            <v>PEMBY TERIGU LENCANA MERAH @ 18000 KG</v>
          </cell>
          <cell r="D626">
            <v>9</v>
          </cell>
        </row>
        <row r="627">
          <cell r="C627" t="str">
            <v>Surat-Surat Perizinan, Biaya</v>
          </cell>
          <cell r="D627">
            <v>9</v>
          </cell>
          <cell r="K627">
            <v>25000</v>
          </cell>
        </row>
        <row r="628">
          <cell r="C628" t="str">
            <v>Kas Harian</v>
          </cell>
          <cell r="D628">
            <v>9</v>
          </cell>
          <cell r="L628">
            <v>25000</v>
          </cell>
        </row>
        <row r="629">
          <cell r="C629" t="str">
            <v>PEMBY PENCATATAN &amp; PENGESAHAN KONTRAK KERJA @ 1 ORANG - EKA SETIAWATI</v>
          </cell>
          <cell r="D629">
            <v>9</v>
          </cell>
        </row>
        <row r="630">
          <cell r="C630" t="str">
            <v>Biaya Yang Masih Harus Dibayar</v>
          </cell>
          <cell r="D630">
            <v>9</v>
          </cell>
          <cell r="K630">
            <v>165000</v>
          </cell>
        </row>
        <row r="631">
          <cell r="C631" t="str">
            <v>Kas Harian</v>
          </cell>
          <cell r="D631">
            <v>9</v>
          </cell>
          <cell r="L631">
            <v>165000</v>
          </cell>
        </row>
        <row r="632">
          <cell r="C632" t="str">
            <v>PEMBY KONSUMSI KARYAWAN KEPALA UDANG PER 25-29 AGUSTUS'14 @ 33 ORG</v>
          </cell>
          <cell r="D632">
            <v>9</v>
          </cell>
        </row>
        <row r="633">
          <cell r="C633" t="str">
            <v>Administrasi Bank, Biaya</v>
          </cell>
          <cell r="D633">
            <v>9</v>
          </cell>
          <cell r="K633">
            <v>33000</v>
          </cell>
        </row>
        <row r="634">
          <cell r="C634" t="str">
            <v>Kas Harian</v>
          </cell>
          <cell r="D634">
            <v>9</v>
          </cell>
          <cell r="L634">
            <v>33000</v>
          </cell>
        </row>
        <row r="635">
          <cell r="C635" t="str">
            <v>PEMBY BY KIRIM INVOICE SHM</v>
          </cell>
          <cell r="D635">
            <v>9</v>
          </cell>
        </row>
        <row r="636">
          <cell r="C636" t="str">
            <v>BPJS/Jamsostek,Biaya</v>
          </cell>
          <cell r="D636">
            <v>9</v>
          </cell>
          <cell r="K636">
            <v>189338</v>
          </cell>
        </row>
        <row r="637">
          <cell r="C637" t="str">
            <v>Kas Harian</v>
          </cell>
          <cell r="D637">
            <v>9</v>
          </cell>
          <cell r="L637">
            <v>189338</v>
          </cell>
        </row>
        <row r="638">
          <cell r="C638" t="str">
            <v>PEMBY IURAN KARYAWAN KEPALA UDANG PER SEPTEMBER'14</v>
          </cell>
          <cell r="D638">
            <v>9</v>
          </cell>
        </row>
        <row r="639">
          <cell r="C639" t="str">
            <v>Perlengkapan Sarana Produksi, Biaya</v>
          </cell>
          <cell r="D639">
            <v>9</v>
          </cell>
          <cell r="K639">
            <v>14362750</v>
          </cell>
        </row>
        <row r="640">
          <cell r="C640" t="str">
            <v>Kas Harian</v>
          </cell>
          <cell r="D640">
            <v>9</v>
          </cell>
          <cell r="L640">
            <v>14362750</v>
          </cell>
        </row>
        <row r="641">
          <cell r="C641" t="str">
            <v>PEMBY KAYU KARET @ 52.250 KG, - Bp BAKDI</v>
          </cell>
          <cell r="D641">
            <v>9</v>
          </cell>
        </row>
        <row r="642">
          <cell r="C642" t="str">
            <v>Upah Borongan, Biaya</v>
          </cell>
          <cell r="D642">
            <v>9</v>
          </cell>
          <cell r="K642">
            <v>1018240</v>
          </cell>
        </row>
        <row r="643">
          <cell r="C643" t="str">
            <v>Kas Harian</v>
          </cell>
          <cell r="D643">
            <v>9</v>
          </cell>
          <cell r="L643">
            <v>1018240</v>
          </cell>
        </row>
        <row r="644">
          <cell r="C644" t="str">
            <v>PEMBY UPAH BORONGAN KARYAWAN KEPALA UDANG PER 1-7 SEPTEMBER'14</v>
          </cell>
          <cell r="D644">
            <v>9</v>
          </cell>
        </row>
        <row r="645">
          <cell r="C645" t="str">
            <v>Konsumsi Karyawan, Biaya</v>
          </cell>
          <cell r="D645">
            <v>9</v>
          </cell>
          <cell r="K645">
            <v>165000</v>
          </cell>
        </row>
        <row r="646">
          <cell r="C646" t="str">
            <v>Kas Harian</v>
          </cell>
          <cell r="D646">
            <v>9</v>
          </cell>
          <cell r="L646">
            <v>165000</v>
          </cell>
        </row>
        <row r="647">
          <cell r="C647" t="str">
            <v>PEMBY KONSUMSI KARYAWAN KEPALA UDANG PER 1-6 SEP'14</v>
          </cell>
          <cell r="D647">
            <v>9</v>
          </cell>
        </row>
        <row r="648">
          <cell r="C648" t="str">
            <v>Upah Bongkar &amp; Muat, Biaya</v>
          </cell>
          <cell r="D648">
            <v>9</v>
          </cell>
          <cell r="K648">
            <v>371500</v>
          </cell>
        </row>
        <row r="649">
          <cell r="C649" t="str">
            <v>Kas Harian</v>
          </cell>
          <cell r="D649">
            <v>9</v>
          </cell>
          <cell r="L649">
            <v>371500</v>
          </cell>
        </row>
        <row r="650">
          <cell r="C650" t="str">
            <v>PEMBY MUAT TEPUNG KEPAL UDANG @ 743 COLLY - BORONGAN ICP</v>
          </cell>
          <cell r="D650">
            <v>9</v>
          </cell>
        </row>
        <row r="651">
          <cell r="C651" t="str">
            <v>Upah Borongan, Biaya</v>
          </cell>
          <cell r="D651">
            <v>9</v>
          </cell>
          <cell r="K651">
            <v>2087040</v>
          </cell>
        </row>
        <row r="652">
          <cell r="C652" t="str">
            <v>Kas Harian</v>
          </cell>
          <cell r="D652">
            <v>9</v>
          </cell>
          <cell r="L652">
            <v>2087040</v>
          </cell>
        </row>
        <row r="653">
          <cell r="C653" t="str">
            <v>PEMBY UPAH PER 8-14 SEPTEMBER'14</v>
          </cell>
          <cell r="D653">
            <v>9</v>
          </cell>
        </row>
        <row r="654">
          <cell r="C654" t="str">
            <v>Konsumsi Karyawan, Biaya</v>
          </cell>
          <cell r="D654">
            <v>9</v>
          </cell>
          <cell r="K654">
            <v>270000</v>
          </cell>
        </row>
        <row r="655">
          <cell r="C655" t="str">
            <v>Kas Harian</v>
          </cell>
          <cell r="D655">
            <v>9</v>
          </cell>
          <cell r="L655">
            <v>270000</v>
          </cell>
        </row>
        <row r="656">
          <cell r="C656" t="str">
            <v>PEMBY KONSUMSI KARY KEPALA UDANG PER 8-13 SEPTEMBER'14</v>
          </cell>
          <cell r="D656">
            <v>9</v>
          </cell>
        </row>
        <row r="657">
          <cell r="C657" t="str">
            <v>Surat-Surat Perizinan, Biaya</v>
          </cell>
          <cell r="D657">
            <v>9</v>
          </cell>
          <cell r="K657">
            <v>33000</v>
          </cell>
        </row>
        <row r="658">
          <cell r="C658" t="str">
            <v>Kas Harian</v>
          </cell>
          <cell r="D658">
            <v>9</v>
          </cell>
          <cell r="L658">
            <v>33000</v>
          </cell>
        </row>
        <row r="659">
          <cell r="C659" t="str">
            <v>PEMBY BY KIRIM FAKTUR PAJAK PEMB SHM</v>
          </cell>
          <cell r="D659">
            <v>9</v>
          </cell>
        </row>
        <row r="660">
          <cell r="C660" t="str">
            <v>Perbaikan &amp; Pemeliharaan Mesin, Biaya</v>
          </cell>
          <cell r="D660">
            <v>9</v>
          </cell>
          <cell r="K660">
            <v>120000</v>
          </cell>
        </row>
        <row r="661">
          <cell r="C661" t="str">
            <v>Kas Harian</v>
          </cell>
          <cell r="D661">
            <v>9</v>
          </cell>
          <cell r="L661">
            <v>120000</v>
          </cell>
        </row>
        <row r="662">
          <cell r="C662" t="str">
            <v>PEMBY BM BAJA 5/8 X 2" &amp; BM BAJA 3/8 X 2 1/2 " UTK PERBAIKA BOILER</v>
          </cell>
          <cell r="D662">
            <v>9</v>
          </cell>
        </row>
        <row r="663">
          <cell r="C663" t="str">
            <v>PLN, PT Persero R. Teluk Betung</v>
          </cell>
          <cell r="D663">
            <v>9</v>
          </cell>
          <cell r="K663">
            <v>3933440</v>
          </cell>
        </row>
        <row r="664">
          <cell r="C664" t="str">
            <v>Kas Harian</v>
          </cell>
          <cell r="D664">
            <v>9</v>
          </cell>
          <cell r="L664">
            <v>3933440</v>
          </cell>
        </row>
        <row r="665">
          <cell r="C665" t="str">
            <v>PEMBY TAGIHAN LISTRIK PER BULAN AGUSTUS'14</v>
          </cell>
          <cell r="D665">
            <v>9</v>
          </cell>
        </row>
        <row r="666">
          <cell r="C666" t="str">
            <v>Upah Borongan, Biaya</v>
          </cell>
          <cell r="D666">
            <v>9</v>
          </cell>
          <cell r="K666">
            <v>996800</v>
          </cell>
        </row>
        <row r="667">
          <cell r="C667" t="str">
            <v>Kas Harian</v>
          </cell>
          <cell r="D667">
            <v>9</v>
          </cell>
          <cell r="L667">
            <v>996800</v>
          </cell>
        </row>
        <row r="668">
          <cell r="C668" t="str">
            <v>PEMBY UPAH PER 15-21 SEP'14</v>
          </cell>
          <cell r="D668">
            <v>9</v>
          </cell>
        </row>
        <row r="669">
          <cell r="C669" t="str">
            <v>Konsumsi Karyawan, Biaya</v>
          </cell>
          <cell r="D669">
            <v>9</v>
          </cell>
          <cell r="K669">
            <v>190000</v>
          </cell>
        </row>
        <row r="670">
          <cell r="C670" t="str">
            <v>Kas Harian</v>
          </cell>
          <cell r="D670">
            <v>9</v>
          </cell>
          <cell r="L670">
            <v>190000</v>
          </cell>
        </row>
        <row r="671">
          <cell r="C671" t="str">
            <v>Pemby konsumsi karyawan Per 15-20 Sep'14</v>
          </cell>
          <cell r="D671">
            <v>9</v>
          </cell>
        </row>
        <row r="672">
          <cell r="C672" t="str">
            <v>Biaya Yang Masih Harus Dibayar</v>
          </cell>
          <cell r="D672">
            <v>9</v>
          </cell>
          <cell r="K672">
            <v>4212713</v>
          </cell>
        </row>
        <row r="673">
          <cell r="C673" t="str">
            <v>Kas Harian</v>
          </cell>
          <cell r="D673">
            <v>9</v>
          </cell>
          <cell r="L673">
            <v>4212713</v>
          </cell>
        </row>
        <row r="674">
          <cell r="C674" t="str">
            <v>Pemby gaji karyawan kepala udang per sep'14</v>
          </cell>
          <cell r="D674">
            <v>9</v>
          </cell>
        </row>
        <row r="675">
          <cell r="C675" t="str">
            <v>Biaya Yang Masih Harus Dibayar</v>
          </cell>
          <cell r="D675">
            <v>9</v>
          </cell>
          <cell r="K675">
            <v>2090240</v>
          </cell>
        </row>
        <row r="676">
          <cell r="C676" t="str">
            <v>Kas Harian</v>
          </cell>
          <cell r="D676">
            <v>9</v>
          </cell>
          <cell r="L676">
            <v>2090240</v>
          </cell>
        </row>
        <row r="677">
          <cell r="C677" t="str">
            <v>Pemby upah per 22-28 sep'14</v>
          </cell>
          <cell r="D677">
            <v>9</v>
          </cell>
        </row>
        <row r="678">
          <cell r="C678" t="str">
            <v>Biaya Yang Masih Harus Dibayar</v>
          </cell>
          <cell r="D678">
            <v>10</v>
          </cell>
          <cell r="K678">
            <v>289897</v>
          </cell>
        </row>
        <row r="679">
          <cell r="C679" t="str">
            <v>Kas Harian</v>
          </cell>
          <cell r="D679">
            <v>10</v>
          </cell>
          <cell r="L679">
            <v>289897</v>
          </cell>
        </row>
        <row r="680">
          <cell r="C680" t="str">
            <v>Pemby iuran bulan sep'14</v>
          </cell>
          <cell r="D680">
            <v>10</v>
          </cell>
        </row>
        <row r="681">
          <cell r="C681" t="str">
            <v>Biaya Yang Masih Harus Dibayar</v>
          </cell>
          <cell r="D681">
            <v>10</v>
          </cell>
          <cell r="K681">
            <v>260000</v>
          </cell>
        </row>
        <row r="682">
          <cell r="C682" t="str">
            <v>Kas Harian</v>
          </cell>
          <cell r="D682">
            <v>10</v>
          </cell>
          <cell r="L682">
            <v>260000</v>
          </cell>
        </row>
        <row r="683">
          <cell r="C683" t="str">
            <v>Pemby konsumsi karyawan kepala udang per 22-27 sep'14</v>
          </cell>
          <cell r="D683">
            <v>10</v>
          </cell>
        </row>
        <row r="684">
          <cell r="C684" t="str">
            <v>Perlengkapan Sarana Produksi, Biaya</v>
          </cell>
          <cell r="D684">
            <v>10</v>
          </cell>
          <cell r="K684">
            <v>80000</v>
          </cell>
        </row>
        <row r="685">
          <cell r="C685" t="str">
            <v>Kas Harian</v>
          </cell>
          <cell r="D685">
            <v>10</v>
          </cell>
          <cell r="L685">
            <v>80000</v>
          </cell>
        </row>
        <row r="686">
          <cell r="C686" t="str">
            <v>Pemby sapu senar nagata @ 4 Pcs</v>
          </cell>
          <cell r="D686">
            <v>10</v>
          </cell>
        </row>
        <row r="687">
          <cell r="C687" t="str">
            <v>Biaya Yang Masih Harus Dibayar</v>
          </cell>
          <cell r="D687">
            <v>10</v>
          </cell>
          <cell r="K687">
            <v>1845120</v>
          </cell>
        </row>
        <row r="688">
          <cell r="C688" t="str">
            <v>Kas Harian</v>
          </cell>
          <cell r="D688">
            <v>10</v>
          </cell>
          <cell r="L688">
            <v>1845120</v>
          </cell>
        </row>
        <row r="689">
          <cell r="C689" t="str">
            <v>Pemby karyawan borongan kepala udang per 29-5 okt'14</v>
          </cell>
          <cell r="D689">
            <v>10</v>
          </cell>
        </row>
        <row r="690">
          <cell r="C690" t="str">
            <v>Alat Tulis Kantor, Biaya</v>
          </cell>
          <cell r="D690">
            <v>10</v>
          </cell>
          <cell r="K690">
            <v>12500</v>
          </cell>
        </row>
        <row r="691">
          <cell r="C691" t="str">
            <v>Kas Harian</v>
          </cell>
          <cell r="D691">
            <v>10</v>
          </cell>
          <cell r="L691">
            <v>12500</v>
          </cell>
        </row>
        <row r="692">
          <cell r="C692" t="str">
            <v>Pemby pena standard @ 1 kotak</v>
          </cell>
          <cell r="D692">
            <v>10</v>
          </cell>
        </row>
        <row r="693">
          <cell r="C693" t="str">
            <v>BPJS/Jamsostek,Biaya</v>
          </cell>
          <cell r="D693">
            <v>10</v>
          </cell>
          <cell r="K693">
            <v>189338</v>
          </cell>
        </row>
        <row r="694">
          <cell r="C694" t="str">
            <v>Kas Harian</v>
          </cell>
          <cell r="D694">
            <v>10</v>
          </cell>
          <cell r="L694">
            <v>189338</v>
          </cell>
        </row>
        <row r="695">
          <cell r="C695" t="str">
            <v>Pemby iuran bulan oktober @ 3 org</v>
          </cell>
          <cell r="D695">
            <v>10</v>
          </cell>
        </row>
        <row r="696">
          <cell r="C696" t="str">
            <v>Konsumsi Karyawan, Biaya</v>
          </cell>
          <cell r="D696">
            <v>10</v>
          </cell>
          <cell r="K696">
            <v>235000</v>
          </cell>
        </row>
        <row r="697">
          <cell r="C697" t="str">
            <v>Kas Harian</v>
          </cell>
          <cell r="D697">
            <v>10</v>
          </cell>
          <cell r="L697">
            <v>235000</v>
          </cell>
        </row>
        <row r="698">
          <cell r="C698" t="str">
            <v>Pemby konsumsi karyawan kepala udang per 29-4 oktober'14</v>
          </cell>
          <cell r="D698">
            <v>10</v>
          </cell>
        </row>
        <row r="699">
          <cell r="C699" t="str">
            <v>Bahan Pembantu Produksi, Biaya</v>
          </cell>
          <cell r="D699">
            <v>10</v>
          </cell>
          <cell r="K699">
            <v>15971500</v>
          </cell>
        </row>
        <row r="700">
          <cell r="C700" t="str">
            <v>Kas Harian</v>
          </cell>
          <cell r="D700">
            <v>10</v>
          </cell>
          <cell r="L700">
            <v>15971500</v>
          </cell>
        </row>
        <row r="701">
          <cell r="C701" t="str">
            <v>Pemby kayu karet @ 58.100 Kg</v>
          </cell>
          <cell r="D701">
            <v>10</v>
          </cell>
        </row>
        <row r="702">
          <cell r="C702" t="str">
            <v>Upah Borongan, Biaya</v>
          </cell>
          <cell r="D702">
            <v>10</v>
          </cell>
          <cell r="K702">
            <v>1805440</v>
          </cell>
        </row>
        <row r="703">
          <cell r="C703" t="str">
            <v>Kas Harian</v>
          </cell>
          <cell r="D703">
            <v>10</v>
          </cell>
          <cell r="L703">
            <v>1805440</v>
          </cell>
        </row>
        <row r="704">
          <cell r="C704" t="str">
            <v>Pemby upah karyawan borongan per 6-12 oktober'14</v>
          </cell>
          <cell r="D704">
            <v>10</v>
          </cell>
        </row>
        <row r="705">
          <cell r="C705" t="str">
            <v>Upah Bongkar &amp; Muat, Biaya</v>
          </cell>
          <cell r="D705">
            <v>10</v>
          </cell>
          <cell r="K705">
            <v>398000</v>
          </cell>
        </row>
        <row r="706">
          <cell r="C706" t="str">
            <v>Kas Harian</v>
          </cell>
          <cell r="D706">
            <v>10</v>
          </cell>
          <cell r="L706">
            <v>398000</v>
          </cell>
        </row>
        <row r="707">
          <cell r="C707" t="str">
            <v>Pemby Muat Tepung SHM @ 796 Colly utk di jual ke ibu lanny</v>
          </cell>
          <cell r="D707">
            <v>10</v>
          </cell>
        </row>
        <row r="708">
          <cell r="C708" t="str">
            <v>Konsumsi Karyawan, Biaya</v>
          </cell>
          <cell r="D708">
            <v>10</v>
          </cell>
          <cell r="K708">
            <v>210000</v>
          </cell>
        </row>
        <row r="709">
          <cell r="C709" t="str">
            <v>Kas Harian</v>
          </cell>
          <cell r="D709">
            <v>10</v>
          </cell>
          <cell r="L709">
            <v>210000</v>
          </cell>
        </row>
        <row r="710">
          <cell r="C710" t="str">
            <v>Pemby konsumsi karyawan per 6-11 oktober'14</v>
          </cell>
          <cell r="D710">
            <v>10</v>
          </cell>
        </row>
        <row r="711">
          <cell r="C711" t="str">
            <v>PLN, PT Persero R. Teluk Betung</v>
          </cell>
          <cell r="D711">
            <v>10</v>
          </cell>
          <cell r="K711">
            <v>4264960</v>
          </cell>
        </row>
        <row r="712">
          <cell r="C712" t="str">
            <v>Kas Harian</v>
          </cell>
          <cell r="D712">
            <v>10</v>
          </cell>
          <cell r="L712">
            <v>4264960</v>
          </cell>
        </row>
        <row r="713">
          <cell r="C713" t="str">
            <v>Pemby tagihan listrik per sep'14</v>
          </cell>
          <cell r="D713">
            <v>10</v>
          </cell>
        </row>
        <row r="714">
          <cell r="C714" t="str">
            <v>Administrasi Bank, Biaya</v>
          </cell>
          <cell r="D714">
            <v>10</v>
          </cell>
          <cell r="K714">
            <v>33000</v>
          </cell>
        </row>
        <row r="715">
          <cell r="C715" t="str">
            <v>Kas Harian</v>
          </cell>
          <cell r="D715">
            <v>10</v>
          </cell>
          <cell r="L715">
            <v>33000</v>
          </cell>
        </row>
        <row r="716">
          <cell r="C716" t="str">
            <v>By kirim Tepung Shm</v>
          </cell>
          <cell r="D716">
            <v>10</v>
          </cell>
        </row>
        <row r="717">
          <cell r="C717" t="str">
            <v>Upah Borongan, Biaya</v>
          </cell>
          <cell r="D717">
            <v>10</v>
          </cell>
          <cell r="K717">
            <v>758720</v>
          </cell>
        </row>
        <row r="718">
          <cell r="C718" t="str">
            <v>Kas Harian</v>
          </cell>
          <cell r="D718">
            <v>10</v>
          </cell>
          <cell r="L718">
            <v>758720</v>
          </cell>
        </row>
        <row r="719">
          <cell r="C719" t="str">
            <v>Pemby upah karyawan Borongan kepala udang per 13-19 Okt'14</v>
          </cell>
          <cell r="D719">
            <v>10</v>
          </cell>
        </row>
        <row r="720">
          <cell r="C720" t="str">
            <v>Alat Tulis Kantor, Biaya</v>
          </cell>
          <cell r="D720">
            <v>10</v>
          </cell>
          <cell r="K720">
            <v>4000</v>
          </cell>
        </row>
        <row r="721">
          <cell r="C721" t="str">
            <v>Kas Harian</v>
          </cell>
          <cell r="D721">
            <v>10</v>
          </cell>
          <cell r="L721">
            <v>4000</v>
          </cell>
        </row>
        <row r="722">
          <cell r="C722" t="str">
            <v>Pembelian batu Batrai ABC utk Kepala Udang</v>
          </cell>
          <cell r="D722">
            <v>10</v>
          </cell>
        </row>
        <row r="723">
          <cell r="C723" t="str">
            <v>Alat Tulis Kantor, Biaya</v>
          </cell>
          <cell r="D723">
            <v>10</v>
          </cell>
          <cell r="K723">
            <v>90000</v>
          </cell>
        </row>
        <row r="724">
          <cell r="C724" t="str">
            <v>Kas Harian</v>
          </cell>
          <cell r="D724">
            <v>10</v>
          </cell>
          <cell r="L724">
            <v>90000</v>
          </cell>
        </row>
        <row r="725">
          <cell r="C725" t="str">
            <v>Pembelian Blue print epson Cyan, magenta, yellow</v>
          </cell>
          <cell r="D725">
            <v>10</v>
          </cell>
        </row>
        <row r="726">
          <cell r="C726" t="str">
            <v>Konsumsi Karyawan, Biaya</v>
          </cell>
          <cell r="D726">
            <v>10</v>
          </cell>
          <cell r="K726">
            <v>130000</v>
          </cell>
        </row>
        <row r="727">
          <cell r="C727" t="str">
            <v>Kas Harian</v>
          </cell>
          <cell r="D727">
            <v>10</v>
          </cell>
          <cell r="L727">
            <v>130000</v>
          </cell>
        </row>
        <row r="728">
          <cell r="C728" t="str">
            <v>Pemby konsumsi karyawan kepala udang per 13-18 Okt'14</v>
          </cell>
          <cell r="D728">
            <v>10</v>
          </cell>
        </row>
        <row r="729">
          <cell r="C729" t="str">
            <v>Biaya Yang Masih Harus Dibayar</v>
          </cell>
          <cell r="D729">
            <v>10</v>
          </cell>
          <cell r="K729">
            <v>1220480</v>
          </cell>
        </row>
        <row r="730">
          <cell r="C730" t="str">
            <v>Kas Harian</v>
          </cell>
          <cell r="D730">
            <v>10</v>
          </cell>
          <cell r="L730">
            <v>1220480</v>
          </cell>
        </row>
        <row r="731">
          <cell r="C731" t="str">
            <v>Pemby upah karyawan borongan per 20-26 okt'14</v>
          </cell>
          <cell r="D731">
            <v>10</v>
          </cell>
        </row>
        <row r="732">
          <cell r="C732" t="str">
            <v>Upah Bongkar &amp; Muat, Biaya</v>
          </cell>
          <cell r="D732">
            <v>10</v>
          </cell>
          <cell r="K732">
            <v>285000</v>
          </cell>
        </row>
        <row r="733">
          <cell r="C733" t="str">
            <v>Kas Harian</v>
          </cell>
          <cell r="D733">
            <v>10</v>
          </cell>
          <cell r="L733">
            <v>285000</v>
          </cell>
        </row>
        <row r="734">
          <cell r="C734" t="str">
            <v>Pemby upah muat tepung SHM @ 17.310 Yg utk di kirim ke ibu lanny</v>
          </cell>
          <cell r="D734">
            <v>10</v>
          </cell>
        </row>
        <row r="735">
          <cell r="C735" t="str">
            <v>Upah Bongkar &amp; Muat, Biaya</v>
          </cell>
          <cell r="D735">
            <v>10</v>
          </cell>
          <cell r="K735">
            <v>285000</v>
          </cell>
        </row>
        <row r="736">
          <cell r="C736" t="str">
            <v>Kas Harian</v>
          </cell>
          <cell r="D736">
            <v>10</v>
          </cell>
          <cell r="L736">
            <v>285000</v>
          </cell>
        </row>
        <row r="737">
          <cell r="C737" t="str">
            <v>Pemby muat tepung SHM @ 18.420 Kg, Utk dikirim ke PT. Karka Nutri Industri</v>
          </cell>
          <cell r="D737">
            <v>10</v>
          </cell>
        </row>
        <row r="738">
          <cell r="C738" t="str">
            <v>Biaya Yang Masih Harus Dibayar</v>
          </cell>
          <cell r="D738">
            <v>10</v>
          </cell>
          <cell r="K738">
            <v>4442313</v>
          </cell>
        </row>
        <row r="739">
          <cell r="C739" t="str">
            <v>Kas Harian</v>
          </cell>
          <cell r="D739">
            <v>10</v>
          </cell>
          <cell r="L739">
            <v>4442313</v>
          </cell>
        </row>
        <row r="740">
          <cell r="C740" t="str">
            <v>Pemby gaji karyawan kepala udang per okt'14</v>
          </cell>
          <cell r="D740">
            <v>10</v>
          </cell>
        </row>
        <row r="741">
          <cell r="C741" t="str">
            <v>Biaya Yang Masih Harus Dibayar</v>
          </cell>
          <cell r="D741">
            <v>10</v>
          </cell>
          <cell r="K741">
            <v>75000</v>
          </cell>
        </row>
        <row r="742">
          <cell r="C742" t="str">
            <v>Kas Harian</v>
          </cell>
          <cell r="D742">
            <v>10</v>
          </cell>
          <cell r="L742">
            <v>75000</v>
          </cell>
        </row>
        <row r="743">
          <cell r="C743" t="str">
            <v>Pemby konsumsi karyawan kepala udang per 20-24 okt'14</v>
          </cell>
          <cell r="D743">
            <v>10</v>
          </cell>
        </row>
        <row r="744">
          <cell r="C744" t="str">
            <v>Biaya Yang Masih Harus Dibayar</v>
          </cell>
          <cell r="D744">
            <v>11</v>
          </cell>
          <cell r="K744">
            <v>289897</v>
          </cell>
        </row>
        <row r="745">
          <cell r="C745" t="str">
            <v>Kas Harian</v>
          </cell>
          <cell r="D745">
            <v>11</v>
          </cell>
          <cell r="L745">
            <v>289897</v>
          </cell>
        </row>
        <row r="746">
          <cell r="C746" t="str">
            <v>Pemba iuran bln oktober 2014 u/ 3 karyawan</v>
          </cell>
          <cell r="D746">
            <v>11</v>
          </cell>
        </row>
        <row r="747">
          <cell r="C747" t="str">
            <v>Biaya Yang Masih Harus Dibayar</v>
          </cell>
          <cell r="D747">
            <v>11</v>
          </cell>
          <cell r="K747">
            <v>2781120</v>
          </cell>
        </row>
        <row r="748">
          <cell r="C748" t="str">
            <v>Kas Harian</v>
          </cell>
          <cell r="D748">
            <v>11</v>
          </cell>
          <cell r="L748">
            <v>2781120</v>
          </cell>
        </row>
        <row r="749">
          <cell r="C749" t="str">
            <v>Pemba gaji per 27 okt - 2 nov 2014</v>
          </cell>
          <cell r="D749">
            <v>11</v>
          </cell>
        </row>
        <row r="750">
          <cell r="C750" t="str">
            <v>Biaya Yang Masih Harus Dibayar</v>
          </cell>
          <cell r="D750">
            <v>11</v>
          </cell>
          <cell r="K750">
            <v>290000</v>
          </cell>
        </row>
        <row r="751">
          <cell r="C751" t="str">
            <v>Kas Harian</v>
          </cell>
          <cell r="D751">
            <v>11</v>
          </cell>
          <cell r="L751">
            <v>290000</v>
          </cell>
        </row>
        <row r="752">
          <cell r="C752" t="str">
            <v>Pemba konsumsi kary udang Tgl 27 Okt-1 Nov - Nabila Catring</v>
          </cell>
          <cell r="D752">
            <v>11</v>
          </cell>
        </row>
        <row r="753">
          <cell r="C753" t="str">
            <v>Biaya Yang Masih Harus Dibayar</v>
          </cell>
          <cell r="D753">
            <v>11</v>
          </cell>
          <cell r="K753">
            <v>189338</v>
          </cell>
        </row>
        <row r="754">
          <cell r="C754" t="str">
            <v>Kas Harian</v>
          </cell>
          <cell r="D754">
            <v>11</v>
          </cell>
          <cell r="L754">
            <v>189338</v>
          </cell>
        </row>
        <row r="755">
          <cell r="C755" t="str">
            <v>Pemba iuran BPJS Bln Nov 14 3 Kary-BPJS kesehatan</v>
          </cell>
          <cell r="D755">
            <v>11</v>
          </cell>
        </row>
        <row r="756">
          <cell r="C756" t="str">
            <v>Perbaikan &amp; Pemeliharaan Mesin, Biaya</v>
          </cell>
          <cell r="D756">
            <v>11</v>
          </cell>
          <cell r="K756">
            <v>425000</v>
          </cell>
        </row>
        <row r="757">
          <cell r="C757" t="str">
            <v>Kas Harian</v>
          </cell>
          <cell r="D757">
            <v>11</v>
          </cell>
          <cell r="L757">
            <v>425000</v>
          </cell>
        </row>
        <row r="758">
          <cell r="C758" t="str">
            <v>Pemba kontaktor mitsubishi SN 12 2 pcs @ 150.000 , timer omron 1 pcs @ 125.000 u/ mesin blower (06/11/14) - Bp. Cipto</v>
          </cell>
          <cell r="D758">
            <v>11</v>
          </cell>
        </row>
        <row r="759">
          <cell r="C759" t="str">
            <v>Lanny</v>
          </cell>
          <cell r="D759">
            <v>11</v>
          </cell>
          <cell r="K759">
            <v>390000</v>
          </cell>
        </row>
        <row r="760">
          <cell r="C760" t="str">
            <v>Kas Harian</v>
          </cell>
          <cell r="D760">
            <v>11</v>
          </cell>
          <cell r="L760">
            <v>390000</v>
          </cell>
        </row>
        <row r="761">
          <cell r="C761" t="str">
            <v>Pengembalian kelebihan bayar SHM -Lanny Sutedjo</v>
          </cell>
          <cell r="D761">
            <v>11</v>
          </cell>
        </row>
        <row r="762">
          <cell r="C762" t="str">
            <v>Upah Borongan, Biaya</v>
          </cell>
          <cell r="D762">
            <v>11</v>
          </cell>
          <cell r="K762">
            <v>2513280</v>
          </cell>
        </row>
        <row r="763">
          <cell r="C763" t="str">
            <v>Kas Harian</v>
          </cell>
          <cell r="D763">
            <v>11</v>
          </cell>
          <cell r="L763">
            <v>2513280</v>
          </cell>
        </row>
        <row r="764">
          <cell r="C764" t="str">
            <v>Pemba upah per 03-09 nov 2014 u/ 5 karyawan</v>
          </cell>
          <cell r="D764">
            <v>11</v>
          </cell>
        </row>
        <row r="765">
          <cell r="C765" t="str">
            <v>Konsumsi Karyawan, Biaya</v>
          </cell>
          <cell r="D765">
            <v>11</v>
          </cell>
          <cell r="K765">
            <v>265000</v>
          </cell>
        </row>
        <row r="766">
          <cell r="C766" t="str">
            <v>Kas Harian</v>
          </cell>
          <cell r="D766">
            <v>11</v>
          </cell>
          <cell r="L766">
            <v>265000</v>
          </cell>
        </row>
        <row r="767">
          <cell r="C767" t="str">
            <v>Pemba konsumsi kary kepala udang per 3-8 nov 2014 u/ 53 org</v>
          </cell>
          <cell r="D767">
            <v>11</v>
          </cell>
        </row>
        <row r="768">
          <cell r="C768" t="str">
            <v>PLN, PT Persero R. Teluk Betung</v>
          </cell>
          <cell r="D768">
            <v>11</v>
          </cell>
          <cell r="K768">
            <v>5004990</v>
          </cell>
        </row>
        <row r="769">
          <cell r="C769" t="str">
            <v>Kas Harian</v>
          </cell>
          <cell r="D769">
            <v>11</v>
          </cell>
          <cell r="L769">
            <v>5004990</v>
          </cell>
        </row>
        <row r="770">
          <cell r="C770" t="str">
            <v>Pemba tagihan listrik per Oktober 2014</v>
          </cell>
          <cell r="D770">
            <v>11</v>
          </cell>
        </row>
        <row r="771">
          <cell r="C771" t="str">
            <v>Upah Borongan, Biaya</v>
          </cell>
          <cell r="D771">
            <v>11</v>
          </cell>
          <cell r="K771">
            <v>1001600</v>
          </cell>
        </row>
        <row r="772">
          <cell r="C772" t="str">
            <v>Kas Harian</v>
          </cell>
          <cell r="D772">
            <v>11</v>
          </cell>
          <cell r="L772">
            <v>1001600</v>
          </cell>
        </row>
        <row r="773">
          <cell r="C773" t="str">
            <v>Pemba upah per 10-16 nov 2014</v>
          </cell>
          <cell r="D773">
            <v>11</v>
          </cell>
        </row>
        <row r="774">
          <cell r="C774" t="str">
            <v>Konsumsi Karyawan, Biaya</v>
          </cell>
          <cell r="D774">
            <v>11</v>
          </cell>
          <cell r="K774">
            <v>160000</v>
          </cell>
        </row>
        <row r="775">
          <cell r="C775" t="str">
            <v>Kas Harian</v>
          </cell>
          <cell r="D775">
            <v>11</v>
          </cell>
          <cell r="L775">
            <v>160000</v>
          </cell>
        </row>
        <row r="776">
          <cell r="C776" t="str">
            <v>Pemba konsumsi u/ 32 org - Nabila catering</v>
          </cell>
          <cell r="D776">
            <v>11</v>
          </cell>
        </row>
        <row r="777">
          <cell r="C777" t="str">
            <v>Bahan Pembantu Produksi, Biaya</v>
          </cell>
          <cell r="D777">
            <v>11</v>
          </cell>
          <cell r="K777">
            <v>13691750</v>
          </cell>
        </row>
        <row r="778">
          <cell r="C778" t="str">
            <v>Kas Harian</v>
          </cell>
          <cell r="D778">
            <v>11</v>
          </cell>
          <cell r="L778">
            <v>13691750</v>
          </cell>
        </row>
        <row r="779">
          <cell r="C779" t="str">
            <v>Pemba kayu karet , po.0015 - Bp. Bakdi</v>
          </cell>
          <cell r="D779">
            <v>11</v>
          </cell>
        </row>
        <row r="780">
          <cell r="C780" t="str">
            <v>Biaya Yang Masih Harus Dibayar</v>
          </cell>
          <cell r="D780">
            <v>11</v>
          </cell>
          <cell r="K780">
            <v>1644160</v>
          </cell>
        </row>
        <row r="781">
          <cell r="C781" t="str">
            <v>Kas Harian</v>
          </cell>
          <cell r="D781">
            <v>11</v>
          </cell>
          <cell r="L781">
            <v>1644160</v>
          </cell>
        </row>
        <row r="782">
          <cell r="C782" t="str">
            <v>Pemba gaji kary bor Kepala udang Tgl 17-23 Nov 2014</v>
          </cell>
          <cell r="D782">
            <v>11</v>
          </cell>
        </row>
        <row r="783">
          <cell r="C783" t="str">
            <v>Biaya Yang Masih Harus Dibayar</v>
          </cell>
          <cell r="D783">
            <v>11</v>
          </cell>
          <cell r="K783">
            <v>4327513</v>
          </cell>
        </row>
        <row r="784">
          <cell r="C784" t="str">
            <v>Kas Harian</v>
          </cell>
          <cell r="D784">
            <v>11</v>
          </cell>
          <cell r="L784">
            <v>4327513</v>
          </cell>
        </row>
        <row r="785">
          <cell r="C785" t="str">
            <v>Pembayaran Gaji karyawan bulanan Periode Nov. 2014, 3 org.</v>
          </cell>
          <cell r="D785">
            <v>11</v>
          </cell>
        </row>
        <row r="786">
          <cell r="C786" t="str">
            <v>Biaya Yang Masih Harus Dibayar</v>
          </cell>
          <cell r="D786">
            <v>11</v>
          </cell>
          <cell r="K786">
            <v>170000</v>
          </cell>
        </row>
        <row r="787">
          <cell r="C787" t="str">
            <v>Kas Harian</v>
          </cell>
          <cell r="D787">
            <v>11</v>
          </cell>
          <cell r="L787">
            <v>170000</v>
          </cell>
        </row>
        <row r="788">
          <cell r="C788" t="str">
            <v>Pembayaran Konsumsi karyawan tgl 17-22 Nov. 2014 , 34 org.</v>
          </cell>
          <cell r="D788">
            <v>11</v>
          </cell>
        </row>
        <row r="789">
          <cell r="C789" t="str">
            <v>Biaya Yang Masih Harus Dibayar</v>
          </cell>
          <cell r="D789">
            <v>11</v>
          </cell>
          <cell r="K789">
            <v>100000</v>
          </cell>
        </row>
        <row r="790">
          <cell r="C790" t="str">
            <v>Kas Harian</v>
          </cell>
          <cell r="D790">
            <v>11</v>
          </cell>
          <cell r="L790">
            <v>100000</v>
          </cell>
        </row>
        <row r="791">
          <cell r="C791" t="str">
            <v>Pemba seminar di Hotel Kurnia 2 hari (27-28/11/14)</v>
          </cell>
          <cell r="D791">
            <v>11</v>
          </cell>
        </row>
        <row r="792">
          <cell r="C792" t="str">
            <v>BBM Kendaraan, Biaya</v>
          </cell>
          <cell r="D792">
            <v>12</v>
          </cell>
          <cell r="K792">
            <v>75000</v>
          </cell>
        </row>
        <row r="793">
          <cell r="C793" t="str">
            <v>Konsumsi Karyawan, Biaya</v>
          </cell>
          <cell r="D793">
            <v>12</v>
          </cell>
          <cell r="K793">
            <v>10000</v>
          </cell>
        </row>
        <row r="794">
          <cell r="C794" t="str">
            <v>Kas Harian</v>
          </cell>
          <cell r="D794">
            <v>12</v>
          </cell>
          <cell r="L794">
            <v>85000</v>
          </cell>
        </row>
        <row r="795">
          <cell r="C795" t="str">
            <v>Pemba BBM BE 2726 RA 10 ltr + konsumsi kary (28/11/14)</v>
          </cell>
          <cell r="D795">
            <v>12</v>
          </cell>
        </row>
        <row r="796">
          <cell r="C796" t="str">
            <v>Perbaikan &amp; Pemeliharaan Mesin, Biaya</v>
          </cell>
          <cell r="D796">
            <v>12</v>
          </cell>
          <cell r="K796">
            <v>159400</v>
          </cell>
        </row>
        <row r="797">
          <cell r="C797" t="str">
            <v>Kas Harian</v>
          </cell>
          <cell r="D797">
            <v>12</v>
          </cell>
          <cell r="L797">
            <v>159400</v>
          </cell>
        </row>
        <row r="798">
          <cell r="C798" t="str">
            <v>Pemba bearing skf u/ spare blaver (28/10/14)</v>
          </cell>
          <cell r="D798">
            <v>12</v>
          </cell>
        </row>
        <row r="799">
          <cell r="C799" t="str">
            <v>Biaya Yang Masih Harus Dibayar</v>
          </cell>
          <cell r="D799">
            <v>12</v>
          </cell>
          <cell r="K799">
            <v>289897</v>
          </cell>
        </row>
        <row r="800">
          <cell r="C800" t="str">
            <v>Kas Harian</v>
          </cell>
          <cell r="D800">
            <v>12</v>
          </cell>
          <cell r="L800">
            <v>289897</v>
          </cell>
        </row>
        <row r="801">
          <cell r="C801" t="str">
            <v>Pemba iuran nov14</v>
          </cell>
          <cell r="D801">
            <v>12</v>
          </cell>
        </row>
        <row r="802">
          <cell r="C802" t="str">
            <v>Biaya Yang Masih Harus Dibayar</v>
          </cell>
          <cell r="D802">
            <v>12</v>
          </cell>
          <cell r="K802">
            <v>1744000</v>
          </cell>
        </row>
        <row r="803">
          <cell r="C803" t="str">
            <v>Kas Harian</v>
          </cell>
          <cell r="D803">
            <v>12</v>
          </cell>
          <cell r="L803">
            <v>1744000</v>
          </cell>
        </row>
        <row r="804">
          <cell r="C804" t="str">
            <v>Pemba Gaji kary borongan Per 24-30 Nov 5 karyawan</v>
          </cell>
          <cell r="D804">
            <v>12</v>
          </cell>
        </row>
        <row r="805">
          <cell r="C805" t="str">
            <v>Upah Bongkar &amp; Muat, Biaya</v>
          </cell>
          <cell r="D805">
            <v>12</v>
          </cell>
          <cell r="K805">
            <v>290250</v>
          </cell>
        </row>
        <row r="806">
          <cell r="C806" t="str">
            <v>Kas Harian</v>
          </cell>
          <cell r="D806">
            <v>12</v>
          </cell>
          <cell r="L806">
            <v>290250</v>
          </cell>
        </row>
        <row r="807">
          <cell r="C807" t="str">
            <v>Pemba muat tepung SHM</v>
          </cell>
          <cell r="D807">
            <v>12</v>
          </cell>
        </row>
        <row r="808">
          <cell r="C808" t="str">
            <v>Biaya Yang Masih Harus Dibayar</v>
          </cell>
          <cell r="D808">
            <v>12</v>
          </cell>
          <cell r="K808">
            <v>235000</v>
          </cell>
        </row>
        <row r="809">
          <cell r="C809" t="str">
            <v>Kas Harian</v>
          </cell>
          <cell r="D809">
            <v>12</v>
          </cell>
          <cell r="L809">
            <v>235000</v>
          </cell>
        </row>
        <row r="810">
          <cell r="C810" t="str">
            <v>Pemba konsumsi kary ka.udang u/ 47 org</v>
          </cell>
          <cell r="D810">
            <v>12</v>
          </cell>
        </row>
        <row r="811">
          <cell r="C811" t="str">
            <v>BPJS/Jamsostek,Biaya</v>
          </cell>
          <cell r="D811">
            <v>12</v>
          </cell>
          <cell r="K811">
            <v>189338</v>
          </cell>
        </row>
        <row r="812">
          <cell r="C812" t="str">
            <v>Kas Harian</v>
          </cell>
          <cell r="D812">
            <v>12</v>
          </cell>
          <cell r="L812">
            <v>189338</v>
          </cell>
        </row>
        <row r="813">
          <cell r="C813" t="str">
            <v>Pemba iuran des14</v>
          </cell>
          <cell r="D813">
            <v>12</v>
          </cell>
        </row>
        <row r="814">
          <cell r="C814" t="str">
            <v>Perbaikan &amp; Pemeliharaan Peralatan Kantor, Biaya</v>
          </cell>
          <cell r="D814">
            <v>12</v>
          </cell>
          <cell r="K814">
            <v>63000</v>
          </cell>
        </row>
        <row r="815">
          <cell r="C815" t="str">
            <v>Kas Harian</v>
          </cell>
          <cell r="D815">
            <v>12</v>
          </cell>
          <cell r="L815">
            <v>63000</v>
          </cell>
        </row>
        <row r="816">
          <cell r="C816" t="str">
            <v>Pemba Tinta Blue print hitam 2 Btl @31.500 -Kim-kim</v>
          </cell>
          <cell r="D816">
            <v>12</v>
          </cell>
        </row>
        <row r="817">
          <cell r="C817" t="str">
            <v>Upah Borongan, Biaya</v>
          </cell>
          <cell r="D817">
            <v>12</v>
          </cell>
          <cell r="K817">
            <v>1370560</v>
          </cell>
        </row>
        <row r="818">
          <cell r="C818" t="str">
            <v>Kas Harian</v>
          </cell>
          <cell r="D818">
            <v>12</v>
          </cell>
          <cell r="L818">
            <v>1370560</v>
          </cell>
        </row>
        <row r="819">
          <cell r="C819" t="str">
            <v>Pemba Gaji kary Bor Kep udang Per 01-07 Des 2014</v>
          </cell>
          <cell r="D819">
            <v>12</v>
          </cell>
        </row>
        <row r="820">
          <cell r="C820" t="str">
            <v>BBM Kendaraan, Biaya</v>
          </cell>
          <cell r="D820">
            <v>12</v>
          </cell>
          <cell r="K820">
            <v>15000</v>
          </cell>
        </row>
        <row r="821">
          <cell r="C821" t="str">
            <v>Kas Harian</v>
          </cell>
          <cell r="D821">
            <v>12</v>
          </cell>
          <cell r="L821">
            <v>15000</v>
          </cell>
        </row>
        <row r="822">
          <cell r="C822" t="str">
            <v>Pemba BBM BE 4409 EM</v>
          </cell>
          <cell r="D822">
            <v>12</v>
          </cell>
        </row>
        <row r="823">
          <cell r="C823" t="str">
            <v>BPJS/Jamsostek,Biaya</v>
          </cell>
          <cell r="D823">
            <v>12</v>
          </cell>
          <cell r="K823">
            <v>193265</v>
          </cell>
        </row>
        <row r="824">
          <cell r="C824" t="str">
            <v>Kas Harian</v>
          </cell>
          <cell r="D824">
            <v>12</v>
          </cell>
          <cell r="L824">
            <v>193265</v>
          </cell>
        </row>
        <row r="825">
          <cell r="C825" t="str">
            <v>Pemba iuran des14</v>
          </cell>
          <cell r="D825">
            <v>12</v>
          </cell>
        </row>
        <row r="826">
          <cell r="C826" t="str">
            <v>Konsumsi Karyawan, Biaya</v>
          </cell>
          <cell r="D826">
            <v>12</v>
          </cell>
          <cell r="K826">
            <v>235000</v>
          </cell>
        </row>
        <row r="827">
          <cell r="C827" t="str">
            <v>Kas Harian</v>
          </cell>
          <cell r="D827">
            <v>12</v>
          </cell>
          <cell r="L827">
            <v>235000</v>
          </cell>
        </row>
        <row r="828">
          <cell r="C828" t="str">
            <v>Pemba konsumsi kary ka.udang u/ 47 org</v>
          </cell>
          <cell r="D828">
            <v>12</v>
          </cell>
        </row>
        <row r="829">
          <cell r="C829" t="str">
            <v>Upah Borongan, Biaya</v>
          </cell>
          <cell r="D829">
            <v>12</v>
          </cell>
          <cell r="K829">
            <v>806080</v>
          </cell>
        </row>
        <row r="830">
          <cell r="C830" t="str">
            <v>Kas Harian</v>
          </cell>
          <cell r="D830">
            <v>12</v>
          </cell>
          <cell r="L830">
            <v>806080</v>
          </cell>
        </row>
        <row r="831">
          <cell r="C831" t="str">
            <v>Pemba gaji Kary Borongan  tgl 8-11 Des 2014</v>
          </cell>
          <cell r="D831">
            <v>12</v>
          </cell>
        </row>
        <row r="832">
          <cell r="C832" t="str">
            <v>PLN, PT Persero R. Teluk Betung</v>
          </cell>
          <cell r="D832">
            <v>12</v>
          </cell>
          <cell r="K832">
            <v>5530400</v>
          </cell>
        </row>
        <row r="833">
          <cell r="C833" t="str">
            <v>Kas Harian</v>
          </cell>
          <cell r="D833">
            <v>12</v>
          </cell>
          <cell r="L833">
            <v>5530400</v>
          </cell>
        </row>
        <row r="834">
          <cell r="C834" t="str">
            <v>Pemba Listrik Periode Nov 2014</v>
          </cell>
          <cell r="D834">
            <v>12</v>
          </cell>
        </row>
        <row r="835">
          <cell r="C835" t="str">
            <v>Biaya Yang Masih Harus Dibayar</v>
          </cell>
          <cell r="D835">
            <v>12</v>
          </cell>
          <cell r="K835">
            <v>863600</v>
          </cell>
        </row>
        <row r="836">
          <cell r="C836" t="str">
            <v>Kas Harian</v>
          </cell>
          <cell r="D836">
            <v>12</v>
          </cell>
          <cell r="L836">
            <v>863600</v>
          </cell>
        </row>
        <row r="837">
          <cell r="C837" t="str">
            <v>Pemba Rekap PKWT A/ Suprapto Bag Kep Udang</v>
          </cell>
          <cell r="D837">
            <v>12</v>
          </cell>
        </row>
        <row r="838">
          <cell r="C838" t="str">
            <v>Konsumsi Karyawan, Biaya</v>
          </cell>
          <cell r="D838">
            <v>12</v>
          </cell>
          <cell r="K838">
            <v>190000</v>
          </cell>
        </row>
        <row r="839">
          <cell r="C839" t="str">
            <v>Kas Harian</v>
          </cell>
          <cell r="D839">
            <v>12</v>
          </cell>
          <cell r="L839">
            <v>190000</v>
          </cell>
        </row>
        <row r="840">
          <cell r="C840" t="str">
            <v>Pemba konsumsi kary Per 8-13 Des 2014-Nabila Catring</v>
          </cell>
          <cell r="D840">
            <v>12</v>
          </cell>
        </row>
        <row r="841">
          <cell r="C841" t="str">
            <v>Bahan Pembantu Produksi, Biaya</v>
          </cell>
          <cell r="D841">
            <v>12</v>
          </cell>
          <cell r="K841">
            <v>11614800</v>
          </cell>
        </row>
        <row r="842">
          <cell r="C842" t="str">
            <v>Kas Harian</v>
          </cell>
          <cell r="D842">
            <v>12</v>
          </cell>
          <cell r="L842">
            <v>11614800</v>
          </cell>
        </row>
        <row r="843">
          <cell r="C843" t="str">
            <v>Pemba kayu karet 48.420Kg @240 U/ Pengovenan Kepala Udang- Bp. Ismanto</v>
          </cell>
          <cell r="D843">
            <v>12</v>
          </cell>
        </row>
        <row r="844">
          <cell r="C844" t="str">
            <v>Transportasi, Akomodasi, Konsumsi, Biaya</v>
          </cell>
          <cell r="D844">
            <v>12</v>
          </cell>
          <cell r="K844">
            <v>24000</v>
          </cell>
        </row>
        <row r="845">
          <cell r="C845" t="str">
            <v>Kas Harian</v>
          </cell>
          <cell r="D845">
            <v>12</v>
          </cell>
          <cell r="L845">
            <v>24000</v>
          </cell>
        </row>
        <row r="846">
          <cell r="C846" t="str">
            <v>Pemba By kirim Invoice &amp; Faktur pajak SHM -Bp.Cipto</v>
          </cell>
          <cell r="D846">
            <v>12</v>
          </cell>
        </row>
        <row r="847">
          <cell r="C847" t="str">
            <v>Lembur, Biaya</v>
          </cell>
          <cell r="D847">
            <v>12</v>
          </cell>
          <cell r="K847">
            <v>245611</v>
          </cell>
        </row>
        <row r="848">
          <cell r="C848" t="str">
            <v>Kas Harian</v>
          </cell>
          <cell r="D848">
            <v>12</v>
          </cell>
          <cell r="L848">
            <v>245611</v>
          </cell>
        </row>
        <row r="849">
          <cell r="C849" t="str">
            <v>Pemba Lemburan kary Per 11-17 Des 2014 2 org</v>
          </cell>
          <cell r="D849">
            <v>12</v>
          </cell>
        </row>
        <row r="850">
          <cell r="C850" t="str">
            <v>Upah Borongan, Biaya</v>
          </cell>
          <cell r="D850">
            <v>12</v>
          </cell>
          <cell r="K850">
            <v>2040000</v>
          </cell>
        </row>
        <row r="851">
          <cell r="C851" t="str">
            <v>Kas Harian</v>
          </cell>
          <cell r="D851">
            <v>12</v>
          </cell>
          <cell r="L851">
            <v>2040000</v>
          </cell>
        </row>
        <row r="852">
          <cell r="C852" t="str">
            <v>Pemba Gaji kary Borongan Kep Udang Tgl 15-21 Des 2014</v>
          </cell>
          <cell r="D852">
            <v>12</v>
          </cell>
        </row>
        <row r="853">
          <cell r="C853" t="str">
            <v>Biaya Yang Masih Harus Dibayar</v>
          </cell>
          <cell r="D853">
            <v>12</v>
          </cell>
          <cell r="K853">
            <v>241575</v>
          </cell>
        </row>
        <row r="854">
          <cell r="C854" t="str">
            <v>Kas Harian</v>
          </cell>
          <cell r="D854">
            <v>12</v>
          </cell>
          <cell r="L854">
            <v>241575</v>
          </cell>
        </row>
        <row r="855">
          <cell r="C855" t="str">
            <v>Pemba muat tepung SHM 15.86 Kg</v>
          </cell>
          <cell r="D855">
            <v>12</v>
          </cell>
        </row>
        <row r="856">
          <cell r="C856" t="str">
            <v>Biaya Yang Masih Harus Dibayar</v>
          </cell>
          <cell r="D856">
            <v>12</v>
          </cell>
          <cell r="K856">
            <v>64742</v>
          </cell>
        </row>
        <row r="857">
          <cell r="C857" t="str">
            <v>Kas Harian</v>
          </cell>
          <cell r="D857">
            <v>12</v>
          </cell>
          <cell r="L857">
            <v>64742</v>
          </cell>
        </row>
        <row r="858">
          <cell r="C858" t="str">
            <v>Pemba lemburanKary bulanan Periode 18-24 Des 2014</v>
          </cell>
          <cell r="D858">
            <v>12</v>
          </cell>
        </row>
        <row r="859">
          <cell r="C859" t="str">
            <v>Konsumsi Karyawan, Biaya</v>
          </cell>
          <cell r="D859">
            <v>12</v>
          </cell>
          <cell r="K859">
            <v>240000</v>
          </cell>
        </row>
        <row r="860">
          <cell r="C860" t="str">
            <v>Kas Harian</v>
          </cell>
          <cell r="D860">
            <v>12</v>
          </cell>
          <cell r="L860">
            <v>240000</v>
          </cell>
        </row>
        <row r="861">
          <cell r="C861" t="str">
            <v>Pemba konsumsi kary Per 15-20 Des 2014-Nabila catring</v>
          </cell>
          <cell r="D861">
            <v>12</v>
          </cell>
        </row>
        <row r="862">
          <cell r="C862" t="str">
            <v>Biaya Yang Masih Harus Dibayar</v>
          </cell>
          <cell r="D862">
            <v>12</v>
          </cell>
          <cell r="K862">
            <v>2942375</v>
          </cell>
        </row>
        <row r="863">
          <cell r="C863" t="str">
            <v>Kas Harian</v>
          </cell>
          <cell r="D863">
            <v>12</v>
          </cell>
          <cell r="L863">
            <v>2942375</v>
          </cell>
        </row>
        <row r="864">
          <cell r="C864" t="str">
            <v>Pembayaran gaji karyawan bulanan Des. 2014</v>
          </cell>
          <cell r="D864">
            <v>12</v>
          </cell>
        </row>
        <row r="865">
          <cell r="C865" t="str">
            <v>Biaya Yang Masih Harus Dibayar</v>
          </cell>
          <cell r="D865">
            <v>12</v>
          </cell>
          <cell r="K865">
            <v>1529280</v>
          </cell>
        </row>
        <row r="866">
          <cell r="C866" t="str">
            <v>Kas Harian</v>
          </cell>
          <cell r="D866">
            <v>12</v>
          </cell>
          <cell r="L866">
            <v>1529280</v>
          </cell>
        </row>
        <row r="867">
          <cell r="C867" t="str">
            <v>Pembayaran gaji karyawan borongan 3 org. tgl 22-28 Des. 2014</v>
          </cell>
          <cell r="D867">
            <v>12</v>
          </cell>
        </row>
        <row r="868">
          <cell r="C868" t="str">
            <v>Ongkos Angkut, Biaya</v>
          </cell>
          <cell r="D868">
            <v>12</v>
          </cell>
          <cell r="K868">
            <v>33000</v>
          </cell>
        </row>
        <row r="869">
          <cell r="C869" t="str">
            <v>Kas Harian</v>
          </cell>
          <cell r="D869">
            <v>12</v>
          </cell>
          <cell r="L869">
            <v>33000</v>
          </cell>
        </row>
        <row r="870">
          <cell r="C870" t="str">
            <v>Pembayaran biaya kirim invoice &amp; faktur pajak ke Surabaya tgl 23/12/2014 - Bp. Cipto</v>
          </cell>
          <cell r="D870">
            <v>12</v>
          </cell>
        </row>
        <row r="871">
          <cell r="C871" t="str">
            <v>Biaya Yang Masih Harus Dibayar</v>
          </cell>
          <cell r="D871">
            <v>12</v>
          </cell>
          <cell r="K871">
            <v>170000</v>
          </cell>
        </row>
        <row r="872">
          <cell r="C872" t="str">
            <v>Kas Harian</v>
          </cell>
          <cell r="D872">
            <v>12</v>
          </cell>
          <cell r="L872">
            <v>170000</v>
          </cell>
        </row>
        <row r="873">
          <cell r="C873" t="str">
            <v>Pembayaran konsumsi karyawan tgl 22-27 Des 2014, 34 org.</v>
          </cell>
          <cell r="D873">
            <v>12</v>
          </cell>
        </row>
      </sheetData>
      <sheetData sheetId="4">
        <row r="7">
          <cell r="C7" t="str">
            <v>Holding - Divisi</v>
          </cell>
          <cell r="D7">
            <v>1</v>
          </cell>
          <cell r="L7">
            <v>496874</v>
          </cell>
        </row>
        <row r="8">
          <cell r="C8" t="str">
            <v>Kas Harian</v>
          </cell>
          <cell r="D8">
            <v>1</v>
          </cell>
          <cell r="K8">
            <v>496874</v>
          </cell>
        </row>
        <row r="9">
          <cell r="C9" t="str">
            <v>Terima Pinjaman dari Divisi holding</v>
          </cell>
          <cell r="D9">
            <v>1</v>
          </cell>
        </row>
        <row r="10">
          <cell r="C10" t="str">
            <v>Tansil, Tn</v>
          </cell>
          <cell r="D10">
            <v>1</v>
          </cell>
          <cell r="L10">
            <v>6000000</v>
          </cell>
        </row>
        <row r="11">
          <cell r="C11" t="str">
            <v>Kas Harian</v>
          </cell>
          <cell r="D11">
            <v>1</v>
          </cell>
          <cell r="K11">
            <v>6000000</v>
          </cell>
        </row>
        <row r="12">
          <cell r="C12" t="str">
            <v>Terima penj shm</v>
          </cell>
          <cell r="D12">
            <v>1</v>
          </cell>
        </row>
        <row r="13">
          <cell r="C13" t="str">
            <v>Holding - Divisi</v>
          </cell>
          <cell r="D13">
            <v>1</v>
          </cell>
          <cell r="L13">
            <v>570563</v>
          </cell>
        </row>
        <row r="14">
          <cell r="C14" t="str">
            <v>Kas Harian</v>
          </cell>
          <cell r="D14">
            <v>1</v>
          </cell>
          <cell r="K14">
            <v>570563</v>
          </cell>
        </row>
        <row r="15">
          <cell r="C15" t="str">
            <v>Terima Pinjaman dari Holding</v>
          </cell>
          <cell r="D15">
            <v>1</v>
          </cell>
        </row>
        <row r="16">
          <cell r="C16" t="str">
            <v>Holding - Divisi</v>
          </cell>
          <cell r="D16">
            <v>1</v>
          </cell>
          <cell r="L16">
            <v>2567620</v>
          </cell>
        </row>
        <row r="17">
          <cell r="C17" t="str">
            <v>Kas Harian</v>
          </cell>
          <cell r="D17">
            <v>1</v>
          </cell>
          <cell r="K17">
            <v>2567620</v>
          </cell>
        </row>
        <row r="18">
          <cell r="C18" t="str">
            <v>Terima pinj dari Holding</v>
          </cell>
          <cell r="D18">
            <v>1</v>
          </cell>
        </row>
        <row r="19">
          <cell r="C19" t="str">
            <v>Holding - Divisi</v>
          </cell>
          <cell r="D19">
            <v>1</v>
          </cell>
          <cell r="L19">
            <v>1127911</v>
          </cell>
        </row>
        <row r="20">
          <cell r="C20" t="str">
            <v>Kas Harian</v>
          </cell>
          <cell r="D20">
            <v>1</v>
          </cell>
          <cell r="K20">
            <v>1127911</v>
          </cell>
        </row>
        <row r="21">
          <cell r="C21" t="str">
            <v>Terima pinjaman dari Holding</v>
          </cell>
          <cell r="D21">
            <v>1</v>
          </cell>
        </row>
        <row r="22">
          <cell r="C22" t="str">
            <v>Holding - Divisi</v>
          </cell>
          <cell r="D22">
            <v>1</v>
          </cell>
          <cell r="L22">
            <v>2476489</v>
          </cell>
        </row>
        <row r="23">
          <cell r="C23" t="str">
            <v>Kas Harian</v>
          </cell>
          <cell r="D23">
            <v>1</v>
          </cell>
          <cell r="K23">
            <v>2476489</v>
          </cell>
        </row>
        <row r="24">
          <cell r="C24" t="str">
            <v>Terima Pinj dari holding</v>
          </cell>
          <cell r="D24">
            <v>1</v>
          </cell>
        </row>
        <row r="25">
          <cell r="C25" t="str">
            <v>Holding - Divisi</v>
          </cell>
          <cell r="D25">
            <v>1</v>
          </cell>
          <cell r="L25">
            <v>215000</v>
          </cell>
        </row>
        <row r="26">
          <cell r="C26" t="str">
            <v>Kas Harian</v>
          </cell>
          <cell r="D26">
            <v>1</v>
          </cell>
          <cell r="K26">
            <v>215000</v>
          </cell>
        </row>
        <row r="27">
          <cell r="C27" t="str">
            <v>Terima pinj dari Holding</v>
          </cell>
          <cell r="D27">
            <v>1</v>
          </cell>
        </row>
        <row r="28">
          <cell r="C28" t="str">
            <v>Holding - Divisi</v>
          </cell>
          <cell r="D28">
            <v>1</v>
          </cell>
          <cell r="L28">
            <v>1912415</v>
          </cell>
        </row>
        <row r="29">
          <cell r="C29" t="str">
            <v>Kas Harian</v>
          </cell>
          <cell r="D29">
            <v>1</v>
          </cell>
          <cell r="K29">
            <v>1912415</v>
          </cell>
        </row>
        <row r="30">
          <cell r="C30" t="str">
            <v>Terima pinjaman Dari Holding</v>
          </cell>
          <cell r="D30">
            <v>1</v>
          </cell>
        </row>
        <row r="31">
          <cell r="C31" t="str">
            <v>Holding - Divisi</v>
          </cell>
          <cell r="D31">
            <v>1</v>
          </cell>
          <cell r="L31">
            <v>2352720</v>
          </cell>
        </row>
        <row r="32">
          <cell r="C32" t="str">
            <v>Kas Harian</v>
          </cell>
          <cell r="D32">
            <v>1</v>
          </cell>
          <cell r="K32">
            <v>2352720</v>
          </cell>
        </row>
        <row r="33">
          <cell r="C33" t="str">
            <v>Terima pinjaman dari Holding</v>
          </cell>
          <cell r="D33">
            <v>1</v>
          </cell>
        </row>
        <row r="34">
          <cell r="C34" t="str">
            <v>Holding - Divisi</v>
          </cell>
          <cell r="D34">
            <v>1</v>
          </cell>
          <cell r="L34">
            <v>8389200</v>
          </cell>
        </row>
        <row r="35">
          <cell r="C35" t="str">
            <v>Kas Harian</v>
          </cell>
          <cell r="D35">
            <v>1</v>
          </cell>
          <cell r="K35">
            <v>8389200</v>
          </cell>
        </row>
        <row r="36">
          <cell r="C36" t="str">
            <v>Terima pinj dari Holding</v>
          </cell>
          <cell r="D36">
            <v>1</v>
          </cell>
        </row>
        <row r="37">
          <cell r="C37" t="str">
            <v>Tansil, Tn</v>
          </cell>
          <cell r="D37">
            <v>1</v>
          </cell>
          <cell r="L37">
            <v>6000000</v>
          </cell>
        </row>
        <row r="38">
          <cell r="C38" t="str">
            <v>Kas Harian</v>
          </cell>
          <cell r="D38">
            <v>1</v>
          </cell>
          <cell r="K38">
            <v>6000000</v>
          </cell>
        </row>
        <row r="39">
          <cell r="C39" t="str">
            <v>Terima pembelian SHM Grade A @ 1000 Kg   - Tansil</v>
          </cell>
          <cell r="D39">
            <v>1</v>
          </cell>
        </row>
        <row r="40">
          <cell r="C40" t="str">
            <v>Holding - Divisi</v>
          </cell>
          <cell r="D40">
            <v>2</v>
          </cell>
          <cell r="L40">
            <v>415561</v>
          </cell>
        </row>
        <row r="41">
          <cell r="C41" t="str">
            <v>Kas Harian</v>
          </cell>
          <cell r="D41">
            <v>2</v>
          </cell>
          <cell r="K41">
            <v>415561</v>
          </cell>
        </row>
        <row r="42">
          <cell r="C42" t="str">
            <v>Terima pinjaman dari holding</v>
          </cell>
          <cell r="D42">
            <v>2</v>
          </cell>
        </row>
        <row r="43">
          <cell r="C43" t="str">
            <v>Holding - Divisi</v>
          </cell>
          <cell r="D43">
            <v>2</v>
          </cell>
          <cell r="L43">
            <v>6280753</v>
          </cell>
        </row>
        <row r="44">
          <cell r="C44" t="str">
            <v>Kas Harian</v>
          </cell>
          <cell r="D44">
            <v>2</v>
          </cell>
          <cell r="K44">
            <v>6280753</v>
          </cell>
        </row>
        <row r="45">
          <cell r="C45" t="str">
            <v>Terima pinjaman dari holding</v>
          </cell>
          <cell r="D45">
            <v>2</v>
          </cell>
        </row>
        <row r="46">
          <cell r="C46" t="str">
            <v>Holding - Divisi</v>
          </cell>
          <cell r="D46">
            <v>2</v>
          </cell>
          <cell r="L46">
            <v>190000</v>
          </cell>
        </row>
        <row r="47">
          <cell r="C47" t="str">
            <v>Kas Harian</v>
          </cell>
          <cell r="D47">
            <v>2</v>
          </cell>
          <cell r="K47">
            <v>190000</v>
          </cell>
        </row>
        <row r="48">
          <cell r="C48" t="str">
            <v>Terima pinj dari Holding</v>
          </cell>
          <cell r="D48">
            <v>2</v>
          </cell>
        </row>
        <row r="49">
          <cell r="C49" t="str">
            <v>Holding - Divisi</v>
          </cell>
          <cell r="D49">
            <v>2</v>
          </cell>
          <cell r="L49">
            <v>275571</v>
          </cell>
        </row>
        <row r="50">
          <cell r="C50" t="str">
            <v>Kas Harian</v>
          </cell>
          <cell r="D50">
            <v>2</v>
          </cell>
          <cell r="K50">
            <v>275571</v>
          </cell>
        </row>
        <row r="51">
          <cell r="C51" t="str">
            <v>Terima pinj dari Holding</v>
          </cell>
          <cell r="D51">
            <v>2</v>
          </cell>
        </row>
        <row r="52">
          <cell r="C52" t="str">
            <v>Holding - Divisi</v>
          </cell>
          <cell r="D52">
            <v>2</v>
          </cell>
          <cell r="L52">
            <v>6963362</v>
          </cell>
        </row>
        <row r="53">
          <cell r="C53" t="str">
            <v>Kas Harian</v>
          </cell>
          <cell r="D53">
            <v>2</v>
          </cell>
          <cell r="K53">
            <v>6963362</v>
          </cell>
        </row>
        <row r="54">
          <cell r="C54" t="str">
            <v>Terima pinj dari Holding</v>
          </cell>
          <cell r="D54">
            <v>2</v>
          </cell>
        </row>
        <row r="55">
          <cell r="C55" t="str">
            <v>Holding - Divisi</v>
          </cell>
          <cell r="D55">
            <v>2</v>
          </cell>
          <cell r="L55">
            <v>531000</v>
          </cell>
        </row>
        <row r="56">
          <cell r="C56" t="str">
            <v>Kas Harian</v>
          </cell>
          <cell r="D56">
            <v>2</v>
          </cell>
          <cell r="K56">
            <v>531000</v>
          </cell>
        </row>
        <row r="57">
          <cell r="C57" t="str">
            <v>Terima pinj dari holding</v>
          </cell>
          <cell r="D57">
            <v>2</v>
          </cell>
        </row>
        <row r="58">
          <cell r="C58" t="str">
            <v>Holding - Divisi</v>
          </cell>
          <cell r="D58">
            <v>2</v>
          </cell>
          <cell r="L58">
            <v>265000</v>
          </cell>
        </row>
        <row r="59">
          <cell r="C59" t="str">
            <v>Kas Harian</v>
          </cell>
          <cell r="D59">
            <v>2</v>
          </cell>
          <cell r="K59">
            <v>265000</v>
          </cell>
        </row>
        <row r="60">
          <cell r="C60" t="str">
            <v>Terima pinjaman dari Holding</v>
          </cell>
          <cell r="D60">
            <v>2</v>
          </cell>
        </row>
        <row r="61">
          <cell r="C61" t="str">
            <v>Holding - Divisi</v>
          </cell>
          <cell r="D61">
            <v>2</v>
          </cell>
          <cell r="L61">
            <v>12241700</v>
          </cell>
        </row>
        <row r="62">
          <cell r="C62" t="str">
            <v>Kas Harian</v>
          </cell>
          <cell r="D62">
            <v>2</v>
          </cell>
          <cell r="K62">
            <v>12241700</v>
          </cell>
        </row>
        <row r="63">
          <cell r="C63" t="str">
            <v>Terima Pinj dari holding</v>
          </cell>
          <cell r="D63">
            <v>2</v>
          </cell>
        </row>
        <row r="64">
          <cell r="C64" t="str">
            <v>Holding - Divisi</v>
          </cell>
          <cell r="D64">
            <v>2</v>
          </cell>
          <cell r="L64">
            <v>6890650</v>
          </cell>
        </row>
        <row r="65">
          <cell r="C65" t="str">
            <v>Kas Harian</v>
          </cell>
          <cell r="D65">
            <v>2</v>
          </cell>
          <cell r="K65">
            <v>6890650</v>
          </cell>
        </row>
        <row r="66">
          <cell r="C66" t="str">
            <v>Terima pinj dari holding</v>
          </cell>
          <cell r="D66">
            <v>2</v>
          </cell>
        </row>
        <row r="67">
          <cell r="C67" t="str">
            <v>Holding - Divisi</v>
          </cell>
          <cell r="D67">
            <v>2</v>
          </cell>
          <cell r="L67">
            <v>643252</v>
          </cell>
        </row>
        <row r="68">
          <cell r="C68" t="str">
            <v>Kas Harian</v>
          </cell>
          <cell r="D68">
            <v>2</v>
          </cell>
          <cell r="K68">
            <v>643252</v>
          </cell>
        </row>
        <row r="69">
          <cell r="C69" t="str">
            <v>Terima Pinj Dari holding</v>
          </cell>
          <cell r="D69">
            <v>2</v>
          </cell>
        </row>
        <row r="70">
          <cell r="C70" t="str">
            <v>Holding - Divisi</v>
          </cell>
          <cell r="D70">
            <v>2</v>
          </cell>
          <cell r="L70">
            <v>3693810</v>
          </cell>
        </row>
        <row r="71">
          <cell r="C71" t="str">
            <v>Kas Harian</v>
          </cell>
          <cell r="D71">
            <v>2</v>
          </cell>
          <cell r="K71">
            <v>3693810</v>
          </cell>
        </row>
        <row r="72">
          <cell r="C72" t="str">
            <v>Terima pinj dari Holding</v>
          </cell>
          <cell r="D72">
            <v>2</v>
          </cell>
        </row>
        <row r="73">
          <cell r="C73" t="str">
            <v>Holding - Divisi</v>
          </cell>
          <cell r="D73">
            <v>2</v>
          </cell>
          <cell r="L73">
            <v>420000</v>
          </cell>
        </row>
        <row r="74">
          <cell r="C74" t="str">
            <v>Kas Harian</v>
          </cell>
          <cell r="D74">
            <v>2</v>
          </cell>
          <cell r="K74">
            <v>420000</v>
          </cell>
        </row>
        <row r="75">
          <cell r="C75" t="str">
            <v>Terima Pinj  dari Holding</v>
          </cell>
          <cell r="D75">
            <v>2</v>
          </cell>
        </row>
        <row r="76">
          <cell r="C76" t="str">
            <v>Holding - Divisi</v>
          </cell>
          <cell r="D76">
            <v>3</v>
          </cell>
          <cell r="L76">
            <v>4603842</v>
          </cell>
        </row>
        <row r="77">
          <cell r="C77" t="str">
            <v>Kas Harian</v>
          </cell>
          <cell r="D77">
            <v>3</v>
          </cell>
          <cell r="K77">
            <v>4603842</v>
          </cell>
        </row>
        <row r="78">
          <cell r="C78" t="str">
            <v>Terima pinjama dari holding</v>
          </cell>
          <cell r="D78">
            <v>3</v>
          </cell>
        </row>
        <row r="79">
          <cell r="C79" t="str">
            <v>Holding - Divisi</v>
          </cell>
          <cell r="D79">
            <v>3</v>
          </cell>
          <cell r="L79">
            <v>2325400</v>
          </cell>
        </row>
        <row r="80">
          <cell r="C80" t="str">
            <v>Kas Harian</v>
          </cell>
          <cell r="D80">
            <v>3</v>
          </cell>
          <cell r="K80">
            <v>2325400</v>
          </cell>
        </row>
        <row r="81">
          <cell r="C81" t="str">
            <v>Terima pinjaman dari holding</v>
          </cell>
          <cell r="D81">
            <v>3</v>
          </cell>
        </row>
        <row r="82">
          <cell r="C82" t="str">
            <v>Holding - Divisi</v>
          </cell>
          <cell r="D82">
            <v>3</v>
          </cell>
          <cell r="L82">
            <v>4954000</v>
          </cell>
        </row>
        <row r="83">
          <cell r="C83" t="str">
            <v>Kas Harian</v>
          </cell>
          <cell r="D83">
            <v>3</v>
          </cell>
          <cell r="K83">
            <v>4954000</v>
          </cell>
        </row>
        <row r="84">
          <cell r="C84" t="str">
            <v>Terima pinjaman dari Holding</v>
          </cell>
          <cell r="D84">
            <v>3</v>
          </cell>
        </row>
        <row r="85">
          <cell r="C85" t="str">
            <v>Holding - Divisi</v>
          </cell>
          <cell r="D85">
            <v>3</v>
          </cell>
          <cell r="L85">
            <v>459338</v>
          </cell>
        </row>
        <row r="86">
          <cell r="C86" t="str">
            <v>Kas Harian</v>
          </cell>
          <cell r="D86">
            <v>3</v>
          </cell>
          <cell r="K86">
            <v>459338</v>
          </cell>
        </row>
        <row r="87">
          <cell r="C87" t="str">
            <v>Terima pinjaman dari holding</v>
          </cell>
          <cell r="D87">
            <v>3</v>
          </cell>
        </row>
        <row r="88">
          <cell r="C88" t="str">
            <v>Holding - Divisi</v>
          </cell>
          <cell r="D88">
            <v>3</v>
          </cell>
          <cell r="L88">
            <v>382700</v>
          </cell>
        </row>
        <row r="89">
          <cell r="C89" t="str">
            <v>Kas Harian</v>
          </cell>
          <cell r="D89">
            <v>3</v>
          </cell>
          <cell r="K89">
            <v>382700</v>
          </cell>
        </row>
        <row r="90">
          <cell r="C90" t="str">
            <v>Terima pinj dari Holding</v>
          </cell>
          <cell r="D90">
            <v>3</v>
          </cell>
        </row>
        <row r="91">
          <cell r="C91" t="str">
            <v>Holding - Divisi</v>
          </cell>
          <cell r="D91">
            <v>3</v>
          </cell>
          <cell r="L91">
            <v>2957120</v>
          </cell>
        </row>
        <row r="92">
          <cell r="C92" t="str">
            <v>Kas Harian</v>
          </cell>
          <cell r="D92">
            <v>3</v>
          </cell>
          <cell r="K92">
            <v>2957120</v>
          </cell>
        </row>
        <row r="93">
          <cell r="C93" t="str">
            <v>Terima pinj dari holding</v>
          </cell>
          <cell r="D93">
            <v>3</v>
          </cell>
        </row>
        <row r="94">
          <cell r="C94" t="str">
            <v>Holding - Divisi</v>
          </cell>
          <cell r="D94">
            <v>3</v>
          </cell>
          <cell r="L94">
            <v>250000</v>
          </cell>
        </row>
        <row r="95">
          <cell r="C95" t="str">
            <v>Kas Harian</v>
          </cell>
          <cell r="D95">
            <v>3</v>
          </cell>
          <cell r="K95">
            <v>250000</v>
          </cell>
        </row>
        <row r="96">
          <cell r="C96" t="str">
            <v>Terima pinj dari holding</v>
          </cell>
          <cell r="D96">
            <v>3</v>
          </cell>
        </row>
        <row r="97">
          <cell r="C97" t="str">
            <v>Holding - Divisi</v>
          </cell>
          <cell r="D97">
            <v>3</v>
          </cell>
          <cell r="L97">
            <v>278951</v>
          </cell>
        </row>
        <row r="98">
          <cell r="C98" t="str">
            <v>Kas Harian</v>
          </cell>
          <cell r="D98">
            <v>3</v>
          </cell>
          <cell r="K98">
            <v>278951</v>
          </cell>
        </row>
        <row r="99">
          <cell r="C99" t="str">
            <v>Terima pinj dari holding</v>
          </cell>
          <cell r="D99">
            <v>3</v>
          </cell>
        </row>
        <row r="100">
          <cell r="C100" t="str">
            <v>Holding - Divisi</v>
          </cell>
          <cell r="D100">
            <v>3</v>
          </cell>
          <cell r="L100">
            <v>28496170</v>
          </cell>
        </row>
        <row r="101">
          <cell r="C101" t="str">
            <v>Kas Harian</v>
          </cell>
          <cell r="D101">
            <v>3</v>
          </cell>
          <cell r="K101">
            <v>28496170</v>
          </cell>
        </row>
        <row r="102">
          <cell r="C102" t="str">
            <v>Terima pinj dari holding</v>
          </cell>
          <cell r="D102">
            <v>3</v>
          </cell>
        </row>
        <row r="103">
          <cell r="C103" t="str">
            <v>Holding - Divisi</v>
          </cell>
          <cell r="D103">
            <v>3</v>
          </cell>
          <cell r="L103">
            <v>1515000</v>
          </cell>
        </row>
        <row r="104">
          <cell r="C104" t="str">
            <v>Kas Harian</v>
          </cell>
          <cell r="D104">
            <v>3</v>
          </cell>
          <cell r="K104">
            <v>1515000</v>
          </cell>
        </row>
        <row r="105">
          <cell r="C105" t="str">
            <v>Terima pinj dari holding</v>
          </cell>
          <cell r="D105">
            <v>3</v>
          </cell>
        </row>
        <row r="106">
          <cell r="C106" t="str">
            <v>Holding - Divisi</v>
          </cell>
          <cell r="D106">
            <v>3</v>
          </cell>
          <cell r="L106">
            <v>2818040</v>
          </cell>
        </row>
        <row r="107">
          <cell r="C107" t="str">
            <v>Kas Harian</v>
          </cell>
          <cell r="D107">
            <v>3</v>
          </cell>
          <cell r="K107">
            <v>2818040</v>
          </cell>
        </row>
        <row r="108">
          <cell r="C108" t="str">
            <v>Terima pinj dari Holding</v>
          </cell>
          <cell r="D108">
            <v>3</v>
          </cell>
        </row>
        <row r="109">
          <cell r="C109" t="str">
            <v>Holding - Divisi</v>
          </cell>
          <cell r="D109">
            <v>3</v>
          </cell>
          <cell r="L109">
            <v>1662000</v>
          </cell>
        </row>
        <row r="110">
          <cell r="C110" t="str">
            <v>Kas Harian</v>
          </cell>
          <cell r="D110">
            <v>3</v>
          </cell>
          <cell r="K110">
            <v>1662000</v>
          </cell>
        </row>
        <row r="111">
          <cell r="C111" t="str">
            <v>Terima pinjaman dari holding</v>
          </cell>
          <cell r="D111">
            <v>3</v>
          </cell>
        </row>
        <row r="112">
          <cell r="C112" t="str">
            <v>Holding - Divisi</v>
          </cell>
          <cell r="D112">
            <v>3</v>
          </cell>
          <cell r="L112">
            <v>4217313</v>
          </cell>
        </row>
        <row r="113">
          <cell r="C113" t="str">
            <v>Kas Harian</v>
          </cell>
          <cell r="D113">
            <v>3</v>
          </cell>
          <cell r="K113">
            <v>4217313</v>
          </cell>
        </row>
        <row r="114">
          <cell r="C114" t="str">
            <v>Terima pinj dari holding</v>
          </cell>
          <cell r="D114">
            <v>3</v>
          </cell>
        </row>
        <row r="115">
          <cell r="C115" t="str">
            <v>Holding - Divisi</v>
          </cell>
          <cell r="D115">
            <v>4</v>
          </cell>
          <cell r="L115">
            <v>816347</v>
          </cell>
        </row>
        <row r="116">
          <cell r="C116" t="str">
            <v>Kas Harian</v>
          </cell>
          <cell r="D116">
            <v>4</v>
          </cell>
          <cell r="K116">
            <v>816347</v>
          </cell>
        </row>
        <row r="117">
          <cell r="C117" t="str">
            <v>Terima pinjaman dari holding</v>
          </cell>
          <cell r="D117">
            <v>4</v>
          </cell>
        </row>
        <row r="118">
          <cell r="C118" t="str">
            <v>Holding - Divisi</v>
          </cell>
          <cell r="D118">
            <v>4</v>
          </cell>
          <cell r="L118">
            <v>1318720</v>
          </cell>
        </row>
        <row r="119">
          <cell r="C119" t="str">
            <v>Kas Harian</v>
          </cell>
          <cell r="D119">
            <v>4</v>
          </cell>
          <cell r="K119">
            <v>1318720</v>
          </cell>
        </row>
        <row r="120">
          <cell r="C120" t="str">
            <v>Terima pinjaman dari holding</v>
          </cell>
          <cell r="D120">
            <v>4</v>
          </cell>
        </row>
        <row r="121">
          <cell r="C121" t="str">
            <v>Holding - Divisi</v>
          </cell>
          <cell r="D121">
            <v>4</v>
          </cell>
          <cell r="L121">
            <v>185000</v>
          </cell>
        </row>
        <row r="122">
          <cell r="C122" t="str">
            <v>Kas Harian</v>
          </cell>
          <cell r="D122">
            <v>4</v>
          </cell>
          <cell r="K122">
            <v>185000</v>
          </cell>
        </row>
        <row r="123">
          <cell r="C123" t="str">
            <v>Terima pinjaman dari holding</v>
          </cell>
          <cell r="D123">
            <v>4</v>
          </cell>
        </row>
        <row r="124">
          <cell r="C124" t="str">
            <v>Holding - Divisi</v>
          </cell>
          <cell r="D124">
            <v>4</v>
          </cell>
          <cell r="L124">
            <v>445085</v>
          </cell>
        </row>
        <row r="125">
          <cell r="C125" t="str">
            <v>Kas Harian</v>
          </cell>
          <cell r="D125">
            <v>4</v>
          </cell>
          <cell r="K125">
            <v>445085</v>
          </cell>
        </row>
        <row r="126">
          <cell r="C126" t="str">
            <v>Terima pinjaman dari holding</v>
          </cell>
          <cell r="D126">
            <v>4</v>
          </cell>
        </row>
        <row r="127">
          <cell r="C127" t="str">
            <v>Holding - Divisi</v>
          </cell>
          <cell r="D127">
            <v>4</v>
          </cell>
          <cell r="L127">
            <v>2385600</v>
          </cell>
        </row>
        <row r="128">
          <cell r="C128" t="str">
            <v>Kas Harian</v>
          </cell>
          <cell r="D128">
            <v>4</v>
          </cell>
          <cell r="K128">
            <v>2385600</v>
          </cell>
        </row>
        <row r="129">
          <cell r="C129" t="str">
            <v>Terima pinjaman dari holding</v>
          </cell>
          <cell r="D129">
            <v>4</v>
          </cell>
        </row>
        <row r="130">
          <cell r="C130" t="str">
            <v>Holding - Divisi</v>
          </cell>
          <cell r="D130">
            <v>4</v>
          </cell>
          <cell r="L130">
            <v>215000</v>
          </cell>
        </row>
        <row r="131">
          <cell r="C131" t="str">
            <v>Kas Harian</v>
          </cell>
          <cell r="D131">
            <v>4</v>
          </cell>
          <cell r="K131">
            <v>215000</v>
          </cell>
        </row>
        <row r="132">
          <cell r="C132" t="str">
            <v>Terima pinjaman dari hollding</v>
          </cell>
          <cell r="D132">
            <v>4</v>
          </cell>
        </row>
        <row r="133">
          <cell r="C133" t="str">
            <v>Holding - Divisi</v>
          </cell>
          <cell r="D133">
            <v>4</v>
          </cell>
          <cell r="L133">
            <v>205000</v>
          </cell>
        </row>
        <row r="134">
          <cell r="C134" t="str">
            <v>Kas Harian</v>
          </cell>
          <cell r="D134">
            <v>4</v>
          </cell>
          <cell r="K134">
            <v>205000</v>
          </cell>
        </row>
        <row r="135">
          <cell r="C135" t="str">
            <v>Terima pinjaman dari holding</v>
          </cell>
          <cell r="D135">
            <v>4</v>
          </cell>
        </row>
        <row r="136">
          <cell r="C136" t="str">
            <v>Holding - Divisi</v>
          </cell>
          <cell r="D136">
            <v>4</v>
          </cell>
          <cell r="L136">
            <v>335000</v>
          </cell>
        </row>
        <row r="137">
          <cell r="C137" t="str">
            <v>Kas Harian</v>
          </cell>
          <cell r="D137">
            <v>4</v>
          </cell>
          <cell r="K137">
            <v>335000</v>
          </cell>
        </row>
        <row r="138">
          <cell r="C138" t="str">
            <v>Terima pnjaman dari holding</v>
          </cell>
          <cell r="D138">
            <v>4</v>
          </cell>
        </row>
        <row r="139">
          <cell r="C139" t="str">
            <v>Holding - Divisi</v>
          </cell>
          <cell r="D139">
            <v>4</v>
          </cell>
          <cell r="L139">
            <v>2152000</v>
          </cell>
        </row>
        <row r="140">
          <cell r="C140" t="str">
            <v>Kas Harian</v>
          </cell>
          <cell r="D140">
            <v>4</v>
          </cell>
          <cell r="K140">
            <v>2152000</v>
          </cell>
        </row>
        <row r="141">
          <cell r="C141" t="str">
            <v>Terima pinjaman dari holding</v>
          </cell>
          <cell r="D141">
            <v>4</v>
          </cell>
        </row>
        <row r="142">
          <cell r="C142" t="str">
            <v>Holding - Divisi</v>
          </cell>
          <cell r="D142">
            <v>4</v>
          </cell>
          <cell r="L142">
            <v>9633360</v>
          </cell>
        </row>
        <row r="143">
          <cell r="C143" t="str">
            <v>Kas Harian</v>
          </cell>
          <cell r="D143">
            <v>4</v>
          </cell>
          <cell r="K143">
            <v>9633360</v>
          </cell>
        </row>
        <row r="144">
          <cell r="C144" t="str">
            <v>Terima pinjaman dari holding</v>
          </cell>
          <cell r="D144">
            <v>4</v>
          </cell>
        </row>
        <row r="145">
          <cell r="C145" t="str">
            <v>Holding - Divisi</v>
          </cell>
          <cell r="D145">
            <v>4</v>
          </cell>
          <cell r="L145">
            <v>450000</v>
          </cell>
        </row>
        <row r="146">
          <cell r="C146" t="str">
            <v>Kas Harian</v>
          </cell>
          <cell r="D146">
            <v>4</v>
          </cell>
          <cell r="K146">
            <v>450000</v>
          </cell>
        </row>
        <row r="147">
          <cell r="C147" t="str">
            <v>Terima pinjaman dari holding</v>
          </cell>
          <cell r="D147">
            <v>4</v>
          </cell>
        </row>
        <row r="148">
          <cell r="C148" t="str">
            <v>Holding - Divisi</v>
          </cell>
          <cell r="D148">
            <v>4</v>
          </cell>
          <cell r="L148">
            <v>2728960</v>
          </cell>
        </row>
        <row r="149">
          <cell r="C149" t="str">
            <v>Kas Harian</v>
          </cell>
          <cell r="D149">
            <v>4</v>
          </cell>
          <cell r="K149">
            <v>2728960</v>
          </cell>
        </row>
        <row r="150">
          <cell r="C150" t="str">
            <v>Terima pinjaman dari holding</v>
          </cell>
          <cell r="D150">
            <v>4</v>
          </cell>
        </row>
        <row r="151">
          <cell r="C151" t="str">
            <v>Holding - Divisi</v>
          </cell>
          <cell r="D151">
            <v>4</v>
          </cell>
          <cell r="L151">
            <v>220000</v>
          </cell>
        </row>
        <row r="152">
          <cell r="C152" t="str">
            <v>Kas Harian</v>
          </cell>
          <cell r="D152">
            <v>4</v>
          </cell>
          <cell r="K152">
            <v>220000</v>
          </cell>
        </row>
        <row r="153">
          <cell r="C153" t="str">
            <v>Terima pinjaman dari holding</v>
          </cell>
          <cell r="D153">
            <v>4</v>
          </cell>
        </row>
        <row r="154">
          <cell r="C154" t="str">
            <v>Holding - Divisi</v>
          </cell>
          <cell r="D154">
            <v>4</v>
          </cell>
          <cell r="L154">
            <v>14317510</v>
          </cell>
        </row>
        <row r="155">
          <cell r="C155" t="str">
            <v>Kas Harian</v>
          </cell>
          <cell r="D155">
            <v>4</v>
          </cell>
          <cell r="K155">
            <v>14317510</v>
          </cell>
        </row>
        <row r="156">
          <cell r="C156" t="str">
            <v>Terima pinjaman dari holding</v>
          </cell>
          <cell r="D156">
            <v>4</v>
          </cell>
        </row>
        <row r="157">
          <cell r="C157" t="str">
            <v>Holding - Divisi</v>
          </cell>
          <cell r="D157">
            <v>4</v>
          </cell>
          <cell r="L157">
            <v>6858913</v>
          </cell>
        </row>
        <row r="158">
          <cell r="C158" t="str">
            <v>Kas Harian</v>
          </cell>
          <cell r="D158">
            <v>4</v>
          </cell>
          <cell r="K158">
            <v>6858913</v>
          </cell>
        </row>
        <row r="159">
          <cell r="C159" t="str">
            <v>Terima pinjaman dari holding</v>
          </cell>
          <cell r="D159">
            <v>4</v>
          </cell>
        </row>
        <row r="160">
          <cell r="C160" t="str">
            <v>Holding - Divisi</v>
          </cell>
          <cell r="D160">
            <v>4</v>
          </cell>
          <cell r="L160">
            <v>497988</v>
          </cell>
        </row>
        <row r="161">
          <cell r="C161" t="str">
            <v>Kas Harian</v>
          </cell>
          <cell r="D161">
            <v>4</v>
          </cell>
          <cell r="K161">
            <v>497988</v>
          </cell>
        </row>
        <row r="162">
          <cell r="C162" t="str">
            <v>Terima pinjaman dari holding</v>
          </cell>
          <cell r="D162">
            <v>4</v>
          </cell>
        </row>
        <row r="163">
          <cell r="C163" t="str">
            <v>Holding - Divisi</v>
          </cell>
          <cell r="D163">
            <v>5</v>
          </cell>
          <cell r="L163">
            <v>289897</v>
          </cell>
        </row>
        <row r="164">
          <cell r="C164" t="str">
            <v>Kas Harian</v>
          </cell>
          <cell r="D164">
            <v>5</v>
          </cell>
          <cell r="K164">
            <v>289897</v>
          </cell>
        </row>
        <row r="165">
          <cell r="C165" t="str">
            <v>Terima pinjaman dari holding</v>
          </cell>
          <cell r="D165">
            <v>5</v>
          </cell>
        </row>
        <row r="166">
          <cell r="C166" t="str">
            <v>Holding - Divisi</v>
          </cell>
          <cell r="D166">
            <v>5</v>
          </cell>
          <cell r="L166">
            <v>2516512</v>
          </cell>
        </row>
        <row r="167">
          <cell r="C167" t="str">
            <v>Kas Harian</v>
          </cell>
          <cell r="D167">
            <v>5</v>
          </cell>
          <cell r="K167">
            <v>2516512</v>
          </cell>
        </row>
        <row r="168">
          <cell r="C168" t="str">
            <v>Terima pinjaman dari holding</v>
          </cell>
          <cell r="D168">
            <v>5</v>
          </cell>
        </row>
        <row r="169">
          <cell r="C169" t="str">
            <v>Holding - Divisi</v>
          </cell>
          <cell r="D169">
            <v>5</v>
          </cell>
          <cell r="L169">
            <v>840838</v>
          </cell>
        </row>
        <row r="170">
          <cell r="C170" t="str">
            <v>Kas Harian</v>
          </cell>
          <cell r="D170">
            <v>5</v>
          </cell>
          <cell r="K170">
            <v>840838</v>
          </cell>
        </row>
        <row r="171">
          <cell r="C171" t="str">
            <v>Terima pinjaman dari holding</v>
          </cell>
          <cell r="D171">
            <v>5</v>
          </cell>
        </row>
        <row r="172">
          <cell r="C172" t="str">
            <v>Holding - Divisi</v>
          </cell>
          <cell r="D172">
            <v>5</v>
          </cell>
          <cell r="L172">
            <v>2365458</v>
          </cell>
        </row>
        <row r="173">
          <cell r="C173" t="str">
            <v>Kas Harian</v>
          </cell>
          <cell r="D173">
            <v>5</v>
          </cell>
          <cell r="K173">
            <v>2365458</v>
          </cell>
        </row>
        <row r="174">
          <cell r="C174" t="str">
            <v>Terima pinjaman dari holding</v>
          </cell>
          <cell r="D174">
            <v>5</v>
          </cell>
        </row>
        <row r="175">
          <cell r="C175" t="str">
            <v>Holding - Divisi</v>
          </cell>
          <cell r="D175">
            <v>5</v>
          </cell>
          <cell r="L175">
            <v>475000</v>
          </cell>
        </row>
        <row r="176">
          <cell r="C176" t="str">
            <v>Kas Harian</v>
          </cell>
          <cell r="D176">
            <v>5</v>
          </cell>
          <cell r="K176">
            <v>475000</v>
          </cell>
        </row>
        <row r="177">
          <cell r="C177" t="str">
            <v>TERIMA PINJAMAN DARI HOLDING</v>
          </cell>
          <cell r="D177">
            <v>5</v>
          </cell>
        </row>
        <row r="178">
          <cell r="C178" t="str">
            <v>Holding - Divisi</v>
          </cell>
          <cell r="D178">
            <v>5</v>
          </cell>
          <cell r="L178">
            <v>6409110</v>
          </cell>
        </row>
        <row r="179">
          <cell r="C179" t="str">
            <v>Kas Harian</v>
          </cell>
          <cell r="D179">
            <v>5</v>
          </cell>
          <cell r="K179">
            <v>6409110</v>
          </cell>
        </row>
        <row r="180">
          <cell r="C180" t="str">
            <v>TERIMA PINJAMAN DARI HOLDING</v>
          </cell>
          <cell r="D180">
            <v>5</v>
          </cell>
        </row>
        <row r="181">
          <cell r="C181" t="str">
            <v>Holding - Divisi</v>
          </cell>
          <cell r="D181">
            <v>5</v>
          </cell>
          <cell r="L181">
            <v>274837</v>
          </cell>
        </row>
        <row r="182">
          <cell r="C182" t="str">
            <v>Kas Harian</v>
          </cell>
          <cell r="D182">
            <v>5</v>
          </cell>
          <cell r="K182">
            <v>274837</v>
          </cell>
        </row>
        <row r="183">
          <cell r="C183" t="str">
            <v>TERIMA PINJAMAN DARI HOLDING</v>
          </cell>
          <cell r="D183">
            <v>5</v>
          </cell>
        </row>
        <row r="184">
          <cell r="C184" t="str">
            <v>Holding - Divisi</v>
          </cell>
          <cell r="D184">
            <v>5</v>
          </cell>
          <cell r="L184">
            <v>2423300</v>
          </cell>
        </row>
        <row r="185">
          <cell r="C185" t="str">
            <v>Kas Harian</v>
          </cell>
          <cell r="D185">
            <v>5</v>
          </cell>
          <cell r="K185">
            <v>2423300</v>
          </cell>
        </row>
        <row r="186">
          <cell r="C186" t="str">
            <v>TREIMA PINJAMAN DARI HOLDING</v>
          </cell>
          <cell r="D186">
            <v>5</v>
          </cell>
        </row>
        <row r="187">
          <cell r="C187" t="str">
            <v>Holding - Divisi</v>
          </cell>
          <cell r="D187">
            <v>5</v>
          </cell>
          <cell r="L187">
            <v>215000</v>
          </cell>
        </row>
        <row r="188">
          <cell r="C188" t="str">
            <v>Kas Harian</v>
          </cell>
          <cell r="D188">
            <v>5</v>
          </cell>
          <cell r="K188">
            <v>215000</v>
          </cell>
        </row>
        <row r="189">
          <cell r="C189" t="str">
            <v>TERIMA PINJAMAN DARI HOLDING</v>
          </cell>
          <cell r="D189">
            <v>5</v>
          </cell>
        </row>
        <row r="190">
          <cell r="C190" t="str">
            <v>Holding - Divisi</v>
          </cell>
          <cell r="D190">
            <v>5</v>
          </cell>
          <cell r="L190">
            <v>14492000</v>
          </cell>
        </row>
        <row r="191">
          <cell r="C191" t="str">
            <v>Kas Harian</v>
          </cell>
          <cell r="D191">
            <v>5</v>
          </cell>
          <cell r="K191">
            <v>14492000</v>
          </cell>
        </row>
        <row r="192">
          <cell r="C192" t="str">
            <v>TERIMA PINJAMAN DARI HOLDING</v>
          </cell>
          <cell r="D192">
            <v>5</v>
          </cell>
        </row>
        <row r="193">
          <cell r="C193" t="str">
            <v>Holding - Divisi</v>
          </cell>
          <cell r="D193">
            <v>5</v>
          </cell>
          <cell r="L193">
            <v>63000</v>
          </cell>
        </row>
        <row r="194">
          <cell r="C194" t="str">
            <v>Kas Harian</v>
          </cell>
          <cell r="D194">
            <v>5</v>
          </cell>
          <cell r="K194">
            <v>63000</v>
          </cell>
        </row>
        <row r="195">
          <cell r="C195" t="str">
            <v>TERIMA PINJAMAN DARI HOLDING</v>
          </cell>
          <cell r="D195">
            <v>5</v>
          </cell>
        </row>
        <row r="196">
          <cell r="C196" t="str">
            <v>Holding - Divisi</v>
          </cell>
          <cell r="D196">
            <v>5</v>
          </cell>
          <cell r="L196">
            <v>4281260</v>
          </cell>
        </row>
        <row r="197">
          <cell r="C197" t="str">
            <v>Kas Harian</v>
          </cell>
          <cell r="D197">
            <v>5</v>
          </cell>
          <cell r="K197">
            <v>4281260</v>
          </cell>
        </row>
        <row r="198">
          <cell r="C198" t="str">
            <v>TERIMA PINJAMAN DARI HOLDING</v>
          </cell>
          <cell r="D198">
            <v>5</v>
          </cell>
        </row>
        <row r="199">
          <cell r="C199" t="str">
            <v>Holding - Divisi</v>
          </cell>
          <cell r="D199">
            <v>5</v>
          </cell>
          <cell r="L199">
            <v>4427313</v>
          </cell>
        </row>
        <row r="200">
          <cell r="C200" t="str">
            <v>Kas Harian</v>
          </cell>
          <cell r="D200">
            <v>5</v>
          </cell>
          <cell r="K200">
            <v>4427313</v>
          </cell>
        </row>
        <row r="201">
          <cell r="C201" t="str">
            <v>terima pinjaman dari holding</v>
          </cell>
          <cell r="D201">
            <v>5</v>
          </cell>
        </row>
        <row r="202">
          <cell r="C202" t="str">
            <v>Holding - Divisi</v>
          </cell>
          <cell r="D202">
            <v>6</v>
          </cell>
          <cell r="L202">
            <v>289897</v>
          </cell>
        </row>
        <row r="203">
          <cell r="C203" t="str">
            <v>Kas Harian</v>
          </cell>
          <cell r="D203">
            <v>6</v>
          </cell>
          <cell r="K203">
            <v>289897</v>
          </cell>
        </row>
        <row r="204">
          <cell r="C204" t="str">
            <v>TERIMA PINJAMAN DARI HOLDING</v>
          </cell>
          <cell r="D204">
            <v>6</v>
          </cell>
        </row>
        <row r="205">
          <cell r="C205" t="str">
            <v>Holding - Divisi</v>
          </cell>
          <cell r="D205">
            <v>6</v>
          </cell>
          <cell r="L205">
            <v>1907745</v>
          </cell>
        </row>
        <row r="206">
          <cell r="C206" t="str">
            <v>Kas Harian</v>
          </cell>
          <cell r="D206">
            <v>6</v>
          </cell>
          <cell r="K206">
            <v>1907745</v>
          </cell>
        </row>
        <row r="207">
          <cell r="C207" t="str">
            <v>TERIMA PINJAMAN DARI HOLDING</v>
          </cell>
          <cell r="D207">
            <v>6</v>
          </cell>
        </row>
        <row r="208">
          <cell r="C208" t="str">
            <v>Holding - Divisi</v>
          </cell>
          <cell r="D208">
            <v>6</v>
          </cell>
          <cell r="L208">
            <v>220000</v>
          </cell>
        </row>
        <row r="209">
          <cell r="C209" t="str">
            <v>Kas Harian</v>
          </cell>
          <cell r="D209">
            <v>6</v>
          </cell>
          <cell r="K209">
            <v>220000</v>
          </cell>
        </row>
        <row r="210">
          <cell r="C210" t="str">
            <v>TERIMA PINJAMAN DARI HOLDING</v>
          </cell>
          <cell r="D210">
            <v>6</v>
          </cell>
        </row>
        <row r="211">
          <cell r="C211" t="str">
            <v>Holding - Divisi</v>
          </cell>
          <cell r="D211">
            <v>6</v>
          </cell>
          <cell r="L211">
            <v>439075</v>
          </cell>
        </row>
        <row r="212">
          <cell r="C212" t="str">
            <v>Kas Harian</v>
          </cell>
          <cell r="D212">
            <v>6</v>
          </cell>
          <cell r="K212">
            <v>439075</v>
          </cell>
        </row>
        <row r="213">
          <cell r="C213" t="str">
            <v>TERIMA PINJAMAN DARI HOLDING</v>
          </cell>
          <cell r="D213">
            <v>6</v>
          </cell>
        </row>
        <row r="214">
          <cell r="C214" t="str">
            <v>Holding - Divisi</v>
          </cell>
          <cell r="D214">
            <v>6</v>
          </cell>
          <cell r="L214">
            <v>189338</v>
          </cell>
        </row>
        <row r="215">
          <cell r="C215" t="str">
            <v>Kas Harian</v>
          </cell>
          <cell r="D215">
            <v>6</v>
          </cell>
          <cell r="K215">
            <v>189338</v>
          </cell>
        </row>
        <row r="216">
          <cell r="C216" t="str">
            <v>TERIMA PINJAMAN DARI HOLDING</v>
          </cell>
          <cell r="D216">
            <v>6</v>
          </cell>
        </row>
        <row r="217">
          <cell r="C217" t="str">
            <v>Holding - Divisi</v>
          </cell>
          <cell r="D217">
            <v>6</v>
          </cell>
          <cell r="L217">
            <v>3148135</v>
          </cell>
        </row>
        <row r="218">
          <cell r="C218" t="str">
            <v>Kas Harian</v>
          </cell>
          <cell r="D218">
            <v>6</v>
          </cell>
          <cell r="K218">
            <v>3148135</v>
          </cell>
        </row>
        <row r="219">
          <cell r="C219" t="str">
            <v>TERIMA PINJAMAN DARI HOLDING</v>
          </cell>
          <cell r="D219">
            <v>6</v>
          </cell>
        </row>
        <row r="220">
          <cell r="C220" t="str">
            <v>Holding - Divisi</v>
          </cell>
          <cell r="D220">
            <v>6</v>
          </cell>
          <cell r="L220">
            <v>390000</v>
          </cell>
        </row>
        <row r="221">
          <cell r="C221" t="str">
            <v>Kas Harian</v>
          </cell>
          <cell r="D221">
            <v>6</v>
          </cell>
          <cell r="K221">
            <v>390000</v>
          </cell>
        </row>
        <row r="222">
          <cell r="C222" t="str">
            <v>TERIMA PINJAMAN DARI HOLDING</v>
          </cell>
          <cell r="D222">
            <v>6</v>
          </cell>
        </row>
        <row r="223">
          <cell r="C223" t="str">
            <v>Holding - Divisi</v>
          </cell>
          <cell r="D223">
            <v>6</v>
          </cell>
          <cell r="L223">
            <v>469874</v>
          </cell>
        </row>
        <row r="224">
          <cell r="C224" t="str">
            <v>Kas Harian</v>
          </cell>
          <cell r="D224">
            <v>6</v>
          </cell>
          <cell r="K224">
            <v>469874</v>
          </cell>
        </row>
        <row r="225">
          <cell r="C225" t="str">
            <v>TERIMA PINJAMAN DARI HOLDING</v>
          </cell>
          <cell r="D225">
            <v>6</v>
          </cell>
        </row>
        <row r="226">
          <cell r="C226" t="str">
            <v>Holding - Divisi</v>
          </cell>
          <cell r="D226">
            <v>6</v>
          </cell>
          <cell r="L226">
            <v>15936560</v>
          </cell>
        </row>
        <row r="227">
          <cell r="C227" t="str">
            <v>Kas Harian</v>
          </cell>
          <cell r="D227">
            <v>6</v>
          </cell>
          <cell r="K227">
            <v>15936560</v>
          </cell>
        </row>
        <row r="228">
          <cell r="C228" t="str">
            <v>TERIMA PINJAMAN DARI HOLDING</v>
          </cell>
          <cell r="D228">
            <v>6</v>
          </cell>
        </row>
        <row r="229">
          <cell r="C229" t="str">
            <v>Holding - Divisi</v>
          </cell>
          <cell r="D229">
            <v>6</v>
          </cell>
          <cell r="L229">
            <v>5766710</v>
          </cell>
        </row>
        <row r="230">
          <cell r="C230" t="str">
            <v>Kas Harian</v>
          </cell>
          <cell r="D230">
            <v>6</v>
          </cell>
          <cell r="K230">
            <v>5766710</v>
          </cell>
        </row>
        <row r="231">
          <cell r="C231" t="str">
            <v>TERIMA PINJAMAN DARI HOLDING</v>
          </cell>
          <cell r="D231">
            <v>6</v>
          </cell>
        </row>
        <row r="232">
          <cell r="C232" t="str">
            <v>Holding - Divisi</v>
          </cell>
          <cell r="D232">
            <v>6</v>
          </cell>
          <cell r="L232">
            <v>255000</v>
          </cell>
        </row>
        <row r="233">
          <cell r="C233" t="str">
            <v>Kas Harian</v>
          </cell>
          <cell r="D233">
            <v>6</v>
          </cell>
          <cell r="K233">
            <v>255000</v>
          </cell>
        </row>
        <row r="234">
          <cell r="C234" t="str">
            <v>Terima pinjaman dari holding</v>
          </cell>
          <cell r="D234">
            <v>6</v>
          </cell>
        </row>
        <row r="235">
          <cell r="C235" t="str">
            <v>Holding - Divisi</v>
          </cell>
          <cell r="D235">
            <v>6</v>
          </cell>
          <cell r="L235">
            <v>2089920</v>
          </cell>
        </row>
        <row r="236">
          <cell r="C236" t="str">
            <v>Kas Harian</v>
          </cell>
          <cell r="D236">
            <v>6</v>
          </cell>
          <cell r="K236">
            <v>2089920</v>
          </cell>
        </row>
        <row r="237">
          <cell r="C237" t="str">
            <v>Terima pinjaman dari holding</v>
          </cell>
          <cell r="D237">
            <v>6</v>
          </cell>
        </row>
        <row r="238">
          <cell r="C238" t="str">
            <v>Holding - Divisi</v>
          </cell>
          <cell r="D238">
            <v>6</v>
          </cell>
          <cell r="L238">
            <v>411000</v>
          </cell>
        </row>
        <row r="239">
          <cell r="C239" t="str">
            <v>Kas Harian</v>
          </cell>
          <cell r="D239">
            <v>6</v>
          </cell>
          <cell r="K239">
            <v>411000</v>
          </cell>
        </row>
        <row r="240">
          <cell r="C240" t="str">
            <v>Terima pinjaman dari holding</v>
          </cell>
          <cell r="D240">
            <v>6</v>
          </cell>
        </row>
        <row r="241">
          <cell r="C241" t="str">
            <v>Holding - Divisi</v>
          </cell>
          <cell r="D241">
            <v>6</v>
          </cell>
          <cell r="L241">
            <v>225000</v>
          </cell>
        </row>
        <row r="242">
          <cell r="C242" t="str">
            <v>Kas Harian</v>
          </cell>
          <cell r="D242">
            <v>6</v>
          </cell>
          <cell r="K242">
            <v>225000</v>
          </cell>
        </row>
        <row r="243">
          <cell r="C243" t="str">
            <v>Terima pinjaman dari holding</v>
          </cell>
          <cell r="D243">
            <v>6</v>
          </cell>
        </row>
        <row r="244">
          <cell r="C244" t="str">
            <v>Holding - Divisi</v>
          </cell>
          <cell r="D244">
            <v>6</v>
          </cell>
          <cell r="L244">
            <v>4392313</v>
          </cell>
        </row>
        <row r="245">
          <cell r="C245" t="str">
            <v>Kas Harian</v>
          </cell>
          <cell r="D245">
            <v>6</v>
          </cell>
          <cell r="K245">
            <v>4392313</v>
          </cell>
        </row>
        <row r="246">
          <cell r="C246" t="str">
            <v>Terima pinjaman dari holding</v>
          </cell>
          <cell r="D246">
            <v>6</v>
          </cell>
        </row>
        <row r="247">
          <cell r="C247" t="str">
            <v>Holding - Divisi</v>
          </cell>
          <cell r="D247">
            <v>7</v>
          </cell>
          <cell r="L247">
            <v>2223657</v>
          </cell>
        </row>
        <row r="248">
          <cell r="C248" t="str">
            <v>Kas Harian</v>
          </cell>
          <cell r="D248">
            <v>7</v>
          </cell>
          <cell r="K248">
            <v>2223657</v>
          </cell>
        </row>
        <row r="249">
          <cell r="C249" t="str">
            <v>Terima pinjaman dari holding</v>
          </cell>
          <cell r="D249">
            <v>7</v>
          </cell>
        </row>
        <row r="250">
          <cell r="C250" t="str">
            <v>Holding - Divisi</v>
          </cell>
          <cell r="D250">
            <v>7</v>
          </cell>
          <cell r="L250">
            <v>220000</v>
          </cell>
        </row>
        <row r="251">
          <cell r="C251" t="str">
            <v>Kas Harian</v>
          </cell>
          <cell r="D251">
            <v>7</v>
          </cell>
          <cell r="K251">
            <v>220000</v>
          </cell>
        </row>
        <row r="252">
          <cell r="C252" t="str">
            <v>Pinjaman dari holding</v>
          </cell>
          <cell r="D252">
            <v>7</v>
          </cell>
        </row>
        <row r="253">
          <cell r="C253" t="str">
            <v>Holding - Divisi</v>
          </cell>
          <cell r="D253">
            <v>7</v>
          </cell>
          <cell r="L253">
            <v>53916</v>
          </cell>
        </row>
        <row r="254">
          <cell r="C254" t="str">
            <v>Kas Harian</v>
          </cell>
          <cell r="D254">
            <v>7</v>
          </cell>
          <cell r="K254">
            <v>53916</v>
          </cell>
        </row>
        <row r="255">
          <cell r="C255" t="str">
            <v>Terima pinjaman dari holding</v>
          </cell>
          <cell r="D255">
            <v>7</v>
          </cell>
        </row>
        <row r="256">
          <cell r="C256" t="str">
            <v>Holding - Divisi</v>
          </cell>
          <cell r="D256">
            <v>7</v>
          </cell>
          <cell r="L256">
            <v>189338</v>
          </cell>
        </row>
        <row r="257">
          <cell r="C257" t="str">
            <v>Kas Harian</v>
          </cell>
          <cell r="D257">
            <v>7</v>
          </cell>
          <cell r="K257">
            <v>189338</v>
          </cell>
        </row>
        <row r="258">
          <cell r="C258" t="str">
            <v>Terima pinjaman dari holding</v>
          </cell>
          <cell r="D258">
            <v>7</v>
          </cell>
        </row>
        <row r="259">
          <cell r="C259" t="str">
            <v>Holding - Divisi</v>
          </cell>
          <cell r="D259">
            <v>7</v>
          </cell>
          <cell r="L259">
            <v>1969280</v>
          </cell>
        </row>
        <row r="260">
          <cell r="C260" t="str">
            <v>Kas Harian</v>
          </cell>
          <cell r="D260">
            <v>7</v>
          </cell>
          <cell r="K260">
            <v>1969280</v>
          </cell>
        </row>
        <row r="261">
          <cell r="C261" t="str">
            <v>Terima pijinjaman dari holding</v>
          </cell>
          <cell r="D261">
            <v>7</v>
          </cell>
        </row>
        <row r="262">
          <cell r="C262" t="str">
            <v>Holding - Divisi</v>
          </cell>
          <cell r="D262">
            <v>7</v>
          </cell>
          <cell r="L262">
            <v>1894000</v>
          </cell>
        </row>
        <row r="263">
          <cell r="C263" t="str">
            <v>Kas Harian</v>
          </cell>
          <cell r="D263">
            <v>7</v>
          </cell>
          <cell r="K263">
            <v>1894000</v>
          </cell>
        </row>
        <row r="264">
          <cell r="C264" t="str">
            <v>Terima pinjaman dari holding</v>
          </cell>
          <cell r="D264">
            <v>7</v>
          </cell>
        </row>
        <row r="265">
          <cell r="C265" t="str">
            <v>Holding - Divisi</v>
          </cell>
          <cell r="D265">
            <v>7</v>
          </cell>
          <cell r="L265">
            <v>4108000</v>
          </cell>
        </row>
        <row r="266">
          <cell r="C266" t="str">
            <v>Kas Harian</v>
          </cell>
          <cell r="D266">
            <v>7</v>
          </cell>
          <cell r="K266">
            <v>4108000</v>
          </cell>
        </row>
        <row r="267">
          <cell r="C267" t="str">
            <v>Terim pinjaman dari holding</v>
          </cell>
          <cell r="D267">
            <v>7</v>
          </cell>
        </row>
        <row r="268">
          <cell r="C268" t="str">
            <v>Holding - Divisi</v>
          </cell>
          <cell r="D268">
            <v>7</v>
          </cell>
          <cell r="L268">
            <v>360000</v>
          </cell>
        </row>
        <row r="269">
          <cell r="C269" t="str">
            <v>Kas Harian</v>
          </cell>
          <cell r="D269">
            <v>7</v>
          </cell>
          <cell r="K269">
            <v>360000</v>
          </cell>
        </row>
        <row r="270">
          <cell r="C270" t="str">
            <v>Terima pinjaman dari holding</v>
          </cell>
          <cell r="D270">
            <v>7</v>
          </cell>
        </row>
        <row r="271">
          <cell r="C271" t="str">
            <v>Holding - Divisi</v>
          </cell>
          <cell r="D271">
            <v>7</v>
          </cell>
          <cell r="L271">
            <v>1663360</v>
          </cell>
        </row>
        <row r="272">
          <cell r="C272" t="str">
            <v>Kas Harian</v>
          </cell>
          <cell r="D272">
            <v>7</v>
          </cell>
          <cell r="K272">
            <v>1663360</v>
          </cell>
        </row>
        <row r="273">
          <cell r="C273" t="str">
            <v>Terima pinjaman dari holding</v>
          </cell>
          <cell r="D273">
            <v>7</v>
          </cell>
        </row>
        <row r="274">
          <cell r="C274" t="str">
            <v>Holding - Divisi</v>
          </cell>
          <cell r="D274">
            <v>7</v>
          </cell>
          <cell r="L274">
            <v>19184960</v>
          </cell>
        </row>
        <row r="275">
          <cell r="C275" t="str">
            <v>Kas Harian</v>
          </cell>
          <cell r="D275">
            <v>7</v>
          </cell>
          <cell r="K275">
            <v>19184960</v>
          </cell>
        </row>
        <row r="276">
          <cell r="C276" t="str">
            <v>Terima pinjaman div holding</v>
          </cell>
          <cell r="D276">
            <v>7</v>
          </cell>
        </row>
        <row r="277">
          <cell r="C277" t="str">
            <v>Holding - Divisi</v>
          </cell>
          <cell r="D277">
            <v>7</v>
          </cell>
          <cell r="L277">
            <v>15074625</v>
          </cell>
        </row>
        <row r="278">
          <cell r="C278" t="str">
            <v>Kas Harian</v>
          </cell>
          <cell r="D278">
            <v>7</v>
          </cell>
          <cell r="K278">
            <v>15074625</v>
          </cell>
        </row>
        <row r="279">
          <cell r="C279" t="str">
            <v>Terima pinjaman dari holding</v>
          </cell>
          <cell r="D279">
            <v>7</v>
          </cell>
        </row>
        <row r="280">
          <cell r="C280" t="str">
            <v>Holding - Divisi</v>
          </cell>
          <cell r="D280">
            <v>7</v>
          </cell>
          <cell r="L280">
            <v>733000</v>
          </cell>
        </row>
        <row r="281">
          <cell r="C281" t="str">
            <v>Kas Harian</v>
          </cell>
          <cell r="D281">
            <v>7</v>
          </cell>
          <cell r="K281">
            <v>733000</v>
          </cell>
        </row>
        <row r="282">
          <cell r="C282" t="str">
            <v>Terima pinjaman dari holding</v>
          </cell>
          <cell r="D282">
            <v>7</v>
          </cell>
        </row>
        <row r="283">
          <cell r="C283" t="str">
            <v>Holding - Divisi</v>
          </cell>
          <cell r="D283">
            <v>7</v>
          </cell>
          <cell r="L283">
            <v>6528000</v>
          </cell>
        </row>
        <row r="284">
          <cell r="C284" t="str">
            <v>Kas Harian</v>
          </cell>
          <cell r="D284">
            <v>7</v>
          </cell>
          <cell r="K284">
            <v>6528000</v>
          </cell>
        </row>
        <row r="285">
          <cell r="C285" t="str">
            <v>Terima pinjaman dari holding</v>
          </cell>
          <cell r="D285">
            <v>7</v>
          </cell>
        </row>
        <row r="286">
          <cell r="C286" t="str">
            <v>Holding - Divisi</v>
          </cell>
          <cell r="D286">
            <v>7</v>
          </cell>
          <cell r="L286">
            <v>4363280</v>
          </cell>
        </row>
        <row r="287">
          <cell r="C287" t="str">
            <v>Kas Harian</v>
          </cell>
          <cell r="D287">
            <v>7</v>
          </cell>
          <cell r="K287">
            <v>4363280</v>
          </cell>
        </row>
        <row r="288">
          <cell r="C288" t="str">
            <v>Pinjaman div holding</v>
          </cell>
          <cell r="D288">
            <v>7</v>
          </cell>
        </row>
        <row r="289">
          <cell r="C289" t="str">
            <v>Holding - Divisi</v>
          </cell>
          <cell r="D289">
            <v>7</v>
          </cell>
          <cell r="L289">
            <v>1770480</v>
          </cell>
        </row>
        <row r="290">
          <cell r="C290" t="str">
            <v>Kas Harian</v>
          </cell>
          <cell r="D290">
            <v>7</v>
          </cell>
          <cell r="K290">
            <v>1770480</v>
          </cell>
        </row>
        <row r="291">
          <cell r="C291" t="str">
            <v>Terima pinjaman dari holding</v>
          </cell>
          <cell r="D291">
            <v>7</v>
          </cell>
        </row>
        <row r="292">
          <cell r="C292" t="str">
            <v>Holding - Divisi</v>
          </cell>
          <cell r="D292">
            <v>7</v>
          </cell>
          <cell r="L292">
            <v>8178563</v>
          </cell>
        </row>
        <row r="293">
          <cell r="C293" t="str">
            <v>Kas Harian</v>
          </cell>
          <cell r="D293">
            <v>7</v>
          </cell>
          <cell r="K293">
            <v>8178563</v>
          </cell>
        </row>
        <row r="294">
          <cell r="C294" t="str">
            <v>Terima pinjaman dari holding</v>
          </cell>
          <cell r="D294">
            <v>7</v>
          </cell>
        </row>
        <row r="295">
          <cell r="C295" t="str">
            <v>Holding - Divisi</v>
          </cell>
          <cell r="D295">
            <v>8</v>
          </cell>
          <cell r="L295">
            <v>289897</v>
          </cell>
        </row>
        <row r="296">
          <cell r="C296" t="str">
            <v>Kas Harian</v>
          </cell>
          <cell r="D296">
            <v>8</v>
          </cell>
          <cell r="K296">
            <v>289897</v>
          </cell>
        </row>
        <row r="297">
          <cell r="C297" t="str">
            <v>Terima pinjaman dari holding</v>
          </cell>
          <cell r="D297">
            <v>8</v>
          </cell>
        </row>
        <row r="298">
          <cell r="C298" t="str">
            <v>Holding - Divisi</v>
          </cell>
          <cell r="D298">
            <v>8</v>
          </cell>
          <cell r="L298">
            <v>1207360</v>
          </cell>
        </row>
        <row r="299">
          <cell r="C299" t="str">
            <v>Kas Harian</v>
          </cell>
          <cell r="D299">
            <v>8</v>
          </cell>
          <cell r="K299">
            <v>1207360</v>
          </cell>
        </row>
        <row r="300">
          <cell r="C300" t="str">
            <v>Terima pinjaman dari holding</v>
          </cell>
          <cell r="D300">
            <v>8</v>
          </cell>
        </row>
        <row r="301">
          <cell r="C301" t="str">
            <v>Holding - Divisi</v>
          </cell>
          <cell r="D301">
            <v>8</v>
          </cell>
          <cell r="L301">
            <v>189338</v>
          </cell>
        </row>
        <row r="302">
          <cell r="C302" t="str">
            <v>Kas Harian</v>
          </cell>
          <cell r="D302">
            <v>8</v>
          </cell>
          <cell r="K302">
            <v>189338</v>
          </cell>
        </row>
        <row r="303">
          <cell r="C303" t="str">
            <v>Terima pinjaman dari holding</v>
          </cell>
          <cell r="D303">
            <v>8</v>
          </cell>
        </row>
        <row r="304">
          <cell r="C304" t="str">
            <v>Holding - Divisi</v>
          </cell>
          <cell r="D304">
            <v>8</v>
          </cell>
          <cell r="L304">
            <v>170000</v>
          </cell>
        </row>
        <row r="305">
          <cell r="C305" t="str">
            <v>Kas Harian</v>
          </cell>
          <cell r="D305">
            <v>8</v>
          </cell>
          <cell r="K305">
            <v>170000</v>
          </cell>
        </row>
        <row r="306">
          <cell r="C306" t="str">
            <v>Terima pinjaman dari holding</v>
          </cell>
          <cell r="D306">
            <v>8</v>
          </cell>
        </row>
        <row r="307">
          <cell r="C307" t="str">
            <v>Holding - Divisi</v>
          </cell>
          <cell r="D307">
            <v>8</v>
          </cell>
          <cell r="L307">
            <v>1072960</v>
          </cell>
        </row>
        <row r="308">
          <cell r="C308" t="str">
            <v>Kas Harian</v>
          </cell>
          <cell r="D308">
            <v>8</v>
          </cell>
          <cell r="K308">
            <v>1072960</v>
          </cell>
        </row>
        <row r="309">
          <cell r="C309" t="str">
            <v>Terima pinjaman dari holding</v>
          </cell>
          <cell r="D309">
            <v>8</v>
          </cell>
        </row>
        <row r="310">
          <cell r="C310" t="str">
            <v>Holding - Divisi</v>
          </cell>
          <cell r="D310">
            <v>8</v>
          </cell>
          <cell r="L310">
            <v>3987200</v>
          </cell>
        </row>
        <row r="311">
          <cell r="C311" t="str">
            <v>Kas Harian</v>
          </cell>
          <cell r="D311">
            <v>8</v>
          </cell>
          <cell r="K311">
            <v>3987200</v>
          </cell>
        </row>
        <row r="312">
          <cell r="C312" t="str">
            <v>Terima pinjaman dari holding</v>
          </cell>
          <cell r="D312">
            <v>8</v>
          </cell>
        </row>
        <row r="313">
          <cell r="C313" t="str">
            <v>Holding - Divisi</v>
          </cell>
          <cell r="D313">
            <v>8</v>
          </cell>
          <cell r="L313">
            <v>5710000</v>
          </cell>
        </row>
        <row r="314">
          <cell r="C314" t="str">
            <v>Kas Harian</v>
          </cell>
          <cell r="D314">
            <v>8</v>
          </cell>
          <cell r="K314">
            <v>5710000</v>
          </cell>
        </row>
        <row r="315">
          <cell r="C315" t="str">
            <v>Terima pinjaman dari holding</v>
          </cell>
          <cell r="D315">
            <v>8</v>
          </cell>
        </row>
        <row r="316">
          <cell r="C316" t="str">
            <v>Holding - Divisi</v>
          </cell>
          <cell r="D316">
            <v>8</v>
          </cell>
          <cell r="L316">
            <v>524000</v>
          </cell>
        </row>
        <row r="317">
          <cell r="C317" t="str">
            <v>Kas Harian</v>
          </cell>
          <cell r="D317">
            <v>8</v>
          </cell>
          <cell r="K317">
            <v>524000</v>
          </cell>
        </row>
        <row r="318">
          <cell r="C318" t="str">
            <v>Terima pinjaman dari holding</v>
          </cell>
          <cell r="D318">
            <v>8</v>
          </cell>
        </row>
        <row r="319">
          <cell r="C319" t="str">
            <v>Holding - Divisi</v>
          </cell>
          <cell r="D319">
            <v>8</v>
          </cell>
          <cell r="L319">
            <v>2609600</v>
          </cell>
        </row>
        <row r="320">
          <cell r="C320" t="str">
            <v>Kas Harian</v>
          </cell>
          <cell r="D320">
            <v>8</v>
          </cell>
          <cell r="K320">
            <v>2609600</v>
          </cell>
        </row>
        <row r="321">
          <cell r="C321" t="str">
            <v>Terima pinjaman dari holding</v>
          </cell>
          <cell r="D321">
            <v>8</v>
          </cell>
        </row>
        <row r="322">
          <cell r="C322" t="str">
            <v>Holding - Divisi</v>
          </cell>
          <cell r="D322">
            <v>8</v>
          </cell>
          <cell r="L322">
            <v>270000</v>
          </cell>
        </row>
        <row r="323">
          <cell r="C323" t="str">
            <v>Kas Harian</v>
          </cell>
          <cell r="D323">
            <v>8</v>
          </cell>
          <cell r="K323">
            <v>270000</v>
          </cell>
        </row>
        <row r="324">
          <cell r="C324" t="str">
            <v>Terima pinjaman dari holding</v>
          </cell>
          <cell r="D324">
            <v>8</v>
          </cell>
        </row>
        <row r="325">
          <cell r="C325" t="str">
            <v>Holding - Divisi</v>
          </cell>
          <cell r="D325">
            <v>8</v>
          </cell>
          <cell r="L325">
            <v>1478400</v>
          </cell>
        </row>
        <row r="326">
          <cell r="C326" t="str">
            <v>Kas Harian</v>
          </cell>
          <cell r="D326">
            <v>8</v>
          </cell>
          <cell r="K326">
            <v>1478400</v>
          </cell>
        </row>
        <row r="327">
          <cell r="C327" t="str">
            <v>Terima pinjaman dari holding</v>
          </cell>
          <cell r="D327">
            <v>8</v>
          </cell>
        </row>
        <row r="328">
          <cell r="C328" t="str">
            <v>Holding - Divisi</v>
          </cell>
          <cell r="D328">
            <v>8</v>
          </cell>
          <cell r="L328">
            <v>175000</v>
          </cell>
        </row>
        <row r="329">
          <cell r="C329" t="str">
            <v>Kas Harian</v>
          </cell>
          <cell r="D329">
            <v>8</v>
          </cell>
          <cell r="K329">
            <v>175000</v>
          </cell>
        </row>
        <row r="330">
          <cell r="C330" t="str">
            <v>Terima pinjaman dari holding</v>
          </cell>
          <cell r="D330">
            <v>8</v>
          </cell>
        </row>
        <row r="331">
          <cell r="C331" t="str">
            <v>Holding - Divisi</v>
          </cell>
          <cell r="D331">
            <v>8</v>
          </cell>
          <cell r="L331">
            <v>4442313</v>
          </cell>
        </row>
        <row r="332">
          <cell r="C332" t="str">
            <v>Kas Harian</v>
          </cell>
          <cell r="D332">
            <v>8</v>
          </cell>
          <cell r="K332">
            <v>4442313</v>
          </cell>
        </row>
        <row r="333">
          <cell r="C333" t="str">
            <v>Terima pinjaman dari holding</v>
          </cell>
          <cell r="D333">
            <v>8</v>
          </cell>
        </row>
        <row r="334">
          <cell r="C334" t="str">
            <v>Holding - Divisi</v>
          </cell>
          <cell r="D334">
            <v>8</v>
          </cell>
          <cell r="L334">
            <v>289897</v>
          </cell>
        </row>
        <row r="335">
          <cell r="C335" t="str">
            <v>Kas Harian</v>
          </cell>
          <cell r="D335">
            <v>8</v>
          </cell>
          <cell r="K335">
            <v>289897</v>
          </cell>
        </row>
        <row r="336">
          <cell r="C336" t="str">
            <v>Terima pinjaman dari holding</v>
          </cell>
          <cell r="D336">
            <v>8</v>
          </cell>
        </row>
        <row r="337">
          <cell r="C337" t="str">
            <v>Holding - Divisi</v>
          </cell>
          <cell r="D337">
            <v>9</v>
          </cell>
          <cell r="L337">
            <v>194242320</v>
          </cell>
        </row>
        <row r="338">
          <cell r="C338" t="str">
            <v>Kas Harian</v>
          </cell>
          <cell r="D338">
            <v>9</v>
          </cell>
          <cell r="K338">
            <v>194242320</v>
          </cell>
        </row>
        <row r="339">
          <cell r="C339" t="str">
            <v>Terima pinjaman dari holding</v>
          </cell>
          <cell r="D339">
            <v>9</v>
          </cell>
        </row>
        <row r="340">
          <cell r="C340" t="str">
            <v>Holding - Divisi</v>
          </cell>
          <cell r="D340">
            <v>9</v>
          </cell>
          <cell r="L340">
            <v>190000</v>
          </cell>
        </row>
        <row r="341">
          <cell r="C341" t="str">
            <v>Kas Harian</v>
          </cell>
          <cell r="D341">
            <v>9</v>
          </cell>
          <cell r="K341">
            <v>190000</v>
          </cell>
        </row>
        <row r="342">
          <cell r="C342" t="str">
            <v>TERIMA PINJAMAN DARI HOLDING</v>
          </cell>
          <cell r="D342">
            <v>9</v>
          </cell>
        </row>
        <row r="343">
          <cell r="C343" t="str">
            <v>Holding - Divisi</v>
          </cell>
          <cell r="D343">
            <v>9</v>
          </cell>
          <cell r="L343">
            <v>15603328</v>
          </cell>
        </row>
        <row r="344">
          <cell r="C344" t="str">
            <v>Kas Harian</v>
          </cell>
          <cell r="D344">
            <v>9</v>
          </cell>
          <cell r="K344">
            <v>15603328</v>
          </cell>
        </row>
        <row r="345">
          <cell r="C345" t="str">
            <v>TERIMA PINJAMAN DARI HOLDING</v>
          </cell>
          <cell r="D345">
            <v>9</v>
          </cell>
        </row>
        <row r="346">
          <cell r="C346" t="str">
            <v>Holding - Divisi</v>
          </cell>
          <cell r="D346">
            <v>9</v>
          </cell>
          <cell r="L346">
            <v>165000</v>
          </cell>
        </row>
        <row r="347">
          <cell r="C347" t="str">
            <v>Kas Harian</v>
          </cell>
          <cell r="D347">
            <v>9</v>
          </cell>
          <cell r="K347">
            <v>165000</v>
          </cell>
        </row>
        <row r="348">
          <cell r="C348" t="str">
            <v>TERIMA PINJAMAN DARI HOLDING</v>
          </cell>
          <cell r="D348">
            <v>9</v>
          </cell>
        </row>
        <row r="349">
          <cell r="C349" t="str">
            <v>Holding - Divisi</v>
          </cell>
          <cell r="D349">
            <v>9</v>
          </cell>
          <cell r="L349">
            <v>2458540</v>
          </cell>
        </row>
        <row r="350">
          <cell r="C350" t="str">
            <v>Kas Harian</v>
          </cell>
          <cell r="D350">
            <v>9</v>
          </cell>
          <cell r="K350">
            <v>2458540</v>
          </cell>
        </row>
        <row r="351">
          <cell r="C351" t="str">
            <v>TERIMA PINJAMAN DARI HOLDING</v>
          </cell>
          <cell r="D351">
            <v>9</v>
          </cell>
        </row>
        <row r="352">
          <cell r="C352" t="str">
            <v>Holding - Divisi</v>
          </cell>
          <cell r="D352">
            <v>9</v>
          </cell>
          <cell r="L352">
            <v>270000</v>
          </cell>
        </row>
        <row r="353">
          <cell r="C353" t="str">
            <v>Kas Harian</v>
          </cell>
          <cell r="D353">
            <v>9</v>
          </cell>
          <cell r="K353">
            <v>270000</v>
          </cell>
        </row>
        <row r="354">
          <cell r="C354" t="str">
            <v>TERIMA PINJAMAN DARI HOLDING</v>
          </cell>
          <cell r="D354">
            <v>9</v>
          </cell>
        </row>
        <row r="355">
          <cell r="C355" t="str">
            <v>Holding - Divisi</v>
          </cell>
          <cell r="D355">
            <v>9</v>
          </cell>
          <cell r="L355">
            <v>4086440</v>
          </cell>
        </row>
        <row r="356">
          <cell r="C356" t="str">
            <v>Kas Harian</v>
          </cell>
          <cell r="D356">
            <v>9</v>
          </cell>
          <cell r="K356">
            <v>4086440</v>
          </cell>
        </row>
        <row r="357">
          <cell r="C357" t="str">
            <v>TERIMA PINJAMAN HOLDING</v>
          </cell>
          <cell r="D357">
            <v>9</v>
          </cell>
        </row>
        <row r="358">
          <cell r="C358" t="str">
            <v>Holding - Divisi</v>
          </cell>
          <cell r="D358">
            <v>9</v>
          </cell>
          <cell r="L358">
            <v>996800</v>
          </cell>
        </row>
        <row r="359">
          <cell r="C359" t="str">
            <v>Kas Harian</v>
          </cell>
          <cell r="D359">
            <v>9</v>
          </cell>
          <cell r="K359">
            <v>996800</v>
          </cell>
        </row>
        <row r="360">
          <cell r="C360" t="str">
            <v>TERIMA PINJAMAN DARI HOLDING</v>
          </cell>
          <cell r="D360">
            <v>9</v>
          </cell>
        </row>
        <row r="361">
          <cell r="C361" t="str">
            <v>Holding - Divisi</v>
          </cell>
          <cell r="D361">
            <v>9</v>
          </cell>
          <cell r="L361">
            <v>190000</v>
          </cell>
        </row>
        <row r="362">
          <cell r="C362" t="str">
            <v>Kas Harian</v>
          </cell>
          <cell r="D362">
            <v>9</v>
          </cell>
          <cell r="K362">
            <v>190000</v>
          </cell>
        </row>
        <row r="363">
          <cell r="C363" t="str">
            <v>Terima pinjaman dari holding</v>
          </cell>
          <cell r="D363">
            <v>9</v>
          </cell>
        </row>
        <row r="364">
          <cell r="C364" t="str">
            <v>Holding - Divisi</v>
          </cell>
          <cell r="D364">
            <v>9</v>
          </cell>
          <cell r="L364">
            <v>4212713</v>
          </cell>
        </row>
        <row r="365">
          <cell r="C365" t="str">
            <v>Kas Harian</v>
          </cell>
          <cell r="D365">
            <v>9</v>
          </cell>
          <cell r="K365">
            <v>4212713</v>
          </cell>
        </row>
        <row r="366">
          <cell r="C366" t="str">
            <v>Terima pinjaman dari holding</v>
          </cell>
          <cell r="D366">
            <v>9</v>
          </cell>
        </row>
        <row r="367">
          <cell r="C367" t="str">
            <v>Holding - Divisi</v>
          </cell>
          <cell r="D367">
            <v>9</v>
          </cell>
          <cell r="L367">
            <v>2090240</v>
          </cell>
        </row>
        <row r="368">
          <cell r="C368" t="str">
            <v>Kas Harian</v>
          </cell>
          <cell r="D368">
            <v>9</v>
          </cell>
          <cell r="K368">
            <v>2090240</v>
          </cell>
        </row>
        <row r="369">
          <cell r="C369" t="str">
            <v>Terima pinjaman dari holding</v>
          </cell>
          <cell r="D369">
            <v>9</v>
          </cell>
        </row>
        <row r="370">
          <cell r="C370" t="str">
            <v>Holding - Divisi</v>
          </cell>
          <cell r="D370">
            <v>10</v>
          </cell>
          <cell r="L370">
            <v>289897</v>
          </cell>
        </row>
        <row r="371">
          <cell r="C371" t="str">
            <v>Kas Harian</v>
          </cell>
          <cell r="D371">
            <v>10</v>
          </cell>
          <cell r="K371">
            <v>289897</v>
          </cell>
        </row>
        <row r="372">
          <cell r="C372" t="str">
            <v>Terima pinjaman dari holding</v>
          </cell>
          <cell r="D372">
            <v>10</v>
          </cell>
        </row>
        <row r="373">
          <cell r="C373" t="str">
            <v>Holding - Divisi</v>
          </cell>
          <cell r="D373">
            <v>10</v>
          </cell>
          <cell r="L373">
            <v>260000</v>
          </cell>
        </row>
        <row r="374">
          <cell r="C374" t="str">
            <v>Kas Harian</v>
          </cell>
          <cell r="D374">
            <v>10</v>
          </cell>
          <cell r="K374">
            <v>260000</v>
          </cell>
        </row>
        <row r="375">
          <cell r="C375" t="str">
            <v>Terima pinjaman dari holding</v>
          </cell>
          <cell r="D375">
            <v>10</v>
          </cell>
        </row>
        <row r="376">
          <cell r="C376" t="str">
            <v>Holding - Divisi</v>
          </cell>
          <cell r="D376">
            <v>10</v>
          </cell>
          <cell r="L376">
            <v>1925120</v>
          </cell>
        </row>
        <row r="377">
          <cell r="C377" t="str">
            <v>Kas Harian</v>
          </cell>
          <cell r="D377">
            <v>10</v>
          </cell>
          <cell r="K377">
            <v>1925120</v>
          </cell>
        </row>
        <row r="378">
          <cell r="C378" t="str">
            <v>Terima pinjaman dari holding</v>
          </cell>
          <cell r="D378">
            <v>10</v>
          </cell>
        </row>
        <row r="379">
          <cell r="C379" t="str">
            <v>Holding - Divisi</v>
          </cell>
          <cell r="D379">
            <v>10</v>
          </cell>
          <cell r="L379">
            <v>436838</v>
          </cell>
        </row>
        <row r="380">
          <cell r="C380" t="str">
            <v>Kas Harian</v>
          </cell>
          <cell r="D380">
            <v>10</v>
          </cell>
          <cell r="K380">
            <v>436838</v>
          </cell>
        </row>
        <row r="381">
          <cell r="C381" t="str">
            <v>Terima pinjaman dari holding</v>
          </cell>
          <cell r="D381">
            <v>10</v>
          </cell>
        </row>
        <row r="382">
          <cell r="C382" t="str">
            <v>Holding - Divisi</v>
          </cell>
          <cell r="D382">
            <v>10</v>
          </cell>
          <cell r="L382">
            <v>15971500</v>
          </cell>
        </row>
        <row r="383">
          <cell r="C383" t="str">
            <v>Kas Harian</v>
          </cell>
          <cell r="D383">
            <v>10</v>
          </cell>
          <cell r="K383">
            <v>15971500</v>
          </cell>
        </row>
        <row r="384">
          <cell r="C384" t="str">
            <v>Pinjaman dari holding</v>
          </cell>
          <cell r="D384">
            <v>10</v>
          </cell>
        </row>
        <row r="385">
          <cell r="C385" t="str">
            <v>Holding - Divisi</v>
          </cell>
          <cell r="D385">
            <v>10</v>
          </cell>
          <cell r="L385">
            <v>1805440</v>
          </cell>
        </row>
        <row r="386">
          <cell r="C386" t="str">
            <v>Kas Harian</v>
          </cell>
          <cell r="D386">
            <v>10</v>
          </cell>
          <cell r="K386">
            <v>1805440</v>
          </cell>
        </row>
        <row r="387">
          <cell r="C387" t="str">
            <v>Pinjaman dari holding</v>
          </cell>
          <cell r="D387">
            <v>10</v>
          </cell>
        </row>
        <row r="388">
          <cell r="C388" t="str">
            <v>Holding - Divisi</v>
          </cell>
          <cell r="D388">
            <v>10</v>
          </cell>
          <cell r="L388">
            <v>398000</v>
          </cell>
        </row>
        <row r="389">
          <cell r="C389" t="str">
            <v>Kas Harian</v>
          </cell>
          <cell r="D389">
            <v>10</v>
          </cell>
          <cell r="K389">
            <v>398000</v>
          </cell>
        </row>
        <row r="390">
          <cell r="C390" t="str">
            <v>Pinjaman holding</v>
          </cell>
          <cell r="D390">
            <v>10</v>
          </cell>
        </row>
        <row r="391">
          <cell r="C391" t="str">
            <v>Holding - Divisi</v>
          </cell>
          <cell r="D391">
            <v>10</v>
          </cell>
          <cell r="L391">
            <v>210000</v>
          </cell>
        </row>
        <row r="392">
          <cell r="C392" t="str">
            <v>Kas Harian</v>
          </cell>
          <cell r="D392">
            <v>10</v>
          </cell>
          <cell r="K392">
            <v>210000</v>
          </cell>
        </row>
        <row r="393">
          <cell r="C393" t="str">
            <v>Pinjaman dari holding</v>
          </cell>
          <cell r="D393">
            <v>10</v>
          </cell>
        </row>
        <row r="394">
          <cell r="C394" t="str">
            <v>Holding - Divisi</v>
          </cell>
          <cell r="D394">
            <v>10</v>
          </cell>
          <cell r="L394">
            <v>4264960</v>
          </cell>
        </row>
        <row r="395">
          <cell r="C395" t="str">
            <v>Kas Harian</v>
          </cell>
          <cell r="D395">
            <v>10</v>
          </cell>
          <cell r="K395">
            <v>4264960</v>
          </cell>
        </row>
        <row r="396">
          <cell r="C396" t="str">
            <v>Pinjaman dari holding</v>
          </cell>
          <cell r="D396">
            <v>10</v>
          </cell>
        </row>
        <row r="397">
          <cell r="C397" t="str">
            <v>Holding - Divisi</v>
          </cell>
          <cell r="D397">
            <v>10</v>
          </cell>
          <cell r="L397">
            <v>791720</v>
          </cell>
        </row>
        <row r="398">
          <cell r="C398" t="str">
            <v>Kas Harian</v>
          </cell>
          <cell r="D398">
            <v>10</v>
          </cell>
          <cell r="K398">
            <v>791720</v>
          </cell>
        </row>
        <row r="399">
          <cell r="C399" t="str">
            <v>Terima pinjaman Dari Holding</v>
          </cell>
          <cell r="D399">
            <v>10</v>
          </cell>
        </row>
        <row r="400">
          <cell r="C400" t="str">
            <v>Holding - Divisi</v>
          </cell>
          <cell r="D400">
            <v>10</v>
          </cell>
          <cell r="L400">
            <v>224000</v>
          </cell>
        </row>
        <row r="401">
          <cell r="C401" t="str">
            <v>Kas Harian</v>
          </cell>
          <cell r="D401">
            <v>10</v>
          </cell>
          <cell r="K401">
            <v>224000</v>
          </cell>
        </row>
        <row r="402">
          <cell r="C402" t="str">
            <v>Terima pinjaman Dari Holding</v>
          </cell>
          <cell r="D402">
            <v>10</v>
          </cell>
        </row>
        <row r="403">
          <cell r="C403" t="str">
            <v>Holding - Divisi</v>
          </cell>
          <cell r="D403">
            <v>10</v>
          </cell>
          <cell r="L403">
            <v>1220480</v>
          </cell>
        </row>
        <row r="404">
          <cell r="C404" t="str">
            <v>Kas Harian</v>
          </cell>
          <cell r="D404">
            <v>10</v>
          </cell>
          <cell r="K404">
            <v>1220480</v>
          </cell>
        </row>
        <row r="405">
          <cell r="C405" t="str">
            <v>Terima pinjaman dari holding</v>
          </cell>
          <cell r="D405">
            <v>10</v>
          </cell>
        </row>
        <row r="406">
          <cell r="C406" t="str">
            <v>Holding - Divisi</v>
          </cell>
          <cell r="D406">
            <v>10</v>
          </cell>
          <cell r="L406">
            <v>5087313</v>
          </cell>
        </row>
        <row r="407">
          <cell r="C407" t="str">
            <v>Kas Harian</v>
          </cell>
          <cell r="D407">
            <v>10</v>
          </cell>
          <cell r="K407">
            <v>5087313</v>
          </cell>
        </row>
        <row r="408">
          <cell r="C408" t="str">
            <v>Terima pinjaman dari holding</v>
          </cell>
          <cell r="D408">
            <v>10</v>
          </cell>
        </row>
        <row r="409">
          <cell r="C409" t="str">
            <v>Holding - Divisi</v>
          </cell>
          <cell r="D409">
            <v>11</v>
          </cell>
          <cell r="L409">
            <v>3071017</v>
          </cell>
        </row>
        <row r="410">
          <cell r="C410" t="str">
            <v>Kas Harian</v>
          </cell>
          <cell r="D410">
            <v>11</v>
          </cell>
          <cell r="K410">
            <v>3071017</v>
          </cell>
        </row>
        <row r="411">
          <cell r="C411" t="str">
            <v>Terima pinjaman dari div holding</v>
          </cell>
          <cell r="D411">
            <v>11</v>
          </cell>
        </row>
        <row r="412">
          <cell r="C412" t="str">
            <v>Holding - Divisi</v>
          </cell>
          <cell r="D412">
            <v>11</v>
          </cell>
          <cell r="L412">
            <v>479338</v>
          </cell>
        </row>
        <row r="413">
          <cell r="C413" t="str">
            <v>Kas Harian</v>
          </cell>
          <cell r="D413">
            <v>11</v>
          </cell>
          <cell r="K413">
            <v>479338</v>
          </cell>
        </row>
        <row r="414">
          <cell r="C414" t="str">
            <v>Terima Pinjaman Dari Divisi Holding</v>
          </cell>
          <cell r="D414">
            <v>11</v>
          </cell>
        </row>
        <row r="415">
          <cell r="C415" t="str">
            <v>Holding - Divisi</v>
          </cell>
          <cell r="D415">
            <v>11</v>
          </cell>
          <cell r="L415">
            <v>815000</v>
          </cell>
        </row>
        <row r="416">
          <cell r="C416" t="str">
            <v>Kas Harian</v>
          </cell>
          <cell r="D416">
            <v>11</v>
          </cell>
          <cell r="K416">
            <v>815000</v>
          </cell>
        </row>
        <row r="417">
          <cell r="C417" t="str">
            <v>Terima pinjaman dari div holding</v>
          </cell>
          <cell r="D417">
            <v>11</v>
          </cell>
        </row>
        <row r="418">
          <cell r="C418" t="str">
            <v>Holding - Divisi</v>
          </cell>
          <cell r="D418">
            <v>11</v>
          </cell>
          <cell r="L418">
            <v>2513280</v>
          </cell>
        </row>
        <row r="419">
          <cell r="C419" t="str">
            <v>Kas Harian</v>
          </cell>
          <cell r="D419">
            <v>11</v>
          </cell>
          <cell r="K419">
            <v>2513280</v>
          </cell>
        </row>
        <row r="420">
          <cell r="C420" t="str">
            <v>Terima pinjaman dari div. holding</v>
          </cell>
          <cell r="D420">
            <v>11</v>
          </cell>
        </row>
        <row r="421">
          <cell r="C421" t="str">
            <v>Holding - Divisi</v>
          </cell>
          <cell r="D421">
            <v>11</v>
          </cell>
          <cell r="L421">
            <v>265000</v>
          </cell>
        </row>
        <row r="422">
          <cell r="C422" t="str">
            <v>Kas Harian</v>
          </cell>
          <cell r="D422">
            <v>11</v>
          </cell>
          <cell r="K422">
            <v>265000</v>
          </cell>
        </row>
        <row r="423">
          <cell r="C423" t="str">
            <v>Pinjaman kas harian dari div. holding</v>
          </cell>
          <cell r="D423">
            <v>11</v>
          </cell>
        </row>
        <row r="424">
          <cell r="C424" t="str">
            <v>Holding - Divisi</v>
          </cell>
          <cell r="D424">
            <v>11</v>
          </cell>
          <cell r="L424">
            <v>5004990</v>
          </cell>
        </row>
        <row r="425">
          <cell r="C425" t="str">
            <v>Kas Harian</v>
          </cell>
          <cell r="D425">
            <v>11</v>
          </cell>
          <cell r="K425">
            <v>5004990</v>
          </cell>
        </row>
        <row r="426">
          <cell r="C426" t="str">
            <v>Terima pinjaman dari div. holding</v>
          </cell>
          <cell r="D426">
            <v>11</v>
          </cell>
        </row>
        <row r="427">
          <cell r="C427" t="str">
            <v>Holding - Divisi</v>
          </cell>
          <cell r="D427">
            <v>11</v>
          </cell>
          <cell r="L427">
            <v>1001600</v>
          </cell>
        </row>
        <row r="428">
          <cell r="C428" t="str">
            <v>Kas Harian</v>
          </cell>
          <cell r="D428">
            <v>11</v>
          </cell>
          <cell r="K428">
            <v>1001600</v>
          </cell>
        </row>
        <row r="429">
          <cell r="C429" t="str">
            <v>Terima pinjaman dari div. holding</v>
          </cell>
          <cell r="D429">
            <v>11</v>
          </cell>
        </row>
        <row r="430">
          <cell r="C430" t="str">
            <v>Holding - Divisi</v>
          </cell>
          <cell r="D430">
            <v>11</v>
          </cell>
          <cell r="L430">
            <v>160000</v>
          </cell>
        </row>
        <row r="431">
          <cell r="C431" t="str">
            <v>Kas Harian</v>
          </cell>
          <cell r="D431">
            <v>11</v>
          </cell>
          <cell r="K431">
            <v>160000</v>
          </cell>
        </row>
        <row r="432">
          <cell r="C432" t="str">
            <v>Terima pinjaman dari div. holding</v>
          </cell>
          <cell r="D432">
            <v>11</v>
          </cell>
        </row>
        <row r="433">
          <cell r="C433" t="str">
            <v>Holding - Divisi</v>
          </cell>
          <cell r="D433">
            <v>11</v>
          </cell>
          <cell r="L433">
            <v>13691750</v>
          </cell>
        </row>
        <row r="434">
          <cell r="C434" t="str">
            <v>Kas Harian</v>
          </cell>
          <cell r="D434">
            <v>11</v>
          </cell>
          <cell r="K434">
            <v>13691750</v>
          </cell>
        </row>
        <row r="435">
          <cell r="C435" t="str">
            <v>Terima pinjaman kas harian dari div holding</v>
          </cell>
          <cell r="D435">
            <v>11</v>
          </cell>
        </row>
        <row r="436">
          <cell r="C436" t="str">
            <v>Holding - Divisi</v>
          </cell>
          <cell r="D436">
            <v>11</v>
          </cell>
          <cell r="L436">
            <v>1644160</v>
          </cell>
        </row>
        <row r="437">
          <cell r="C437" t="str">
            <v>Kas Harian</v>
          </cell>
          <cell r="D437">
            <v>11</v>
          </cell>
          <cell r="K437">
            <v>1644160</v>
          </cell>
        </row>
        <row r="438">
          <cell r="C438" t="str">
            <v>Terima pinjaman dari div. holding</v>
          </cell>
          <cell r="D438">
            <v>11</v>
          </cell>
        </row>
        <row r="439">
          <cell r="C439" t="str">
            <v>Holding - Divisi</v>
          </cell>
          <cell r="D439">
            <v>11</v>
          </cell>
          <cell r="L439">
            <v>4597513</v>
          </cell>
        </row>
        <row r="440">
          <cell r="C440" t="str">
            <v>Kas Harian</v>
          </cell>
          <cell r="D440">
            <v>11</v>
          </cell>
          <cell r="K440">
            <v>4597513</v>
          </cell>
        </row>
        <row r="441">
          <cell r="C441" t="str">
            <v>Terima pinjaman dari div. holding</v>
          </cell>
          <cell r="D441">
            <v>11</v>
          </cell>
        </row>
        <row r="442">
          <cell r="C442" t="str">
            <v>Holding - Divisi</v>
          </cell>
          <cell r="D442">
            <v>12</v>
          </cell>
          <cell r="L442">
            <v>534297</v>
          </cell>
        </row>
        <row r="443">
          <cell r="C443" t="str">
            <v>Kas Harian</v>
          </cell>
          <cell r="D443">
            <v>12</v>
          </cell>
          <cell r="K443">
            <v>534297</v>
          </cell>
        </row>
        <row r="444">
          <cell r="C444" t="str">
            <v>Pinjaman kas harian dari div. holding</v>
          </cell>
          <cell r="D444">
            <v>12</v>
          </cell>
        </row>
        <row r="445">
          <cell r="C445" t="str">
            <v>Holding - Divisi</v>
          </cell>
          <cell r="D445">
            <v>12</v>
          </cell>
          <cell r="L445">
            <v>1744000</v>
          </cell>
        </row>
        <row r="446">
          <cell r="C446" t="str">
            <v>Kas Harian</v>
          </cell>
          <cell r="D446">
            <v>12</v>
          </cell>
          <cell r="K446">
            <v>1744000</v>
          </cell>
        </row>
        <row r="447">
          <cell r="C447" t="str">
            <v>Terima Pinjama Dari Divisi Holding</v>
          </cell>
          <cell r="D447">
            <v>12</v>
          </cell>
        </row>
        <row r="448">
          <cell r="C448" t="str">
            <v>Holding - Divisi</v>
          </cell>
          <cell r="D448">
            <v>12</v>
          </cell>
          <cell r="L448">
            <v>525250</v>
          </cell>
        </row>
        <row r="449">
          <cell r="C449" t="str">
            <v>Kas Harian</v>
          </cell>
          <cell r="D449">
            <v>12</v>
          </cell>
          <cell r="K449">
            <v>525250</v>
          </cell>
        </row>
        <row r="450">
          <cell r="C450" t="str">
            <v>Pinjaman kas harian div. kepala udang</v>
          </cell>
          <cell r="D450">
            <v>12</v>
          </cell>
        </row>
        <row r="451">
          <cell r="C451" t="str">
            <v>Holding - Divisi</v>
          </cell>
          <cell r="D451">
            <v>12</v>
          </cell>
          <cell r="L451">
            <v>189338</v>
          </cell>
        </row>
        <row r="452">
          <cell r="C452" t="str">
            <v>Kas Harian</v>
          </cell>
          <cell r="D452">
            <v>12</v>
          </cell>
          <cell r="K452">
            <v>189338</v>
          </cell>
        </row>
        <row r="453">
          <cell r="C453" t="str">
            <v>Terima pinjaman dari div. holding</v>
          </cell>
          <cell r="D453">
            <v>12</v>
          </cell>
        </row>
        <row r="454">
          <cell r="C454" t="str">
            <v>Holding - Divisi</v>
          </cell>
          <cell r="D454">
            <v>12</v>
          </cell>
          <cell r="L454">
            <v>1433560</v>
          </cell>
        </row>
        <row r="455">
          <cell r="C455" t="str">
            <v>Kas Harian</v>
          </cell>
          <cell r="D455">
            <v>12</v>
          </cell>
          <cell r="K455">
            <v>1433560</v>
          </cell>
        </row>
        <row r="456">
          <cell r="C456" t="str">
            <v>Terima Pinjaman Dari Divisi Holding</v>
          </cell>
          <cell r="D456">
            <v>12</v>
          </cell>
        </row>
        <row r="457">
          <cell r="C457" t="str">
            <v>Holding - Divisi</v>
          </cell>
          <cell r="D457">
            <v>12</v>
          </cell>
          <cell r="L457">
            <v>443265</v>
          </cell>
        </row>
        <row r="458">
          <cell r="C458" t="str">
            <v>Kas Harian</v>
          </cell>
          <cell r="D458">
            <v>12</v>
          </cell>
          <cell r="K458">
            <v>443265</v>
          </cell>
        </row>
        <row r="459">
          <cell r="C459" t="str">
            <v>Terima Pinjaman Dari Divisi Holding</v>
          </cell>
          <cell r="D459">
            <v>12</v>
          </cell>
        </row>
        <row r="460">
          <cell r="C460" t="str">
            <v>Holding - Divisi</v>
          </cell>
          <cell r="D460">
            <v>12</v>
          </cell>
          <cell r="L460">
            <v>806080</v>
          </cell>
        </row>
        <row r="461">
          <cell r="C461" t="str">
            <v>Kas Harian</v>
          </cell>
          <cell r="D461">
            <v>12</v>
          </cell>
          <cell r="K461">
            <v>806080</v>
          </cell>
        </row>
        <row r="462">
          <cell r="C462" t="str">
            <v>Terima Pinjaman dari Divisi Holding</v>
          </cell>
          <cell r="D462">
            <v>12</v>
          </cell>
        </row>
        <row r="463">
          <cell r="C463" t="str">
            <v>Holding - Divisi</v>
          </cell>
          <cell r="D463">
            <v>12</v>
          </cell>
          <cell r="L463">
            <v>6394000</v>
          </cell>
        </row>
        <row r="464">
          <cell r="C464" t="str">
            <v>Kas Harian</v>
          </cell>
          <cell r="D464">
            <v>12</v>
          </cell>
          <cell r="K464">
            <v>6394000</v>
          </cell>
        </row>
        <row r="465">
          <cell r="C465" t="str">
            <v>Terima Pinjaman Dari Divisi Holding</v>
          </cell>
          <cell r="D465">
            <v>12</v>
          </cell>
        </row>
        <row r="466">
          <cell r="C466" t="str">
            <v>Holding - Divisi</v>
          </cell>
          <cell r="D466">
            <v>12</v>
          </cell>
          <cell r="L466">
            <v>11804800</v>
          </cell>
        </row>
        <row r="467">
          <cell r="C467" t="str">
            <v>Kas Harian</v>
          </cell>
          <cell r="D467">
            <v>12</v>
          </cell>
          <cell r="K467">
            <v>11804800</v>
          </cell>
        </row>
        <row r="468">
          <cell r="C468" t="str">
            <v>Terima Pinjaman Dari Divisis Holding</v>
          </cell>
          <cell r="D468">
            <v>12</v>
          </cell>
        </row>
        <row r="469">
          <cell r="C469" t="str">
            <v>Holding - Divisi</v>
          </cell>
          <cell r="D469">
            <v>12</v>
          </cell>
          <cell r="L469">
            <v>2309611</v>
          </cell>
        </row>
        <row r="470">
          <cell r="C470" t="str">
            <v>Kas Harian</v>
          </cell>
          <cell r="D470">
            <v>12</v>
          </cell>
          <cell r="K470">
            <v>2309611</v>
          </cell>
        </row>
        <row r="471">
          <cell r="C471" t="str">
            <v>Terima Pinjaman dari Divisi Holding</v>
          </cell>
          <cell r="D471">
            <v>12</v>
          </cell>
        </row>
        <row r="472">
          <cell r="C472" t="str">
            <v>Holding - Divisi</v>
          </cell>
          <cell r="D472">
            <v>12</v>
          </cell>
          <cell r="L472">
            <v>546317</v>
          </cell>
        </row>
        <row r="473">
          <cell r="C473" t="str">
            <v>Kas Harian</v>
          </cell>
          <cell r="D473">
            <v>12</v>
          </cell>
          <cell r="K473">
            <v>546317</v>
          </cell>
        </row>
        <row r="474">
          <cell r="C474" t="str">
            <v>Terima Pinjaman dari Divisi Holding</v>
          </cell>
          <cell r="D474">
            <v>12</v>
          </cell>
        </row>
        <row r="475">
          <cell r="C475" t="str">
            <v>Holding - Divisi</v>
          </cell>
          <cell r="D475">
            <v>12</v>
          </cell>
          <cell r="L475">
            <v>4471655</v>
          </cell>
        </row>
        <row r="476">
          <cell r="C476" t="str">
            <v>Kas Harian</v>
          </cell>
          <cell r="D476">
            <v>12</v>
          </cell>
          <cell r="K476">
            <v>4471655</v>
          </cell>
        </row>
        <row r="477">
          <cell r="C477" t="str">
            <v>Pembayaran pinjaman Kas Harian tgl 30/12/2014</v>
          </cell>
          <cell r="D477">
            <v>12</v>
          </cell>
        </row>
        <row r="478">
          <cell r="C478" t="str">
            <v>Holding - Divisi</v>
          </cell>
          <cell r="D478">
            <v>12</v>
          </cell>
          <cell r="L478">
            <v>203000</v>
          </cell>
        </row>
        <row r="479">
          <cell r="C479" t="str">
            <v>Kas Harian</v>
          </cell>
          <cell r="D479">
            <v>12</v>
          </cell>
          <cell r="K479">
            <v>203000</v>
          </cell>
        </row>
        <row r="480">
          <cell r="C480" t="str">
            <v>Pembayaran pinjaman Kas Harian tgl 31/12/2014</v>
          </cell>
          <cell r="D480">
            <v>12</v>
          </cell>
        </row>
      </sheetData>
      <sheetData sheetId="5" refreshError="1"/>
      <sheetData sheetId="6">
        <row r="3">
          <cell r="A3" t="str">
            <v>x</v>
          </cell>
          <cell r="B3" t="str">
            <v>Nama Akun</v>
          </cell>
        </row>
        <row r="4">
          <cell r="A4">
            <v>1</v>
          </cell>
          <cell r="B4" t="str">
            <v>Terima Pinjaman dari Divisi holding</v>
          </cell>
        </row>
        <row r="5">
          <cell r="A5">
            <v>2</v>
          </cell>
          <cell r="B5" t="str">
            <v>Terima penj shm</v>
          </cell>
        </row>
        <row r="6">
          <cell r="A6">
            <v>3</v>
          </cell>
          <cell r="B6" t="str">
            <v>Terima Pinjaman dari Holding</v>
          </cell>
        </row>
        <row r="7">
          <cell r="A7">
            <v>4</v>
          </cell>
          <cell r="B7" t="str">
            <v>Terima pinj dari Holding</v>
          </cell>
        </row>
        <row r="8">
          <cell r="A8">
            <v>5</v>
          </cell>
          <cell r="B8" t="str">
            <v>Terima pinjaman dari Holding</v>
          </cell>
        </row>
        <row r="9">
          <cell r="A9">
            <v>6</v>
          </cell>
          <cell r="B9" t="str">
            <v>Terima Pinj dari holding</v>
          </cell>
        </row>
        <row r="10">
          <cell r="A10">
            <v>7</v>
          </cell>
          <cell r="B10" t="str">
            <v>Terima pinj dari Holding</v>
          </cell>
        </row>
        <row r="11">
          <cell r="A11">
            <v>8</v>
          </cell>
          <cell r="B11" t="str">
            <v>Terima pinjaman Dari Holding</v>
          </cell>
        </row>
        <row r="12">
          <cell r="A12">
            <v>9</v>
          </cell>
          <cell r="B12" t="str">
            <v>Terima pinjaman dari Holding</v>
          </cell>
        </row>
        <row r="13">
          <cell r="A13">
            <v>10</v>
          </cell>
          <cell r="B13" t="str">
            <v>Terima pinj dari Holding</v>
          </cell>
        </row>
        <row r="14">
          <cell r="A14">
            <v>11</v>
          </cell>
          <cell r="B14" t="str">
            <v>Terima pembelian SHM Grade A @ 1000 Kg   - Tansil</v>
          </cell>
        </row>
        <row r="15">
          <cell r="A15">
            <v>12</v>
          </cell>
          <cell r="B15" t="str">
            <v>Terima pinjaman dari holding</v>
          </cell>
        </row>
        <row r="16">
          <cell r="A16">
            <v>13</v>
          </cell>
          <cell r="B16" t="str">
            <v>Terima pinjaman dari holding</v>
          </cell>
        </row>
        <row r="17">
          <cell r="A17">
            <v>14</v>
          </cell>
          <cell r="B17" t="str">
            <v>Terima pinj dari Holding</v>
          </cell>
        </row>
        <row r="18">
          <cell r="A18">
            <v>15</v>
          </cell>
          <cell r="B18" t="str">
            <v>Terima pinj dari Holding</v>
          </cell>
        </row>
        <row r="19">
          <cell r="A19">
            <v>16</v>
          </cell>
          <cell r="B19" t="str">
            <v>Terima pinj dari Holding</v>
          </cell>
        </row>
        <row r="20">
          <cell r="A20">
            <v>17</v>
          </cell>
          <cell r="B20" t="str">
            <v>Terima pinj dari holding</v>
          </cell>
        </row>
        <row r="21">
          <cell r="A21">
            <v>18</v>
          </cell>
          <cell r="B21" t="str">
            <v>Terima pinjaman dari Holding</v>
          </cell>
        </row>
        <row r="22">
          <cell r="A22">
            <v>19</v>
          </cell>
          <cell r="B22" t="str">
            <v>Terima Pinj dari holding</v>
          </cell>
        </row>
        <row r="23">
          <cell r="A23">
            <v>20</v>
          </cell>
          <cell r="B23" t="str">
            <v>Terima pinj dari holding</v>
          </cell>
        </row>
        <row r="24">
          <cell r="A24">
            <v>21</v>
          </cell>
          <cell r="B24" t="str">
            <v>Terima Pinj Dari holding</v>
          </cell>
        </row>
        <row r="25">
          <cell r="A25">
            <v>22</v>
          </cell>
          <cell r="B25" t="str">
            <v>Terima pinj dari Holding</v>
          </cell>
        </row>
        <row r="26">
          <cell r="A26">
            <v>23</v>
          </cell>
          <cell r="B26" t="str">
            <v>Terima Pinj  dari Holding</v>
          </cell>
        </row>
        <row r="27">
          <cell r="A27">
            <v>24</v>
          </cell>
          <cell r="B27" t="str">
            <v>Terima pinjama dari holding</v>
          </cell>
        </row>
        <row r="28">
          <cell r="A28">
            <v>25</v>
          </cell>
          <cell r="B28" t="str">
            <v>Terima pinjaman dari holding</v>
          </cell>
        </row>
        <row r="29">
          <cell r="A29">
            <v>26</v>
          </cell>
          <cell r="B29" t="str">
            <v>Terima pinjaman dari Holding</v>
          </cell>
        </row>
        <row r="30">
          <cell r="A30">
            <v>27</v>
          </cell>
          <cell r="B30" t="str">
            <v>Terima pinjaman dari holding</v>
          </cell>
        </row>
        <row r="31">
          <cell r="A31">
            <v>28</v>
          </cell>
          <cell r="B31" t="str">
            <v>Terima pinj dari Holding</v>
          </cell>
        </row>
        <row r="32">
          <cell r="A32">
            <v>29</v>
          </cell>
          <cell r="B32" t="str">
            <v>Terima pinj dari holding</v>
          </cell>
        </row>
        <row r="33">
          <cell r="A33">
            <v>30</v>
          </cell>
          <cell r="B33" t="str">
            <v>Terima pinj dari holding</v>
          </cell>
        </row>
        <row r="34">
          <cell r="A34">
            <v>31</v>
          </cell>
          <cell r="B34" t="str">
            <v>Terima pinj dari holding</v>
          </cell>
        </row>
        <row r="35">
          <cell r="A35">
            <v>32</v>
          </cell>
          <cell r="B35" t="str">
            <v>Terima pinj dari holding</v>
          </cell>
        </row>
        <row r="36">
          <cell r="A36">
            <v>33</v>
          </cell>
          <cell r="B36" t="str">
            <v>Terima pinj dari holding</v>
          </cell>
        </row>
        <row r="37">
          <cell r="A37">
            <v>34</v>
          </cell>
          <cell r="B37" t="str">
            <v>Terima pinj dari Holding</v>
          </cell>
        </row>
        <row r="38">
          <cell r="A38">
            <v>35</v>
          </cell>
          <cell r="B38" t="str">
            <v>Terima pinjaman dari holding</v>
          </cell>
        </row>
        <row r="39">
          <cell r="A39">
            <v>36</v>
          </cell>
          <cell r="B39" t="str">
            <v>Terima pinj dari holding</v>
          </cell>
        </row>
        <row r="40">
          <cell r="A40">
            <v>37</v>
          </cell>
          <cell r="B40" t="str">
            <v>Terima pinjaman dari holding</v>
          </cell>
        </row>
        <row r="41">
          <cell r="A41">
            <v>38</v>
          </cell>
          <cell r="B41" t="str">
            <v>Terima pinjaman dari holding</v>
          </cell>
        </row>
        <row r="42">
          <cell r="A42">
            <v>39</v>
          </cell>
          <cell r="B42" t="str">
            <v>Terima pinjaman dari holding</v>
          </cell>
        </row>
        <row r="43">
          <cell r="A43">
            <v>40</v>
          </cell>
          <cell r="B43" t="str">
            <v>Terima pinjaman dari holding</v>
          </cell>
        </row>
        <row r="44">
          <cell r="A44">
            <v>41</v>
          </cell>
          <cell r="B44" t="str">
            <v>Terima pinjaman dari holding</v>
          </cell>
        </row>
        <row r="45">
          <cell r="A45">
            <v>42</v>
          </cell>
          <cell r="B45" t="str">
            <v>Terima pinjaman dari hollding</v>
          </cell>
        </row>
        <row r="46">
          <cell r="A46">
            <v>43</v>
          </cell>
          <cell r="B46" t="str">
            <v>Terima pinjaman dari holding</v>
          </cell>
        </row>
        <row r="47">
          <cell r="A47">
            <v>44</v>
          </cell>
          <cell r="B47" t="str">
            <v>Terima pnjaman dari holding</v>
          </cell>
        </row>
        <row r="48">
          <cell r="A48">
            <v>45</v>
          </cell>
          <cell r="B48" t="str">
            <v>Terima pinjaman dari holding</v>
          </cell>
        </row>
        <row r="49">
          <cell r="A49">
            <v>46</v>
          </cell>
          <cell r="B49" t="str">
            <v>Terima pinjaman dari holding</v>
          </cell>
        </row>
        <row r="50">
          <cell r="A50">
            <v>47</v>
          </cell>
          <cell r="B50" t="str">
            <v>Terima pinjaman dari holding</v>
          </cell>
        </row>
        <row r="51">
          <cell r="A51">
            <v>48</v>
          </cell>
          <cell r="B51" t="str">
            <v>Terima pinjaman dari holding</v>
          </cell>
        </row>
        <row r="52">
          <cell r="A52">
            <v>49</v>
          </cell>
          <cell r="B52" t="str">
            <v>Terima pinjaman dari holding</v>
          </cell>
        </row>
        <row r="53">
          <cell r="A53">
            <v>50</v>
          </cell>
          <cell r="B53" t="str">
            <v>Terima pinjaman dari holding</v>
          </cell>
        </row>
        <row r="54">
          <cell r="A54">
            <v>51</v>
          </cell>
          <cell r="B54" t="str">
            <v>Terima pinjaman dari holding</v>
          </cell>
        </row>
        <row r="55">
          <cell r="A55">
            <v>52</v>
          </cell>
          <cell r="B55" t="str">
            <v>Terima pinjaman dari holding</v>
          </cell>
        </row>
        <row r="56">
          <cell r="A56">
            <v>53</v>
          </cell>
          <cell r="B56" t="str">
            <v>Terima pinjaman dari holding</v>
          </cell>
        </row>
        <row r="57">
          <cell r="A57">
            <v>54</v>
          </cell>
          <cell r="B57" t="str">
            <v>Terima pinjaman dari holding</v>
          </cell>
        </row>
        <row r="58">
          <cell r="A58">
            <v>55</v>
          </cell>
          <cell r="B58" t="str">
            <v>Terima pinjaman dari holding</v>
          </cell>
        </row>
        <row r="59">
          <cell r="A59">
            <v>56</v>
          </cell>
          <cell r="B59" t="str">
            <v>Terima pinjaman dari holding</v>
          </cell>
        </row>
        <row r="60">
          <cell r="A60">
            <v>57</v>
          </cell>
          <cell r="B60" t="str">
            <v>TERIMA PINJAMAN DARI HOLDING</v>
          </cell>
        </row>
        <row r="61">
          <cell r="A61">
            <v>58</v>
          </cell>
          <cell r="B61" t="str">
            <v>TERIMA PINJAMAN DARI HOLDING</v>
          </cell>
        </row>
        <row r="62">
          <cell r="A62">
            <v>59</v>
          </cell>
          <cell r="B62" t="str">
            <v>TERIMA PINJAMAN DARI HOLDING</v>
          </cell>
        </row>
        <row r="63">
          <cell r="A63">
            <v>60</v>
          </cell>
          <cell r="B63" t="str">
            <v>TREIMA PINJAMAN DARI HOLDING</v>
          </cell>
        </row>
        <row r="64">
          <cell r="A64">
            <v>61</v>
          </cell>
          <cell r="B64" t="str">
            <v>TERIMA PINJAMAN DARI HOLDING</v>
          </cell>
        </row>
        <row r="65">
          <cell r="A65">
            <v>62</v>
          </cell>
          <cell r="B65" t="str">
            <v>TERIMA PINJAMAN DARI HOLDING</v>
          </cell>
        </row>
        <row r="66">
          <cell r="A66">
            <v>63</v>
          </cell>
          <cell r="B66" t="str">
            <v>TERIMA PINJAMAN DARI HOLDING</v>
          </cell>
        </row>
        <row r="67">
          <cell r="A67">
            <v>64</v>
          </cell>
          <cell r="B67" t="str">
            <v>TERIMA PINJAMAN DARI HOLDING</v>
          </cell>
        </row>
        <row r="68">
          <cell r="A68">
            <v>65</v>
          </cell>
          <cell r="B68" t="str">
            <v>terima pinjaman dari holding</v>
          </cell>
        </row>
        <row r="69">
          <cell r="A69">
            <v>66</v>
          </cell>
          <cell r="B69" t="str">
            <v>TERIMA PINJAMAN DARI HOLDING</v>
          </cell>
        </row>
        <row r="70">
          <cell r="A70">
            <v>67</v>
          </cell>
          <cell r="B70" t="str">
            <v>TERIMA PINJAMAN DARI HOLDING</v>
          </cell>
        </row>
        <row r="71">
          <cell r="A71">
            <v>68</v>
          </cell>
          <cell r="B71" t="str">
            <v>TERIMA PINJAMAN DARI HOLDING</v>
          </cell>
        </row>
        <row r="72">
          <cell r="A72">
            <v>69</v>
          </cell>
          <cell r="B72" t="str">
            <v>TERIMA PINJAMAN DARI HOLDING</v>
          </cell>
        </row>
        <row r="73">
          <cell r="A73">
            <v>70</v>
          </cell>
          <cell r="B73" t="str">
            <v>TERIMA PINJAMAN DARI HOLDING</v>
          </cell>
        </row>
        <row r="74">
          <cell r="A74">
            <v>71</v>
          </cell>
          <cell r="B74" t="str">
            <v>TERIMA PINJAMAN DARI HOLDING</v>
          </cell>
        </row>
        <row r="75">
          <cell r="A75">
            <v>72</v>
          </cell>
          <cell r="B75" t="str">
            <v>TERIMA PINJAMAN DARI HOLDING</v>
          </cell>
        </row>
        <row r="76">
          <cell r="A76">
            <v>73</v>
          </cell>
          <cell r="B76" t="str">
            <v>TERIMA PINJAMAN DARI HOLDING</v>
          </cell>
        </row>
        <row r="77">
          <cell r="A77">
            <v>74</v>
          </cell>
          <cell r="B77" t="str">
            <v>TERIMA PINJAMAN DARI HOLDING</v>
          </cell>
        </row>
        <row r="78">
          <cell r="A78">
            <v>75</v>
          </cell>
          <cell r="B78" t="str">
            <v>TERIMA PINJAMAN DARI HOLDING</v>
          </cell>
        </row>
        <row r="79">
          <cell r="A79">
            <v>76</v>
          </cell>
          <cell r="B79" t="str">
            <v>Terima pinjaman dari holding</v>
          </cell>
        </row>
        <row r="80">
          <cell r="A80">
            <v>77</v>
          </cell>
          <cell r="B80" t="str">
            <v>Terima pinjaman dari holding</v>
          </cell>
        </row>
        <row r="81">
          <cell r="A81">
            <v>78</v>
          </cell>
          <cell r="B81" t="str">
            <v>Terima pinjaman dari holding</v>
          </cell>
        </row>
        <row r="82">
          <cell r="A82">
            <v>79</v>
          </cell>
          <cell r="B82" t="str">
            <v>Terima pinjaman dari holding</v>
          </cell>
        </row>
        <row r="83">
          <cell r="A83">
            <v>80</v>
          </cell>
          <cell r="B83" t="str">
            <v>Terima pinjaman dari holding</v>
          </cell>
        </row>
        <row r="84">
          <cell r="A84">
            <v>81</v>
          </cell>
          <cell r="B84" t="str">
            <v>Terima pinjaman dari holding</v>
          </cell>
        </row>
        <row r="85">
          <cell r="A85">
            <v>82</v>
          </cell>
          <cell r="B85" t="str">
            <v>Pinjaman dari holding</v>
          </cell>
        </row>
        <row r="86">
          <cell r="A86">
            <v>83</v>
          </cell>
          <cell r="B86" t="str">
            <v>Terima pinjaman dari holding</v>
          </cell>
        </row>
        <row r="87">
          <cell r="A87">
            <v>84</v>
          </cell>
          <cell r="B87" t="str">
            <v>Terima pinjaman dari holding</v>
          </cell>
        </row>
        <row r="88">
          <cell r="A88">
            <v>85</v>
          </cell>
          <cell r="B88" t="str">
            <v>Terima pijinjaman dari holding</v>
          </cell>
        </row>
        <row r="89">
          <cell r="A89">
            <v>86</v>
          </cell>
          <cell r="B89" t="str">
            <v>Terima pinjaman dari holding</v>
          </cell>
        </row>
        <row r="90">
          <cell r="A90">
            <v>87</v>
          </cell>
          <cell r="B90" t="str">
            <v>Terim pinjaman dari holding</v>
          </cell>
        </row>
        <row r="91">
          <cell r="A91">
            <v>88</v>
          </cell>
          <cell r="B91" t="str">
            <v>Terima pinjaman dari holding</v>
          </cell>
        </row>
        <row r="92">
          <cell r="A92">
            <v>89</v>
          </cell>
          <cell r="B92" t="str">
            <v>Terima pinjaman dari holding</v>
          </cell>
        </row>
        <row r="93">
          <cell r="A93">
            <v>90</v>
          </cell>
          <cell r="B93" t="str">
            <v>Terima pinjaman div holding</v>
          </cell>
        </row>
        <row r="94">
          <cell r="A94">
            <v>91</v>
          </cell>
          <cell r="B94" t="str">
            <v>Terima pinjaman dari holding</v>
          </cell>
        </row>
        <row r="95">
          <cell r="A95">
            <v>92</v>
          </cell>
          <cell r="B95" t="str">
            <v>Terima pinjaman dari holding</v>
          </cell>
        </row>
        <row r="96">
          <cell r="A96">
            <v>93</v>
          </cell>
          <cell r="B96" t="str">
            <v>Terima pinjaman dari holding</v>
          </cell>
        </row>
        <row r="97">
          <cell r="A97">
            <v>94</v>
          </cell>
          <cell r="B97" t="str">
            <v>Pinjaman div holding</v>
          </cell>
        </row>
        <row r="98">
          <cell r="A98">
            <v>95</v>
          </cell>
          <cell r="B98" t="str">
            <v>Terima pinjaman dari holding</v>
          </cell>
        </row>
        <row r="99">
          <cell r="A99">
            <v>96</v>
          </cell>
          <cell r="B99" t="str">
            <v>Terima pinjaman dari holding</v>
          </cell>
        </row>
        <row r="100">
          <cell r="A100">
            <v>97</v>
          </cell>
          <cell r="B100" t="str">
            <v>Terima pinjaman dari holding</v>
          </cell>
        </row>
        <row r="101">
          <cell r="A101">
            <v>98</v>
          </cell>
          <cell r="B101" t="str">
            <v>Terima pinjaman dari holding</v>
          </cell>
        </row>
        <row r="102">
          <cell r="A102">
            <v>99</v>
          </cell>
          <cell r="B102" t="str">
            <v>Terima pinjaman dari holding</v>
          </cell>
        </row>
        <row r="103">
          <cell r="A103">
            <v>100</v>
          </cell>
          <cell r="B103" t="str">
            <v>Terima pinjaman dari holding</v>
          </cell>
        </row>
        <row r="104">
          <cell r="A104">
            <v>101</v>
          </cell>
          <cell r="B104" t="str">
            <v>Terima pinjaman dari holding</v>
          </cell>
        </row>
        <row r="105">
          <cell r="A105">
            <v>102</v>
          </cell>
          <cell r="B105" t="str">
            <v>Terima pinjaman dari holding</v>
          </cell>
        </row>
        <row r="106">
          <cell r="A106">
            <v>103</v>
          </cell>
          <cell r="B106" t="str">
            <v>Terima pinjaman dari holding</v>
          </cell>
        </row>
        <row r="107">
          <cell r="A107">
            <v>104</v>
          </cell>
          <cell r="B107" t="str">
            <v>Terima pinjaman dari holding</v>
          </cell>
        </row>
        <row r="108">
          <cell r="A108">
            <v>105</v>
          </cell>
          <cell r="B108" t="str">
            <v>Terima pinjaman dari holding</v>
          </cell>
        </row>
        <row r="109">
          <cell r="A109">
            <v>106</v>
          </cell>
          <cell r="B109" t="str">
            <v>Terima pinjaman dari holding</v>
          </cell>
        </row>
        <row r="110">
          <cell r="A110">
            <v>107</v>
          </cell>
          <cell r="B110" t="str">
            <v>Terima pinjaman dari holding</v>
          </cell>
        </row>
        <row r="111">
          <cell r="A111">
            <v>108</v>
          </cell>
          <cell r="B111" t="str">
            <v>Terima pinjaman dari holding</v>
          </cell>
        </row>
        <row r="112">
          <cell r="A112">
            <v>109</v>
          </cell>
          <cell r="B112" t="str">
            <v>Terima pinjaman dari holding</v>
          </cell>
        </row>
        <row r="113">
          <cell r="A113">
            <v>110</v>
          </cell>
          <cell r="B113" t="str">
            <v>Terima pinjaman dari holding</v>
          </cell>
        </row>
        <row r="114">
          <cell r="A114">
            <v>111</v>
          </cell>
          <cell r="B114" t="str">
            <v>Terima pinjaman dari holding</v>
          </cell>
        </row>
        <row r="115">
          <cell r="A115">
            <v>112</v>
          </cell>
          <cell r="B115" t="str">
            <v>TERIMA PINJAMAN DARI HOLDING</v>
          </cell>
        </row>
        <row r="116">
          <cell r="A116">
            <v>113</v>
          </cell>
          <cell r="B116" t="str">
            <v>TERIMA PINJAMAN DARI HOLDING</v>
          </cell>
        </row>
        <row r="117">
          <cell r="A117">
            <v>114</v>
          </cell>
          <cell r="B117" t="str">
            <v>TERIMA PINJAMAN DARI HOLDING</v>
          </cell>
        </row>
        <row r="118">
          <cell r="A118">
            <v>115</v>
          </cell>
          <cell r="B118" t="str">
            <v>TERIMA PINJAMAN DARI HOLDING</v>
          </cell>
        </row>
        <row r="119">
          <cell r="A119">
            <v>116</v>
          </cell>
          <cell r="B119" t="str">
            <v>TERIMA PINJAMAN DARI HOLDING</v>
          </cell>
        </row>
        <row r="120">
          <cell r="A120">
            <v>117</v>
          </cell>
          <cell r="B120" t="str">
            <v>TERIMA PINJAMAN HOLDING</v>
          </cell>
        </row>
        <row r="121">
          <cell r="A121">
            <v>118</v>
          </cell>
          <cell r="B121" t="str">
            <v>TERIMA PINJAMAN DARI HOLDING</v>
          </cell>
        </row>
        <row r="122">
          <cell r="A122">
            <v>119</v>
          </cell>
          <cell r="B122" t="str">
            <v>Terima pinjaman dari holding</v>
          </cell>
        </row>
        <row r="123">
          <cell r="A123">
            <v>120</v>
          </cell>
          <cell r="B123" t="str">
            <v>Terima pinjaman dari holding</v>
          </cell>
        </row>
        <row r="124">
          <cell r="A124">
            <v>121</v>
          </cell>
          <cell r="B124" t="str">
            <v>Terima pinjaman dari holding</v>
          </cell>
        </row>
        <row r="125">
          <cell r="A125">
            <v>122</v>
          </cell>
          <cell r="B125" t="str">
            <v>Terima pinjaman dari holding</v>
          </cell>
        </row>
        <row r="126">
          <cell r="A126">
            <v>123</v>
          </cell>
          <cell r="B126" t="str">
            <v>Terima pinjaman dari holding</v>
          </cell>
        </row>
        <row r="127">
          <cell r="A127">
            <v>124</v>
          </cell>
          <cell r="B127" t="str">
            <v>Terima pinjaman dari holding</v>
          </cell>
        </row>
        <row r="128">
          <cell r="A128">
            <v>125</v>
          </cell>
          <cell r="B128" t="str">
            <v>Terima pinjaman dari holding</v>
          </cell>
        </row>
        <row r="129">
          <cell r="A129">
            <v>126</v>
          </cell>
          <cell r="B129" t="str">
            <v>Pinjaman dari holding</v>
          </cell>
        </row>
        <row r="130">
          <cell r="A130">
            <v>127</v>
          </cell>
          <cell r="B130" t="str">
            <v>Pinjaman dari holding</v>
          </cell>
        </row>
        <row r="131">
          <cell r="A131">
            <v>128</v>
          </cell>
          <cell r="B131" t="str">
            <v>Pinjaman holding</v>
          </cell>
        </row>
        <row r="132">
          <cell r="A132">
            <v>129</v>
          </cell>
          <cell r="B132" t="str">
            <v>Pinjaman dari holding</v>
          </cell>
        </row>
        <row r="133">
          <cell r="A133">
            <v>130</v>
          </cell>
          <cell r="B133" t="str">
            <v>Pinjaman dari holding</v>
          </cell>
        </row>
        <row r="134">
          <cell r="A134">
            <v>131</v>
          </cell>
          <cell r="B134" t="str">
            <v>Terima pinjaman Dari Holding</v>
          </cell>
        </row>
        <row r="135">
          <cell r="A135">
            <v>132</v>
          </cell>
          <cell r="B135" t="str">
            <v>Terima pinjaman Dari Holding</v>
          </cell>
        </row>
        <row r="136">
          <cell r="A136">
            <v>133</v>
          </cell>
          <cell r="B136" t="str">
            <v>Terima pinjaman dari holding</v>
          </cell>
        </row>
        <row r="137">
          <cell r="A137">
            <v>134</v>
          </cell>
          <cell r="B137" t="str">
            <v>Terima pinjaman dari holding</v>
          </cell>
        </row>
        <row r="138">
          <cell r="A138">
            <v>135</v>
          </cell>
          <cell r="B138" t="str">
            <v>Terima pinjaman dari div holding</v>
          </cell>
        </row>
        <row r="139">
          <cell r="A139">
            <v>136</v>
          </cell>
          <cell r="B139" t="str">
            <v>Terima Pinjaman Dari Divisi Holding</v>
          </cell>
        </row>
        <row r="140">
          <cell r="A140">
            <v>137</v>
          </cell>
          <cell r="B140" t="str">
            <v>Terima pinjaman dari div holding</v>
          </cell>
        </row>
        <row r="141">
          <cell r="A141">
            <v>138</v>
          </cell>
          <cell r="B141" t="str">
            <v>Terima pinjaman dari div. holding</v>
          </cell>
        </row>
        <row r="142">
          <cell r="A142">
            <v>139</v>
          </cell>
          <cell r="B142" t="str">
            <v>Pinjaman kas harian dari div. holding</v>
          </cell>
        </row>
        <row r="143">
          <cell r="A143">
            <v>140</v>
          </cell>
          <cell r="B143" t="str">
            <v>Terima pinjaman dari div. holding</v>
          </cell>
        </row>
        <row r="144">
          <cell r="A144">
            <v>141</v>
          </cell>
          <cell r="B144" t="str">
            <v>Terima pinjaman dari div. holding</v>
          </cell>
        </row>
        <row r="145">
          <cell r="A145">
            <v>142</v>
          </cell>
          <cell r="B145" t="str">
            <v>Terima pinjaman dari div. holding</v>
          </cell>
        </row>
        <row r="146">
          <cell r="A146">
            <v>143</v>
          </cell>
          <cell r="B146" t="str">
            <v>Terima pinjaman kas harian dari div holding</v>
          </cell>
        </row>
        <row r="147">
          <cell r="A147">
            <v>144</v>
          </cell>
          <cell r="B147" t="str">
            <v>Terima pinjaman dari div. holding</v>
          </cell>
        </row>
        <row r="148">
          <cell r="A148">
            <v>145</v>
          </cell>
          <cell r="B148" t="str">
            <v>Terima pinjaman dari div. holding</v>
          </cell>
        </row>
        <row r="149">
          <cell r="A149">
            <v>146</v>
          </cell>
          <cell r="B149" t="str">
            <v>Pinjaman kas harian dari div. holding</v>
          </cell>
        </row>
        <row r="150">
          <cell r="A150">
            <v>147</v>
          </cell>
          <cell r="B150" t="str">
            <v>Terima Pinjama Dari Divisi Holding</v>
          </cell>
        </row>
        <row r="151">
          <cell r="A151">
            <v>148</v>
          </cell>
          <cell r="B151" t="str">
            <v>Pinjaman kas harian div. kepala udang</v>
          </cell>
        </row>
        <row r="152">
          <cell r="A152">
            <v>149</v>
          </cell>
          <cell r="B152" t="str">
            <v>Terima pinjaman dari div. holding</v>
          </cell>
        </row>
        <row r="153">
          <cell r="A153">
            <v>150</v>
          </cell>
          <cell r="B153" t="str">
            <v>Terima Pinjaman Dari Divisi Holding</v>
          </cell>
        </row>
        <row r="154">
          <cell r="A154">
            <v>151</v>
          </cell>
          <cell r="B154" t="str">
            <v>Terima Pinjaman Dari Divisi Holding</v>
          </cell>
        </row>
        <row r="155">
          <cell r="A155">
            <v>152</v>
          </cell>
          <cell r="B155" t="str">
            <v>Terima Pinjaman dari Divisi Holding</v>
          </cell>
        </row>
        <row r="156">
          <cell r="A156">
            <v>153</v>
          </cell>
          <cell r="B156" t="str">
            <v>Terima Pinjaman Dari Divisi Holding</v>
          </cell>
        </row>
        <row r="157">
          <cell r="A157">
            <v>154</v>
          </cell>
          <cell r="B157" t="str">
            <v>Terima Pinjaman Dari Divisis Holding</v>
          </cell>
        </row>
        <row r="158">
          <cell r="A158">
            <v>155</v>
          </cell>
          <cell r="B158" t="str">
            <v>Terima Pinjaman dari Divisi Holding</v>
          </cell>
        </row>
        <row r="159">
          <cell r="A159">
            <v>156</v>
          </cell>
          <cell r="B159" t="str">
            <v>Terima Pinjaman dari Divisi Holding</v>
          </cell>
        </row>
        <row r="160">
          <cell r="A160">
            <v>157</v>
          </cell>
          <cell r="B160" t="str">
            <v>Pembayaran pinjaman Kas Harian tgl 30/12/2014</v>
          </cell>
        </row>
        <row r="161">
          <cell r="A161">
            <v>158</v>
          </cell>
          <cell r="B161" t="str">
            <v>Pembayaran pinjaman Kas Harian tgl 31/12/2014</v>
          </cell>
        </row>
      </sheetData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"/>
      <sheetName val="SRC Resume (2)"/>
      <sheetName val="PAJE"/>
      <sheetName val="WBS1-wp "/>
      <sheetName val="PRJE"/>
      <sheetName val="WBS2-WP"/>
      <sheetName val="WPL WP"/>
      <sheetName val="WBS1"/>
      <sheetName val="WBS2"/>
      <sheetName val="WPL"/>
      <sheetName val=" (A)"/>
      <sheetName val="A-1."/>
      <sheetName val="A-2."/>
      <sheetName val="A-1-1"/>
      <sheetName val="A-2-1."/>
      <sheetName val="A-1"/>
      <sheetName val="A-3."/>
      <sheetName val="A-3.1"/>
      <sheetName val="A-4"/>
      <sheetName val="A-2-1"/>
      <sheetName val="(C)"/>
      <sheetName val="C-1"/>
      <sheetName val="C-2"/>
      <sheetName val="C-3."/>
      <sheetName val="C-4."/>
      <sheetName val="C-1-1"/>
      <sheetName val="C-5"/>
      <sheetName val=" (D)"/>
      <sheetName val="D-1"/>
      <sheetName val="D-1.1-1"/>
      <sheetName val="D-1.1"/>
      <sheetName val="D-3"/>
      <sheetName val="D-3.1"/>
      <sheetName val="D-4"/>
      <sheetName val="D-5"/>
      <sheetName val="prepaid Taxes (E)"/>
      <sheetName val="E-1"/>
      <sheetName val="E-2"/>
      <sheetName val="Prepayments (F)"/>
      <sheetName val="F-1"/>
      <sheetName val="F-2"/>
      <sheetName val="AR Others (G)"/>
      <sheetName val="Fixed Assets (J)"/>
      <sheetName val="list of FA"/>
      <sheetName val="J-2"/>
      <sheetName val="J-1"/>
      <sheetName val="J-3"/>
      <sheetName val="J-4"/>
      <sheetName val="J-5"/>
      <sheetName val="J-6"/>
      <sheetName val="deferred expenses (L)"/>
      <sheetName val="Accounts Payable (AA)"/>
      <sheetName val="AA-2"/>
      <sheetName val="Bank Loan (BB)"/>
      <sheetName val="BB-1"/>
      <sheetName val="BB-2"/>
      <sheetName val="Taxes Payable (CC)"/>
      <sheetName val="CC-1"/>
      <sheetName val="CC-2"/>
      <sheetName val="AP-Other (DD)"/>
      <sheetName val="DD-1"/>
      <sheetName val="Advance Received (EE) "/>
      <sheetName val=" EE-1"/>
      <sheetName val="Affiliate Payable (FF)"/>
      <sheetName val="FF-1"/>
      <sheetName val="Accrued Exp. (HH)"/>
      <sheetName val=" HH-1"/>
      <sheetName val="DTA (JJ)"/>
      <sheetName val="JJ-1"/>
      <sheetName val=" Equity (KK)"/>
      <sheetName val="Revenue (10)"/>
      <sheetName val="10-1"/>
      <sheetName val="10-1-1"/>
      <sheetName val="COG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IN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0</v>
          </cell>
        </row>
        <row r="4">
          <cell r="A4" t="str">
            <v>Client:</v>
          </cell>
          <cell r="B4" t="str">
            <v>PT Saranaraya Reka Cipta</v>
          </cell>
          <cell r="H4" t="str">
            <v>Prepared by:</v>
          </cell>
          <cell r="I4" t="str">
            <v>Date:</v>
          </cell>
        </row>
        <row r="5">
          <cell r="H5" t="str">
            <v>MIR</v>
          </cell>
          <cell r="I5" t="str">
            <v>29/12/04</v>
          </cell>
        </row>
        <row r="6">
          <cell r="A6" t="str">
            <v>Period Ended:</v>
          </cell>
          <cell r="B6" t="str">
            <v>Desember 31, 2004</v>
          </cell>
          <cell r="H6" t="str">
            <v>Reviewed by:</v>
          </cell>
          <cell r="I6" t="str">
            <v>Date:</v>
          </cell>
        </row>
        <row r="8">
          <cell r="A8" t="str">
            <v>Details:</v>
          </cell>
          <cell r="B8" t="str">
            <v>Accounts Payable - Trade</v>
          </cell>
        </row>
        <row r="11">
          <cell r="A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PAJE/PRJE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3">
          <cell r="I13">
            <v>0</v>
          </cell>
        </row>
        <row r="14">
          <cell r="A14" t="str">
            <v>Pertamina</v>
          </cell>
          <cell r="D14">
            <v>1218703</v>
          </cell>
          <cell r="E14" t="str">
            <v>ü</v>
          </cell>
          <cell r="H14">
            <v>1218703</v>
          </cell>
        </row>
        <row r="15">
          <cell r="I15">
            <v>0</v>
          </cell>
        </row>
        <row r="16">
          <cell r="A16" t="str">
            <v>Total</v>
          </cell>
          <cell r="D16">
            <v>1218703</v>
          </cell>
          <cell r="E16">
            <v>0</v>
          </cell>
          <cell r="G16">
            <v>0</v>
          </cell>
          <cell r="H16">
            <v>1218703</v>
          </cell>
          <cell r="I16">
            <v>0</v>
          </cell>
        </row>
        <row r="17">
          <cell r="D17" t="str">
            <v>^</v>
          </cell>
        </row>
        <row r="18">
          <cell r="A18" t="str">
            <v>Objective:</v>
          </cell>
        </row>
        <row r="19">
          <cell r="A19" t="str">
            <v>To check the account payable is fairly stated.</v>
          </cell>
        </row>
        <row r="21">
          <cell r="A21" t="str">
            <v>Audit procedures:</v>
          </cell>
        </row>
        <row r="22">
          <cell r="A22" t="str">
            <v>1. Agree account payable balance to general ledger</v>
          </cell>
          <cell r="I22" t="str">
            <v>AA</v>
          </cell>
        </row>
        <row r="23">
          <cell r="A23" t="str">
            <v>2. Prepare and send confirmation to creditor</v>
          </cell>
          <cell r="I23" t="str">
            <v>AA-2</v>
          </cell>
        </row>
        <row r="24">
          <cell r="A24" t="str">
            <v xml:space="preserve">3. Test the account payable balance to supporting documents including purchase orders, </v>
          </cell>
        </row>
        <row r="25">
          <cell r="A25" t="str">
            <v xml:space="preserve">     invoice, cargo Receipts.</v>
          </cell>
        </row>
        <row r="26">
          <cell r="A26" t="str">
            <v>4. Checked the subsequent payment to payment instruction bank statements, etc.</v>
          </cell>
        </row>
        <row r="28">
          <cell r="A28" t="str">
            <v>Nature Of Account:</v>
          </cell>
        </row>
        <row r="29">
          <cell r="A29" t="str">
            <v xml:space="preserve">Utang Usaha  berasal dari pembelian asphalt ke Pertamina </v>
          </cell>
          <cell r="H29">
            <v>0</v>
          </cell>
        </row>
        <row r="31">
          <cell r="A31" t="str">
            <v>Results:</v>
          </cell>
        </row>
        <row r="32">
          <cell r="A32" t="str">
            <v>1. Account payable balance agree with general ledger</v>
          </cell>
        </row>
        <row r="33">
          <cell r="A33" t="str">
            <v>2. Confirmation sent on December 15, 2004</v>
          </cell>
        </row>
        <row r="34">
          <cell r="A34" t="str">
            <v>3. Account payable balance agreed to invoice issued by supplier</v>
          </cell>
        </row>
        <row r="35">
          <cell r="A35" t="str">
            <v>4 There was no subsequent payment in December 2004</v>
          </cell>
        </row>
        <row r="37">
          <cell r="A37" t="str">
            <v>Accounting entry:</v>
          </cell>
        </row>
        <row r="38">
          <cell r="A38" t="str">
            <v>Purchase journal:</v>
          </cell>
        </row>
        <row r="39">
          <cell r="A39" t="str">
            <v>Dr</v>
          </cell>
          <cell r="B39" t="str">
            <v>Purchase</v>
          </cell>
          <cell r="D39" t="str">
            <v>xxxxx</v>
          </cell>
        </row>
        <row r="40">
          <cell r="A40" t="str">
            <v>Cr</v>
          </cell>
          <cell r="B40" t="str">
            <v>Account payable</v>
          </cell>
          <cell r="E40" t="str">
            <v>xxxxx</v>
          </cell>
        </row>
        <row r="42">
          <cell r="A42" t="str">
            <v>Payment journal:</v>
          </cell>
        </row>
        <row r="43">
          <cell r="A43" t="str">
            <v>Dr</v>
          </cell>
          <cell r="B43" t="str">
            <v>Account payable</v>
          </cell>
          <cell r="D43" t="str">
            <v>xxxxx</v>
          </cell>
        </row>
        <row r="44">
          <cell r="A44" t="str">
            <v>Cr</v>
          </cell>
          <cell r="B44" t="str">
            <v>Bank</v>
          </cell>
          <cell r="E44" t="str">
            <v>xxxxx</v>
          </cell>
        </row>
        <row r="46">
          <cell r="A46" t="str">
            <v>Conclusion:</v>
          </cell>
          <cell r="B46" t="str">
            <v>Based on the audit procedures we performed, we convinced that this account is free of material misstatements.</v>
          </cell>
        </row>
        <row r="49">
          <cell r="A49" t="str">
            <v>Legend:</v>
          </cell>
        </row>
        <row r="50">
          <cell r="A50" t="str">
            <v>&lt;</v>
          </cell>
          <cell r="B50" t="str">
            <v>Cross footing</v>
          </cell>
        </row>
        <row r="51">
          <cell r="A51" t="str">
            <v>^</v>
          </cell>
          <cell r="B51" t="str">
            <v>Footed</v>
          </cell>
        </row>
        <row r="52">
          <cell r="A52" t="str">
            <v>ü</v>
          </cell>
          <cell r="B52" t="str">
            <v>Agreed with General Ledger</v>
          </cell>
        </row>
      </sheetData>
      <sheetData sheetId="52">
        <row r="3">
          <cell r="D3">
            <v>0</v>
          </cell>
        </row>
        <row r="4">
          <cell r="A4" t="str">
            <v>Client:</v>
          </cell>
          <cell r="B4" t="str">
            <v>PT Saranaraya Reka Cipta</v>
          </cell>
          <cell r="H4" t="str">
            <v>Prepared by:</v>
          </cell>
          <cell r="I4" t="str">
            <v>Date:</v>
          </cell>
        </row>
        <row r="5">
          <cell r="H5" t="str">
            <v>MIR</v>
          </cell>
          <cell r="I5" t="str">
            <v>29/12/04</v>
          </cell>
        </row>
        <row r="6">
          <cell r="A6" t="str">
            <v>Period Ended:</v>
          </cell>
          <cell r="B6" t="str">
            <v>November 30, 2004</v>
          </cell>
          <cell r="H6" t="str">
            <v>Reviewed by:</v>
          </cell>
          <cell r="I6" t="str">
            <v>Date:</v>
          </cell>
        </row>
        <row r="8">
          <cell r="A8" t="str">
            <v>Details:</v>
          </cell>
          <cell r="B8" t="str">
            <v>Account Payables</v>
          </cell>
        </row>
        <row r="11">
          <cell r="A11" t="str">
            <v>Account Description</v>
          </cell>
          <cell r="C11" t="str">
            <v>Confirmation No.</v>
          </cell>
          <cell r="D11" t="str">
            <v>WP Reff</v>
          </cell>
          <cell r="E11" t="str">
            <v>1st</v>
          </cell>
          <cell r="F11" t="str">
            <v>2st</v>
          </cell>
          <cell r="G11" t="str">
            <v xml:space="preserve">Date </v>
          </cell>
          <cell r="H11" t="str">
            <v xml:space="preserve">Balance </v>
          </cell>
          <cell r="I11" t="str">
            <v xml:space="preserve">Balance </v>
          </cell>
        </row>
        <row r="12">
          <cell r="E12" t="str">
            <v>Confirmation</v>
          </cell>
          <cell r="F12" t="str">
            <v>Confirmation</v>
          </cell>
          <cell r="G12" t="str">
            <v>Received</v>
          </cell>
          <cell r="H12" t="str">
            <v>Per book</v>
          </cell>
          <cell r="I12" t="str">
            <v>Confirmed</v>
          </cell>
        </row>
        <row r="14">
          <cell r="A14" t="str">
            <v>Pertamina</v>
          </cell>
          <cell r="C14" t="str">
            <v>01/AP/SRC/XI/04/1st</v>
          </cell>
          <cell r="E14">
            <v>38336</v>
          </cell>
          <cell r="H14">
            <v>1218703</v>
          </cell>
        </row>
        <row r="16">
          <cell r="A16" t="str">
            <v>Total</v>
          </cell>
        </row>
        <row r="17">
          <cell r="H17" t="str">
            <v>^</v>
          </cell>
          <cell r="I17" t="str">
            <v>^</v>
          </cell>
        </row>
        <row r="18">
          <cell r="A18" t="str">
            <v>Objective:</v>
          </cell>
        </row>
        <row r="19">
          <cell r="A19" t="str">
            <v>To check the existence of account payables .</v>
          </cell>
        </row>
        <row r="21">
          <cell r="A21" t="str">
            <v>Notes:</v>
          </cell>
        </row>
        <row r="22">
          <cell r="A22" t="str">
            <v>1. Confirmation sent on December 15, 2004</v>
          </cell>
        </row>
        <row r="24">
          <cell r="A24" t="str">
            <v>Legends:</v>
          </cell>
        </row>
        <row r="25">
          <cell r="A25" t="str">
            <v>^</v>
          </cell>
          <cell r="B25" t="str">
            <v>footing</v>
          </cell>
        </row>
        <row r="26">
          <cell r="A26" t="str">
            <v>CB</v>
          </cell>
          <cell r="B26" t="str">
            <v>Confirm Balance</v>
          </cell>
        </row>
        <row r="27">
          <cell r="A27" t="str">
            <v>RD</v>
          </cell>
          <cell r="B27" t="str">
            <v>Reporting Difference</v>
          </cell>
        </row>
      </sheetData>
      <sheetData sheetId="53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J4" t="str">
            <v>Prepared by:</v>
          </cell>
        </row>
        <row r="5">
          <cell r="J5" t="str">
            <v>MIR</v>
          </cell>
        </row>
        <row r="6">
          <cell r="A6" t="str">
            <v>Period Ended:</v>
          </cell>
          <cell r="B6" t="str">
            <v>November 30, 2004</v>
          </cell>
          <cell r="J6" t="str">
            <v>Reviewed by:</v>
          </cell>
        </row>
        <row r="8">
          <cell r="A8" t="str">
            <v>Details:</v>
          </cell>
          <cell r="B8" t="str">
            <v>Bank Loan</v>
          </cell>
        </row>
        <row r="11">
          <cell r="A11" t="str">
            <v>Accont No.</v>
          </cell>
          <cell r="B11" t="str">
            <v>Account Description</v>
          </cell>
          <cell r="D11" t="str">
            <v>WP Reff</v>
          </cell>
          <cell r="E11" t="str">
            <v>Balance Perbook Nov, 30, 2004</v>
          </cell>
          <cell r="F11" t="str">
            <v>PAJE/PRJE</v>
          </cell>
          <cell r="I11" t="str">
            <v>Audited Balance Nov 30, 2004</v>
          </cell>
          <cell r="J11" t="str">
            <v>PAJE/PRJE</v>
          </cell>
        </row>
        <row r="12">
          <cell r="G12" t="str">
            <v>Dr</v>
          </cell>
          <cell r="H12" t="str">
            <v>Cr</v>
          </cell>
          <cell r="J12" t="str">
            <v>Dr</v>
          </cell>
        </row>
        <row r="13">
          <cell r="J13">
            <v>0</v>
          </cell>
        </row>
        <row r="14">
          <cell r="A14">
            <v>1642</v>
          </cell>
          <cell r="B14" t="str">
            <v xml:space="preserve">Bank BNP S.T. Loan </v>
          </cell>
          <cell r="E14">
            <v>2389770000</v>
          </cell>
          <cell r="F14" t="str">
            <v>ü</v>
          </cell>
          <cell r="I14">
            <v>2389770000</v>
          </cell>
        </row>
        <row r="15">
          <cell r="J15">
            <v>0</v>
          </cell>
        </row>
        <row r="16">
          <cell r="B16" t="str">
            <v>Total</v>
          </cell>
          <cell r="E16">
            <v>2389770000</v>
          </cell>
          <cell r="F16">
            <v>0</v>
          </cell>
          <cell r="H16">
            <v>0</v>
          </cell>
          <cell r="I16">
            <v>2389770000</v>
          </cell>
        </row>
        <row r="17">
          <cell r="E17" t="str">
            <v>^</v>
          </cell>
          <cell r="I17" t="str">
            <v>^</v>
          </cell>
        </row>
        <row r="18">
          <cell r="A18" t="str">
            <v>Objective:</v>
          </cell>
        </row>
        <row r="19">
          <cell r="A19" t="str">
            <v>To check the Bank Loan is fairly stated.</v>
          </cell>
        </row>
        <row r="21">
          <cell r="A21" t="str">
            <v>Nature of Accounts :</v>
          </cell>
        </row>
        <row r="22">
          <cell r="A22" t="str">
            <v>Merupakan pinjaman jangka pendek  dari Bank BNP Paribas sebesar USD 70.000 dan USD 195.000</v>
          </cell>
        </row>
        <row r="23">
          <cell r="A23" t="str">
            <v>Untuk jangka waktu 2 minggu dan dapat diperpanjang setiap dua minggu sampai satu bulan setelah jatuh tempo yang pertama.</v>
          </cell>
        </row>
        <row r="24">
          <cell r="A24" t="str">
            <v>Pinjaman tersebut digunakanuntuk pembelian Aspal ke Pertamina</v>
          </cell>
        </row>
        <row r="26">
          <cell r="A26" t="str">
            <v>1. Pinjaman sebesar USD 70.000 merupakan sisa dari pinjaman sebesar USD 110.000.</v>
          </cell>
        </row>
        <row r="27">
          <cell r="B27" t="str">
            <v xml:space="preserve">Pada tanggal 29 November 2004 PT. Saranaraya Reka Cipta membayar utangnya kepada BNP Paribas </v>
          </cell>
        </row>
        <row r="28">
          <cell r="B28" t="str">
            <v xml:space="preserve">sebesar USD 40.000 langsung dengan mendebit rekening USD PT. SRC  </v>
          </cell>
        </row>
        <row r="29">
          <cell r="B29" t="str">
            <v>Company memperpanjang sisa pinjamannya sampai tanggal 30 December 2004</v>
          </cell>
        </row>
        <row r="32">
          <cell r="A32" t="str">
            <v>2. Pinjaman sebesar USD 195.000 merupakan sisa dari pinjaman sebesar USD 220.000.</v>
          </cell>
        </row>
        <row r="33">
          <cell r="B33" t="str">
            <v xml:space="preserve">Pada tanggal 2 November 2004 PT. Saranaraya Reka Cipta membayar utangnya kepada BNP Paribas </v>
          </cell>
        </row>
        <row r="34">
          <cell r="B34" t="str">
            <v xml:space="preserve">sebesar USD 25.000 langsung dengan mendebit rekening USD PT. SRC  </v>
          </cell>
        </row>
        <row r="35">
          <cell r="B35" t="str">
            <v>Company memperpanjang sisa pinjamannya sampai tanggal 14 December 2004</v>
          </cell>
        </row>
        <row r="38">
          <cell r="B38" t="str">
            <v xml:space="preserve">Principal </v>
          </cell>
          <cell r="D38" t="str">
            <v>Interest rate</v>
          </cell>
          <cell r="E38" t="str">
            <v>Maturity date</v>
          </cell>
          <cell r="G38" t="str">
            <v xml:space="preserve">Interest </v>
          </cell>
        </row>
        <row r="39">
          <cell r="B39" t="str">
            <v>(USD)</v>
          </cell>
        </row>
        <row r="40">
          <cell r="B40">
            <v>220000</v>
          </cell>
          <cell r="C40" t="str">
            <v>d</v>
          </cell>
          <cell r="D40">
            <v>4.1000000000000002E-2</v>
          </cell>
          <cell r="E40" t="str">
            <v>November 2, 2004</v>
          </cell>
          <cell r="G40">
            <v>350.77777777777777</v>
          </cell>
          <cell r="H40" t="str">
            <v>Ë</v>
          </cell>
        </row>
        <row r="43">
          <cell r="B43" t="str">
            <v xml:space="preserve">Principal </v>
          </cell>
          <cell r="D43" t="str">
            <v>Interest rate</v>
          </cell>
          <cell r="E43" t="str">
            <v>Maturity date</v>
          </cell>
          <cell r="G43" t="str">
            <v xml:space="preserve">Interest </v>
          </cell>
        </row>
        <row r="44">
          <cell r="B44" t="str">
            <v>(USD)</v>
          </cell>
        </row>
        <row r="45">
          <cell r="B45">
            <v>110000</v>
          </cell>
          <cell r="C45" t="str">
            <v>d</v>
          </cell>
          <cell r="D45">
            <v>4.1000000000000002E-2</v>
          </cell>
          <cell r="E45" t="str">
            <v>November 29, 2004</v>
          </cell>
          <cell r="G45">
            <v>388.36111111111109</v>
          </cell>
          <cell r="H45" t="str">
            <v>Ë</v>
          </cell>
        </row>
        <row r="48">
          <cell r="A48" t="str">
            <v>Workdone</v>
          </cell>
        </row>
        <row r="49">
          <cell r="A49" t="str">
            <v>1. Agree account Bank Loan  to general ledger</v>
          </cell>
          <cell r="H49" t="str">
            <v>BB</v>
          </cell>
        </row>
        <row r="50">
          <cell r="A50" t="str">
            <v>2. Obtain the detail of Bank Loan</v>
          </cell>
          <cell r="H50" t="str">
            <v>BB-1</v>
          </cell>
        </row>
        <row r="51">
          <cell r="A51" t="str">
            <v>3. Prepare and send confirmation to Bank</v>
          </cell>
          <cell r="H51" t="str">
            <v>BB-2</v>
          </cell>
        </row>
        <row r="52">
          <cell r="A52" t="str">
            <v>4. review the agreement, including schedule of payment, interest rate, maturity date+A30</v>
          </cell>
          <cell r="H52" t="str">
            <v>BB</v>
          </cell>
        </row>
        <row r="55">
          <cell r="A55" t="str">
            <v>Conclusion:</v>
          </cell>
          <cell r="B55" t="str">
            <v>Based on the audit procedures we performed, we convinced that this account is free of material misstatements.</v>
          </cell>
        </row>
        <row r="57">
          <cell r="A57" t="str">
            <v>Legends:</v>
          </cell>
          <cell r="B57" t="str">
            <v>&lt;</v>
          </cell>
          <cell r="C57" t="str">
            <v>Cross footing</v>
          </cell>
        </row>
        <row r="58">
          <cell r="B58" t="str">
            <v>^</v>
          </cell>
          <cell r="C58" t="str">
            <v>Footed</v>
          </cell>
        </row>
        <row r="59">
          <cell r="B59" t="str">
            <v>ü</v>
          </cell>
          <cell r="C59" t="str">
            <v>Agreed with General Ledger</v>
          </cell>
        </row>
        <row r="60">
          <cell r="B60" t="str">
            <v>Ë</v>
          </cell>
          <cell r="C60" t="str">
            <v>Calculation Test</v>
          </cell>
        </row>
      </sheetData>
      <sheetData sheetId="54">
        <row r="1">
          <cell r="B1" t="str">
            <v>PT Saranaraya Reka Cipta</v>
          </cell>
        </row>
        <row r="2">
          <cell r="B2" t="str">
            <v>Detail of Bank Loan</v>
          </cell>
        </row>
        <row r="3">
          <cell r="B3" t="str">
            <v>November 30, 2004</v>
          </cell>
        </row>
        <row r="5">
          <cell r="B5" t="str">
            <v>Bank Loan USD 195.000</v>
          </cell>
        </row>
        <row r="6">
          <cell r="B6" t="str">
            <v>Principal</v>
          </cell>
          <cell r="C6" t="str">
            <v>Period</v>
          </cell>
          <cell r="D6" t="str">
            <v>interest rate</v>
          </cell>
          <cell r="E6" t="str">
            <v xml:space="preserve">Interest </v>
          </cell>
          <cell r="G6" t="str">
            <v>principal + (i)</v>
          </cell>
          <cell r="H6" t="str">
            <v>Payment</v>
          </cell>
          <cell r="J6" t="str">
            <v>Balance</v>
          </cell>
        </row>
        <row r="7">
          <cell r="A7">
            <v>1</v>
          </cell>
          <cell r="B7">
            <v>220000</v>
          </cell>
          <cell r="C7" t="str">
            <v>2 weeks maturity on Nov 2, 2004</v>
          </cell>
          <cell r="D7">
            <v>4.1000000000000002E-2</v>
          </cell>
          <cell r="E7">
            <v>350.77777777777777</v>
          </cell>
          <cell r="F7" t="str">
            <v>Ë</v>
          </cell>
          <cell r="G7">
            <v>220350.77777777778</v>
          </cell>
          <cell r="H7">
            <v>25350.777777777777</v>
          </cell>
          <cell r="I7" t="str">
            <v>Æ</v>
          </cell>
          <cell r="J7">
            <v>195000</v>
          </cell>
        </row>
        <row r="8">
          <cell r="A8">
            <v>2</v>
          </cell>
          <cell r="B8">
            <v>195000</v>
          </cell>
          <cell r="C8" t="str">
            <v>Maturity on Nov 30, 2004</v>
          </cell>
          <cell r="D8">
            <v>4.1000000000000002E-2</v>
          </cell>
          <cell r="E8">
            <v>621.83333333333337</v>
          </cell>
          <cell r="F8" t="str">
            <v>Ë</v>
          </cell>
          <cell r="G8">
            <v>195621.83333333334</v>
          </cell>
          <cell r="H8">
            <v>40621.833333333336</v>
          </cell>
          <cell r="I8" t="str">
            <v>Æ</v>
          </cell>
          <cell r="J8">
            <v>155000</v>
          </cell>
        </row>
        <row r="9">
          <cell r="A9">
            <v>3</v>
          </cell>
          <cell r="B9">
            <v>155000</v>
          </cell>
          <cell r="C9" t="str">
            <v>Maturity on December 30, 2004</v>
          </cell>
          <cell r="D9">
            <v>4.3999999999999997E-2</v>
          </cell>
          <cell r="H9" t="str">
            <v>-</v>
          </cell>
          <cell r="J9" t="str">
            <v>-</v>
          </cell>
        </row>
        <row r="12">
          <cell r="B12" t="str">
            <v>Bank Loan USD 70.000</v>
          </cell>
        </row>
        <row r="13">
          <cell r="B13" t="str">
            <v>Principal</v>
          </cell>
          <cell r="C13" t="str">
            <v>Period</v>
          </cell>
          <cell r="D13" t="str">
            <v>interest rate</v>
          </cell>
          <cell r="E13" t="str">
            <v xml:space="preserve">Interest </v>
          </cell>
          <cell r="G13" t="str">
            <v>principal + (i)</v>
          </cell>
          <cell r="H13" t="str">
            <v>Payment</v>
          </cell>
          <cell r="J13" t="str">
            <v>Balance</v>
          </cell>
        </row>
        <row r="14">
          <cell r="A14">
            <v>1</v>
          </cell>
          <cell r="B14">
            <v>110000</v>
          </cell>
          <cell r="C14" t="str">
            <v>31 days maturity on Nov 29, 2004</v>
          </cell>
          <cell r="D14">
            <v>4.1000000000000002E-2</v>
          </cell>
          <cell r="E14">
            <v>388.36111111111109</v>
          </cell>
          <cell r="F14" t="str">
            <v>Ë</v>
          </cell>
          <cell r="G14">
            <v>110388.36111111111</v>
          </cell>
          <cell r="H14">
            <v>40388.361111111109</v>
          </cell>
          <cell r="I14" t="str">
            <v>Æ</v>
          </cell>
          <cell r="J14">
            <v>70000</v>
          </cell>
        </row>
        <row r="15">
          <cell r="A15">
            <v>2</v>
          </cell>
          <cell r="B15">
            <v>70000</v>
          </cell>
          <cell r="C15" t="str">
            <v>Maturity on December 13, 2004</v>
          </cell>
          <cell r="D15">
            <v>4.1000000000000002E-2</v>
          </cell>
          <cell r="E15" t="str">
            <v>-</v>
          </cell>
          <cell r="G15" t="str">
            <v>-</v>
          </cell>
          <cell r="H15" t="str">
            <v>-</v>
          </cell>
          <cell r="J15" t="str">
            <v>-</v>
          </cell>
        </row>
        <row r="16">
          <cell r="A16">
            <v>3</v>
          </cell>
          <cell r="B16">
            <v>70000</v>
          </cell>
          <cell r="C16" t="str">
            <v>Maturity on December 30, 2004</v>
          </cell>
          <cell r="D16">
            <v>4.3999999999999997E-2</v>
          </cell>
          <cell r="E16" t="str">
            <v>-</v>
          </cell>
          <cell r="G16" t="str">
            <v>-</v>
          </cell>
          <cell r="H16" t="str">
            <v>-</v>
          </cell>
          <cell r="J16" t="str">
            <v>-</v>
          </cell>
        </row>
        <row r="18">
          <cell r="A18" t="str">
            <v xml:space="preserve">Objective : </v>
          </cell>
          <cell r="C18" t="str">
            <v>Obtain detail breakdown of Bank Loan</v>
          </cell>
        </row>
        <row r="20">
          <cell r="B20" t="str">
            <v>Legends:</v>
          </cell>
        </row>
        <row r="21">
          <cell r="B21" t="str">
            <v>Ë</v>
          </cell>
          <cell r="C21" t="str">
            <v>calculation verified</v>
          </cell>
        </row>
        <row r="22">
          <cell r="B22" t="str">
            <v>Æ</v>
          </cell>
          <cell r="C22" t="str">
            <v>agree to Bank Statement</v>
          </cell>
        </row>
      </sheetData>
      <sheetData sheetId="55">
        <row r="4">
          <cell r="A4" t="str">
            <v>Client:</v>
          </cell>
          <cell r="B4" t="str">
            <v>PT Asphalt Bangun Sarana</v>
          </cell>
          <cell r="G4" t="str">
            <v>Prepared by:</v>
          </cell>
          <cell r="H4" t="str">
            <v>Date:</v>
          </cell>
        </row>
        <row r="5">
          <cell r="G5" t="str">
            <v>FM</v>
          </cell>
          <cell r="H5">
            <v>38337</v>
          </cell>
          <cell r="J5" t="str">
            <v>BB-2</v>
          </cell>
        </row>
        <row r="6">
          <cell r="A6" t="str">
            <v>Period Ended:</v>
          </cell>
          <cell r="B6" t="str">
            <v>November 30, 2004</v>
          </cell>
          <cell r="G6" t="str">
            <v>Reviewed by:</v>
          </cell>
          <cell r="H6" t="str">
            <v>Date:</v>
          </cell>
          <cell r="J6" t="str">
            <v>Page 1 of 1</v>
          </cell>
        </row>
        <row r="8">
          <cell r="A8" t="str">
            <v>Details:</v>
          </cell>
          <cell r="B8" t="str">
            <v>Account Payables</v>
          </cell>
        </row>
        <row r="11">
          <cell r="A11" t="str">
            <v>Account Description</v>
          </cell>
          <cell r="B11" t="str">
            <v>Confirmation No.</v>
          </cell>
          <cell r="C11" t="str">
            <v>WP Reff</v>
          </cell>
          <cell r="D11" t="str">
            <v>1st</v>
          </cell>
          <cell r="E11" t="str">
            <v>2st</v>
          </cell>
          <cell r="F11" t="str">
            <v xml:space="preserve">Date </v>
          </cell>
          <cell r="G11" t="str">
            <v xml:space="preserve">Balance </v>
          </cell>
          <cell r="H11" t="str">
            <v xml:space="preserve">Balance </v>
          </cell>
          <cell r="J11" t="str">
            <v>Differences</v>
          </cell>
        </row>
        <row r="12">
          <cell r="D12" t="str">
            <v>Confirmation</v>
          </cell>
          <cell r="E12" t="str">
            <v>Confirmation</v>
          </cell>
          <cell r="F12" t="str">
            <v>Received</v>
          </cell>
          <cell r="G12" t="str">
            <v>Per book (USD)</v>
          </cell>
          <cell r="H12" t="str">
            <v>Confirmed</v>
          </cell>
        </row>
        <row r="14">
          <cell r="A14" t="str">
            <v>BNP Paribas</v>
          </cell>
          <cell r="B14" t="str">
            <v>01/CIB/ABS/XI/04/1st</v>
          </cell>
          <cell r="D14">
            <v>38336</v>
          </cell>
          <cell r="F14" t="str">
            <v>23/12/2004</v>
          </cell>
          <cell r="G14">
            <v>70000</v>
          </cell>
          <cell r="H14">
            <v>70000</v>
          </cell>
          <cell r="I14" t="str">
            <v>CB</v>
          </cell>
          <cell r="J14">
            <v>0</v>
          </cell>
        </row>
        <row r="15">
          <cell r="G15">
            <v>195000</v>
          </cell>
          <cell r="H15">
            <v>195000</v>
          </cell>
          <cell r="I15" t="str">
            <v>CB</v>
          </cell>
          <cell r="J15">
            <v>0</v>
          </cell>
        </row>
        <row r="17">
          <cell r="A17" t="str">
            <v>Total</v>
          </cell>
          <cell r="G17">
            <v>265000</v>
          </cell>
          <cell r="H17">
            <v>265000</v>
          </cell>
        </row>
        <row r="18">
          <cell r="G18" t="str">
            <v>^</v>
          </cell>
          <cell r="H18" t="str">
            <v>^</v>
          </cell>
        </row>
        <row r="19">
          <cell r="A19" t="str">
            <v>Objective:</v>
          </cell>
        </row>
        <row r="20">
          <cell r="A20" t="str">
            <v>To check the existence of account payables .</v>
          </cell>
        </row>
        <row r="22">
          <cell r="A22" t="str">
            <v>Audit Procedures:</v>
          </cell>
        </row>
        <row r="23">
          <cell r="A23" t="str">
            <v>1. Prepare and send confirmation to Bank BNP Paribas</v>
          </cell>
          <cell r="E23" t="str">
            <v>BB-2</v>
          </cell>
        </row>
        <row r="25">
          <cell r="A25" t="str">
            <v>Notes:</v>
          </cell>
        </row>
        <row r="26">
          <cell r="A26" t="str">
            <v>1. All Confirmation sent on December 15, 2004</v>
          </cell>
          <cell r="G26">
            <v>0</v>
          </cell>
        </row>
        <row r="28">
          <cell r="A28" t="str">
            <v>Results :</v>
          </cell>
        </row>
        <row r="29">
          <cell r="A29" t="str">
            <v>1. Confirmation replied on December 23, 2004</v>
          </cell>
        </row>
        <row r="31">
          <cell r="A31" t="str">
            <v>Legend:</v>
          </cell>
        </row>
        <row r="32">
          <cell r="A32" t="str">
            <v>^</v>
          </cell>
          <cell r="B32" t="str">
            <v>Footing</v>
          </cell>
        </row>
        <row r="33">
          <cell r="A33" t="str">
            <v>CB</v>
          </cell>
          <cell r="B33" t="str">
            <v>Confirmed Balance</v>
          </cell>
        </row>
      </sheetData>
      <sheetData sheetId="56">
        <row r="3">
          <cell r="D3">
            <v>0</v>
          </cell>
        </row>
        <row r="4">
          <cell r="A4" t="str">
            <v>Client:</v>
          </cell>
          <cell r="B4" t="str">
            <v>PT. Saranaraya Reka Cipta</v>
          </cell>
          <cell r="H4" t="str">
            <v>Prepared by:</v>
          </cell>
          <cell r="I4" t="str">
            <v>Date:</v>
          </cell>
          <cell r="J4" t="str">
            <v>CC</v>
          </cell>
        </row>
        <row r="5">
          <cell r="H5" t="str">
            <v>MIR</v>
          </cell>
          <cell r="I5" t="str">
            <v>29/12/04</v>
          </cell>
        </row>
        <row r="6">
          <cell r="A6" t="str">
            <v>Period Ended:</v>
          </cell>
          <cell r="B6" t="str">
            <v>November 30, 2004</v>
          </cell>
          <cell r="H6" t="str">
            <v>Reviewed by:</v>
          </cell>
          <cell r="I6" t="str">
            <v>Date:</v>
          </cell>
        </row>
        <row r="8">
          <cell r="A8" t="str">
            <v>Lead Schedule:</v>
          </cell>
          <cell r="B8" t="str">
            <v>Taxes payable</v>
          </cell>
        </row>
        <row r="11">
          <cell r="A11" t="str">
            <v>Account No.</v>
          </cell>
          <cell r="B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Mutation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4">
          <cell r="A14">
            <v>4471</v>
          </cell>
          <cell r="B14" t="str">
            <v>PPH Art. 21 on Salary</v>
          </cell>
          <cell r="C14" t="str">
            <v>CC-1</v>
          </cell>
          <cell r="D14">
            <v>565147</v>
          </cell>
          <cell r="E14" t="str">
            <v>ü</v>
          </cell>
          <cell r="H14">
            <v>565147</v>
          </cell>
          <cell r="I14">
            <v>79382</v>
          </cell>
        </row>
        <row r="16">
          <cell r="A16">
            <v>4440</v>
          </cell>
          <cell r="B16" t="str">
            <v>PPH Art. 21 Incentive Salesman</v>
          </cell>
          <cell r="C16" t="str">
            <v>CC-1</v>
          </cell>
          <cell r="D16">
            <v>243494</v>
          </cell>
          <cell r="E16" t="str">
            <v>ü</v>
          </cell>
          <cell r="H16">
            <v>243494</v>
          </cell>
          <cell r="J16">
            <v>406493</v>
          </cell>
        </row>
        <row r="18">
          <cell r="A18">
            <v>4443</v>
          </cell>
          <cell r="B18" t="str">
            <v>PPH Art. 23 Payable</v>
          </cell>
          <cell r="J18">
            <v>4835178</v>
          </cell>
        </row>
        <row r="20">
          <cell r="A20">
            <v>4450</v>
          </cell>
          <cell r="B20" t="str">
            <v>PPH Art. 29 Payable</v>
          </cell>
          <cell r="J20">
            <v>12340000</v>
          </cell>
        </row>
        <row r="21">
          <cell r="B21" t="str">
            <v>Total</v>
          </cell>
          <cell r="D21">
            <v>808641</v>
          </cell>
          <cell r="E21">
            <v>0</v>
          </cell>
          <cell r="G21">
            <v>0</v>
          </cell>
          <cell r="H21">
            <v>808641</v>
          </cell>
        </row>
        <row r="22">
          <cell r="D22" t="str">
            <v>^</v>
          </cell>
          <cell r="H22" t="str">
            <v>^</v>
          </cell>
        </row>
        <row r="23">
          <cell r="A23" t="str">
            <v>Audit Procedures:</v>
          </cell>
        </row>
        <row r="24">
          <cell r="A24" t="str">
            <v>1. Recapitulation of Installment wages tax 2004</v>
          </cell>
          <cell r="D24" t="str">
            <v>CC-1</v>
          </cell>
        </row>
        <row r="25">
          <cell r="A25" t="str">
            <v>2. Nature of Accounts</v>
          </cell>
          <cell r="D25" t="str">
            <v>CC</v>
          </cell>
        </row>
        <row r="28">
          <cell r="A28" t="str">
            <v>Nature of account:</v>
          </cell>
        </row>
        <row r="29">
          <cell r="A29" t="str">
            <v>PPH Art. 21 on Salary tax payable represents employee income tax which have not been paid at the balance sheet date</v>
          </cell>
        </row>
        <row r="30">
          <cell r="A30" t="str">
            <v>PPH Art. 21 Incentive Salesman on tax payable represents salesman income tax which have not been paid at the balance sheet date</v>
          </cell>
        </row>
        <row r="33">
          <cell r="A33" t="str">
            <v>Legends:</v>
          </cell>
        </row>
        <row r="35">
          <cell r="A35" t="str">
            <v>&lt;</v>
          </cell>
          <cell r="B35" t="str">
            <v>cross footing</v>
          </cell>
        </row>
        <row r="36">
          <cell r="A36" t="str">
            <v>^</v>
          </cell>
          <cell r="B36" t="str">
            <v>footing</v>
          </cell>
        </row>
        <row r="37">
          <cell r="A37" t="str">
            <v>ü</v>
          </cell>
          <cell r="B37" t="str">
            <v>agree with G/L</v>
          </cell>
        </row>
      </sheetData>
      <sheetData sheetId="57">
        <row r="1">
          <cell r="A1" t="str">
            <v>PT DONGYANG ELECTRONICS INDONESIA</v>
          </cell>
          <cell r="I1" t="str">
            <v>CC 1</v>
          </cell>
        </row>
        <row r="2">
          <cell r="A2" t="str">
            <v>MONTHLY TAX ART 21</v>
          </cell>
        </row>
        <row r="3">
          <cell r="A3" t="str">
            <v>December 31, 2005</v>
          </cell>
        </row>
        <row r="5">
          <cell r="E5" t="str">
            <v>Jumlah</v>
          </cell>
        </row>
        <row r="6">
          <cell r="A6" t="str">
            <v>No.</v>
          </cell>
          <cell r="B6" t="str">
            <v>Bulan</v>
          </cell>
          <cell r="C6" t="str">
            <v>Final/</v>
          </cell>
          <cell r="D6" t="str">
            <v>Jumlah</v>
          </cell>
          <cell r="E6" t="str">
            <v>Penghasilan</v>
          </cell>
          <cell r="F6" t="str">
            <v>PPh yang</v>
          </cell>
          <cell r="H6" t="str">
            <v>Tanggal</v>
          </cell>
          <cell r="I6" t="str">
            <v>Tanggal</v>
          </cell>
        </row>
        <row r="7">
          <cell r="C7" t="str">
            <v>Tidak final</v>
          </cell>
          <cell r="D7" t="str">
            <v>Pegawai</v>
          </cell>
          <cell r="E7" t="str">
            <v>Bruto (Rp)</v>
          </cell>
          <cell r="F7" t="str">
            <v>dipotong (Rp)</v>
          </cell>
          <cell r="H7" t="str">
            <v>Pembayaran</v>
          </cell>
          <cell r="I7" t="str">
            <v>Pelaporan</v>
          </cell>
        </row>
        <row r="9">
          <cell r="A9">
            <v>1</v>
          </cell>
          <cell r="B9" t="str">
            <v>Januari</v>
          </cell>
        </row>
        <row r="10">
          <cell r="B10" t="str">
            <v>Pegawai Tetap</v>
          </cell>
          <cell r="C10" t="str">
            <v>Tidak Final</v>
          </cell>
          <cell r="D10">
            <v>354</v>
          </cell>
          <cell r="E10">
            <v>907960746</v>
          </cell>
          <cell r="F10">
            <v>100793103</v>
          </cell>
          <cell r="H10">
            <v>38391</v>
          </cell>
          <cell r="I10">
            <v>38401</v>
          </cell>
        </row>
        <row r="11">
          <cell r="B11" t="str">
            <v>Penerima Honorarium</v>
          </cell>
          <cell r="C11" t="str">
            <v>Tidak Final</v>
          </cell>
          <cell r="D11">
            <v>1</v>
          </cell>
          <cell r="E11">
            <v>7500000</v>
          </cell>
          <cell r="F11">
            <v>562500</v>
          </cell>
        </row>
        <row r="12">
          <cell r="B12" t="str">
            <v>Pesangon</v>
          </cell>
          <cell r="C12" t="str">
            <v>Final</v>
          </cell>
          <cell r="D12">
            <v>1</v>
          </cell>
          <cell r="E12">
            <v>5815150</v>
          </cell>
        </row>
        <row r="13">
          <cell r="D13">
            <v>355</v>
          </cell>
          <cell r="E13">
            <v>921275896</v>
          </cell>
          <cell r="F13">
            <v>101355603</v>
          </cell>
        </row>
        <row r="14">
          <cell r="E14" t="str">
            <v>^</v>
          </cell>
          <cell r="F14" t="str">
            <v>^</v>
          </cell>
        </row>
        <row r="15">
          <cell r="A15">
            <v>2</v>
          </cell>
          <cell r="B15" t="str">
            <v>Februari</v>
          </cell>
        </row>
        <row r="16">
          <cell r="B16" t="str">
            <v>Pegawai Tetap</v>
          </cell>
          <cell r="C16" t="str">
            <v>Tidak Final</v>
          </cell>
          <cell r="D16">
            <v>347</v>
          </cell>
          <cell r="E16">
            <v>935234881</v>
          </cell>
          <cell r="F16">
            <v>95511238</v>
          </cell>
          <cell r="H16">
            <v>38420</v>
          </cell>
          <cell r="I16">
            <v>38421</v>
          </cell>
        </row>
        <row r="17">
          <cell r="B17" t="str">
            <v>Pesangon</v>
          </cell>
          <cell r="C17" t="str">
            <v>Final</v>
          </cell>
          <cell r="D17">
            <v>4</v>
          </cell>
          <cell r="E17">
            <v>5671600</v>
          </cell>
          <cell r="F17">
            <v>0</v>
          </cell>
        </row>
        <row r="18">
          <cell r="D18">
            <v>351</v>
          </cell>
          <cell r="E18">
            <v>940906481</v>
          </cell>
          <cell r="F18">
            <v>95511238</v>
          </cell>
        </row>
        <row r="19">
          <cell r="E19" t="str">
            <v>^</v>
          </cell>
          <cell r="F19" t="str">
            <v>^</v>
          </cell>
        </row>
        <row r="20">
          <cell r="A20">
            <v>3</v>
          </cell>
          <cell r="B20" t="str">
            <v>Maret</v>
          </cell>
        </row>
        <row r="21">
          <cell r="B21" t="str">
            <v>Pegawai Tetap</v>
          </cell>
          <cell r="C21" t="str">
            <v>Tidak Final</v>
          </cell>
          <cell r="D21">
            <v>344</v>
          </cell>
          <cell r="E21">
            <v>1020297344</v>
          </cell>
          <cell r="F21">
            <v>96614006</v>
          </cell>
          <cell r="H21">
            <v>38450</v>
          </cell>
          <cell r="I21">
            <v>38462</v>
          </cell>
        </row>
        <row r="22">
          <cell r="B22" t="str">
            <v>Penerima Honorarium</v>
          </cell>
          <cell r="C22" t="str">
            <v>Tidak Final</v>
          </cell>
          <cell r="D22">
            <v>1</v>
          </cell>
          <cell r="E22">
            <v>20367700</v>
          </cell>
          <cell r="F22">
            <v>1527700</v>
          </cell>
        </row>
        <row r="23">
          <cell r="B23" t="str">
            <v>Pesangon</v>
          </cell>
          <cell r="C23" t="str">
            <v>Final</v>
          </cell>
          <cell r="D23">
            <v>1</v>
          </cell>
          <cell r="E23">
            <v>200000</v>
          </cell>
        </row>
        <row r="24">
          <cell r="D24">
            <v>345</v>
          </cell>
          <cell r="E24">
            <v>1040865044</v>
          </cell>
          <cell r="F24">
            <v>98141706</v>
          </cell>
        </row>
        <row r="25">
          <cell r="E25" t="str">
            <v>^</v>
          </cell>
          <cell r="F25" t="str">
            <v>^</v>
          </cell>
        </row>
        <row r="26">
          <cell r="A26">
            <v>4</v>
          </cell>
          <cell r="B26" t="str">
            <v>April</v>
          </cell>
        </row>
        <row r="27">
          <cell r="B27" t="str">
            <v>Pegawai Tetap</v>
          </cell>
          <cell r="C27" t="str">
            <v>Tidak Final</v>
          </cell>
          <cell r="D27">
            <v>342</v>
          </cell>
          <cell r="E27">
            <v>986676939</v>
          </cell>
          <cell r="F27">
            <v>100995822</v>
          </cell>
          <cell r="H27">
            <v>38482</v>
          </cell>
          <cell r="I27">
            <v>38490</v>
          </cell>
        </row>
        <row r="29">
          <cell r="D29">
            <v>342</v>
          </cell>
          <cell r="E29">
            <v>986676939</v>
          </cell>
          <cell r="F29">
            <v>100995822</v>
          </cell>
        </row>
        <row r="30">
          <cell r="E30" t="str">
            <v>^</v>
          </cell>
          <cell r="F30" t="str">
            <v>^</v>
          </cell>
        </row>
        <row r="31">
          <cell r="A31">
            <v>5</v>
          </cell>
          <cell r="B31" t="str">
            <v>Mei</v>
          </cell>
        </row>
        <row r="32">
          <cell r="B32" t="str">
            <v>Pegawai Tetap</v>
          </cell>
          <cell r="C32" t="str">
            <v>Tidak Final</v>
          </cell>
          <cell r="D32">
            <v>348</v>
          </cell>
          <cell r="E32">
            <v>958256610</v>
          </cell>
          <cell r="F32">
            <v>102153202</v>
          </cell>
          <cell r="H32">
            <v>38513</v>
          </cell>
          <cell r="I32">
            <v>38523</v>
          </cell>
        </row>
        <row r="33">
          <cell r="B33" t="str">
            <v>Penerima Honorarium</v>
          </cell>
          <cell r="C33" t="str">
            <v>Tidak Final</v>
          </cell>
          <cell r="D33">
            <v>1</v>
          </cell>
          <cell r="E33">
            <v>30858750</v>
          </cell>
          <cell r="F33">
            <v>2314406</v>
          </cell>
        </row>
        <row r="34">
          <cell r="B34" t="str">
            <v>Pesangon</v>
          </cell>
          <cell r="C34" t="str">
            <v>Final</v>
          </cell>
          <cell r="D34">
            <v>6</v>
          </cell>
          <cell r="E34">
            <v>67121916</v>
          </cell>
        </row>
        <row r="35">
          <cell r="D35">
            <v>349</v>
          </cell>
          <cell r="E35">
            <v>1056237276</v>
          </cell>
          <cell r="F35">
            <v>104467608</v>
          </cell>
        </row>
        <row r="36">
          <cell r="E36" t="str">
            <v>^</v>
          </cell>
          <cell r="F36" t="str">
            <v>^</v>
          </cell>
        </row>
        <row r="37">
          <cell r="A37">
            <v>6</v>
          </cell>
          <cell r="B37" t="str">
            <v>Juni</v>
          </cell>
        </row>
        <row r="38">
          <cell r="B38" t="str">
            <v>Pegawai Tetap</v>
          </cell>
          <cell r="C38" t="str">
            <v>Tidak Final</v>
          </cell>
          <cell r="D38">
            <v>331</v>
          </cell>
          <cell r="E38">
            <v>787313973</v>
          </cell>
          <cell r="F38">
            <v>64738191</v>
          </cell>
          <cell r="H38">
            <v>38541</v>
          </cell>
          <cell r="I38">
            <v>38552</v>
          </cell>
        </row>
        <row r="39">
          <cell r="B39" t="str">
            <v>Penerima Honorarium</v>
          </cell>
          <cell r="C39" t="str">
            <v>Tidak Final</v>
          </cell>
          <cell r="D39">
            <v>1</v>
          </cell>
          <cell r="E39">
            <v>900000</v>
          </cell>
          <cell r="F39">
            <v>67500</v>
          </cell>
        </row>
        <row r="40">
          <cell r="B40" t="str">
            <v>Pesangon</v>
          </cell>
          <cell r="C40" t="str">
            <v>Final</v>
          </cell>
          <cell r="D40">
            <v>6</v>
          </cell>
          <cell r="E40">
            <v>62647348</v>
          </cell>
        </row>
        <row r="41">
          <cell r="D41">
            <v>332</v>
          </cell>
          <cell r="E41">
            <v>788213973</v>
          </cell>
          <cell r="F41">
            <v>64805691</v>
          </cell>
        </row>
        <row r="42">
          <cell r="E42" t="str">
            <v>^</v>
          </cell>
          <cell r="F42" t="str">
            <v>^</v>
          </cell>
        </row>
        <row r="43">
          <cell r="A43">
            <v>7</v>
          </cell>
          <cell r="B43" t="str">
            <v>Juli</v>
          </cell>
        </row>
        <row r="44">
          <cell r="B44" t="str">
            <v>Pegawai Tetap</v>
          </cell>
          <cell r="C44" t="str">
            <v>Tidak Final</v>
          </cell>
          <cell r="D44">
            <v>329</v>
          </cell>
          <cell r="E44">
            <v>909448020</v>
          </cell>
          <cell r="F44">
            <v>105943358</v>
          </cell>
          <cell r="H44">
            <v>38574</v>
          </cell>
          <cell r="I44">
            <v>38583</v>
          </cell>
        </row>
        <row r="45">
          <cell r="B45" t="str">
            <v>Penerima Honorarium</v>
          </cell>
          <cell r="C45" t="str">
            <v>Tidak Final</v>
          </cell>
          <cell r="D45">
            <v>1</v>
          </cell>
          <cell r="E45">
            <v>864865</v>
          </cell>
          <cell r="F45">
            <v>64865</v>
          </cell>
        </row>
        <row r="46">
          <cell r="B46" t="str">
            <v>Pesangon</v>
          </cell>
          <cell r="C46" t="str">
            <v>Final</v>
          </cell>
          <cell r="D46">
            <v>1</v>
          </cell>
          <cell r="E46">
            <v>3700000</v>
          </cell>
        </row>
        <row r="47">
          <cell r="D47">
            <v>332</v>
          </cell>
          <cell r="E47">
            <v>910312885</v>
          </cell>
          <cell r="F47">
            <v>106008223</v>
          </cell>
        </row>
        <row r="48">
          <cell r="E48" t="str">
            <v>^</v>
          </cell>
          <cell r="F48" t="str">
            <v>^</v>
          </cell>
        </row>
        <row r="49">
          <cell r="A49">
            <v>8</v>
          </cell>
          <cell r="B49" t="str">
            <v>Agustus</v>
          </cell>
        </row>
        <row r="50">
          <cell r="B50" t="str">
            <v>Pegawai Tetap</v>
          </cell>
          <cell r="C50" t="str">
            <v>Tidak Final</v>
          </cell>
          <cell r="D50">
            <v>673</v>
          </cell>
          <cell r="E50">
            <v>816637764</v>
          </cell>
          <cell r="F50">
            <v>9790989</v>
          </cell>
          <cell r="H50">
            <v>38604</v>
          </cell>
          <cell r="I50">
            <v>38614</v>
          </cell>
        </row>
        <row r="52">
          <cell r="D52">
            <v>673</v>
          </cell>
          <cell r="E52">
            <v>816637764</v>
          </cell>
          <cell r="F52">
            <v>9790989</v>
          </cell>
        </row>
        <row r="53">
          <cell r="E53" t="str">
            <v>^</v>
          </cell>
          <cell r="F53" t="str">
            <v>^</v>
          </cell>
        </row>
        <row r="54">
          <cell r="A54">
            <v>9</v>
          </cell>
          <cell r="B54" t="str">
            <v>September</v>
          </cell>
        </row>
        <row r="55">
          <cell r="B55" t="str">
            <v>Pegawai Tetap</v>
          </cell>
          <cell r="C55" t="str">
            <v>Tidak Final</v>
          </cell>
          <cell r="D55">
            <v>836</v>
          </cell>
          <cell r="E55">
            <v>1059435849</v>
          </cell>
          <cell r="F55">
            <v>12335733</v>
          </cell>
          <cell r="H55">
            <v>38635</v>
          </cell>
          <cell r="I55">
            <v>38644</v>
          </cell>
        </row>
        <row r="57">
          <cell r="D57">
            <v>836</v>
          </cell>
          <cell r="E57">
            <v>1059435849</v>
          </cell>
          <cell r="F57">
            <v>12335733</v>
          </cell>
        </row>
        <row r="58">
          <cell r="E58" t="str">
            <v>^</v>
          </cell>
          <cell r="F58" t="str">
            <v>^</v>
          </cell>
        </row>
        <row r="59">
          <cell r="A59">
            <v>10</v>
          </cell>
          <cell r="B59" t="str">
            <v>Oktober</v>
          </cell>
        </row>
        <row r="60">
          <cell r="B60" t="str">
            <v>Pegawai Tetap</v>
          </cell>
          <cell r="C60" t="str">
            <v>Tidak Final</v>
          </cell>
          <cell r="D60">
            <v>819</v>
          </cell>
          <cell r="E60">
            <v>1357738676</v>
          </cell>
          <cell r="F60">
            <v>11553203</v>
          </cell>
          <cell r="H60">
            <v>38296</v>
          </cell>
          <cell r="I60">
            <v>38299</v>
          </cell>
        </row>
        <row r="62">
          <cell r="D62">
            <v>819</v>
          </cell>
          <cell r="E62">
            <v>1357738676</v>
          </cell>
          <cell r="F62">
            <v>11553203</v>
          </cell>
        </row>
        <row r="63">
          <cell r="E63" t="str">
            <v>^</v>
          </cell>
          <cell r="F63" t="str">
            <v>^</v>
          </cell>
        </row>
        <row r="64">
          <cell r="A64">
            <v>11</v>
          </cell>
          <cell r="B64" t="str">
            <v>November</v>
          </cell>
        </row>
        <row r="65">
          <cell r="B65" t="str">
            <v>Pegawai Tetap</v>
          </cell>
          <cell r="C65" t="str">
            <v>Tidak Final</v>
          </cell>
          <cell r="D65">
            <v>1027</v>
          </cell>
          <cell r="E65">
            <v>1056422879</v>
          </cell>
          <cell r="F65">
            <v>8083195</v>
          </cell>
          <cell r="G65" t="str">
            <v>To CC</v>
          </cell>
          <cell r="H65">
            <v>38327</v>
          </cell>
          <cell r="I65">
            <v>38338</v>
          </cell>
        </row>
        <row r="66">
          <cell r="G66" t="str">
            <v>To CC</v>
          </cell>
        </row>
        <row r="67">
          <cell r="D67">
            <v>1027</v>
          </cell>
          <cell r="E67">
            <v>1056422879</v>
          </cell>
          <cell r="F67">
            <v>8083195</v>
          </cell>
        </row>
        <row r="69">
          <cell r="A69">
            <v>12</v>
          </cell>
          <cell r="B69" t="str">
            <v>Desember</v>
          </cell>
        </row>
      </sheetData>
      <sheetData sheetId="58">
        <row r="1">
          <cell r="A1" t="str">
            <v>PT SARANARAYA REKA CIPTA</v>
          </cell>
        </row>
        <row r="2">
          <cell r="A2" t="str">
            <v>MONTHLY TAX ART 23 &amp; 26</v>
          </cell>
        </row>
        <row r="3">
          <cell r="A3" t="str">
            <v>AS OF DECEMBER 31, 2004</v>
          </cell>
        </row>
        <row r="5">
          <cell r="E5" t="str">
            <v xml:space="preserve">Jenis </v>
          </cell>
          <cell r="F5" t="str">
            <v xml:space="preserve">Jumlah </v>
          </cell>
          <cell r="G5" t="str">
            <v xml:space="preserve">Perkiraan </v>
          </cell>
          <cell r="H5" t="str">
            <v>Tarif</v>
          </cell>
          <cell r="I5" t="str">
            <v xml:space="preserve">PPh </v>
          </cell>
          <cell r="J5" t="str">
            <v>Tanggal</v>
          </cell>
        </row>
        <row r="6">
          <cell r="A6" t="str">
            <v>No.</v>
          </cell>
          <cell r="B6" t="str">
            <v>Masa</v>
          </cell>
          <cell r="E6" t="str">
            <v>Penghasilan</v>
          </cell>
          <cell r="F6" t="str">
            <v xml:space="preserve">Penghasilan </v>
          </cell>
          <cell r="G6" t="str">
            <v>Penghasilan</v>
          </cell>
          <cell r="H6" t="str">
            <v>(%)</v>
          </cell>
          <cell r="I6" t="str">
            <v>yg dipotong</v>
          </cell>
          <cell r="J6" t="str">
            <v>Pembayaran</v>
          </cell>
        </row>
        <row r="7">
          <cell r="F7" t="str">
            <v>Bruto</v>
          </cell>
          <cell r="G7" t="str">
            <v>Neto</v>
          </cell>
          <cell r="I7" t="str">
            <v>(Rp)</v>
          </cell>
        </row>
        <row r="9">
          <cell r="A9">
            <v>1</v>
          </cell>
          <cell r="B9" t="str">
            <v>Januari</v>
          </cell>
          <cell r="D9" t="str">
            <v>Jasa Manajemen</v>
          </cell>
          <cell r="F9">
            <v>12028190</v>
          </cell>
          <cell r="G9">
            <v>0.4</v>
          </cell>
          <cell r="H9">
            <v>15</v>
          </cell>
          <cell r="I9">
            <v>721691.4</v>
          </cell>
        </row>
        <row r="10">
          <cell r="F10">
            <v>12028190</v>
          </cell>
          <cell r="I10">
            <v>721691.4</v>
          </cell>
          <cell r="J10">
            <v>38028</v>
          </cell>
        </row>
        <row r="13">
          <cell r="A13">
            <v>2</v>
          </cell>
          <cell r="B13" t="str">
            <v>Februari</v>
          </cell>
          <cell r="C13">
            <v>1</v>
          </cell>
          <cell r="D13" t="str">
            <v>Jasa Manajemen</v>
          </cell>
          <cell r="F13">
            <v>12373104</v>
          </cell>
          <cell r="G13">
            <v>0.4</v>
          </cell>
          <cell r="H13">
            <v>15</v>
          </cell>
          <cell r="I13">
            <v>742386.24000000011</v>
          </cell>
        </row>
        <row r="14">
          <cell r="C14">
            <v>2</v>
          </cell>
          <cell r="D14" t="str">
            <v>Jasa Audit (Tia Adiyasih)</v>
          </cell>
          <cell r="F14">
            <v>5600000</v>
          </cell>
          <cell r="G14">
            <v>0.5</v>
          </cell>
          <cell r="H14">
            <v>15</v>
          </cell>
          <cell r="I14">
            <v>420000</v>
          </cell>
        </row>
        <row r="15">
          <cell r="F15">
            <v>17973104</v>
          </cell>
          <cell r="I15">
            <v>1162386.2400000002</v>
          </cell>
          <cell r="J15">
            <v>38056</v>
          </cell>
        </row>
        <row r="18">
          <cell r="A18">
            <v>3</v>
          </cell>
          <cell r="B18" t="str">
            <v>Maret</v>
          </cell>
          <cell r="C18">
            <v>1</v>
          </cell>
          <cell r="D18" t="str">
            <v>Jasa Manajemen</v>
          </cell>
          <cell r="F18">
            <v>12082676</v>
          </cell>
          <cell r="G18">
            <v>0.4</v>
          </cell>
          <cell r="H18">
            <v>15</v>
          </cell>
          <cell r="I18">
            <v>724960.56</v>
          </cell>
        </row>
        <row r="19">
          <cell r="C19">
            <v>2</v>
          </cell>
          <cell r="D19" t="str">
            <v>Jasa Audit (Tia Adiyasih)</v>
          </cell>
          <cell r="F19">
            <v>1120000</v>
          </cell>
          <cell r="G19">
            <v>0.5</v>
          </cell>
          <cell r="H19">
            <v>15</v>
          </cell>
          <cell r="I19">
            <v>84000</v>
          </cell>
        </row>
        <row r="20">
          <cell r="F20">
            <v>13202676</v>
          </cell>
          <cell r="I20">
            <v>808960.56</v>
          </cell>
          <cell r="J20">
            <v>38085</v>
          </cell>
        </row>
        <row r="22">
          <cell r="D22" t="str">
            <v>Sanksi Administrasi PPh 23</v>
          </cell>
          <cell r="I22">
            <v>80283</v>
          </cell>
        </row>
        <row r="23">
          <cell r="I23">
            <v>80283</v>
          </cell>
          <cell r="J23">
            <v>38098</v>
          </cell>
        </row>
        <row r="25">
          <cell r="A25">
            <v>4</v>
          </cell>
          <cell r="B25" t="str">
            <v>April</v>
          </cell>
          <cell r="C25">
            <v>1</v>
          </cell>
          <cell r="D25" t="str">
            <v>Jasa Manajemen</v>
          </cell>
          <cell r="F25">
            <v>11930517</v>
          </cell>
          <cell r="G25">
            <v>0.4</v>
          </cell>
          <cell r="H25">
            <v>15</v>
          </cell>
          <cell r="I25">
            <v>715831.02</v>
          </cell>
        </row>
        <row r="26">
          <cell r="F26">
            <v>11930517</v>
          </cell>
          <cell r="I26">
            <v>715831.02</v>
          </cell>
          <cell r="J26">
            <v>38117</v>
          </cell>
        </row>
        <row r="28">
          <cell r="C28">
            <v>1</v>
          </cell>
          <cell r="D28" t="str">
            <v>Fee Colas SA (PPh 26)</v>
          </cell>
          <cell r="F28">
            <v>103937700</v>
          </cell>
          <cell r="H28">
            <v>10</v>
          </cell>
          <cell r="I28">
            <v>10393770</v>
          </cell>
        </row>
        <row r="29">
          <cell r="C29">
            <v>2</v>
          </cell>
          <cell r="D29" t="str">
            <v>Fee Colas SA (PPh 26)</v>
          </cell>
          <cell r="F29">
            <v>103937700</v>
          </cell>
          <cell r="H29">
            <v>10</v>
          </cell>
          <cell r="I29">
            <v>10393770</v>
          </cell>
        </row>
        <row r="30">
          <cell r="F30">
            <v>207875400</v>
          </cell>
          <cell r="I30">
            <v>20787540</v>
          </cell>
          <cell r="J30">
            <v>38117</v>
          </cell>
        </row>
        <row r="32">
          <cell r="A32">
            <v>5</v>
          </cell>
          <cell r="B32" t="str">
            <v>Mei</v>
          </cell>
          <cell r="C32">
            <v>1</v>
          </cell>
          <cell r="D32" t="str">
            <v>Jasa Manajemen</v>
          </cell>
          <cell r="F32">
            <v>12519718</v>
          </cell>
          <cell r="G32">
            <v>0.4</v>
          </cell>
          <cell r="H32">
            <v>15</v>
          </cell>
          <cell r="I32">
            <v>751183.08</v>
          </cell>
        </row>
        <row r="33">
          <cell r="C33">
            <v>2</v>
          </cell>
          <cell r="D33" t="str">
            <v>Jasa Audit (AfaQ)</v>
          </cell>
          <cell r="F33">
            <v>7200000</v>
          </cell>
          <cell r="G33">
            <v>0.5</v>
          </cell>
          <cell r="H33">
            <v>15</v>
          </cell>
          <cell r="I33">
            <v>540000</v>
          </cell>
        </row>
        <row r="34">
          <cell r="F34">
            <v>19719718</v>
          </cell>
          <cell r="I34">
            <v>1291183.08</v>
          </cell>
          <cell r="J34">
            <v>38148</v>
          </cell>
        </row>
        <row r="37">
          <cell r="A37">
            <v>6</v>
          </cell>
          <cell r="B37" t="str">
            <v>Juni</v>
          </cell>
          <cell r="C37">
            <v>1</v>
          </cell>
          <cell r="D37" t="str">
            <v>Jasa Manajemen</v>
          </cell>
          <cell r="F37">
            <v>13107350</v>
          </cell>
          <cell r="G37">
            <v>0.4</v>
          </cell>
          <cell r="H37">
            <v>15</v>
          </cell>
          <cell r="I37">
            <v>786441</v>
          </cell>
        </row>
        <row r="38">
          <cell r="F38">
            <v>13107350</v>
          </cell>
          <cell r="I38">
            <v>786441</v>
          </cell>
          <cell r="J38">
            <v>38180</v>
          </cell>
        </row>
        <row r="41">
          <cell r="A41">
            <v>7</v>
          </cell>
          <cell r="B41" t="str">
            <v>Juli</v>
          </cell>
          <cell r="C41">
            <v>1</v>
          </cell>
          <cell r="D41" t="str">
            <v>Jasa Manajemen</v>
          </cell>
          <cell r="F41">
            <v>12756578</v>
          </cell>
          <cell r="G41">
            <v>0.4</v>
          </cell>
          <cell r="H41">
            <v>15</v>
          </cell>
          <cell r="I41">
            <v>765394.68</v>
          </cell>
        </row>
        <row r="42">
          <cell r="F42">
            <v>12756578</v>
          </cell>
          <cell r="I42">
            <v>765394.68</v>
          </cell>
          <cell r="J42">
            <v>38208</v>
          </cell>
        </row>
        <row r="45">
          <cell r="A45">
            <v>8</v>
          </cell>
          <cell r="B45" t="str">
            <v>Agustus</v>
          </cell>
          <cell r="C45">
            <v>1</v>
          </cell>
          <cell r="D45" t="str">
            <v>Jasa Manajemen</v>
          </cell>
          <cell r="F45">
            <v>13060792</v>
          </cell>
          <cell r="G45">
            <v>0.4</v>
          </cell>
          <cell r="H45">
            <v>15</v>
          </cell>
          <cell r="I45">
            <v>783647.52000000014</v>
          </cell>
        </row>
        <row r="46">
          <cell r="F46">
            <v>13060792</v>
          </cell>
          <cell r="I46">
            <v>783647.52000000014</v>
          </cell>
          <cell r="J46">
            <v>38240</v>
          </cell>
        </row>
        <row r="49">
          <cell r="A49">
            <v>9</v>
          </cell>
          <cell r="B49" t="str">
            <v>September</v>
          </cell>
          <cell r="C49">
            <v>1</v>
          </cell>
          <cell r="D49" t="str">
            <v>Jasa Manajemen</v>
          </cell>
          <cell r="F49">
            <v>12760367</v>
          </cell>
          <cell r="G49">
            <v>0.4</v>
          </cell>
          <cell r="H49">
            <v>15</v>
          </cell>
          <cell r="I49">
            <v>765622.02000000014</v>
          </cell>
        </row>
        <row r="50">
          <cell r="F50">
            <v>12760367</v>
          </cell>
          <cell r="I50">
            <v>765622.02000000014</v>
          </cell>
          <cell r="J50">
            <v>38271</v>
          </cell>
        </row>
        <row r="53">
          <cell r="A53">
            <v>10</v>
          </cell>
          <cell r="B53" t="str">
            <v>Oktober</v>
          </cell>
          <cell r="C53">
            <v>1</v>
          </cell>
          <cell r="D53" t="str">
            <v>Jasa Manajemen</v>
          </cell>
          <cell r="F53">
            <v>13182227</v>
          </cell>
          <cell r="G53">
            <v>0.4</v>
          </cell>
          <cell r="H53">
            <v>15</v>
          </cell>
          <cell r="I53">
            <v>790933.62000000011</v>
          </cell>
        </row>
        <row r="54">
          <cell r="F54">
            <v>13182227</v>
          </cell>
          <cell r="I54">
            <v>790933.62000000011</v>
          </cell>
          <cell r="J54">
            <v>38301</v>
          </cell>
        </row>
        <row r="57">
          <cell r="A57">
            <v>11</v>
          </cell>
          <cell r="B57" t="str">
            <v>November</v>
          </cell>
          <cell r="C57">
            <v>1</v>
          </cell>
          <cell r="D57" t="str">
            <v xml:space="preserve">Sewa dan penghasilan lain sehubungan </v>
          </cell>
        </row>
        <row r="58">
          <cell r="E58" t="str">
            <v>dengan penggunaan harta**)</v>
          </cell>
          <cell r="G58">
            <v>0.4</v>
          </cell>
          <cell r="H58">
            <v>15</v>
          </cell>
          <cell r="I58">
            <v>0</v>
          </cell>
        </row>
        <row r="59">
          <cell r="C59">
            <v>2</v>
          </cell>
          <cell r="D59" t="str">
            <v>Jasa lainnya:</v>
          </cell>
        </row>
        <row r="60">
          <cell r="D60" t="str">
            <v>-</v>
          </cell>
          <cell r="E60" t="str">
            <v>Jasa Maintenace ITS</v>
          </cell>
          <cell r="G60">
            <v>0.4</v>
          </cell>
          <cell r="H60">
            <v>15</v>
          </cell>
          <cell r="I60">
            <v>0</v>
          </cell>
        </row>
        <row r="61">
          <cell r="D61" t="str">
            <v>-</v>
          </cell>
          <cell r="E61" t="str">
            <v>Jasa Maintenace SAP</v>
          </cell>
          <cell r="G61">
            <v>0.4</v>
          </cell>
          <cell r="H61">
            <v>15</v>
          </cell>
          <cell r="I61">
            <v>0</v>
          </cell>
        </row>
        <row r="62">
          <cell r="D62" t="str">
            <v>-</v>
          </cell>
          <cell r="E62" t="str">
            <v>Jasa Transportasi/Kendaraan</v>
          </cell>
          <cell r="G62">
            <v>0.2</v>
          </cell>
          <cell r="H62">
            <v>15</v>
          </cell>
          <cell r="I62">
            <v>0</v>
          </cell>
        </row>
        <row r="63">
          <cell r="D63" t="str">
            <v>-</v>
          </cell>
          <cell r="E63" t="str">
            <v>Lainnya</v>
          </cell>
        </row>
        <row r="64">
          <cell r="F64">
            <v>0</v>
          </cell>
          <cell r="I64">
            <v>0</v>
          </cell>
        </row>
        <row r="66">
          <cell r="A66">
            <v>12</v>
          </cell>
          <cell r="B66" t="str">
            <v>Desember</v>
          </cell>
          <cell r="C66">
            <v>1</v>
          </cell>
          <cell r="D66" t="str">
            <v>Jasa Manajemen</v>
          </cell>
          <cell r="F66">
            <v>64088306</v>
          </cell>
          <cell r="G66">
            <v>0.4</v>
          </cell>
          <cell r="H66">
            <v>15</v>
          </cell>
          <cell r="I66">
            <v>3845298.3600000008</v>
          </cell>
        </row>
        <row r="67">
          <cell r="C67">
            <v>2</v>
          </cell>
          <cell r="D67" t="str">
            <v>Jasa Audit ISO (Afaq)</v>
          </cell>
          <cell r="F67">
            <v>7200000</v>
          </cell>
          <cell r="G67">
            <v>0.5</v>
          </cell>
          <cell r="H67">
            <v>15</v>
          </cell>
          <cell r="I67">
            <v>540000</v>
          </cell>
        </row>
        <row r="68">
          <cell r="C68">
            <v>3</v>
          </cell>
          <cell r="D68" t="str">
            <v>Jasa Audit (Morres Rowland)</v>
          </cell>
          <cell r="F68">
            <v>6000000</v>
          </cell>
          <cell r="G68">
            <v>0.5</v>
          </cell>
          <cell r="H68">
            <v>15</v>
          </cell>
          <cell r="I68">
            <v>450000</v>
          </cell>
        </row>
        <row r="69">
          <cell r="F69">
            <v>77288306</v>
          </cell>
          <cell r="I69">
            <v>4835298.3600000013</v>
          </cell>
          <cell r="J69">
            <v>38362</v>
          </cell>
        </row>
      </sheetData>
      <sheetData sheetId="59">
        <row r="3">
          <cell r="F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29/12/04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Account Payable - Others</v>
          </cell>
        </row>
        <row r="11">
          <cell r="A11" t="str">
            <v>Account No.</v>
          </cell>
          <cell r="B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Mutation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4">
          <cell r="A14">
            <v>4093</v>
          </cell>
          <cell r="B14" t="str">
            <v>Astra International</v>
          </cell>
          <cell r="C14" t="str">
            <v>DD-1</v>
          </cell>
          <cell r="D14">
            <v>306000000</v>
          </cell>
          <cell r="E14" t="str">
            <v>ü</v>
          </cell>
          <cell r="H14">
            <v>306000000</v>
          </cell>
          <cell r="I14">
            <v>51000000</v>
          </cell>
        </row>
        <row r="16">
          <cell r="A16">
            <v>4682</v>
          </cell>
          <cell r="B16" t="str">
            <v>Debit note PT Wasco</v>
          </cell>
          <cell r="C16" t="str">
            <v>DD-1</v>
          </cell>
          <cell r="D16">
            <v>30135908</v>
          </cell>
          <cell r="E16" t="str">
            <v>ü</v>
          </cell>
          <cell r="F16">
            <v>30135908</v>
          </cell>
          <cell r="H16">
            <v>0</v>
          </cell>
        </row>
        <row r="18">
          <cell r="A18">
            <v>4683</v>
          </cell>
          <cell r="B18" t="str">
            <v>Transportation Asphalt by CV. Sarana Angkutan</v>
          </cell>
          <cell r="C18" t="str">
            <v>DD-1</v>
          </cell>
          <cell r="D18">
            <v>16337550</v>
          </cell>
          <cell r="E18" t="str">
            <v>ü</v>
          </cell>
          <cell r="H18">
            <v>16337550</v>
          </cell>
          <cell r="J18">
            <v>1496800</v>
          </cell>
        </row>
        <row r="20">
          <cell r="B20" t="str">
            <v>Total</v>
          </cell>
          <cell r="D20">
            <v>352473458</v>
          </cell>
          <cell r="H20">
            <v>322337550</v>
          </cell>
        </row>
        <row r="21">
          <cell r="D21" t="str">
            <v>^</v>
          </cell>
          <cell r="H21" t="str">
            <v>^</v>
          </cell>
        </row>
        <row r="22">
          <cell r="A22" t="str">
            <v>Audit Procedures:</v>
          </cell>
        </row>
        <row r="23">
          <cell r="A23" t="str">
            <v>1. Nature of Account</v>
          </cell>
          <cell r="C23" t="str">
            <v>DD</v>
          </cell>
        </row>
        <row r="24">
          <cell r="A24" t="str">
            <v>2. Obtain detail of Account Payable Others</v>
          </cell>
          <cell r="C24" t="str">
            <v>DD-1</v>
          </cell>
        </row>
        <row r="25">
          <cell r="A25" t="str">
            <v>3. Sent confirmation to supplier who has material balance</v>
          </cell>
        </row>
        <row r="26">
          <cell r="A26" t="str">
            <v xml:space="preserve">    The confirmation sent on December 15, 2004</v>
          </cell>
        </row>
        <row r="28">
          <cell r="A28" t="str">
            <v>Nature of Account :</v>
          </cell>
        </row>
        <row r="29">
          <cell r="A29" t="str">
            <v>Debit note PT Wasco</v>
          </cell>
        </row>
        <row r="30">
          <cell r="A30" t="str">
            <v>1. Debit  Note PT Wasco Merupakan account untuk mencatat hutang biaya gaji PT SRC  atas Mr. Vincent (pres-dir),</v>
          </cell>
        </row>
        <row r="31">
          <cell r="A31" t="str">
            <v xml:space="preserve">    staff pajak, accounting dan HRD yang dibayarkan terlebih dahulu oleh PT Wasco</v>
          </cell>
        </row>
        <row r="32">
          <cell r="A32" t="str">
            <v xml:space="preserve">    Atas akun ini kami kami melakukan reklasifikasi karena akun ini merupakan akun akrual</v>
          </cell>
        </row>
        <row r="34">
          <cell r="A34" t="str">
            <v>PRJE</v>
          </cell>
        </row>
        <row r="35">
          <cell r="A35" t="str">
            <v>dr.Other Payable - Debit note by PT Widya Sapta Colas</v>
          </cell>
          <cell r="D35">
            <v>0</v>
          </cell>
        </row>
        <row r="36">
          <cell r="A36" t="str">
            <v xml:space="preserve">           cr. Accrual salary- Debit Note by PT Widya Sapta Colas</v>
          </cell>
          <cell r="F36">
            <v>0</v>
          </cell>
        </row>
        <row r="38">
          <cell r="A38" t="str">
            <v>Transportation Asphalt by CV. Sarana Angkutan</v>
          </cell>
        </row>
        <row r="39">
          <cell r="A39" t="str">
            <v>2. Merupakan Hutang Atas ongkos angkut kepada CV. Sarana Angkutan untuk transportasi asphalt ke customer</v>
          </cell>
        </row>
        <row r="41">
          <cell r="A41" t="str">
            <v>Astra International</v>
          </cell>
        </row>
        <row r="42">
          <cell r="A42" t="str">
            <v>3. Merupakan Utang atas pembelian 3 truk Nissan</v>
          </cell>
        </row>
        <row r="45">
          <cell r="A45" t="str">
            <v>Legend:</v>
          </cell>
          <cell r="B45" t="str">
            <v>&lt;</v>
          </cell>
          <cell r="C45" t="str">
            <v>cross footing</v>
          </cell>
        </row>
        <row r="46">
          <cell r="B46" t="str">
            <v>^</v>
          </cell>
          <cell r="C46" t="str">
            <v>footing</v>
          </cell>
        </row>
        <row r="47">
          <cell r="B47" t="str">
            <v>ü</v>
          </cell>
          <cell r="C47" t="str">
            <v>agree with G/L</v>
          </cell>
        </row>
      </sheetData>
      <sheetData sheetId="60">
        <row r="3">
          <cell r="F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28/12/04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Account Payable - Others</v>
          </cell>
        </row>
        <row r="11">
          <cell r="A11" t="str">
            <v>Account</v>
          </cell>
          <cell r="B11" t="str">
            <v>Description</v>
          </cell>
          <cell r="F11" t="str">
            <v>Amount (Rp)</v>
          </cell>
        </row>
        <row r="13">
          <cell r="A13">
            <v>4093</v>
          </cell>
          <cell r="B13" t="str">
            <v>MISCELLANEOUS CREDITOR</v>
          </cell>
        </row>
        <row r="14">
          <cell r="B14" t="str">
            <v>ASTRA INTERNATIONAL TBK 3 UNIT TRUCK NISSAN</v>
          </cell>
          <cell r="C14">
            <v>6</v>
          </cell>
          <cell r="D14" t="str">
            <v>X</v>
          </cell>
          <cell r="E14">
            <v>51000000</v>
          </cell>
          <cell r="F14">
            <v>306000000</v>
          </cell>
          <cell r="G14" t="str">
            <v>Ë</v>
          </cell>
        </row>
        <row r="16">
          <cell r="G16">
            <v>306000000</v>
          </cell>
          <cell r="H16" t="str">
            <v>to-DD</v>
          </cell>
        </row>
        <row r="18">
          <cell r="A18">
            <v>4682</v>
          </cell>
          <cell r="B18" t="str">
            <v>DEBIT NOTE PT. WASCO</v>
          </cell>
        </row>
        <row r="19">
          <cell r="B19" t="str">
            <v>DN NO.10/SRC/X/2004, MGN COOP</v>
          </cell>
          <cell r="C19">
            <v>11582.03</v>
          </cell>
          <cell r="D19" t="str">
            <v>X</v>
          </cell>
          <cell r="E19">
            <v>1162.5</v>
          </cell>
          <cell r="F19">
            <v>13464109.875</v>
          </cell>
          <cell r="G19" t="str">
            <v>Ë</v>
          </cell>
        </row>
        <row r="20">
          <cell r="B20" t="str">
            <v>DN NO.11/SRC/XI/2004, MGN COOP</v>
          </cell>
          <cell r="C20">
            <v>11951.11</v>
          </cell>
          <cell r="D20" t="str">
            <v>X</v>
          </cell>
          <cell r="E20">
            <v>1395</v>
          </cell>
          <cell r="F20">
            <v>16671798.450000001</v>
          </cell>
          <cell r="G20" t="str">
            <v>Ë</v>
          </cell>
        </row>
        <row r="21">
          <cell r="F21">
            <v>0</v>
          </cell>
        </row>
        <row r="22">
          <cell r="G22">
            <v>30135908.325000003</v>
          </cell>
          <cell r="H22" t="str">
            <v>to-DD</v>
          </cell>
        </row>
        <row r="23">
          <cell r="A23">
            <v>4683</v>
          </cell>
          <cell r="B23" t="str">
            <v>TRANSP.ASPHALT BY CV. SARANA  ANGKUTAN</v>
          </cell>
        </row>
        <row r="24">
          <cell r="B24" t="str">
            <v xml:space="preserve"> AUGUST 03, PT. ISTAKA KARYA</v>
          </cell>
          <cell r="F24">
            <v>86500</v>
          </cell>
        </row>
        <row r="25">
          <cell r="B25" t="str">
            <v>NOVEMBER 2003 PT. ISTAKA KARYA</v>
          </cell>
          <cell r="F25">
            <v>581900</v>
          </cell>
        </row>
        <row r="26">
          <cell r="B26" t="str">
            <v>NOVEMBER 2003 PT. AKAS</v>
          </cell>
          <cell r="F26">
            <v>3050</v>
          </cell>
        </row>
        <row r="27">
          <cell r="B27" t="str">
            <v>DECEMBER 2003 PT. ISTAKA KARYA</v>
          </cell>
          <cell r="F27">
            <v>100700</v>
          </cell>
        </row>
        <row r="28">
          <cell r="B28" t="str">
            <v>JANUARY 2004 PT.SINAR CERAH</v>
          </cell>
        </row>
        <row r="29">
          <cell r="B29" t="str">
            <v>FEBRUARY 2004, PT. ISTAKA KARYA</v>
          </cell>
          <cell r="F29">
            <v>101600</v>
          </cell>
        </row>
        <row r="30">
          <cell r="B30" t="str">
            <v>FEBRUARY 2004, PT. CONBLOC</v>
          </cell>
          <cell r="F30">
            <v>122050</v>
          </cell>
        </row>
        <row r="31">
          <cell r="B31" t="str">
            <v>MARCH 2004, PT. ISTAKA KARYA</v>
          </cell>
          <cell r="F31">
            <v>100900</v>
          </cell>
        </row>
        <row r="32">
          <cell r="B32" t="str">
            <v>MAY 2004, PT. CONBLOC</v>
          </cell>
          <cell r="F32">
            <v>82600</v>
          </cell>
        </row>
        <row r="33">
          <cell r="B33" t="str">
            <v>JUNE 2004, PT. DINATAMA NUSA CEMERLANG</v>
          </cell>
          <cell r="F33">
            <v>306550</v>
          </cell>
        </row>
        <row r="34">
          <cell r="B34" t="str">
            <v>JUNE 2004, PT. CONBLOC</v>
          </cell>
          <cell r="F34">
            <v>52800</v>
          </cell>
        </row>
        <row r="35">
          <cell r="B35" t="str">
            <v>JUNE 2004, PT. MARTADINATA</v>
          </cell>
          <cell r="F35">
            <v>638400</v>
          </cell>
        </row>
        <row r="36">
          <cell r="B36" t="str">
            <v>JUNE 2004, PT. ISTAKA KARYA</v>
          </cell>
          <cell r="F36">
            <v>473900</v>
          </cell>
        </row>
        <row r="37">
          <cell r="B37" t="str">
            <v>JUNE 2004 PT.SINAR CERAH</v>
          </cell>
        </row>
        <row r="38">
          <cell r="B38" t="str">
            <v>JULY 2004, PT. CONBLOC</v>
          </cell>
          <cell r="F38">
            <v>142000</v>
          </cell>
        </row>
        <row r="39">
          <cell r="B39" t="str">
            <v>JULY 2004 PT.SINAR CERAH</v>
          </cell>
        </row>
        <row r="40">
          <cell r="B40" t="str">
            <v>AGT 2004, PT. ISTAKA KARYA</v>
          </cell>
          <cell r="F40">
            <v>240900</v>
          </cell>
        </row>
        <row r="41">
          <cell r="B41" t="str">
            <v>AGT 2004, PT. CONBLOC</v>
          </cell>
          <cell r="F41">
            <v>273000</v>
          </cell>
        </row>
        <row r="42">
          <cell r="B42" t="str">
            <v>AGT 2004 PT.SINAR CERAH</v>
          </cell>
        </row>
        <row r="43">
          <cell r="B43" t="str">
            <v>SEP. 2004, PT. MARTADINATA</v>
          </cell>
          <cell r="F43">
            <v>7885500</v>
          </cell>
        </row>
        <row r="44">
          <cell r="B44" t="str">
            <v>SEP 2004, PT. CONBLOC</v>
          </cell>
          <cell r="F44">
            <v>825600</v>
          </cell>
        </row>
        <row r="45">
          <cell r="B45" t="str">
            <v>SEP 2004 PT.SINAR CERAH</v>
          </cell>
        </row>
        <row r="46">
          <cell r="B46" t="str">
            <v>OCT. 2004, PT. MARTADINATA</v>
          </cell>
          <cell r="F46">
            <v>702800</v>
          </cell>
        </row>
        <row r="47">
          <cell r="B47" t="str">
            <v>OCT 2004, PT. CONBLOC</v>
          </cell>
          <cell r="F47">
            <v>229100</v>
          </cell>
        </row>
        <row r="48">
          <cell r="B48" t="str">
            <v>OCT 2004 PT.SINAR CERAH</v>
          </cell>
          <cell r="F48">
            <v>440800</v>
          </cell>
        </row>
        <row r="49">
          <cell r="B49" t="str">
            <v>OCT 2004, PT. ISTAKA KARYA</v>
          </cell>
          <cell r="F49">
            <v>240800</v>
          </cell>
        </row>
        <row r="50">
          <cell r="B50" t="str">
            <v>OCT 2004, PT. DINATAMA NUSA CEMERLANG</v>
          </cell>
          <cell r="F50">
            <v>210150</v>
          </cell>
        </row>
        <row r="51">
          <cell r="B51" t="str">
            <v>NOV. 2004, PT. MARTADINATA</v>
          </cell>
          <cell r="F51">
            <v>648900</v>
          </cell>
        </row>
        <row r="52">
          <cell r="B52" t="str">
            <v>NOV 2004, PT. ANUGRAH JAYA</v>
          </cell>
          <cell r="F52">
            <v>1156500</v>
          </cell>
        </row>
        <row r="53">
          <cell r="B53" t="str">
            <v>OCT 2004 PT.SINAR CERAH</v>
          </cell>
          <cell r="F53">
            <v>523200</v>
          </cell>
        </row>
        <row r="54">
          <cell r="B54" t="str">
            <v>OCT 2004, PT. ISTAKA KARYA</v>
          </cell>
          <cell r="F54">
            <v>120900</v>
          </cell>
        </row>
        <row r="55">
          <cell r="B55" t="str">
            <v>OCT 2004, PT. DINATAMA NUSA CEMERLANG</v>
          </cell>
          <cell r="F55">
            <v>46450</v>
          </cell>
        </row>
        <row r="56">
          <cell r="G56">
            <v>16337550</v>
          </cell>
          <cell r="H56" t="str">
            <v>to-DD</v>
          </cell>
        </row>
        <row r="57">
          <cell r="G57">
            <v>352473458.32499999</v>
          </cell>
        </row>
        <row r="58">
          <cell r="G58" t="str">
            <v>^</v>
          </cell>
        </row>
        <row r="59">
          <cell r="B59" t="str">
            <v xml:space="preserve"> TOTAL :</v>
          </cell>
          <cell r="E59">
            <v>0</v>
          </cell>
          <cell r="G59">
            <v>352473458.32499999</v>
          </cell>
        </row>
        <row r="62">
          <cell r="A62" t="str">
            <v>Legends :</v>
          </cell>
        </row>
        <row r="63">
          <cell r="A63" t="str">
            <v>^</v>
          </cell>
          <cell r="B63" t="str">
            <v>Footed</v>
          </cell>
        </row>
        <row r="64">
          <cell r="A64" t="str">
            <v>Ë</v>
          </cell>
          <cell r="B64" t="str">
            <v>Calculation Verified</v>
          </cell>
        </row>
      </sheetData>
      <sheetData sheetId="61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28/12/04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Advance Received</v>
          </cell>
        </row>
        <row r="11">
          <cell r="A11" t="str">
            <v>Account No.</v>
          </cell>
          <cell r="B11" t="str">
            <v>Account Description</v>
          </cell>
          <cell r="D11" t="str">
            <v>WP Reff</v>
          </cell>
          <cell r="E11" t="str">
            <v>Balance Perbook Nov, 30, 2004</v>
          </cell>
          <cell r="F11" t="str">
            <v>PAJE/PRJE</v>
          </cell>
          <cell r="I11" t="str">
            <v>Audited Balance Nov 30, 2004</v>
          </cell>
          <cell r="J11" t="str">
            <v>Mutation</v>
          </cell>
        </row>
        <row r="12">
          <cell r="G12" t="str">
            <v>Dr</v>
          </cell>
          <cell r="H12" t="str">
            <v>Cr</v>
          </cell>
          <cell r="J12" t="str">
            <v>Dr</v>
          </cell>
        </row>
        <row r="14">
          <cell r="A14">
            <v>4114</v>
          </cell>
          <cell r="B14" t="str">
            <v>Advance Received from Customer</v>
          </cell>
          <cell r="E14">
            <v>22802660</v>
          </cell>
          <cell r="F14" t="str">
            <v>ü</v>
          </cell>
          <cell r="I14">
            <v>22802660</v>
          </cell>
        </row>
        <row r="16">
          <cell r="B16" t="str">
            <v>Total</v>
          </cell>
          <cell r="E16">
            <v>22802660</v>
          </cell>
          <cell r="F16">
            <v>0</v>
          </cell>
          <cell r="H16">
            <v>0</v>
          </cell>
          <cell r="I16">
            <v>22802660</v>
          </cell>
        </row>
        <row r="18">
          <cell r="A18" t="str">
            <v>Audit procedures:</v>
          </cell>
        </row>
        <row r="19">
          <cell r="A19" t="str">
            <v>1. Reconcile advance received to general ledger</v>
          </cell>
          <cell r="D19" t="str">
            <v>EE</v>
          </cell>
        </row>
        <row r="20">
          <cell r="A20" t="str">
            <v>2. Obtain Detail of Advance Receipts</v>
          </cell>
          <cell r="D20" t="str">
            <v>EE-1</v>
          </cell>
        </row>
        <row r="21">
          <cell r="A21" t="str">
            <v>3. Sent Confirmation which have material balance</v>
          </cell>
        </row>
        <row r="22">
          <cell r="A22" t="str">
            <v>4. Confirmation sent on December 15, 2004</v>
          </cell>
        </row>
        <row r="24">
          <cell r="A24" t="str">
            <v>Nature of Accounts</v>
          </cell>
        </row>
        <row r="25">
          <cell r="A25" t="str">
            <v xml:space="preserve">merupakan pembayaran dimuka oleh Customer untuk pembelian aspal dan jasa lainnya kepada </v>
          </cell>
        </row>
        <row r="26">
          <cell r="A26" t="str">
            <v>PT. Saranaraya Reka Cipta</v>
          </cell>
        </row>
        <row r="28">
          <cell r="A28" t="str">
            <v>Legends:</v>
          </cell>
          <cell r="B28" t="str">
            <v>&lt;</v>
          </cell>
          <cell r="C28" t="str">
            <v>Cross footing</v>
          </cell>
        </row>
        <row r="29">
          <cell r="B29" t="str">
            <v>^</v>
          </cell>
          <cell r="C29" t="str">
            <v>Footed</v>
          </cell>
        </row>
        <row r="30">
          <cell r="B30" t="str">
            <v>ü</v>
          </cell>
          <cell r="C30" t="str">
            <v>Agreed with General Ledger</v>
          </cell>
        </row>
        <row r="31">
          <cell r="B31" t="str">
            <v>û</v>
          </cell>
          <cell r="C31" t="str">
            <v>Agreed with the prior year audit balance</v>
          </cell>
        </row>
      </sheetData>
      <sheetData sheetId="62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28/12/04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Details         :</v>
          </cell>
          <cell r="B8" t="str">
            <v>Advance Received</v>
          </cell>
        </row>
        <row r="11">
          <cell r="A11" t="str">
            <v>Account No.</v>
          </cell>
          <cell r="B11" t="str">
            <v>Account Description</v>
          </cell>
          <cell r="D11" t="str">
            <v>WP Reff</v>
          </cell>
          <cell r="E11" t="str">
            <v>Balance Perbook Nov, 30, 2004</v>
          </cell>
          <cell r="F11" t="str">
            <v>PAJE/PRJE</v>
          </cell>
          <cell r="I11" t="str">
            <v>Audited Balance Nov 30, 2004</v>
          </cell>
          <cell r="J11" t="str">
            <v>Mutation</v>
          </cell>
        </row>
        <row r="12">
          <cell r="G12" t="str">
            <v>Dr</v>
          </cell>
          <cell r="H12" t="str">
            <v>Cr</v>
          </cell>
          <cell r="J12" t="str">
            <v>Dr</v>
          </cell>
        </row>
        <row r="14">
          <cell r="A14">
            <v>4114</v>
          </cell>
          <cell r="B14" t="str">
            <v>Customer titipan</v>
          </cell>
        </row>
        <row r="16">
          <cell r="B16" t="str">
            <v>Duta Satrya Adhipersada</v>
          </cell>
          <cell r="E16">
            <v>22493335</v>
          </cell>
          <cell r="F16" t="str">
            <v>ü</v>
          </cell>
          <cell r="I16">
            <v>22493335</v>
          </cell>
          <cell r="J16">
            <v>22188400</v>
          </cell>
        </row>
        <row r="17">
          <cell r="B17" t="str">
            <v>Yasa Patria Perkasa PT.</v>
          </cell>
          <cell r="E17">
            <v>273775</v>
          </cell>
          <cell r="F17" t="str">
            <v>ü</v>
          </cell>
          <cell r="I17">
            <v>273775</v>
          </cell>
        </row>
        <row r="18">
          <cell r="B18" t="str">
            <v>Aremix Planindo PT.</v>
          </cell>
          <cell r="E18">
            <v>35550</v>
          </cell>
          <cell r="F18" t="str">
            <v>ü</v>
          </cell>
          <cell r="I18">
            <v>35550</v>
          </cell>
        </row>
        <row r="20">
          <cell r="B20" t="str">
            <v>Total</v>
          </cell>
          <cell r="E20">
            <v>22802660</v>
          </cell>
          <cell r="F20">
            <v>0</v>
          </cell>
          <cell r="H20">
            <v>0</v>
          </cell>
          <cell r="I20">
            <v>22802660</v>
          </cell>
        </row>
        <row r="21">
          <cell r="E21" t="str">
            <v>^</v>
          </cell>
          <cell r="I21" t="str">
            <v>^</v>
          </cell>
        </row>
        <row r="22">
          <cell r="A22" t="str">
            <v>Workdone :</v>
          </cell>
        </row>
        <row r="23">
          <cell r="A23" t="str">
            <v>1. For customers which have material balance we've performed subtantive test by vouching the outstanding balance</v>
          </cell>
        </row>
        <row r="26">
          <cell r="A26" t="str">
            <v>Legends:</v>
          </cell>
          <cell r="B26" t="str">
            <v>&lt;</v>
          </cell>
          <cell r="C26" t="str">
            <v>cross footing</v>
          </cell>
        </row>
        <row r="27">
          <cell r="B27" t="str">
            <v>^</v>
          </cell>
          <cell r="C27" t="str">
            <v>footed</v>
          </cell>
        </row>
        <row r="28">
          <cell r="B28" t="str">
            <v>ü</v>
          </cell>
          <cell r="C28" t="str">
            <v>Agreed with General Ledger</v>
          </cell>
        </row>
        <row r="29">
          <cell r="B29" t="str">
            <v>û</v>
          </cell>
          <cell r="C29" t="str">
            <v>Agreed with the prior year audit balance</v>
          </cell>
        </row>
      </sheetData>
      <sheetData sheetId="63">
        <row r="3">
          <cell r="F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Affiliation</v>
          </cell>
        </row>
        <row r="11">
          <cell r="A11" t="str">
            <v>Account No.</v>
          </cell>
          <cell r="B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Mutation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4">
          <cell r="A14">
            <v>4686</v>
          </cell>
          <cell r="B14" t="str">
            <v>Biaya Transportasi</v>
          </cell>
          <cell r="C14" t="str">
            <v>FF-1</v>
          </cell>
          <cell r="D14">
            <v>42431680</v>
          </cell>
          <cell r="E14" t="str">
            <v>ü</v>
          </cell>
          <cell r="H14">
            <v>42431680</v>
          </cell>
        </row>
        <row r="16">
          <cell r="B16" t="str">
            <v>Biaya Transfer</v>
          </cell>
          <cell r="D16">
            <v>0</v>
          </cell>
        </row>
        <row r="18">
          <cell r="B18" t="str">
            <v>Angsuran Mobil Isuzu Panther</v>
          </cell>
          <cell r="C18" t="str">
            <v>FF-1</v>
          </cell>
          <cell r="D18">
            <v>115156500</v>
          </cell>
          <cell r="E18" t="str">
            <v>ü</v>
          </cell>
          <cell r="H18">
            <v>115156500</v>
          </cell>
        </row>
        <row r="20">
          <cell r="B20" t="str">
            <v>Others</v>
          </cell>
          <cell r="D20">
            <v>1640970025.1599998</v>
          </cell>
          <cell r="E20" t="str">
            <v>ü</v>
          </cell>
          <cell r="H20">
            <v>1640970025.1599998</v>
          </cell>
          <cell r="J20">
            <v>19543697</v>
          </cell>
        </row>
        <row r="22">
          <cell r="B22" t="str">
            <v>Total</v>
          </cell>
          <cell r="D22">
            <v>1798558205.1599998</v>
          </cell>
          <cell r="H22">
            <v>1798558205.1599998</v>
          </cell>
        </row>
        <row r="23">
          <cell r="D23" t="str">
            <v>^</v>
          </cell>
          <cell r="H23" t="str">
            <v>^</v>
          </cell>
        </row>
        <row r="24">
          <cell r="A24" t="str">
            <v>Audit Procedures:</v>
          </cell>
        </row>
        <row r="25">
          <cell r="A25" t="str">
            <v>1. Nature of Account</v>
          </cell>
        </row>
        <row r="26">
          <cell r="A26" t="str">
            <v>2. Check subsequent payment to Account Payables Others</v>
          </cell>
        </row>
        <row r="27">
          <cell r="A27" t="str">
            <v>3. Vouch to supplier's invoice</v>
          </cell>
        </row>
        <row r="28">
          <cell r="A28" t="str">
            <v>4. Check bank statement upon the received of the fund</v>
          </cell>
        </row>
        <row r="30">
          <cell r="A30" t="str">
            <v>Nature of Account :</v>
          </cell>
        </row>
        <row r="31">
          <cell r="A31" t="str">
            <v xml:space="preserve">meupakan akun Intercompany transaksi Utang Piutang antara PT. Saranaraya Reka Cipta dengan </v>
          </cell>
        </row>
        <row r="32">
          <cell r="A32" t="str">
            <v>PT. Aspal Bangun Sarana</v>
          </cell>
        </row>
        <row r="34">
          <cell r="A34" t="str">
            <v>Legends:</v>
          </cell>
        </row>
        <row r="35">
          <cell r="A35" t="str">
            <v>&lt;</v>
          </cell>
          <cell r="B35" t="str">
            <v>cross footing</v>
          </cell>
        </row>
        <row r="36">
          <cell r="A36" t="str">
            <v>^</v>
          </cell>
          <cell r="B36" t="str">
            <v>footing</v>
          </cell>
        </row>
        <row r="37">
          <cell r="A37" t="str">
            <v>ü</v>
          </cell>
          <cell r="B37" t="str">
            <v>agree with G/L</v>
          </cell>
        </row>
      </sheetData>
      <sheetData sheetId="64">
        <row r="3">
          <cell r="D3">
            <v>0</v>
          </cell>
        </row>
        <row r="4">
          <cell r="A4" t="str">
            <v>Client:</v>
          </cell>
          <cell r="B4" t="str">
            <v>PT Saranaraya Reka Cipta</v>
          </cell>
          <cell r="D4" t="str">
            <v>Prepared by:</v>
          </cell>
          <cell r="E4" t="str">
            <v>Date:</v>
          </cell>
          <cell r="F4" t="str">
            <v>FF-1</v>
          </cell>
        </row>
        <row r="5">
          <cell r="D5" t="str">
            <v>MIR</v>
          </cell>
          <cell r="E5">
            <v>38349</v>
          </cell>
        </row>
        <row r="6">
          <cell r="A6" t="str">
            <v>Period Ended:</v>
          </cell>
          <cell r="B6" t="str">
            <v>Desember 31, 2004</v>
          </cell>
          <cell r="D6" t="str">
            <v>Reviewed by:</v>
          </cell>
          <cell r="E6" t="str">
            <v>Date:</v>
          </cell>
          <cell r="F6" t="str">
            <v>Page 1 of 1</v>
          </cell>
        </row>
        <row r="8">
          <cell r="A8" t="str">
            <v>Details:</v>
          </cell>
          <cell r="B8" t="str">
            <v>Affiliate Payable</v>
          </cell>
        </row>
        <row r="12">
          <cell r="A12" t="str">
            <v>Account</v>
          </cell>
          <cell r="B12" t="str">
            <v>Description</v>
          </cell>
          <cell r="C12" t="str">
            <v>Amount (USD)</v>
          </cell>
          <cell r="D12" t="str">
            <v>Rate</v>
          </cell>
          <cell r="E12" t="str">
            <v>Amount (Rp)</v>
          </cell>
        </row>
        <row r="13">
          <cell r="A13">
            <v>4686</v>
          </cell>
          <cell r="B13" t="str">
            <v>BIAYA TRANSPORTASI :</v>
          </cell>
        </row>
        <row r="14">
          <cell r="B14" t="str">
            <v>BIAYA BORONGAN PENGIRIMAN 2 TRUCK ASPAL KE RIAU</v>
          </cell>
          <cell r="E14">
            <v>3900000</v>
          </cell>
        </row>
        <row r="15">
          <cell r="B15" t="str">
            <v>BIAYA PENYEBERANGAN 2 TRUCK MERAK BAKAHUNI</v>
          </cell>
          <cell r="E15">
            <v>820000</v>
          </cell>
        </row>
        <row r="16">
          <cell r="B16" t="str">
            <v>BIAYA BORONGAN PENGIRIMAN 1 TRUCK ASPAL KE RIAU</v>
          </cell>
          <cell r="E16">
            <v>1950000</v>
          </cell>
        </row>
        <row r="17">
          <cell r="B17" t="str">
            <v>BIAYA BORONGAN PENGIRIMAN 1 TRUCK ASPAL  KE RIAU</v>
          </cell>
          <cell r="E17">
            <v>1950000</v>
          </cell>
        </row>
        <row r="18">
          <cell r="B18" t="str">
            <v>BIAYA BORONGAN PENGIRIMAN 2 TRUCK ASPAL  KE RIAU</v>
          </cell>
          <cell r="E18">
            <v>3900000</v>
          </cell>
        </row>
        <row r="19">
          <cell r="B19" t="str">
            <v>BIAYA BORONGAN PENGIRIMAN 2 TRUCK ASPAL  KE RIAU</v>
          </cell>
          <cell r="E19">
            <v>3900000</v>
          </cell>
        </row>
        <row r="20">
          <cell r="B20" t="str">
            <v>BIAYA BORONGAN PENGIRIMAN 2 TRUCK ASPAL  KE RIAU</v>
          </cell>
          <cell r="E20">
            <v>4100000</v>
          </cell>
        </row>
        <row r="21">
          <cell r="B21" t="str">
            <v>BIAYA PENYEBERANGAN 8 TRUCK MERAK BAKAHUNI</v>
          </cell>
          <cell r="E21">
            <v>3280000</v>
          </cell>
        </row>
        <row r="22">
          <cell r="B22" t="str">
            <v>BIAYA BORONGAN PENGIRIMAN 2 TRUCK ASPAL  KE RIAU</v>
          </cell>
          <cell r="E22">
            <v>4100000</v>
          </cell>
        </row>
        <row r="23">
          <cell r="B23" t="str">
            <v>BIAYA PEMBELIAN OLI MEDITRAN UNTUK TRUCK</v>
          </cell>
          <cell r="E23">
            <v>769000</v>
          </cell>
        </row>
        <row r="24">
          <cell r="B24" t="str">
            <v>BIAYA BORONGAN PENGIRIMAN 2 TRUCK ASPAL  KE RIAU</v>
          </cell>
          <cell r="E24">
            <v>4400000</v>
          </cell>
        </row>
        <row r="25">
          <cell r="B25" t="str">
            <v>BIAYA PENYEBERANGAN 2 TRUCK MERAK BAKAHUNI</v>
          </cell>
          <cell r="E25">
            <v>1640000</v>
          </cell>
        </row>
        <row r="26">
          <cell r="B26" t="str">
            <v>BIAYA MEMBAWA MOBIL KE JAKARTA</v>
          </cell>
          <cell r="E26">
            <v>809100</v>
          </cell>
        </row>
        <row r="27">
          <cell r="B27" t="str">
            <v>PEMB SLANG   50  3" DAN KLAIM 3"</v>
          </cell>
          <cell r="E27">
            <v>1060000</v>
          </cell>
        </row>
        <row r="28">
          <cell r="B28" t="str">
            <v>BIAYA PENGEPAKAN &amp; PENGRIMAN BURNER</v>
          </cell>
          <cell r="E28">
            <v>1952080</v>
          </cell>
        </row>
        <row r="29">
          <cell r="B29" t="str">
            <v>PERLENGKAPAN KOMPRESOR</v>
          </cell>
          <cell r="E29">
            <v>3901500</v>
          </cell>
        </row>
        <row r="30">
          <cell r="F30">
            <v>42431680</v>
          </cell>
          <cell r="G30" t="str">
            <v>to-FF</v>
          </cell>
        </row>
        <row r="31">
          <cell r="B31" t="str">
            <v>EXPENSES</v>
          </cell>
          <cell r="F31" t="str">
            <v>^</v>
          </cell>
        </row>
        <row r="32">
          <cell r="B32" t="str">
            <v xml:space="preserve">BIAYA TRANSFER </v>
          </cell>
        </row>
        <row r="34">
          <cell r="B34" t="str">
            <v>ANGSURAN MOBIL ISUZU PANTHER :</v>
          </cell>
        </row>
        <row r="35">
          <cell r="B35" t="str">
            <v>ANGSURAN KE III - 20%  MOBIL ISUZU PANTHER  PICKUP</v>
          </cell>
          <cell r="E35">
            <v>17500000</v>
          </cell>
        </row>
        <row r="36">
          <cell r="B36" t="str">
            <v xml:space="preserve">ANGSURAN KEVII  MOBIL ISUZU PANTHER </v>
          </cell>
          <cell r="E36">
            <v>3367500</v>
          </cell>
        </row>
        <row r="37">
          <cell r="B37" t="str">
            <v xml:space="preserve">ANGSURAN KEVIII MOBIL ISUZU PANTHER </v>
          </cell>
          <cell r="E37">
            <v>3367500</v>
          </cell>
        </row>
        <row r="38">
          <cell r="B38" t="str">
            <v xml:space="preserve">ANGSURAN KE IX MOBIL ISUZU PANTHER </v>
          </cell>
          <cell r="E38">
            <v>3367500</v>
          </cell>
        </row>
        <row r="39">
          <cell r="B39" t="str">
            <v xml:space="preserve">ANGSURAN KE X MOBIL ISUZU PANTHER </v>
          </cell>
          <cell r="E39">
            <v>3367500</v>
          </cell>
        </row>
        <row r="40">
          <cell r="B40" t="str">
            <v xml:space="preserve">ANGSURAN KE XI MOBIL ISUZU PANTHER </v>
          </cell>
          <cell r="E40">
            <v>3367500</v>
          </cell>
        </row>
        <row r="41">
          <cell r="B41" t="str">
            <v xml:space="preserve">ANGSURAN KE XII MOBIL ISUZU PANTHER </v>
          </cell>
          <cell r="E41">
            <v>3367500</v>
          </cell>
        </row>
        <row r="42">
          <cell r="B42" t="str">
            <v xml:space="preserve">ANGSURAN KE XIII MOBIL ISUZU PANTHER </v>
          </cell>
          <cell r="E42">
            <v>3367500</v>
          </cell>
        </row>
        <row r="43">
          <cell r="B43" t="str">
            <v xml:space="preserve">ANGSURAN KE XIV MOBIL ISUZU PANTHER </v>
          </cell>
          <cell r="E43">
            <v>3367500</v>
          </cell>
        </row>
        <row r="44">
          <cell r="B44" t="str">
            <v xml:space="preserve">ANGSURAN KE XV MOBIL ISUZU PANTHER </v>
          </cell>
          <cell r="E44">
            <v>3367500</v>
          </cell>
        </row>
        <row r="45">
          <cell r="B45" t="str">
            <v xml:space="preserve">ANGSURAN KE XVI MOBIL ISUZU PANTHER </v>
          </cell>
          <cell r="E45">
            <v>3367500</v>
          </cell>
        </row>
        <row r="46">
          <cell r="B46" t="str">
            <v xml:space="preserve">ANGSURAN KE XVIII MOBIL ISUZU PANTHER </v>
          </cell>
          <cell r="E46">
            <v>3367500</v>
          </cell>
        </row>
        <row r="47">
          <cell r="B47" t="str">
            <v xml:space="preserve">ANGSURAN KE XIX MOBIL ISUZU PANTHER </v>
          </cell>
          <cell r="E47">
            <v>3367500</v>
          </cell>
        </row>
        <row r="48">
          <cell r="B48" t="str">
            <v xml:space="preserve">ANGSURAN KE XX MOBIL ISUZU PANTHER </v>
          </cell>
          <cell r="E48">
            <v>3367500</v>
          </cell>
        </row>
        <row r="49">
          <cell r="B49" t="str">
            <v xml:space="preserve">ANGSURAN KE XXI MOBIL ISUZU PANTHER </v>
          </cell>
          <cell r="E49">
            <v>3367500</v>
          </cell>
        </row>
        <row r="50">
          <cell r="B50" t="str">
            <v xml:space="preserve">ANGSURAN KE XXIIMOBIL ISUZU PANTHER </v>
          </cell>
          <cell r="E50">
            <v>3367500</v>
          </cell>
        </row>
        <row r="51">
          <cell r="B51" t="str">
            <v xml:space="preserve">ANGSURAN KE XXIIIMOBIL ISUZU PANTHER </v>
          </cell>
          <cell r="E51">
            <v>3367500</v>
          </cell>
        </row>
        <row r="52">
          <cell r="B52" t="str">
            <v xml:space="preserve">ANGSURAN KE XXIVMOBIL ISUZU PANTHER </v>
          </cell>
          <cell r="E52">
            <v>3367500</v>
          </cell>
        </row>
        <row r="53">
          <cell r="B53" t="str">
            <v xml:space="preserve">ANGSURAN KE XXV MOBIL ISUZU PANTHER </v>
          </cell>
          <cell r="E53">
            <v>3367500</v>
          </cell>
        </row>
        <row r="54">
          <cell r="B54" t="str">
            <v xml:space="preserve">ANGSURAN KE XXVI MOBIL ISUZU PANTHER </v>
          </cell>
          <cell r="E54">
            <v>3367500</v>
          </cell>
        </row>
        <row r="55">
          <cell r="B55" t="str">
            <v xml:space="preserve">ANGSURAN KE XXVII MOBIL ISUZU PANTHER </v>
          </cell>
          <cell r="E55">
            <v>3367500</v>
          </cell>
        </row>
        <row r="56">
          <cell r="B56" t="str">
            <v xml:space="preserve">ANGSURAN KE XXVIII MOBIL ISUZU PANTHER </v>
          </cell>
          <cell r="E56">
            <v>3367500</v>
          </cell>
        </row>
        <row r="57">
          <cell r="B57" t="str">
            <v xml:space="preserve">ANGSURAN KE XXVIV MOBIL ISUZU PANTHER </v>
          </cell>
          <cell r="E57">
            <v>3367500</v>
          </cell>
        </row>
        <row r="58">
          <cell r="B58" t="str">
            <v xml:space="preserve">ANGSURAN KE XXXMOBIL ISUZU PANTHER </v>
          </cell>
          <cell r="E58">
            <v>3367500</v>
          </cell>
        </row>
        <row r="59">
          <cell r="B59" t="str">
            <v xml:space="preserve">ANGSURAN KE XXXI MOBIL ISUZU PANTHER </v>
          </cell>
          <cell r="E59">
            <v>3367500</v>
          </cell>
        </row>
        <row r="60">
          <cell r="B60" t="str">
            <v xml:space="preserve">ANGSURAN KE XXXII MOBIL ISUZU PANTHER </v>
          </cell>
          <cell r="E60">
            <v>3367500</v>
          </cell>
        </row>
        <row r="61">
          <cell r="B61" t="str">
            <v xml:space="preserve">ANGSURAN KE XXXIII MOBIL ISUZU PANTHER </v>
          </cell>
          <cell r="E61">
            <v>3367500</v>
          </cell>
        </row>
        <row r="62">
          <cell r="B62" t="str">
            <v xml:space="preserve">ANGSURAN KE XXXIV MOBIL ISUZU PANTHER </v>
          </cell>
          <cell r="E62">
            <v>3367500</v>
          </cell>
        </row>
        <row r="63">
          <cell r="B63" t="str">
            <v xml:space="preserve">ANGSURAN KE XXXV MOBIL ISUZU PANTHER </v>
          </cell>
          <cell r="E63">
            <v>3367500</v>
          </cell>
        </row>
        <row r="64">
          <cell r="B64" t="str">
            <v xml:space="preserve">ANGSURAN KE XXXVI MOBIL ISUZU PANTHER </v>
          </cell>
          <cell r="E64">
            <v>3366500</v>
          </cell>
        </row>
        <row r="65">
          <cell r="F65">
            <v>115156500</v>
          </cell>
          <cell r="G65" t="str">
            <v>to-FF</v>
          </cell>
        </row>
        <row r="66">
          <cell r="F66" t="str">
            <v>^</v>
          </cell>
        </row>
        <row r="67">
          <cell r="B67" t="str">
            <v xml:space="preserve">ADJ. ADVANCES VICKY </v>
          </cell>
          <cell r="F67">
            <v>-7250000</v>
          </cell>
        </row>
        <row r="68">
          <cell r="B68" t="str">
            <v>ADJ. ADVANCES ASALRY BAGUS</v>
          </cell>
          <cell r="F68">
            <v>-1200000</v>
          </cell>
        </row>
        <row r="69">
          <cell r="B69" t="str">
            <v>INTERNAL LOAN PT. ABS</v>
          </cell>
          <cell r="F69">
            <v>-250000000</v>
          </cell>
        </row>
      </sheetData>
      <sheetData sheetId="65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27/12/04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Accrued Expenses</v>
          </cell>
        </row>
        <row r="11">
          <cell r="A11" t="str">
            <v>Account No.</v>
          </cell>
          <cell r="B11" t="str">
            <v>Account Description</v>
          </cell>
          <cell r="D11" t="str">
            <v>WP Reff</v>
          </cell>
          <cell r="E11" t="str">
            <v>Balance Perbook Nov, 30, 2004</v>
          </cell>
          <cell r="F11" t="str">
            <v>PAJE/PRJE</v>
          </cell>
          <cell r="I11" t="str">
            <v>Audited Balance Nov 30, 2004</v>
          </cell>
          <cell r="J11" t="str">
            <v>Mutation</v>
          </cell>
        </row>
        <row r="12">
          <cell r="G12" t="str">
            <v>Dr</v>
          </cell>
          <cell r="H12" t="str">
            <v>Cr</v>
          </cell>
          <cell r="J12" t="str">
            <v>Dr</v>
          </cell>
        </row>
        <row r="14">
          <cell r="A14">
            <v>4811</v>
          </cell>
          <cell r="B14" t="str">
            <v>Accrual Expense</v>
          </cell>
          <cell r="D14" t="str">
            <v>HH-1</v>
          </cell>
          <cell r="E14">
            <v>104857474</v>
          </cell>
          <cell r="F14" t="str">
            <v>ü</v>
          </cell>
          <cell r="I14">
            <v>104857474</v>
          </cell>
        </row>
        <row r="16">
          <cell r="B16" t="str">
            <v>Salary Oct</v>
          </cell>
          <cell r="E16">
            <v>14527400</v>
          </cell>
          <cell r="I16">
            <v>14527400</v>
          </cell>
        </row>
        <row r="18">
          <cell r="B18" t="str">
            <v>others (Interest Loan)</v>
          </cell>
          <cell r="D18" t="str">
            <v>HH-1</v>
          </cell>
          <cell r="E18">
            <v>1206884</v>
          </cell>
          <cell r="F18" t="str">
            <v>ü</v>
          </cell>
          <cell r="I18">
            <v>1206884</v>
          </cell>
        </row>
        <row r="20">
          <cell r="A20">
            <v>4281</v>
          </cell>
          <cell r="B20" t="str">
            <v>Prov. Lebaran Monthly employee</v>
          </cell>
          <cell r="E20">
            <v>652409</v>
          </cell>
          <cell r="I20">
            <v>652409</v>
          </cell>
        </row>
        <row r="22">
          <cell r="A22">
            <v>4381</v>
          </cell>
          <cell r="B22" t="str">
            <v>Jamsostek Monthly Employee</v>
          </cell>
          <cell r="D22" t="str">
            <v>HH-1</v>
          </cell>
          <cell r="E22">
            <v>924702</v>
          </cell>
          <cell r="F22" t="str">
            <v>ü</v>
          </cell>
          <cell r="I22">
            <v>924702</v>
          </cell>
        </row>
        <row r="24">
          <cell r="A24">
            <v>4684</v>
          </cell>
          <cell r="B24" t="str">
            <v>Technical Assistance</v>
          </cell>
          <cell r="D24" t="str">
            <v>HH-1</v>
          </cell>
          <cell r="E24">
            <v>343466121</v>
          </cell>
          <cell r="F24" t="str">
            <v>ü</v>
          </cell>
          <cell r="I24">
            <v>343466121</v>
          </cell>
        </row>
        <row r="26">
          <cell r="B26" t="str">
            <v>Debit Note PT. WASCO-Accrual Salary</v>
          </cell>
          <cell r="E26">
            <v>143377628</v>
          </cell>
          <cell r="H26">
            <v>30135908</v>
          </cell>
          <cell r="I26">
            <v>173513536</v>
          </cell>
        </row>
        <row r="28">
          <cell r="A28">
            <v>4285</v>
          </cell>
          <cell r="B28" t="str">
            <v>Employee Benefit Reserve</v>
          </cell>
          <cell r="E28">
            <v>20145271</v>
          </cell>
          <cell r="H28">
            <v>10189961</v>
          </cell>
          <cell r="I28">
            <v>30335232</v>
          </cell>
        </row>
        <row r="29">
          <cell r="B29" t="str">
            <v>Total</v>
          </cell>
          <cell r="E29">
            <v>629157889</v>
          </cell>
          <cell r="F29">
            <v>0</v>
          </cell>
          <cell r="H29">
            <v>40325869</v>
          </cell>
          <cell r="I29">
            <v>669483758</v>
          </cell>
        </row>
        <row r="30">
          <cell r="E30" t="str">
            <v>^</v>
          </cell>
          <cell r="I30" t="str">
            <v>^</v>
          </cell>
        </row>
        <row r="31">
          <cell r="A31" t="str">
            <v>Nature of account:</v>
          </cell>
        </row>
        <row r="32">
          <cell r="A32" t="str">
            <v>Merupakan accrual atas incentive untuk marketing, bunga pinjaman di BNP Paribas, biaya jamsostek karyawan per bulan</v>
          </cell>
        </row>
        <row r="33">
          <cell r="A33" t="str">
            <v>dan biaya Technical Assistance Fee yang diberikan oleh holding (colas), biaya ini perbulannya berjumlah 20,000 euro</v>
          </cell>
        </row>
        <row r="34">
          <cell r="A34" t="str">
            <v>yang dibayarkan pertahun, sehingga company memprovisikannya tiap bulan dan akan dibayarkan di bulan January 2005</v>
          </cell>
        </row>
        <row r="36">
          <cell r="A36" t="str">
            <v>Audit procedures:</v>
          </cell>
        </row>
        <row r="37">
          <cell r="A37" t="str">
            <v>1. Reconcile the accrued expenses to general ledger</v>
          </cell>
          <cell r="H37" t="str">
            <v>HH</v>
          </cell>
        </row>
        <row r="38">
          <cell r="A38" t="str">
            <v>2. Review subsequent payment to payment instruction, bank statements, etc</v>
          </cell>
        </row>
        <row r="39">
          <cell r="A39" t="str">
            <v>3. Test balance to invoice and other supporting documents</v>
          </cell>
        </row>
        <row r="40">
          <cell r="A40" t="str">
            <v xml:space="preserve">4. Obtain and review agreement of technical assistance </v>
          </cell>
        </row>
        <row r="41">
          <cell r="A41" t="str">
            <v xml:space="preserve">5. subsequent payment </v>
          </cell>
        </row>
        <row r="43">
          <cell r="A43" t="str">
            <v>Results:</v>
          </cell>
        </row>
        <row r="44">
          <cell r="A44" t="str">
            <v>1. Accrued expenses were agreed with general ledger</v>
          </cell>
        </row>
        <row r="45">
          <cell r="A45" t="str">
            <v>2. We still have not obtained the agreement of technical assistance between company and Colas company</v>
          </cell>
        </row>
        <row r="46">
          <cell r="A46" t="str">
            <v>3. Subsequent procedures did not perform due to no movement.</v>
          </cell>
        </row>
        <row r="48">
          <cell r="A48" t="str">
            <v>Legends:</v>
          </cell>
        </row>
        <row r="49">
          <cell r="A49" t="str">
            <v>&lt;</v>
          </cell>
          <cell r="B49" t="str">
            <v>cross footing</v>
          </cell>
        </row>
        <row r="50">
          <cell r="A50" t="str">
            <v>^</v>
          </cell>
          <cell r="B50" t="str">
            <v>Footing Verified</v>
          </cell>
        </row>
        <row r="51">
          <cell r="A51" t="str">
            <v>ü</v>
          </cell>
          <cell r="B51" t="str">
            <v>Agree with G/L</v>
          </cell>
        </row>
      </sheetData>
      <sheetData sheetId="66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J4" t="str">
            <v>Prepared by:</v>
          </cell>
        </row>
        <row r="5">
          <cell r="J5" t="str">
            <v>MIR</v>
          </cell>
        </row>
        <row r="6">
          <cell r="A6" t="str">
            <v>Period Ended:</v>
          </cell>
          <cell r="B6" t="str">
            <v>Desember 31, 2004</v>
          </cell>
          <cell r="J6" t="str">
            <v>Reviewed by:</v>
          </cell>
        </row>
        <row r="8">
          <cell r="A8" t="str">
            <v>Lead Schedule:</v>
          </cell>
          <cell r="B8" t="str">
            <v>Accrued Expenses</v>
          </cell>
        </row>
        <row r="12">
          <cell r="A12" t="str">
            <v>Account</v>
          </cell>
          <cell r="B12" t="str">
            <v>Description</v>
          </cell>
          <cell r="F12" t="str">
            <v>Amount (Rp)</v>
          </cell>
        </row>
        <row r="14">
          <cell r="A14">
            <v>4811</v>
          </cell>
          <cell r="B14" t="str">
            <v>ACCRUAL EXPENSES</v>
          </cell>
        </row>
        <row r="15">
          <cell r="B15" t="str">
            <v>INCENTIVE</v>
          </cell>
        </row>
        <row r="16">
          <cell r="B16" t="str">
            <v>PROV. INCENTIVE MANAGEMENT AUG 05</v>
          </cell>
          <cell r="G16">
            <v>16977091</v>
          </cell>
        </row>
        <row r="17">
          <cell r="B17" t="str">
            <v>PROV. INCENTIVE SALESMEN S/D Feb 05</v>
          </cell>
          <cell r="G17">
            <v>10271036</v>
          </cell>
        </row>
        <row r="18">
          <cell r="B18" t="str">
            <v>PROV. INCENTIVE SALESMEN (Sukri)</v>
          </cell>
          <cell r="G18">
            <v>2411373</v>
          </cell>
        </row>
        <row r="19">
          <cell r="B19" t="str">
            <v>PROV. INCENTIVE SALESMEN (Awal)</v>
          </cell>
          <cell r="G19">
            <v>2042974</v>
          </cell>
        </row>
        <row r="20">
          <cell r="H20">
            <v>31702474</v>
          </cell>
        </row>
        <row r="21">
          <cell r="B21" t="str">
            <v>PROV. STAND BY SOPIR &amp; KERNET SEPT 05</v>
          </cell>
          <cell r="H21">
            <v>4055000</v>
          </cell>
        </row>
        <row r="22">
          <cell r="B22" t="str">
            <v>PROV. BIAYA THR SOPIR &amp; KERNET</v>
          </cell>
          <cell r="H22">
            <v>1445000</v>
          </cell>
        </row>
        <row r="23">
          <cell r="B23" t="str">
            <v>PROV. BIAYA AUDITOR MOORES ROWLAND</v>
          </cell>
          <cell r="H23">
            <v>25000000</v>
          </cell>
        </row>
        <row r="24">
          <cell r="B24" t="str">
            <v>PROV. PARCEL CUSTOMER</v>
          </cell>
          <cell r="H24">
            <v>41850000</v>
          </cell>
          <cell r="J24" t="str">
            <v>to-HH</v>
          </cell>
        </row>
        <row r="25">
          <cell r="B25" t="str">
            <v>PROV. BIAYA BUKA BERSAMA KARYAWAN</v>
          </cell>
          <cell r="H25">
            <v>805000</v>
          </cell>
        </row>
        <row r="26">
          <cell r="B26" t="str">
            <v>OTHERS</v>
          </cell>
        </row>
        <row r="27">
          <cell r="B27" t="str">
            <v>INTEREST LOAN 1 DAY1 TOTAL USD 250,000</v>
          </cell>
          <cell r="C27">
            <v>119.79</v>
          </cell>
          <cell r="D27" t="str">
            <v>X</v>
          </cell>
          <cell r="E27">
            <v>10075</v>
          </cell>
          <cell r="H27">
            <v>1206884.25</v>
          </cell>
          <cell r="I27" t="str">
            <v>Ë</v>
          </cell>
          <cell r="J27" t="str">
            <v>to-HH</v>
          </cell>
        </row>
        <row r="28">
          <cell r="B28" t="str">
            <v>INTEREST LOAN 0 DAY0 TOTAL USD 195,000</v>
          </cell>
          <cell r="D28" t="str">
            <v>X</v>
          </cell>
        </row>
        <row r="30">
          <cell r="A30">
            <v>4211</v>
          </cell>
          <cell r="B30" t="str">
            <v>SALARY OCTOBER</v>
          </cell>
          <cell r="H30">
            <v>14527400</v>
          </cell>
        </row>
        <row r="32">
          <cell r="A32">
            <v>4281</v>
          </cell>
          <cell r="B32" t="str">
            <v>PROV. LEBARAN MONTHLY EMPLOYEE</v>
          </cell>
          <cell r="C32">
            <v>1</v>
          </cell>
          <cell r="D32" t="str">
            <v>X</v>
          </cell>
          <cell r="H32">
            <v>0</v>
          </cell>
        </row>
        <row r="34">
          <cell r="A34">
            <v>4381</v>
          </cell>
          <cell r="B34" t="str">
            <v>JAMSOSTEK MONTLY EMPLOYEE</v>
          </cell>
          <cell r="C34">
            <v>1</v>
          </cell>
          <cell r="D34" t="str">
            <v>X</v>
          </cell>
          <cell r="E34">
            <v>1124087</v>
          </cell>
          <cell r="H34">
            <v>1124087</v>
          </cell>
          <cell r="I34" t="str">
            <v>Ë</v>
          </cell>
          <cell r="J34" t="str">
            <v>to-HH</v>
          </cell>
        </row>
        <row r="36">
          <cell r="A36">
            <v>4684</v>
          </cell>
          <cell r="B36" t="str">
            <v xml:space="preserve">TECHNICAL ASSISTANCE </v>
          </cell>
        </row>
        <row r="37">
          <cell r="B37" t="str">
            <v>COLAS SA, EUR 20,000  Jan'04</v>
          </cell>
          <cell r="C37">
            <v>1666</v>
          </cell>
          <cell r="E37">
            <v>10476.98</v>
          </cell>
          <cell r="G37">
            <v>17454649</v>
          </cell>
        </row>
        <row r="38">
          <cell r="B38" t="str">
            <v xml:space="preserve">COLAS SA, EUR 20,000  Feb'04 </v>
          </cell>
          <cell r="C38">
            <v>1666</v>
          </cell>
          <cell r="E38">
            <v>10513.15</v>
          </cell>
          <cell r="G38">
            <v>17514908</v>
          </cell>
        </row>
        <row r="39">
          <cell r="B39" t="str">
            <v>COLAS SA, EUR 20,000  Mar'04</v>
          </cell>
          <cell r="C39">
            <v>1666</v>
          </cell>
          <cell r="E39">
            <v>10486.89</v>
          </cell>
          <cell r="G39">
            <v>17471159</v>
          </cell>
        </row>
        <row r="40">
          <cell r="B40" t="str">
            <v>COLAS SA, EUR 20,000  Apr'04</v>
          </cell>
          <cell r="C40">
            <v>1666</v>
          </cell>
          <cell r="E40">
            <v>10368.530000000001</v>
          </cell>
          <cell r="G40">
            <v>17273971</v>
          </cell>
        </row>
        <row r="41">
          <cell r="B41" t="str">
            <v>COLAS SA, EUR 20,000  May'04</v>
          </cell>
          <cell r="C41">
            <v>1666</v>
          </cell>
          <cell r="E41">
            <v>11237.59</v>
          </cell>
          <cell r="G41">
            <v>18721825</v>
          </cell>
        </row>
        <row r="42">
          <cell r="B42" t="str">
            <v>COLAS SA, EUR 20,000  June'04</v>
          </cell>
          <cell r="C42">
            <v>1666</v>
          </cell>
          <cell r="E42">
            <v>11384.16</v>
          </cell>
          <cell r="G42">
            <v>18966011</v>
          </cell>
        </row>
        <row r="43">
          <cell r="B43" t="str">
            <v>COLAS SA, EUR 20,000  Juli'04</v>
          </cell>
          <cell r="C43">
            <v>1666</v>
          </cell>
          <cell r="E43">
            <v>11042.4</v>
          </cell>
          <cell r="G43">
            <v>18396638</v>
          </cell>
        </row>
        <row r="44">
          <cell r="B44" t="str">
            <v>COLAS SA, EUR 20,000  Agt'04</v>
          </cell>
          <cell r="C44">
            <v>1666</v>
          </cell>
          <cell r="E44">
            <v>11265.44</v>
          </cell>
          <cell r="G44">
            <v>18768223</v>
          </cell>
        </row>
        <row r="45">
          <cell r="B45" t="str">
            <v>COLAS SA, EUR 20,000  SEP.'04</v>
          </cell>
          <cell r="C45">
            <v>1666</v>
          </cell>
          <cell r="E45">
            <v>11301.58</v>
          </cell>
          <cell r="G45">
            <v>18828432</v>
          </cell>
        </row>
        <row r="46">
          <cell r="B46" t="str">
            <v>COLAS SA, EUR 20,000  OCT.'04</v>
          </cell>
          <cell r="C46">
            <v>1666</v>
          </cell>
          <cell r="E46">
            <v>11582.03</v>
          </cell>
          <cell r="G46">
            <v>19295662</v>
          </cell>
        </row>
        <row r="47">
          <cell r="B47" t="str">
            <v>COLAS SA, EUR 20,000  NOV.'04</v>
          </cell>
          <cell r="C47">
            <v>1666</v>
          </cell>
          <cell r="E47">
            <v>11951.11</v>
          </cell>
          <cell r="G47">
            <v>19910549</v>
          </cell>
        </row>
        <row r="48">
          <cell r="H48">
            <v>202602027</v>
          </cell>
          <cell r="J48" t="str">
            <v>to-HH</v>
          </cell>
        </row>
        <row r="58">
          <cell r="B58" t="str">
            <v xml:space="preserve"> TOTAL :</v>
          </cell>
          <cell r="H58">
            <v>262115398.25</v>
          </cell>
        </row>
        <row r="59">
          <cell r="H59" t="str">
            <v>^</v>
          </cell>
        </row>
        <row r="62">
          <cell r="A62" t="str">
            <v>Legends :</v>
          </cell>
        </row>
        <row r="63">
          <cell r="A63" t="str">
            <v>Ë</v>
          </cell>
          <cell r="B63" t="str">
            <v>Calculation Verified</v>
          </cell>
        </row>
        <row r="64">
          <cell r="A64" t="str">
            <v>^</v>
          </cell>
          <cell r="B64" t="str">
            <v>Footed</v>
          </cell>
        </row>
      </sheetData>
      <sheetData sheetId="67">
        <row r="3">
          <cell r="F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>
            <v>38348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Defered Tax Assets</v>
          </cell>
        </row>
        <row r="11">
          <cell r="A11" t="str">
            <v>Account No.</v>
          </cell>
          <cell r="B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Mutation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4">
          <cell r="A14">
            <v>4473</v>
          </cell>
          <cell r="B14" t="str">
            <v>Deferred Tax</v>
          </cell>
          <cell r="D14">
            <v>2231326</v>
          </cell>
          <cell r="E14" t="str">
            <v>ü</v>
          </cell>
          <cell r="H14">
            <v>2231326</v>
          </cell>
        </row>
        <row r="16">
          <cell r="B16" t="str">
            <v>Total</v>
          </cell>
          <cell r="D16">
            <v>2231326</v>
          </cell>
          <cell r="H16">
            <v>2231326</v>
          </cell>
        </row>
        <row r="17">
          <cell r="D17" t="str">
            <v>^</v>
          </cell>
          <cell r="H17" t="str">
            <v>^</v>
          </cell>
        </row>
        <row r="18">
          <cell r="A18" t="str">
            <v>Nature of Account :</v>
          </cell>
        </row>
        <row r="20">
          <cell r="A20" t="str">
            <v>Deferred tax assets berasal dari perbedaan jumlah book value dari pre operating expense karena perusahaan mengamortisasi</v>
          </cell>
        </row>
        <row r="21">
          <cell r="A21" t="str">
            <v>pre operating expense selama 3 tahun, sedangkan menurut fiscal pre operating expense diamortisasi selama 4 tahun</v>
          </cell>
        </row>
        <row r="22">
          <cell r="A22" t="str">
            <v>sehingga book value dari preoperating expense menurut perhitungan company lebih besar dibanding perhitungan fiscal</v>
          </cell>
        </row>
        <row r="24">
          <cell r="A24" t="str">
            <v xml:space="preserve">Notes: untuk perhitungan DTA see JJ-1 </v>
          </cell>
        </row>
        <row r="27">
          <cell r="A27" t="str">
            <v>Legends:</v>
          </cell>
          <cell r="B27" t="str">
            <v>&lt;</v>
          </cell>
          <cell r="C27" t="str">
            <v>cross footing</v>
          </cell>
        </row>
        <row r="28">
          <cell r="B28" t="str">
            <v>^</v>
          </cell>
          <cell r="C28" t="str">
            <v>footing</v>
          </cell>
        </row>
        <row r="29">
          <cell r="B29" t="str">
            <v>ü</v>
          </cell>
          <cell r="C29" t="str">
            <v>agree with G/L</v>
          </cell>
        </row>
      </sheetData>
      <sheetData sheetId="68">
        <row r="1">
          <cell r="A1" t="str">
            <v>PT. SARANARAYA REKA CIPTA</v>
          </cell>
          <cell r="J1" t="str">
            <v>JJ-1</v>
          </cell>
        </row>
        <row r="2">
          <cell r="A2" t="str">
            <v>Deferred Tax Liabilities</v>
          </cell>
        </row>
        <row r="5">
          <cell r="A5" t="str">
            <v>Account</v>
          </cell>
          <cell r="B5" t="str">
            <v>Balance audited</v>
          </cell>
          <cell r="D5" t="str">
            <v>Balance</v>
          </cell>
          <cell r="G5" t="str">
            <v>DTA</v>
          </cell>
          <cell r="H5" t="str">
            <v>DTL</v>
          </cell>
        </row>
        <row r="6">
          <cell r="B6">
            <v>38351</v>
          </cell>
          <cell r="D6">
            <v>38351</v>
          </cell>
          <cell r="F6" t="str">
            <v>Difference</v>
          </cell>
          <cell r="G6">
            <v>0.3</v>
          </cell>
          <cell r="H6">
            <v>0.3</v>
          </cell>
        </row>
        <row r="7">
          <cell r="B7" t="str">
            <v>Per Accounting</v>
          </cell>
          <cell r="D7" t="str">
            <v>Per Fiscal</v>
          </cell>
        </row>
        <row r="10">
          <cell r="A10" t="str">
            <v>Preoperating expenses</v>
          </cell>
          <cell r="B10">
            <v>29084028</v>
          </cell>
          <cell r="D10">
            <v>59206771</v>
          </cell>
          <cell r="F10">
            <v>30122743</v>
          </cell>
          <cell r="G10">
            <v>9036822.9000000004</v>
          </cell>
        </row>
        <row r="13">
          <cell r="A13" t="str">
            <v>Cadangan Manfaat Karyawan</v>
          </cell>
          <cell r="B13">
            <v>10189961</v>
          </cell>
          <cell r="D13">
            <v>0</v>
          </cell>
          <cell r="F13">
            <v>10189961</v>
          </cell>
          <cell r="G13">
            <v>3056988.3</v>
          </cell>
        </row>
        <row r="15">
          <cell r="G15">
            <v>12093811.199999999</v>
          </cell>
          <cell r="H15">
            <v>0</v>
          </cell>
        </row>
        <row r="16">
          <cell r="G16" t="str">
            <v>^</v>
          </cell>
        </row>
        <row r="17">
          <cell r="A17" t="str">
            <v>Net</v>
          </cell>
          <cell r="H17">
            <v>12093811.199999999</v>
          </cell>
          <cell r="J17" t="str">
            <v>DTA</v>
          </cell>
        </row>
        <row r="19">
          <cell r="A19" t="str">
            <v>Per book</v>
          </cell>
          <cell r="H19">
            <v>2542941</v>
          </cell>
          <cell r="J19" t="str">
            <v>DTA</v>
          </cell>
        </row>
        <row r="21">
          <cell r="A21" t="str">
            <v>Difference</v>
          </cell>
          <cell r="H21">
            <v>9550870.1999999993</v>
          </cell>
        </row>
        <row r="22">
          <cell r="H22" t="str">
            <v>^</v>
          </cell>
        </row>
        <row r="26">
          <cell r="B26" t="str">
            <v>AJE</v>
          </cell>
        </row>
        <row r="28">
          <cell r="B28" t="str">
            <v>dr DTA</v>
          </cell>
          <cell r="G28">
            <v>9550870.1999999993</v>
          </cell>
        </row>
        <row r="29">
          <cell r="D29" t="str">
            <v>cr DTL</v>
          </cell>
          <cell r="H29">
            <v>9550870.1999999993</v>
          </cell>
        </row>
        <row r="32">
          <cell r="A32" t="str">
            <v>Legends :</v>
          </cell>
        </row>
        <row r="33">
          <cell r="A33" t="str">
            <v>^</v>
          </cell>
          <cell r="B33" t="str">
            <v>Footed</v>
          </cell>
        </row>
      </sheetData>
      <sheetData sheetId="69">
        <row r="3">
          <cell r="C3">
            <v>0</v>
          </cell>
        </row>
        <row r="4">
          <cell r="A4" t="str">
            <v>Client:</v>
          </cell>
          <cell r="B4" t="str">
            <v>PT Saranaraya Reka Cipta</v>
          </cell>
          <cell r="G4" t="str">
            <v>Prepared by:</v>
          </cell>
          <cell r="H4" t="str">
            <v>Date:</v>
          </cell>
          <cell r="I4" t="str">
            <v>KK</v>
          </cell>
        </row>
        <row r="5">
          <cell r="G5" t="str">
            <v>MIR</v>
          </cell>
          <cell r="H5" t="str">
            <v>27/12/04</v>
          </cell>
        </row>
        <row r="6">
          <cell r="A6" t="str">
            <v>Period Ended:</v>
          </cell>
          <cell r="B6" t="str">
            <v>November 30, 2004</v>
          </cell>
          <cell r="G6" t="str">
            <v>Reviewed by:</v>
          </cell>
          <cell r="H6" t="str">
            <v>Date:</v>
          </cell>
        </row>
        <row r="8">
          <cell r="A8" t="str">
            <v>Lead Schedule:</v>
          </cell>
          <cell r="B8" t="str">
            <v>Equity and Statutory Records</v>
          </cell>
        </row>
        <row r="11">
          <cell r="A11" t="str">
            <v>Account No.</v>
          </cell>
          <cell r="B11" t="str">
            <v>Account Description</v>
          </cell>
          <cell r="C11" t="str">
            <v>WP Reff</v>
          </cell>
          <cell r="D11" t="str">
            <v>Balance Perbook</v>
          </cell>
          <cell r="F11" t="str">
            <v>PAJE/PRJE</v>
          </cell>
          <cell r="H11" t="str">
            <v>Audit Balance</v>
          </cell>
          <cell r="I11" t="str">
            <v>Mutation</v>
          </cell>
        </row>
        <row r="12">
          <cell r="D12" t="str">
            <v>Draft</v>
          </cell>
          <cell r="F12" t="str">
            <v>Dr</v>
          </cell>
          <cell r="G12" t="str">
            <v>Cr</v>
          </cell>
          <cell r="H12" t="str">
            <v>Nov 30, 2004</v>
          </cell>
          <cell r="I12" t="str">
            <v>Dr</v>
          </cell>
          <cell r="J12" t="str">
            <v>Cr</v>
          </cell>
        </row>
        <row r="13">
          <cell r="B13" t="str">
            <v>Share Capital</v>
          </cell>
          <cell r="D13">
            <v>0</v>
          </cell>
        </row>
        <row r="14">
          <cell r="B14" t="str">
            <v>PT Asphalt Bangun  Sarana</v>
          </cell>
          <cell r="D14">
            <v>10475100000</v>
          </cell>
          <cell r="E14" t="str">
            <v>ü</v>
          </cell>
          <cell r="H14">
            <v>10475100000</v>
          </cell>
        </row>
        <row r="16">
          <cell r="B16" t="str">
            <v>S. Prabowo</v>
          </cell>
          <cell r="D16">
            <v>1500000</v>
          </cell>
          <cell r="E16" t="str">
            <v>ü</v>
          </cell>
          <cell r="H16">
            <v>1500000</v>
          </cell>
        </row>
        <row r="17">
          <cell r="H17">
            <v>0</v>
          </cell>
        </row>
        <row r="18">
          <cell r="B18" t="str">
            <v>Total</v>
          </cell>
          <cell r="D18">
            <v>10476600000</v>
          </cell>
          <cell r="F18">
            <v>0</v>
          </cell>
          <cell r="G18">
            <v>0</v>
          </cell>
          <cell r="H18">
            <v>10476600000</v>
          </cell>
        </row>
        <row r="19">
          <cell r="D19" t="str">
            <v>^</v>
          </cell>
          <cell r="H19" t="str">
            <v>^</v>
          </cell>
        </row>
        <row r="21">
          <cell r="A21" t="str">
            <v>Nature of account:</v>
          </cell>
        </row>
        <row r="22">
          <cell r="A22" t="str">
            <v>Merupakan kepemilikan saham PT. SRC oleh PT. Aspal Bangun Sarana sebanyak 99.99%</v>
          </cell>
        </row>
        <row r="23">
          <cell r="A23" t="str">
            <v>dan Tn. S. Prabowo sebanyak 0.01%</v>
          </cell>
        </row>
        <row r="24">
          <cell r="A24" t="str">
            <v>Atas akun ini tidak ada movement di tahun 2004</v>
          </cell>
        </row>
        <row r="26">
          <cell r="A26" t="str">
            <v>Audit Procedures :</v>
          </cell>
        </row>
        <row r="27">
          <cell r="A27" t="str">
            <v>1. Nature of accounts</v>
          </cell>
          <cell r="D27" t="str">
            <v>KK</v>
          </cell>
        </row>
        <row r="28">
          <cell r="A28" t="str">
            <v>2. Check to agreement</v>
          </cell>
        </row>
        <row r="29">
          <cell r="A29" t="str">
            <v>3. Prepare and sent confirmation to shareholder</v>
          </cell>
        </row>
        <row r="32">
          <cell r="A32" t="str">
            <v xml:space="preserve">Conclusion: </v>
          </cell>
          <cell r="B32" t="str">
            <v>Based on our audit procedure, we convince that this account is free from material misstatement.</v>
          </cell>
        </row>
        <row r="34">
          <cell r="A34" t="str">
            <v>Legends:</v>
          </cell>
        </row>
        <row r="35">
          <cell r="A35" t="str">
            <v>&lt;</v>
          </cell>
          <cell r="B35" t="str">
            <v>cross footing</v>
          </cell>
        </row>
        <row r="36">
          <cell r="A36" t="str">
            <v>^</v>
          </cell>
          <cell r="B36" t="str">
            <v>footing</v>
          </cell>
        </row>
        <row r="37">
          <cell r="A37" t="str">
            <v>ü</v>
          </cell>
          <cell r="B37" t="str">
            <v>agree with G/L</v>
          </cell>
        </row>
        <row r="42">
          <cell r="B42">
            <v>0</v>
          </cell>
        </row>
      </sheetData>
      <sheetData sheetId="70">
        <row r="3">
          <cell r="E3">
            <v>0</v>
          </cell>
        </row>
        <row r="4">
          <cell r="A4" t="str">
            <v>Client:</v>
          </cell>
          <cell r="B4" t="str">
            <v>PT Saranaraya Reka Cipta</v>
          </cell>
          <cell r="I4" t="str">
            <v>Prepared by:</v>
          </cell>
          <cell r="J4" t="str">
            <v>Date:</v>
          </cell>
        </row>
        <row r="5">
          <cell r="I5" t="str">
            <v>MIR</v>
          </cell>
          <cell r="J5" t="str">
            <v>24/12/2004</v>
          </cell>
        </row>
        <row r="6">
          <cell r="A6" t="str">
            <v>Period Ended:</v>
          </cell>
          <cell r="B6" t="str">
            <v>Desember 31, 2004</v>
          </cell>
          <cell r="I6" t="str">
            <v>Reviewed by:</v>
          </cell>
          <cell r="J6" t="str">
            <v>Date:</v>
          </cell>
        </row>
        <row r="8">
          <cell r="A8" t="str">
            <v>Lead Schedule:</v>
          </cell>
          <cell r="B8" t="str">
            <v>Revenue</v>
          </cell>
        </row>
        <row r="11">
          <cell r="A11" t="str">
            <v>Account Description</v>
          </cell>
          <cell r="E11" t="str">
            <v>WP</v>
          </cell>
          <cell r="F11" t="str">
            <v>Balance</v>
          </cell>
          <cell r="H11" t="str">
            <v xml:space="preserve">         PAJE/PRJE</v>
          </cell>
          <cell r="J11" t="str">
            <v>Audited</v>
          </cell>
        </row>
        <row r="12">
          <cell r="F12" t="str">
            <v>per Book</v>
          </cell>
          <cell r="H12" t="str">
            <v>Dr</v>
          </cell>
          <cell r="I12" t="str">
            <v>Cr</v>
          </cell>
          <cell r="J12" t="str">
            <v>Balance</v>
          </cell>
        </row>
        <row r="13">
          <cell r="E13" t="str">
            <v>Ref</v>
          </cell>
          <cell r="F13" t="str">
            <v>Nov 30, 2004</v>
          </cell>
          <cell r="J13" t="str">
            <v>Nov 30, 2004</v>
          </cell>
        </row>
        <row r="14">
          <cell r="J14">
            <v>0</v>
          </cell>
        </row>
        <row r="15">
          <cell r="A15" t="str">
            <v>Sales of Asphalt</v>
          </cell>
          <cell r="E15" t="str">
            <v>10-1</v>
          </cell>
          <cell r="F15">
            <v>10442536057</v>
          </cell>
          <cell r="G15" t="str">
            <v>ü</v>
          </cell>
          <cell r="J15">
            <v>10442536057</v>
          </cell>
        </row>
        <row r="16">
          <cell r="J16">
            <v>0</v>
          </cell>
        </row>
        <row r="17">
          <cell r="A17" t="str">
            <v>Total</v>
          </cell>
          <cell r="F17">
            <v>10442536057</v>
          </cell>
          <cell r="G17" t="str">
            <v>ü</v>
          </cell>
          <cell r="H17">
            <v>0</v>
          </cell>
          <cell r="I17">
            <v>0</v>
          </cell>
          <cell r="J17">
            <v>10442536057</v>
          </cell>
        </row>
        <row r="19">
          <cell r="A19" t="str">
            <v>Nature of account:</v>
          </cell>
        </row>
        <row r="20">
          <cell r="A20" t="str">
            <v xml:space="preserve">Sales of Asphalt represent net sales PT. Saranaraya Reka Cipta from they resulting to sell asphalt for their cutomer. </v>
          </cell>
        </row>
        <row r="22">
          <cell r="A22" t="str">
            <v>Audit procedures:</v>
          </cell>
        </row>
        <row r="24">
          <cell r="A24" t="str">
            <v xml:space="preserve">1. Test the balance to customer orders, delivery order and sales invoices </v>
          </cell>
        </row>
        <row r="25">
          <cell r="A25" t="str">
            <v xml:space="preserve">    'for some customers which have material balance</v>
          </cell>
          <cell r="G25" t="str">
            <v>10-1-1</v>
          </cell>
        </row>
        <row r="26">
          <cell r="A26" t="str">
            <v xml:space="preserve">2. Test  cut-off sales and ensure all sales have been recorded at the proper period </v>
          </cell>
        </row>
        <row r="27">
          <cell r="A27" t="str">
            <v>3. Perform analytical review and discuss with client for further clarification if necessary</v>
          </cell>
        </row>
        <row r="29">
          <cell r="A29" t="str">
            <v>Workdone:</v>
          </cell>
        </row>
        <row r="30">
          <cell r="A30" t="str">
            <v>1. Obtain detail of sales permonth</v>
          </cell>
          <cell r="J30" t="str">
            <v>10-1</v>
          </cell>
        </row>
        <row r="31">
          <cell r="A31" t="str">
            <v xml:space="preserve">2. Test of details of sales to supporting document </v>
          </cell>
          <cell r="J31" t="str">
            <v>10-1-1</v>
          </cell>
        </row>
        <row r="32">
          <cell r="A32" t="str">
            <v xml:space="preserve">3. We've performed cut off test- sales and we believe that all sales have been recorded  </v>
          </cell>
        </row>
        <row r="33">
          <cell r="A33" t="str">
            <v xml:space="preserve">    'in the correct period</v>
          </cell>
          <cell r="J33" t="str">
            <v>10-3</v>
          </cell>
        </row>
        <row r="34">
          <cell r="A34" t="str">
            <v>4. Vouching sales for September 2004</v>
          </cell>
          <cell r="J34" t="str">
            <v>10-1-1</v>
          </cell>
        </row>
        <row r="36">
          <cell r="A36" t="str">
            <v>Legends:</v>
          </cell>
        </row>
        <row r="37">
          <cell r="A37" t="str">
            <v>&lt;</v>
          </cell>
          <cell r="B37" t="str">
            <v>cross footing</v>
          </cell>
        </row>
        <row r="38">
          <cell r="A38" t="str">
            <v>^</v>
          </cell>
          <cell r="B38" t="str">
            <v>footing</v>
          </cell>
        </row>
        <row r="39">
          <cell r="A39" t="str">
            <v>ü</v>
          </cell>
          <cell r="B39" t="str">
            <v>agree with G/L</v>
          </cell>
        </row>
      </sheetData>
      <sheetData sheetId="71">
        <row r="2">
          <cell r="A2">
            <v>0</v>
          </cell>
        </row>
        <row r="3">
          <cell r="E3" t="str">
            <v>Prepared by:</v>
          </cell>
          <cell r="F3" t="str">
            <v>Date:</v>
          </cell>
          <cell r="G3" t="str">
            <v>10 - 1</v>
          </cell>
        </row>
        <row r="4">
          <cell r="E4" t="str">
            <v>MIR</v>
          </cell>
          <cell r="F4">
            <v>38334</v>
          </cell>
        </row>
        <row r="6">
          <cell r="A6" t="str">
            <v>Client:</v>
          </cell>
          <cell r="B6" t="str">
            <v>PT Saranaraya Reka Cipta</v>
          </cell>
          <cell r="E6" t="str">
            <v>Reviewed by:</v>
          </cell>
          <cell r="F6" t="str">
            <v>Date:</v>
          </cell>
          <cell r="H6" t="str">
            <v>Page 1 of 1</v>
          </cell>
        </row>
        <row r="8">
          <cell r="A8" t="str">
            <v>Period Ended:</v>
          </cell>
          <cell r="B8" t="str">
            <v>December 31, 2004</v>
          </cell>
        </row>
        <row r="10">
          <cell r="A10" t="str">
            <v>Objectives:</v>
          </cell>
          <cell r="B10" t="str">
            <v>Check existence and measurement of Sales - Asphalt</v>
          </cell>
        </row>
        <row r="12">
          <cell r="A12" t="str">
            <v>Workdone</v>
          </cell>
          <cell r="B12" t="str">
            <v>Recapitulation of Sales per month - 2004</v>
          </cell>
        </row>
        <row r="14">
          <cell r="A14" t="str">
            <v>Month</v>
          </cell>
          <cell r="B14" t="str">
            <v>Tonase</v>
          </cell>
          <cell r="C14" t="str">
            <v xml:space="preserve">Amount </v>
          </cell>
          <cell r="E14" t="str">
            <v>VAT</v>
          </cell>
          <cell r="F14" t="str">
            <v>Total</v>
          </cell>
        </row>
        <row r="15">
          <cell r="C15" t="str">
            <v>in Rupiah</v>
          </cell>
        </row>
        <row r="16">
          <cell r="A16" t="str">
            <v>January</v>
          </cell>
          <cell r="B16">
            <v>794.59</v>
          </cell>
          <cell r="C16">
            <v>1738951147</v>
          </cell>
          <cell r="E16">
            <v>173895113</v>
          </cell>
          <cell r="F16">
            <v>1912846260</v>
          </cell>
          <cell r="G16" t="str">
            <v>&lt;</v>
          </cell>
        </row>
        <row r="18">
          <cell r="A18" t="str">
            <v>February</v>
          </cell>
          <cell r="B18">
            <v>504.6</v>
          </cell>
          <cell r="C18">
            <v>1135754672</v>
          </cell>
          <cell r="E18">
            <v>113575468</v>
          </cell>
          <cell r="F18">
            <v>1249330140</v>
          </cell>
          <cell r="G18" t="str">
            <v>&lt;</v>
          </cell>
        </row>
        <row r="20">
          <cell r="A20" t="str">
            <v>March</v>
          </cell>
          <cell r="B20">
            <v>353.51</v>
          </cell>
          <cell r="C20">
            <v>793031546</v>
          </cell>
          <cell r="E20">
            <v>79303154</v>
          </cell>
          <cell r="F20">
            <v>872334700</v>
          </cell>
          <cell r="G20" t="str">
            <v>&lt;</v>
          </cell>
        </row>
        <row r="22">
          <cell r="A22" t="str">
            <v>April</v>
          </cell>
          <cell r="B22">
            <v>208.05</v>
          </cell>
          <cell r="C22">
            <v>459805082</v>
          </cell>
          <cell r="E22">
            <v>45980508</v>
          </cell>
          <cell r="F22">
            <v>505785590</v>
          </cell>
          <cell r="G22" t="str">
            <v>&lt;</v>
          </cell>
        </row>
        <row r="24">
          <cell r="A24" t="str">
            <v>May</v>
          </cell>
          <cell r="B24">
            <v>222.31</v>
          </cell>
          <cell r="C24">
            <v>494799082</v>
          </cell>
          <cell r="E24">
            <v>49479908</v>
          </cell>
          <cell r="F24">
            <v>544278990</v>
          </cell>
          <cell r="G24" t="str">
            <v>&lt;</v>
          </cell>
        </row>
        <row r="26">
          <cell r="A26" t="str">
            <v>June</v>
          </cell>
          <cell r="B26">
            <v>246.63</v>
          </cell>
          <cell r="C26">
            <v>533774117</v>
          </cell>
          <cell r="E26">
            <v>53377413</v>
          </cell>
          <cell r="F26">
            <v>587151530</v>
          </cell>
          <cell r="G26" t="str">
            <v>&lt;</v>
          </cell>
        </row>
        <row r="28">
          <cell r="A28" t="str">
            <v>July</v>
          </cell>
          <cell r="B28">
            <v>241.11</v>
          </cell>
          <cell r="C28">
            <v>559959217</v>
          </cell>
          <cell r="E28">
            <v>55995923</v>
          </cell>
          <cell r="F28">
            <v>615955140</v>
          </cell>
          <cell r="G28" t="str">
            <v>&lt;</v>
          </cell>
        </row>
        <row r="30">
          <cell r="A30" t="str">
            <v>August</v>
          </cell>
          <cell r="B30">
            <v>430.81</v>
          </cell>
          <cell r="C30">
            <v>973399319</v>
          </cell>
          <cell r="E30">
            <v>97339931</v>
          </cell>
          <cell r="F30">
            <v>1070739250</v>
          </cell>
          <cell r="G30" t="str">
            <v>&lt;</v>
          </cell>
        </row>
        <row r="32">
          <cell r="A32" t="str">
            <v>September</v>
          </cell>
          <cell r="B32">
            <v>768.52</v>
          </cell>
          <cell r="C32">
            <v>1686053147</v>
          </cell>
          <cell r="D32" t="str">
            <v>See 10-1-1</v>
          </cell>
          <cell r="E32">
            <v>168605313</v>
          </cell>
          <cell r="F32">
            <v>1854658460</v>
          </cell>
          <cell r="G32" t="str">
            <v>&lt;</v>
          </cell>
        </row>
        <row r="34">
          <cell r="A34" t="str">
            <v>October</v>
          </cell>
          <cell r="B34">
            <v>553.05999999999995</v>
          </cell>
          <cell r="C34">
            <v>1227937046</v>
          </cell>
          <cell r="E34">
            <v>122793704</v>
          </cell>
          <cell r="F34">
            <v>1350730750</v>
          </cell>
          <cell r="G34" t="str">
            <v>&lt;</v>
          </cell>
        </row>
        <row r="36">
          <cell r="A36" t="str">
            <v>November</v>
          </cell>
          <cell r="B36">
            <v>369.69</v>
          </cell>
          <cell r="C36">
            <v>839071682</v>
          </cell>
          <cell r="E36">
            <v>83907168</v>
          </cell>
          <cell r="F36">
            <v>922978850</v>
          </cell>
          <cell r="G36" t="str">
            <v>&lt;</v>
          </cell>
        </row>
        <row r="38">
          <cell r="A38" t="str">
            <v>Desember</v>
          </cell>
          <cell r="B38">
            <v>486.49</v>
          </cell>
          <cell r="C38">
            <v>1077689207</v>
          </cell>
          <cell r="E38">
            <v>107768923</v>
          </cell>
          <cell r="F38">
            <v>1185458130</v>
          </cell>
        </row>
        <row r="39">
          <cell r="A39" t="str">
            <v>TOTAL</v>
          </cell>
          <cell r="B39">
            <v>4692.88</v>
          </cell>
          <cell r="C39">
            <v>11520225264</v>
          </cell>
          <cell r="E39">
            <v>1152022526</v>
          </cell>
          <cell r="F39">
            <v>12672247790</v>
          </cell>
        </row>
        <row r="40">
          <cell r="C40" t="str">
            <v>^</v>
          </cell>
          <cell r="E40" t="str">
            <v>^</v>
          </cell>
          <cell r="F40" t="str">
            <v>^</v>
          </cell>
        </row>
        <row r="43">
          <cell r="A43" t="str">
            <v>Legends :</v>
          </cell>
        </row>
        <row r="44">
          <cell r="A44" t="str">
            <v>Vo</v>
          </cell>
          <cell r="B44" t="str">
            <v>Receipts,Invoice, Faktur Pajak standar, Delivery Order, Data timbang aspal</v>
          </cell>
        </row>
        <row r="45">
          <cell r="A45" t="str">
            <v>^</v>
          </cell>
          <cell r="B45" t="str">
            <v>Footed</v>
          </cell>
        </row>
        <row r="46">
          <cell r="A46" t="str">
            <v>&lt;</v>
          </cell>
          <cell r="B46" t="str">
            <v>Cross footed</v>
          </cell>
        </row>
      </sheetData>
      <sheetData sheetId="72">
        <row r="2">
          <cell r="A2">
            <v>0</v>
          </cell>
          <cell r="E2" t="str">
            <v>Prepared by:</v>
          </cell>
          <cell r="F2" t="str">
            <v>Date:</v>
          </cell>
          <cell r="G2" t="str">
            <v>10-1-1</v>
          </cell>
        </row>
        <row r="3">
          <cell r="E3" t="str">
            <v>MIR</v>
          </cell>
          <cell r="F3" t="str">
            <v>13 Nov 2004</v>
          </cell>
        </row>
        <row r="5">
          <cell r="E5" t="str">
            <v>Reviewed by:</v>
          </cell>
          <cell r="F5" t="str">
            <v>Date:</v>
          </cell>
        </row>
        <row r="6">
          <cell r="A6" t="str">
            <v>Client:</v>
          </cell>
          <cell r="B6" t="str">
            <v>PT Saranaraya Reka Cipta</v>
          </cell>
        </row>
        <row r="8">
          <cell r="A8" t="str">
            <v>Period Ended:</v>
          </cell>
          <cell r="B8" t="str">
            <v>Desember 31, 2004</v>
          </cell>
        </row>
        <row r="10">
          <cell r="A10" t="str">
            <v>Objectives:</v>
          </cell>
          <cell r="B10" t="str">
            <v xml:space="preserve">Check existence and measurement of Sales -miscellaneous </v>
          </cell>
        </row>
        <row r="12">
          <cell r="A12" t="str">
            <v>Workdone:</v>
          </cell>
          <cell r="B12" t="str">
            <v>Voiching sales at September 30, 2004 per Customer</v>
          </cell>
        </row>
        <row r="16">
          <cell r="A16" t="str">
            <v>PT. Widya Sapta Colas</v>
          </cell>
        </row>
        <row r="17">
          <cell r="A17" t="str">
            <v>Invoice No.</v>
          </cell>
          <cell r="B17" t="str">
            <v>DO No.</v>
          </cell>
          <cell r="C17" t="str">
            <v>Date of DO</v>
          </cell>
          <cell r="D17" t="str">
            <v>Date of Invoice</v>
          </cell>
          <cell r="E17" t="str">
            <v>Amount in Rp.</v>
          </cell>
          <cell r="F17" t="str">
            <v>VAT-out</v>
          </cell>
          <cell r="G17" t="str">
            <v>Total</v>
          </cell>
        </row>
        <row r="18">
          <cell r="A18">
            <v>185</v>
          </cell>
          <cell r="B18">
            <v>1211</v>
          </cell>
          <cell r="C18">
            <v>38234</v>
          </cell>
          <cell r="D18">
            <v>38236</v>
          </cell>
          <cell r="E18">
            <v>65855273</v>
          </cell>
          <cell r="F18">
            <v>6585527</v>
          </cell>
          <cell r="G18">
            <v>72440800</v>
          </cell>
          <cell r="H18" t="str">
            <v>Vo</v>
          </cell>
        </row>
        <row r="19">
          <cell r="B19">
            <v>1213</v>
          </cell>
          <cell r="C19">
            <v>38234</v>
          </cell>
        </row>
        <row r="20">
          <cell r="B20">
            <v>1214</v>
          </cell>
          <cell r="C20">
            <v>38234</v>
          </cell>
        </row>
        <row r="21">
          <cell r="A21">
            <v>196</v>
          </cell>
          <cell r="B21">
            <v>1236</v>
          </cell>
          <cell r="C21">
            <v>38245</v>
          </cell>
          <cell r="D21">
            <v>38246</v>
          </cell>
          <cell r="E21">
            <v>65652364</v>
          </cell>
          <cell r="F21">
            <v>6565236</v>
          </cell>
          <cell r="G21">
            <v>72217600</v>
          </cell>
          <cell r="H21" t="str">
            <v>Vo</v>
          </cell>
        </row>
        <row r="22">
          <cell r="B22">
            <v>1238</v>
          </cell>
          <cell r="C22">
            <v>38245</v>
          </cell>
        </row>
        <row r="23">
          <cell r="B23">
            <v>1240</v>
          </cell>
          <cell r="C23">
            <v>38245</v>
          </cell>
        </row>
        <row r="24">
          <cell r="A24">
            <v>207</v>
          </cell>
          <cell r="B24">
            <v>1258</v>
          </cell>
          <cell r="C24">
            <v>38253</v>
          </cell>
          <cell r="D24">
            <v>38253</v>
          </cell>
          <cell r="E24">
            <v>65652364</v>
          </cell>
          <cell r="F24">
            <v>6565236</v>
          </cell>
          <cell r="G24">
            <v>72217600</v>
          </cell>
          <cell r="H24" t="str">
            <v>Vo</v>
          </cell>
        </row>
        <row r="25">
          <cell r="B25">
            <v>1259</v>
          </cell>
          <cell r="C25">
            <v>38253</v>
          </cell>
        </row>
        <row r="26">
          <cell r="B26">
            <v>1260</v>
          </cell>
          <cell r="C26">
            <v>38253</v>
          </cell>
        </row>
        <row r="27">
          <cell r="A27">
            <v>214</v>
          </cell>
          <cell r="B27">
            <v>1274</v>
          </cell>
          <cell r="C27">
            <v>38259</v>
          </cell>
          <cell r="D27">
            <v>38259</v>
          </cell>
          <cell r="E27">
            <v>64840727</v>
          </cell>
          <cell r="F27">
            <v>6484073</v>
          </cell>
          <cell r="G27">
            <v>71324800</v>
          </cell>
          <cell r="H27" t="str">
            <v>Vo</v>
          </cell>
        </row>
        <row r="28">
          <cell r="B28">
            <v>1275</v>
          </cell>
          <cell r="C28">
            <v>38259</v>
          </cell>
        </row>
        <row r="29">
          <cell r="B29">
            <v>1276</v>
          </cell>
          <cell r="C29">
            <v>38259</v>
          </cell>
        </row>
        <row r="30">
          <cell r="E30">
            <v>262000728</v>
          </cell>
          <cell r="F30">
            <v>26200072</v>
          </cell>
          <cell r="G30">
            <v>288200800</v>
          </cell>
        </row>
        <row r="31">
          <cell r="E31" t="str">
            <v>^</v>
          </cell>
          <cell r="F31" t="str">
            <v>^</v>
          </cell>
          <cell r="G31" t="str">
            <v>^</v>
          </cell>
        </row>
        <row r="32">
          <cell r="A32" t="str">
            <v>PT. Anugerah Jaya</v>
          </cell>
        </row>
        <row r="33">
          <cell r="A33" t="str">
            <v>Invoice No.</v>
          </cell>
          <cell r="B33" t="str">
            <v>DO No.</v>
          </cell>
          <cell r="C33" t="str">
            <v>Date of DO</v>
          </cell>
          <cell r="D33" t="str">
            <v>Date of Invoice</v>
          </cell>
          <cell r="E33" t="str">
            <v>Amount in Rp.</v>
          </cell>
          <cell r="F33" t="str">
            <v>VAT-out</v>
          </cell>
          <cell r="G33" t="str">
            <v>Total</v>
          </cell>
        </row>
        <row r="34">
          <cell r="A34">
            <v>181</v>
          </cell>
          <cell r="B34">
            <v>1205</v>
          </cell>
          <cell r="C34">
            <v>38233</v>
          </cell>
          <cell r="D34">
            <v>38236</v>
          </cell>
          <cell r="E34">
            <v>24771400</v>
          </cell>
          <cell r="F34">
            <v>2477140</v>
          </cell>
          <cell r="G34">
            <v>27248540</v>
          </cell>
          <cell r="H34" t="str">
            <v>Vo</v>
          </cell>
        </row>
        <row r="35">
          <cell r="A35">
            <v>187</v>
          </cell>
          <cell r="B35">
            <v>1217</v>
          </cell>
          <cell r="C35">
            <v>38236</v>
          </cell>
          <cell r="D35">
            <v>38237</v>
          </cell>
          <cell r="E35">
            <v>48973100</v>
          </cell>
          <cell r="F35">
            <v>4897310</v>
          </cell>
          <cell r="G35">
            <v>53870410</v>
          </cell>
          <cell r="H35" t="str">
            <v>Vo</v>
          </cell>
        </row>
        <row r="36">
          <cell r="B36">
            <v>1220</v>
          </cell>
          <cell r="C36">
            <v>38237</v>
          </cell>
        </row>
        <row r="37">
          <cell r="A37">
            <v>192</v>
          </cell>
          <cell r="B37">
            <v>1228</v>
          </cell>
          <cell r="C37">
            <v>38240</v>
          </cell>
          <cell r="D37">
            <v>38244</v>
          </cell>
          <cell r="E37">
            <v>24876900</v>
          </cell>
          <cell r="F37">
            <v>2487690</v>
          </cell>
          <cell r="G37">
            <v>27364590</v>
          </cell>
          <cell r="H37" t="str">
            <v>Vo</v>
          </cell>
        </row>
        <row r="38">
          <cell r="A38">
            <v>194</v>
          </cell>
          <cell r="B38">
            <v>1233</v>
          </cell>
          <cell r="C38">
            <v>38244</v>
          </cell>
          <cell r="D38">
            <v>38245</v>
          </cell>
          <cell r="E38">
            <v>23779700</v>
          </cell>
          <cell r="F38">
            <v>2377970</v>
          </cell>
          <cell r="G38">
            <v>26157670</v>
          </cell>
          <cell r="H38" t="str">
            <v>Vo</v>
          </cell>
        </row>
        <row r="39">
          <cell r="A39">
            <v>201</v>
          </cell>
          <cell r="B39">
            <v>1244</v>
          </cell>
          <cell r="C39">
            <v>38247</v>
          </cell>
          <cell r="D39">
            <v>38251</v>
          </cell>
          <cell r="E39">
            <v>23927400</v>
          </cell>
          <cell r="F39">
            <v>2392740</v>
          </cell>
          <cell r="G39">
            <v>26320140</v>
          </cell>
          <cell r="H39" t="str">
            <v>Vo</v>
          </cell>
        </row>
        <row r="40">
          <cell r="A40">
            <v>204</v>
          </cell>
          <cell r="B40">
            <v>1252</v>
          </cell>
          <cell r="C40">
            <v>38251</v>
          </cell>
          <cell r="D40">
            <v>38253</v>
          </cell>
          <cell r="E40">
            <v>25172300</v>
          </cell>
          <cell r="F40">
            <v>2517230</v>
          </cell>
          <cell r="G40">
            <v>27689530</v>
          </cell>
          <cell r="H40" t="str">
            <v>Vo</v>
          </cell>
        </row>
        <row r="41">
          <cell r="E41">
            <v>171500800</v>
          </cell>
          <cell r="F41">
            <v>17150080</v>
          </cell>
          <cell r="G41">
            <v>188650880</v>
          </cell>
        </row>
        <row r="42">
          <cell r="E42" t="str">
            <v>^</v>
          </cell>
          <cell r="F42" t="str">
            <v>^</v>
          </cell>
          <cell r="G42" t="str">
            <v>^</v>
          </cell>
        </row>
        <row r="43">
          <cell r="A43" t="str">
            <v>PT Marthadinata Indah</v>
          </cell>
        </row>
        <row r="44">
          <cell r="A44" t="str">
            <v>Invoice No.</v>
          </cell>
          <cell r="B44" t="str">
            <v>DO No.</v>
          </cell>
          <cell r="C44" t="str">
            <v>Date of DO</v>
          </cell>
          <cell r="D44" t="str">
            <v>Date of Invoice</v>
          </cell>
          <cell r="E44" t="str">
            <v>Amount in Rp.</v>
          </cell>
          <cell r="F44" t="str">
            <v>VAT-out</v>
          </cell>
          <cell r="G44" t="str">
            <v>Total</v>
          </cell>
        </row>
        <row r="45">
          <cell r="A45">
            <v>180</v>
          </cell>
          <cell r="B45">
            <v>1204</v>
          </cell>
          <cell r="C45">
            <v>38232</v>
          </cell>
          <cell r="D45">
            <v>38233</v>
          </cell>
          <cell r="E45">
            <v>23638909</v>
          </cell>
          <cell r="F45">
            <v>2363891</v>
          </cell>
          <cell r="G45">
            <v>26002800</v>
          </cell>
          <cell r="H45" t="str">
            <v>Vo</v>
          </cell>
        </row>
        <row r="46">
          <cell r="A46">
            <v>186</v>
          </cell>
          <cell r="B46">
            <v>1216</v>
          </cell>
          <cell r="C46">
            <v>38235</v>
          </cell>
          <cell r="D46">
            <v>38235</v>
          </cell>
          <cell r="E46">
            <v>22643364</v>
          </cell>
          <cell r="F46">
            <v>2264336</v>
          </cell>
          <cell r="G46">
            <v>24907700</v>
          </cell>
          <cell r="H46" t="str">
            <v>Vo</v>
          </cell>
        </row>
        <row r="47">
          <cell r="A47">
            <v>189</v>
          </cell>
          <cell r="B47">
            <v>1221</v>
          </cell>
          <cell r="C47">
            <v>38238</v>
          </cell>
          <cell r="D47">
            <v>38238</v>
          </cell>
          <cell r="E47">
            <v>23723636</v>
          </cell>
          <cell r="F47">
            <v>2372364</v>
          </cell>
          <cell r="G47">
            <v>26096000</v>
          </cell>
          <cell r="H47" t="str">
            <v>Vo</v>
          </cell>
        </row>
        <row r="48">
          <cell r="A48">
            <v>193</v>
          </cell>
          <cell r="B48">
            <v>1229</v>
          </cell>
          <cell r="C48">
            <v>38240</v>
          </cell>
          <cell r="D48">
            <v>38244</v>
          </cell>
          <cell r="E48">
            <v>47659091</v>
          </cell>
          <cell r="F48">
            <v>4765909</v>
          </cell>
          <cell r="G48">
            <v>52425000</v>
          </cell>
          <cell r="H48" t="str">
            <v>Vo</v>
          </cell>
        </row>
        <row r="49">
          <cell r="B49">
            <v>1232</v>
          </cell>
          <cell r="C49">
            <v>38240</v>
          </cell>
        </row>
        <row r="50">
          <cell r="A50">
            <v>200</v>
          </cell>
          <cell r="B50">
            <v>1243</v>
          </cell>
          <cell r="C50">
            <v>38247</v>
          </cell>
          <cell r="D50">
            <v>38251</v>
          </cell>
          <cell r="E50">
            <v>24931000</v>
          </cell>
          <cell r="F50">
            <v>2493100</v>
          </cell>
          <cell r="G50">
            <v>27424100</v>
          </cell>
          <cell r="H50" t="str">
            <v>Vo</v>
          </cell>
        </row>
        <row r="51">
          <cell r="A51">
            <v>210</v>
          </cell>
          <cell r="B51">
            <v>1267</v>
          </cell>
          <cell r="C51">
            <v>38255</v>
          </cell>
          <cell r="D51">
            <v>38255</v>
          </cell>
          <cell r="E51">
            <v>22664545</v>
          </cell>
          <cell r="F51">
            <v>2266455</v>
          </cell>
          <cell r="G51">
            <v>24931000</v>
          </cell>
          <cell r="H51" t="str">
            <v>Vo</v>
          </cell>
        </row>
        <row r="52">
          <cell r="A52">
            <v>213</v>
          </cell>
          <cell r="B52">
            <v>1270</v>
          </cell>
          <cell r="C52">
            <v>38257</v>
          </cell>
          <cell r="D52">
            <v>38259</v>
          </cell>
          <cell r="E52">
            <v>49734909</v>
          </cell>
          <cell r="F52">
            <v>4973481</v>
          </cell>
          <cell r="G52">
            <v>54708390</v>
          </cell>
          <cell r="H52" t="str">
            <v>Vo</v>
          </cell>
        </row>
        <row r="53">
          <cell r="B53">
            <v>1273</v>
          </cell>
          <cell r="C53">
            <v>38259</v>
          </cell>
        </row>
        <row r="54">
          <cell r="E54">
            <v>214995454</v>
          </cell>
          <cell r="F54">
            <v>21499536</v>
          </cell>
          <cell r="G54">
            <v>236494990</v>
          </cell>
        </row>
        <row r="55">
          <cell r="E55" t="str">
            <v>^</v>
          </cell>
          <cell r="F55" t="str">
            <v>^</v>
          </cell>
          <cell r="G55" t="str">
            <v>^</v>
          </cell>
        </row>
        <row r="56">
          <cell r="A56" t="str">
            <v>PT. Conbloc Indonesia</v>
          </cell>
        </row>
        <row r="57">
          <cell r="A57" t="str">
            <v>Invoice No.</v>
          </cell>
          <cell r="B57" t="str">
            <v>DO No.</v>
          </cell>
          <cell r="C57" t="str">
            <v>Date of DO</v>
          </cell>
          <cell r="D57" t="str">
            <v>Date of Invoice</v>
          </cell>
          <cell r="E57" t="str">
            <v>Amount in Rp.</v>
          </cell>
          <cell r="F57" t="str">
            <v>VAT-out</v>
          </cell>
          <cell r="G57" t="str">
            <v>Total</v>
          </cell>
        </row>
        <row r="58">
          <cell r="A58">
            <v>182</v>
          </cell>
          <cell r="B58">
            <v>1206</v>
          </cell>
          <cell r="C58">
            <v>38233</v>
          </cell>
          <cell r="D58">
            <v>38236</v>
          </cell>
          <cell r="E58">
            <v>71459700</v>
          </cell>
          <cell r="F58">
            <v>7145970</v>
          </cell>
          <cell r="G58">
            <v>78605670</v>
          </cell>
          <cell r="H58" t="str">
            <v>Vo</v>
          </cell>
        </row>
        <row r="59">
          <cell r="B59">
            <v>1207</v>
          </cell>
          <cell r="C59">
            <v>38233</v>
          </cell>
        </row>
        <row r="60">
          <cell r="B60">
            <v>1215</v>
          </cell>
          <cell r="C60">
            <v>38234</v>
          </cell>
        </row>
        <row r="61">
          <cell r="A61">
            <v>202</v>
          </cell>
          <cell r="B61">
            <v>1247</v>
          </cell>
          <cell r="C61">
            <v>38247</v>
          </cell>
          <cell r="D61">
            <v>38251</v>
          </cell>
          <cell r="E61">
            <v>73124100</v>
          </cell>
          <cell r="F61">
            <v>7312410</v>
          </cell>
          <cell r="G61">
            <v>80436510</v>
          </cell>
          <cell r="H61" t="str">
            <v>Vo</v>
          </cell>
        </row>
        <row r="62">
          <cell r="B62">
            <v>1248</v>
          </cell>
          <cell r="C62">
            <v>38247</v>
          </cell>
        </row>
        <row r="63">
          <cell r="B63">
            <v>1251</v>
          </cell>
          <cell r="C63">
            <v>38248</v>
          </cell>
        </row>
        <row r="64">
          <cell r="A64">
            <v>205</v>
          </cell>
          <cell r="B64">
            <v>1253</v>
          </cell>
          <cell r="C64">
            <v>38251</v>
          </cell>
          <cell r="D64">
            <v>38253</v>
          </cell>
          <cell r="E64">
            <v>71328300</v>
          </cell>
          <cell r="F64">
            <v>7132830</v>
          </cell>
          <cell r="G64">
            <v>78461130</v>
          </cell>
          <cell r="H64" t="str">
            <v>Vo</v>
          </cell>
        </row>
        <row r="65">
          <cell r="B65">
            <v>1256</v>
          </cell>
          <cell r="C65">
            <v>38253</v>
          </cell>
        </row>
        <row r="66">
          <cell r="A66">
            <v>208</v>
          </cell>
          <cell r="B66">
            <v>1261</v>
          </cell>
          <cell r="C66">
            <v>38254</v>
          </cell>
          <cell r="D66">
            <v>38255</v>
          </cell>
          <cell r="E66">
            <v>95724900</v>
          </cell>
          <cell r="F66">
            <v>9572490</v>
          </cell>
          <cell r="G66">
            <v>105297390</v>
          </cell>
          <cell r="H66" t="str">
            <v>Vo</v>
          </cell>
        </row>
        <row r="67">
          <cell r="B67">
            <v>1262</v>
          </cell>
          <cell r="C67">
            <v>38254</v>
          </cell>
        </row>
        <row r="68">
          <cell r="B68">
            <v>1265</v>
          </cell>
          <cell r="C68">
            <v>38255</v>
          </cell>
        </row>
        <row r="69">
          <cell r="B69">
            <v>1266</v>
          </cell>
          <cell r="C69">
            <v>38255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pst"/>
      <sheetName val="mks"/>
      <sheetName val="bppn"/>
      <sheetName val="smd"/>
      <sheetName val="bit"/>
      <sheetName val="amb"/>
      <sheetName val="srg"/>
      <sheetName val="jpr"/>
      <sheetName val="trk"/>
      <sheetName val="ptl"/>
      <sheetName val="kdr"/>
      <sheetName val="tnt"/>
      <sheetName val="biak"/>
      <sheetName val="mrk"/>
      <sheetName val="gto"/>
      <sheetName val="pares"/>
      <sheetName val="mkw"/>
      <sheetName val="faks"/>
      <sheetName val="nnk"/>
      <sheetName val="btg"/>
      <sheetName val="sgt"/>
      <sheetName val="Accounts Payable (AA)"/>
      <sheetName val="10-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0">
          <cell r="E60" t="str">
            <v>Rmh Dinas</v>
          </cell>
        </row>
        <row r="61">
          <cell r="E61" t="str">
            <v>Rmh Dinas</v>
          </cell>
        </row>
        <row r="62">
          <cell r="E62" t="str">
            <v>Rmh Dinas</v>
          </cell>
        </row>
        <row r="63">
          <cell r="E63" t="str">
            <v>Rmh Dinas</v>
          </cell>
        </row>
        <row r="64">
          <cell r="E64" t="str">
            <v>Rmh Dinas</v>
          </cell>
        </row>
        <row r="65">
          <cell r="E65" t="str">
            <v>Rmh Dinas</v>
          </cell>
        </row>
        <row r="66">
          <cell r="E66" t="str">
            <v>Rmh Dinas</v>
          </cell>
        </row>
        <row r="67">
          <cell r="E67" t="str">
            <v>Rmh Dinas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-03"/>
      <sheetName val="BBM-03 (2)"/>
      <sheetName val="jpr"/>
    </sheetNames>
    <sheetDataSet>
      <sheetData sheetId="0">
        <row r="767">
          <cell r="B767">
            <v>739</v>
          </cell>
        </row>
        <row r="768">
          <cell r="B768">
            <v>740</v>
          </cell>
        </row>
        <row r="769">
          <cell r="B769">
            <v>741</v>
          </cell>
        </row>
      </sheetData>
      <sheetData sheetId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"/>
      <sheetName val="BBM-03"/>
      <sheetName val="jpr"/>
      <sheetName val="Accounts Payable (AA)"/>
      <sheetName val="10-1-1"/>
      <sheetName val="Ekspor"/>
      <sheetName val="Cont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LC"/>
      <sheetName val="BBM-03"/>
      <sheetName val="jpr"/>
      <sheetName val="Journal"/>
      <sheetName val="Payment"/>
      <sheetName val="Receip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etary"/>
      <sheetName val="TC"/>
      <sheetName val="LC"/>
      <sheetName val="BBM-03"/>
      <sheetName val="Accounts Payable (AA)"/>
      <sheetName val="10-1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"/>
      <sheetName val="L"/>
      <sheetName val="Monetary"/>
      <sheetName val="TC"/>
      <sheetName val="BBM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Item"/>
      <sheetName val="L"/>
      <sheetName val="Monetary"/>
      <sheetName val="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GC"/>
      <sheetName val="Item"/>
      <sheetName val="L"/>
      <sheetName val="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Balance"/>
      <sheetName val="GC"/>
      <sheetName val="Item"/>
      <sheetName val="Monet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tory"/>
      <sheetName val="Sheet"/>
      <sheetName val="Balance"/>
      <sheetName val="GC"/>
      <sheetName val="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Monitory"/>
      <sheetName val="Sheet"/>
      <sheetName val="Balance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KP"/>
      <sheetName val="PPh"/>
      <sheetName val="PPh Jan"/>
      <sheetName val="PPh Feb"/>
      <sheetName val="PPh Mar"/>
      <sheetName val="PPh April"/>
      <sheetName val="PPh Mei"/>
      <sheetName val="PPh Juni"/>
      <sheetName val="PPh Juli"/>
      <sheetName val="PPh Agst"/>
      <sheetName val="PPh Spt"/>
      <sheetName val="PPh Okt"/>
      <sheetName val="PPh Nop"/>
      <sheetName val="PPh Des"/>
      <sheetName val="gaji&amp;Tunjangan "/>
    </sheetNames>
    <sheetDataSet>
      <sheetData sheetId="0">
        <row r="18">
          <cell r="B18" t="str">
            <v>Agustus</v>
          </cell>
        </row>
        <row r="19">
          <cell r="B19" t="str">
            <v>April</v>
          </cell>
        </row>
        <row r="20">
          <cell r="B20" t="str">
            <v>Desember</v>
          </cell>
        </row>
        <row r="21">
          <cell r="B21" t="str">
            <v>Februari</v>
          </cell>
        </row>
        <row r="22">
          <cell r="B22" t="str">
            <v>Januari</v>
          </cell>
        </row>
        <row r="23">
          <cell r="B23" t="str">
            <v>Juli</v>
          </cell>
        </row>
        <row r="24">
          <cell r="B24" t="str">
            <v>Juni</v>
          </cell>
        </row>
        <row r="25">
          <cell r="B25" t="str">
            <v>Maret</v>
          </cell>
        </row>
        <row r="26">
          <cell r="B26" t="str">
            <v>Mei</v>
          </cell>
        </row>
        <row r="27">
          <cell r="B27" t="str">
            <v>Nopember</v>
          </cell>
        </row>
        <row r="28">
          <cell r="B28" t="str">
            <v>Oktober</v>
          </cell>
        </row>
        <row r="29">
          <cell r="B29" t="str">
            <v>September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LIst Reklas BDD n UM (3)"/>
      <sheetName val="LIst Reklas BDD n UM (2)"/>
      <sheetName val="LIst Reklas BDD n UM"/>
      <sheetName val="NS"/>
      <sheetName val="Periode"/>
      <sheetName val="Profil"/>
      <sheetName val="HIGKLIGHTS"/>
      <sheetName val="IS"/>
      <sheetName val="BS"/>
      <sheetName val="Sheet5"/>
      <sheetName val="Sumber dana"/>
      <sheetName val="SALE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LK"/>
      <sheetName val="ANATUNG PERMATA"/>
      <sheetName val="VINTAGE PERMATA"/>
      <sheetName val="AYDA"/>
      <sheetName val="ANABPKB"/>
      <sheetName val="BI"/>
      <sheetName val="Form1"/>
      <sheetName val="Form2"/>
      <sheetName val="Form3"/>
      <sheetName val="Form4"/>
      <sheetName val="Form5"/>
      <sheetName val="Form6"/>
      <sheetName val="Sheet1"/>
      <sheetName val="1 Th"/>
      <sheetName val="Sheet2"/>
      <sheetName val="Rinci"/>
      <sheetName val="PTK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7">
          <cell r="A47" t="str">
            <v>410</v>
          </cell>
          <cell r="B47" t="str">
            <v>Pendapatan Bunga &amp; Bunga Channelling</v>
          </cell>
          <cell r="C47">
            <v>1846187638</v>
          </cell>
          <cell r="D47">
            <v>2029428056</v>
          </cell>
          <cell r="E47">
            <v>2228924076</v>
          </cell>
          <cell r="F47">
            <v>2572538745</v>
          </cell>
          <cell r="G47">
            <v>2736639744</v>
          </cell>
          <cell r="H47">
            <v>2925146336</v>
          </cell>
          <cell r="I47">
            <v>2957851643</v>
          </cell>
          <cell r="J47">
            <v>3283142068</v>
          </cell>
          <cell r="K47">
            <v>3238682760</v>
          </cell>
          <cell r="L47">
            <v>3389811922</v>
          </cell>
          <cell r="M47">
            <v>4098016174</v>
          </cell>
          <cell r="N47">
            <v>4074221901</v>
          </cell>
          <cell r="O47">
            <v>4875185934</v>
          </cell>
        </row>
        <row r="48">
          <cell r="A48" t="str">
            <v>420</v>
          </cell>
          <cell r="B48" t="str">
            <v>Pendapatan Administrasi</v>
          </cell>
          <cell r="C48">
            <v>202600000</v>
          </cell>
          <cell r="D48">
            <v>221150000</v>
          </cell>
          <cell r="E48">
            <v>223750000</v>
          </cell>
          <cell r="F48">
            <v>198350000</v>
          </cell>
          <cell r="G48">
            <v>205100000</v>
          </cell>
          <cell r="H48">
            <v>210050000</v>
          </cell>
          <cell r="I48">
            <v>180700000</v>
          </cell>
          <cell r="J48">
            <v>209900000</v>
          </cell>
          <cell r="K48">
            <v>254700000</v>
          </cell>
          <cell r="L48">
            <v>321600000</v>
          </cell>
          <cell r="M48">
            <v>221800000</v>
          </cell>
          <cell r="N48">
            <v>157450000</v>
          </cell>
          <cell r="O48">
            <v>176900000</v>
          </cell>
        </row>
        <row r="49">
          <cell r="A49" t="str">
            <v>425</v>
          </cell>
          <cell r="B49" t="str">
            <v>Pendapatan Denda Keterlambatan</v>
          </cell>
          <cell r="C49">
            <v>117982518</v>
          </cell>
          <cell r="D49">
            <v>141678976</v>
          </cell>
          <cell r="E49">
            <v>160387636</v>
          </cell>
          <cell r="F49">
            <v>195709137</v>
          </cell>
          <cell r="G49">
            <v>214226665</v>
          </cell>
          <cell r="H49">
            <v>243040972</v>
          </cell>
          <cell r="I49">
            <v>239416581</v>
          </cell>
          <cell r="J49">
            <v>265789543</v>
          </cell>
          <cell r="K49">
            <v>276280032</v>
          </cell>
          <cell r="L49">
            <v>275855306</v>
          </cell>
          <cell r="M49">
            <v>406056105</v>
          </cell>
          <cell r="N49">
            <v>345218072</v>
          </cell>
          <cell r="O49">
            <v>407547302</v>
          </cell>
        </row>
        <row r="50">
          <cell r="A50" t="str">
            <v>430</v>
          </cell>
          <cell r="B50" t="str">
            <v>Pendapatan Penalty PSJT</v>
          </cell>
          <cell r="C50">
            <v>10623546</v>
          </cell>
          <cell r="D50">
            <v>21906181</v>
          </cell>
          <cell r="E50">
            <v>65655459</v>
          </cell>
          <cell r="F50">
            <v>63512240</v>
          </cell>
          <cell r="G50">
            <v>80804462</v>
          </cell>
          <cell r="H50">
            <v>88763065</v>
          </cell>
          <cell r="I50">
            <v>112894813</v>
          </cell>
          <cell r="J50">
            <v>96230868</v>
          </cell>
          <cell r="K50">
            <v>132355101</v>
          </cell>
          <cell r="L50">
            <v>132403385</v>
          </cell>
          <cell r="M50">
            <v>92447179</v>
          </cell>
          <cell r="N50">
            <v>47405898</v>
          </cell>
          <cell r="O50">
            <v>78041713</v>
          </cell>
        </row>
        <row r="51">
          <cell r="A51" t="str">
            <v>435</v>
          </cell>
          <cell r="B51" t="str">
            <v>Pendapatan Selisih Premi</v>
          </cell>
          <cell r="C51">
            <v>90210129</v>
          </cell>
          <cell r="D51">
            <v>136504903</v>
          </cell>
          <cell r="E51">
            <v>118165828</v>
          </cell>
          <cell r="F51">
            <v>106053688</v>
          </cell>
          <cell r="G51">
            <v>220077188</v>
          </cell>
          <cell r="H51">
            <v>158222454</v>
          </cell>
          <cell r="I51">
            <v>103101520</v>
          </cell>
          <cell r="J51">
            <v>144031691</v>
          </cell>
          <cell r="K51">
            <v>158145997</v>
          </cell>
          <cell r="L51">
            <v>200456142</v>
          </cell>
          <cell r="M51">
            <v>153580216</v>
          </cell>
          <cell r="N51">
            <v>79181400</v>
          </cell>
          <cell r="O51">
            <v>111897493</v>
          </cell>
        </row>
        <row r="52">
          <cell r="A52" t="str">
            <v>440</v>
          </cell>
          <cell r="B52" t="str">
            <v>Pendapatan Recovery</v>
          </cell>
          <cell r="C52">
            <v>0</v>
          </cell>
          <cell r="D52">
            <v>0</v>
          </cell>
          <cell r="E52">
            <v>0</v>
          </cell>
          <cell r="F52">
            <v>45000000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42500000</v>
          </cell>
          <cell r="N52">
            <v>0</v>
          </cell>
          <cell r="O52">
            <v>0</v>
          </cell>
        </row>
        <row r="85">
          <cell r="A85" t="str">
            <v>491</v>
          </cell>
          <cell r="B85" t="str">
            <v xml:space="preserve">Bunga/Jasa Giro </v>
          </cell>
          <cell r="C85">
            <v>2868174</v>
          </cell>
          <cell r="D85">
            <v>3205904</v>
          </cell>
          <cell r="E85">
            <v>2996678</v>
          </cell>
          <cell r="F85">
            <v>4033000</v>
          </cell>
          <cell r="G85">
            <v>3425950</v>
          </cell>
          <cell r="H85">
            <v>4068766</v>
          </cell>
          <cell r="I85">
            <v>3351012</v>
          </cell>
          <cell r="J85">
            <v>3546795</v>
          </cell>
          <cell r="K85">
            <v>5295935</v>
          </cell>
          <cell r="L85">
            <v>19719453</v>
          </cell>
          <cell r="M85">
            <v>-5516083</v>
          </cell>
          <cell r="N85">
            <v>5428924</v>
          </cell>
          <cell r="O85">
            <v>5235581</v>
          </cell>
        </row>
        <row r="86">
          <cell r="A86" t="str">
            <v>492</v>
          </cell>
          <cell r="B86" t="str">
            <v>Bunga Deposito Berjangka</v>
          </cell>
          <cell r="C86">
            <v>28068424</v>
          </cell>
          <cell r="D86">
            <v>27417466</v>
          </cell>
          <cell r="E86">
            <v>27228424</v>
          </cell>
          <cell r="F86">
            <v>6231216</v>
          </cell>
          <cell r="G86">
            <v>20721573</v>
          </cell>
          <cell r="H86">
            <v>20721573</v>
          </cell>
          <cell r="I86">
            <v>24192875</v>
          </cell>
          <cell r="J86">
            <v>26932903</v>
          </cell>
          <cell r="K86">
            <v>28633724</v>
          </cell>
          <cell r="L86">
            <v>7951162</v>
          </cell>
          <cell r="M86">
            <v>28044793</v>
          </cell>
          <cell r="N86">
            <v>16015818</v>
          </cell>
          <cell r="O86">
            <v>14707328</v>
          </cell>
        </row>
        <row r="87">
          <cell r="A87" t="str">
            <v>493</v>
          </cell>
          <cell r="B87" t="str">
            <v>Bunga Pinjaman Karyawan</v>
          </cell>
          <cell r="C87">
            <v>88518</v>
          </cell>
          <cell r="D87">
            <v>243356</v>
          </cell>
          <cell r="E87">
            <v>231949</v>
          </cell>
          <cell r="F87">
            <v>220311</v>
          </cell>
          <cell r="G87">
            <v>398737</v>
          </cell>
          <cell r="H87">
            <v>249842</v>
          </cell>
          <cell r="I87">
            <v>243119</v>
          </cell>
          <cell r="J87">
            <v>338253</v>
          </cell>
          <cell r="K87">
            <v>323675</v>
          </cell>
          <cell r="L87">
            <v>308806</v>
          </cell>
          <cell r="M87">
            <v>293641</v>
          </cell>
          <cell r="N87">
            <v>278172</v>
          </cell>
          <cell r="O87">
            <v>362405</v>
          </cell>
        </row>
        <row r="88">
          <cell r="A88" t="str">
            <v>494</v>
          </cell>
          <cell r="B88" t="str">
            <v>Pendapatan Jasa STNK</v>
          </cell>
          <cell r="C88">
            <v>0</v>
          </cell>
          <cell r="D88">
            <v>0</v>
          </cell>
          <cell r="E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A89" t="str">
            <v>499</v>
          </cell>
          <cell r="B89" t="str">
            <v>Pendapatan Lain-lain</v>
          </cell>
          <cell r="C89">
            <v>477269</v>
          </cell>
          <cell r="D89">
            <v>593411</v>
          </cell>
          <cell r="E89">
            <v>45589913</v>
          </cell>
          <cell r="F89">
            <v>3998531</v>
          </cell>
          <cell r="G89">
            <v>-44631505</v>
          </cell>
          <cell r="H89">
            <v>109243</v>
          </cell>
          <cell r="I89">
            <v>1061022</v>
          </cell>
          <cell r="J89">
            <v>3057639</v>
          </cell>
          <cell r="K89">
            <v>1398567</v>
          </cell>
          <cell r="L89">
            <v>574089</v>
          </cell>
          <cell r="M89">
            <v>1891990</v>
          </cell>
          <cell r="N89">
            <v>7068319</v>
          </cell>
          <cell r="O89">
            <v>5991314</v>
          </cell>
        </row>
      </sheetData>
      <sheetData sheetId="5">
        <row r="3">
          <cell r="S3">
            <v>1</v>
          </cell>
          <cell r="T3" t="str">
            <v>Januari</v>
          </cell>
          <cell r="U3" t="str">
            <v>Jan</v>
          </cell>
        </row>
        <row r="4">
          <cell r="S4">
            <v>2</v>
          </cell>
          <cell r="T4" t="str">
            <v>Februari</v>
          </cell>
          <cell r="U4" t="str">
            <v>Feb</v>
          </cell>
        </row>
        <row r="5">
          <cell r="S5">
            <v>3</v>
          </cell>
          <cell r="T5" t="str">
            <v>Maret</v>
          </cell>
          <cell r="U5" t="str">
            <v>Mar</v>
          </cell>
        </row>
        <row r="6">
          <cell r="S6">
            <v>4</v>
          </cell>
          <cell r="T6" t="str">
            <v>April</v>
          </cell>
          <cell r="U6" t="str">
            <v>Apr</v>
          </cell>
        </row>
        <row r="7">
          <cell r="S7">
            <v>5</v>
          </cell>
          <cell r="T7" t="str">
            <v>Mei</v>
          </cell>
          <cell r="U7" t="str">
            <v>Mei</v>
          </cell>
        </row>
        <row r="8">
          <cell r="S8">
            <v>6</v>
          </cell>
          <cell r="T8" t="str">
            <v>Juni</v>
          </cell>
          <cell r="U8" t="str">
            <v>Jun</v>
          </cell>
        </row>
        <row r="9">
          <cell r="S9">
            <v>7</v>
          </cell>
          <cell r="T9" t="str">
            <v>Juli</v>
          </cell>
          <cell r="U9" t="str">
            <v>Jul</v>
          </cell>
        </row>
        <row r="10">
          <cell r="S10">
            <v>8</v>
          </cell>
          <cell r="T10" t="str">
            <v>Agustus</v>
          </cell>
          <cell r="U10" t="str">
            <v>Agust</v>
          </cell>
        </row>
        <row r="12">
          <cell r="J12">
            <v>2008</v>
          </cell>
          <cell r="S12">
            <v>9</v>
          </cell>
          <cell r="T12" t="str">
            <v>September</v>
          </cell>
          <cell r="U12" t="str">
            <v>Sept</v>
          </cell>
        </row>
        <row r="13">
          <cell r="J13">
            <v>11</v>
          </cell>
          <cell r="S13">
            <v>10</v>
          </cell>
          <cell r="T13" t="str">
            <v>Oktober</v>
          </cell>
          <cell r="U13" t="str">
            <v>Okt</v>
          </cell>
        </row>
        <row r="14">
          <cell r="S14">
            <v>11</v>
          </cell>
          <cell r="T14" t="str">
            <v>November</v>
          </cell>
          <cell r="U14" t="str">
            <v>Nov</v>
          </cell>
        </row>
        <row r="15">
          <cell r="S15">
            <v>12</v>
          </cell>
          <cell r="T15" t="str">
            <v>Desember</v>
          </cell>
          <cell r="U15" t="str">
            <v>Des</v>
          </cell>
        </row>
        <row r="17">
          <cell r="J17">
            <v>2008</v>
          </cell>
        </row>
        <row r="18">
          <cell r="J18">
            <v>12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 (2)"/>
      <sheetName val="NS"/>
      <sheetName val="Sheet1"/>
      <sheetName val="Periode"/>
    </sheetNames>
    <sheetDataSet>
      <sheetData sheetId="0" refreshError="1"/>
      <sheetData sheetId="1"/>
      <sheetData sheetId="2">
        <row r="2">
          <cell r="A2" t="str">
            <v>110</v>
          </cell>
          <cell r="B2">
            <v>1100000</v>
          </cell>
          <cell r="C2" t="str">
            <v>KAS</v>
          </cell>
          <cell r="D2">
            <v>1000000</v>
          </cell>
          <cell r="E2">
            <v>1</v>
          </cell>
          <cell r="F2" t="str">
            <v>G</v>
          </cell>
          <cell r="G2">
            <v>1</v>
          </cell>
          <cell r="H2">
            <v>1110</v>
          </cell>
        </row>
        <row r="3">
          <cell r="A3" t="str">
            <v>115</v>
          </cell>
          <cell r="B3">
            <v>1150000</v>
          </cell>
          <cell r="C3" t="str">
            <v>BANK</v>
          </cell>
          <cell r="D3">
            <v>1000000</v>
          </cell>
          <cell r="E3">
            <v>1</v>
          </cell>
          <cell r="F3" t="str">
            <v>G</v>
          </cell>
          <cell r="G3">
            <v>1</v>
          </cell>
          <cell r="H3">
            <v>1121</v>
          </cell>
        </row>
        <row r="4">
          <cell r="A4" t="str">
            <v>120</v>
          </cell>
          <cell r="B4">
            <v>1200000</v>
          </cell>
          <cell r="C4" t="str">
            <v>PIUTANG PDC</v>
          </cell>
          <cell r="D4">
            <v>1000000</v>
          </cell>
          <cell r="E4">
            <v>1</v>
          </cell>
          <cell r="F4" t="str">
            <v>G</v>
          </cell>
          <cell r="G4">
            <v>1</v>
          </cell>
          <cell r="H4">
            <v>1900</v>
          </cell>
        </row>
        <row r="5">
          <cell r="A5" t="str">
            <v>130</v>
          </cell>
          <cell r="B5">
            <v>1300000</v>
          </cell>
          <cell r="C5" t="str">
            <v>DEPOSITO BERJANGKA</v>
          </cell>
          <cell r="D5">
            <v>1000000</v>
          </cell>
          <cell r="E5">
            <v>1</v>
          </cell>
          <cell r="F5" t="str">
            <v>G</v>
          </cell>
          <cell r="G5">
            <v>1</v>
          </cell>
          <cell r="H5">
            <v>1129</v>
          </cell>
        </row>
        <row r="6">
          <cell r="A6" t="str">
            <v>135</v>
          </cell>
          <cell r="B6">
            <v>1350000</v>
          </cell>
          <cell r="C6" t="str">
            <v>SURAT BERHARGA</v>
          </cell>
          <cell r="D6">
            <v>1000000</v>
          </cell>
          <cell r="E6">
            <v>1</v>
          </cell>
          <cell r="F6" t="str">
            <v>G</v>
          </cell>
          <cell r="G6">
            <v>1</v>
          </cell>
          <cell r="H6">
            <v>1200</v>
          </cell>
        </row>
        <row r="7">
          <cell r="A7" t="str">
            <v>141</v>
          </cell>
          <cell r="B7">
            <v>1410000</v>
          </cell>
          <cell r="C7" t="str">
            <v>PIUTANG PEMBIAYAAN KONSUMEN</v>
          </cell>
          <cell r="D7">
            <v>1000000</v>
          </cell>
          <cell r="E7">
            <v>1</v>
          </cell>
          <cell r="F7" t="str">
            <v>G</v>
          </cell>
          <cell r="G7">
            <v>1</v>
          </cell>
          <cell r="H7">
            <v>1340</v>
          </cell>
        </row>
        <row r="8">
          <cell r="A8" t="str">
            <v>150</v>
          </cell>
          <cell r="B8">
            <v>1500000</v>
          </cell>
          <cell r="C8" t="str">
            <v>CADANGAN PIUTANG RAGU-RAGU</v>
          </cell>
          <cell r="D8">
            <v>1000000</v>
          </cell>
          <cell r="E8">
            <v>1</v>
          </cell>
          <cell r="F8" t="str">
            <v>G</v>
          </cell>
          <cell r="G8">
            <v>1</v>
          </cell>
          <cell r="H8">
            <v>1340</v>
          </cell>
        </row>
        <row r="9">
          <cell r="A9" t="str">
            <v>155</v>
          </cell>
          <cell r="B9">
            <v>1550000</v>
          </cell>
          <cell r="C9" t="str">
            <v>AGUNAN YANG DIAMBIL ALIH KKB</v>
          </cell>
          <cell r="D9">
            <v>1000000</v>
          </cell>
          <cell r="E9">
            <v>1</v>
          </cell>
          <cell r="F9" t="str">
            <v>G</v>
          </cell>
          <cell r="G9">
            <v>1</v>
          </cell>
          <cell r="H9">
            <v>1900</v>
          </cell>
        </row>
        <row r="10">
          <cell r="A10" t="str">
            <v>160</v>
          </cell>
          <cell r="B10">
            <v>1600000</v>
          </cell>
          <cell r="C10" t="str">
            <v>PIUTANG LAIN-LAIN</v>
          </cell>
          <cell r="D10">
            <v>1000000</v>
          </cell>
          <cell r="E10">
            <v>1</v>
          </cell>
          <cell r="F10" t="str">
            <v>G</v>
          </cell>
          <cell r="G10">
            <v>1</v>
          </cell>
          <cell r="H10">
            <v>1900</v>
          </cell>
        </row>
        <row r="11">
          <cell r="A11" t="str">
            <v>165</v>
          </cell>
          <cell r="B11">
            <v>1650000</v>
          </cell>
          <cell r="C11" t="str">
            <v>PAJAK DAN BIAYA DIBAYAR DIMUKA</v>
          </cell>
          <cell r="D11">
            <v>1000000</v>
          </cell>
          <cell r="E11">
            <v>1</v>
          </cell>
          <cell r="F11" t="str">
            <v>G</v>
          </cell>
          <cell r="G11">
            <v>1</v>
          </cell>
          <cell r="H11">
            <v>1900</v>
          </cell>
        </row>
        <row r="12">
          <cell r="A12" t="str">
            <v>167</v>
          </cell>
          <cell r="B12">
            <v>1670000</v>
          </cell>
          <cell r="C12" t="str">
            <v>UANG MUKA</v>
          </cell>
          <cell r="D12">
            <v>1000000</v>
          </cell>
          <cell r="E12">
            <v>1</v>
          </cell>
          <cell r="F12" t="str">
            <v>G</v>
          </cell>
          <cell r="G12">
            <v>1</v>
          </cell>
          <cell r="H12">
            <v>1900</v>
          </cell>
        </row>
        <row r="13">
          <cell r="A13" t="str">
            <v>170</v>
          </cell>
          <cell r="B13">
            <v>1700000</v>
          </cell>
          <cell r="C13" t="str">
            <v>AKTIVA PAJAK TANGGUHAN</v>
          </cell>
          <cell r="D13">
            <v>1000000</v>
          </cell>
          <cell r="E13">
            <v>1</v>
          </cell>
          <cell r="F13" t="str">
            <v>G</v>
          </cell>
          <cell r="G13">
            <v>1</v>
          </cell>
          <cell r="H13">
            <v>1800</v>
          </cell>
        </row>
        <row r="14">
          <cell r="A14" t="str">
            <v>180</v>
          </cell>
          <cell r="B14">
            <v>1800000</v>
          </cell>
          <cell r="C14" t="str">
            <v>AKTIVA TETAP</v>
          </cell>
          <cell r="D14">
            <v>1000000</v>
          </cell>
          <cell r="E14">
            <v>1</v>
          </cell>
          <cell r="F14" t="str">
            <v>G</v>
          </cell>
          <cell r="G14">
            <v>1</v>
          </cell>
          <cell r="H14">
            <v>1710</v>
          </cell>
        </row>
        <row r="15">
          <cell r="A15" t="str">
            <v>190</v>
          </cell>
          <cell r="B15">
            <v>1900000</v>
          </cell>
          <cell r="C15" t="str">
            <v>AKTIVA LAIN-LAIN</v>
          </cell>
          <cell r="D15">
            <v>1000000</v>
          </cell>
          <cell r="E15">
            <v>1</v>
          </cell>
          <cell r="F15" t="str">
            <v>G</v>
          </cell>
          <cell r="G15">
            <v>1</v>
          </cell>
          <cell r="H15">
            <v>1900</v>
          </cell>
        </row>
        <row r="16">
          <cell r="A16" t="str">
            <v>210</v>
          </cell>
          <cell r="B16">
            <v>2100000</v>
          </cell>
          <cell r="C16" t="str">
            <v>HUTANG BANK</v>
          </cell>
          <cell r="D16">
            <v>2000000</v>
          </cell>
          <cell r="E16">
            <v>2</v>
          </cell>
          <cell r="F16" t="str">
            <v>G</v>
          </cell>
          <cell r="G16">
            <v>1</v>
          </cell>
          <cell r="H16">
            <v>2311</v>
          </cell>
        </row>
        <row r="17">
          <cell r="A17" t="str">
            <v>220</v>
          </cell>
          <cell r="B17">
            <v>2200000</v>
          </cell>
          <cell r="C17" t="str">
            <v>HUTANG USAHA</v>
          </cell>
          <cell r="D17">
            <v>2000000</v>
          </cell>
          <cell r="E17">
            <v>2</v>
          </cell>
          <cell r="F17" t="str">
            <v>G</v>
          </cell>
          <cell r="G17">
            <v>1</v>
          </cell>
          <cell r="H17">
            <v>2900</v>
          </cell>
        </row>
        <row r="18">
          <cell r="A18" t="str">
            <v>225</v>
          </cell>
          <cell r="B18">
            <v>2250000</v>
          </cell>
          <cell r="C18" t="str">
            <v>HUTANG PDC</v>
          </cell>
          <cell r="D18">
            <v>2000000</v>
          </cell>
          <cell r="E18">
            <v>2</v>
          </cell>
          <cell r="F18" t="str">
            <v>G</v>
          </cell>
          <cell r="G18">
            <v>1</v>
          </cell>
          <cell r="H18">
            <v>2900</v>
          </cell>
        </row>
        <row r="19">
          <cell r="A19" t="str">
            <v>230</v>
          </cell>
          <cell r="B19">
            <v>2300000</v>
          </cell>
          <cell r="C19" t="str">
            <v>HUTANG LAIN-LAIN</v>
          </cell>
          <cell r="D19">
            <v>2000000</v>
          </cell>
          <cell r="E19">
            <v>2</v>
          </cell>
          <cell r="F19" t="str">
            <v>G</v>
          </cell>
          <cell r="G19">
            <v>1</v>
          </cell>
          <cell r="H19">
            <v>2900</v>
          </cell>
        </row>
        <row r="20">
          <cell r="A20" t="str">
            <v>235</v>
          </cell>
          <cell r="B20">
            <v>2350000</v>
          </cell>
          <cell r="C20" t="str">
            <v>HUTANG SEWA GUNA USAHA JK. PENDEK</v>
          </cell>
          <cell r="D20">
            <v>2000000</v>
          </cell>
          <cell r="E20">
            <v>2</v>
          </cell>
          <cell r="F20" t="str">
            <v>G</v>
          </cell>
          <cell r="G20">
            <v>1</v>
          </cell>
          <cell r="H20">
            <v>2900</v>
          </cell>
        </row>
        <row r="21">
          <cell r="A21" t="str">
            <v>240</v>
          </cell>
          <cell r="B21">
            <v>2400000</v>
          </cell>
          <cell r="C21" t="str">
            <v>HUTANG PAJAK</v>
          </cell>
          <cell r="D21">
            <v>2000000</v>
          </cell>
          <cell r="E21">
            <v>2</v>
          </cell>
          <cell r="F21" t="str">
            <v>G</v>
          </cell>
          <cell r="G21">
            <v>1</v>
          </cell>
          <cell r="H21">
            <v>2200</v>
          </cell>
        </row>
        <row r="22">
          <cell r="A22" t="str">
            <v>245</v>
          </cell>
          <cell r="B22">
            <v>2450000</v>
          </cell>
          <cell r="C22" t="str">
            <v>BIAYA MASIH HARUS DIBAYAR</v>
          </cell>
          <cell r="D22">
            <v>2000000</v>
          </cell>
          <cell r="E22">
            <v>2</v>
          </cell>
          <cell r="F22" t="str">
            <v>G</v>
          </cell>
          <cell r="G22">
            <v>1</v>
          </cell>
          <cell r="H22">
            <v>2900</v>
          </cell>
        </row>
        <row r="23">
          <cell r="A23" t="str">
            <v>250</v>
          </cell>
          <cell r="B23">
            <v>2500000</v>
          </cell>
          <cell r="C23" t="str">
            <v>TITIPAN</v>
          </cell>
          <cell r="D23">
            <v>2000000</v>
          </cell>
          <cell r="E23">
            <v>2</v>
          </cell>
          <cell r="F23" t="str">
            <v>G</v>
          </cell>
          <cell r="G23">
            <v>1</v>
          </cell>
          <cell r="H23">
            <v>2900</v>
          </cell>
        </row>
        <row r="24">
          <cell r="A24" t="str">
            <v>260</v>
          </cell>
          <cell r="B24">
            <v>2600000</v>
          </cell>
          <cell r="C24" t="str">
            <v>KEWAJIBAN PAJAK TANGGUHAN</v>
          </cell>
          <cell r="D24">
            <v>2000000</v>
          </cell>
          <cell r="E24">
            <v>2</v>
          </cell>
          <cell r="F24" t="str">
            <v>G</v>
          </cell>
          <cell r="G24">
            <v>1</v>
          </cell>
          <cell r="H24">
            <v>2500</v>
          </cell>
        </row>
        <row r="25">
          <cell r="A25" t="str">
            <v>265</v>
          </cell>
          <cell r="B25">
            <v>2650000</v>
          </cell>
          <cell r="C25" t="str">
            <v>KEWAJIBAN IMBALAN KARYAWAN</v>
          </cell>
          <cell r="D25">
            <v>2000000</v>
          </cell>
          <cell r="E25">
            <v>2</v>
          </cell>
          <cell r="F25" t="str">
            <v>G</v>
          </cell>
          <cell r="G25">
            <v>1</v>
          </cell>
          <cell r="H25">
            <v>2900</v>
          </cell>
        </row>
        <row r="26">
          <cell r="A26" t="str">
            <v>270</v>
          </cell>
          <cell r="B26">
            <v>2700000</v>
          </cell>
          <cell r="C26" t="str">
            <v>HUTANG SEWA GUNA USAHA JK. PANJANG</v>
          </cell>
          <cell r="D26">
            <v>2000000</v>
          </cell>
          <cell r="E26">
            <v>2</v>
          </cell>
          <cell r="F26" t="str">
            <v>G</v>
          </cell>
          <cell r="G26">
            <v>1</v>
          </cell>
          <cell r="H26">
            <v>2900</v>
          </cell>
        </row>
        <row r="27">
          <cell r="A27" t="str">
            <v>290</v>
          </cell>
          <cell r="B27">
            <v>2900000</v>
          </cell>
          <cell r="C27" t="str">
            <v>TITIPAN NASABAH CHANNELING</v>
          </cell>
          <cell r="D27">
            <v>2000000</v>
          </cell>
          <cell r="E27">
            <v>2</v>
          </cell>
          <cell r="F27" t="str">
            <v>G</v>
          </cell>
          <cell r="G27">
            <v>1</v>
          </cell>
          <cell r="H27">
            <v>2900</v>
          </cell>
        </row>
        <row r="28">
          <cell r="A28" t="str">
            <v>310</v>
          </cell>
          <cell r="B28">
            <v>3100000</v>
          </cell>
          <cell r="C28" t="str">
            <v>MODAL SAHAM</v>
          </cell>
          <cell r="D28">
            <v>3000000</v>
          </cell>
          <cell r="E28">
            <v>3</v>
          </cell>
          <cell r="F28" t="str">
            <v>G</v>
          </cell>
          <cell r="G28">
            <v>1</v>
          </cell>
          <cell r="H28">
            <v>3100</v>
          </cell>
        </row>
        <row r="29">
          <cell r="A29" t="str">
            <v>320</v>
          </cell>
          <cell r="B29">
            <v>3200000</v>
          </cell>
          <cell r="C29" t="str">
            <v>SALDO LABA</v>
          </cell>
          <cell r="D29">
            <v>3000000</v>
          </cell>
          <cell r="E29">
            <v>3</v>
          </cell>
          <cell r="F29" t="str">
            <v>G</v>
          </cell>
          <cell r="G29">
            <v>1</v>
          </cell>
          <cell r="H29">
            <v>3310</v>
          </cell>
        </row>
        <row r="30">
          <cell r="A30" t="str">
            <v>330</v>
          </cell>
          <cell r="B30">
            <v>3300000</v>
          </cell>
          <cell r="C30" t="str">
            <v>SALDO LABA BERJALAN</v>
          </cell>
          <cell r="D30">
            <v>3000000</v>
          </cell>
          <cell r="E30">
            <v>3</v>
          </cell>
          <cell r="F30" t="str">
            <v>G</v>
          </cell>
          <cell r="G30">
            <v>1</v>
          </cell>
          <cell r="H30">
            <v>3410</v>
          </cell>
        </row>
        <row r="31">
          <cell r="A31" t="str">
            <v>410</v>
          </cell>
          <cell r="B31">
            <v>4100000</v>
          </cell>
          <cell r="C31" t="str">
            <v>PENDAPATAN BUNGA</v>
          </cell>
          <cell r="D31">
            <v>4000000</v>
          </cell>
          <cell r="E31">
            <v>4</v>
          </cell>
          <cell r="F31" t="str">
            <v>G</v>
          </cell>
          <cell r="G31">
            <v>1</v>
          </cell>
          <cell r="H31">
            <v>4141</v>
          </cell>
        </row>
        <row r="32">
          <cell r="A32" t="str">
            <v>420</v>
          </cell>
          <cell r="B32">
            <v>4200000</v>
          </cell>
          <cell r="C32" t="str">
            <v>PENDAPATAN ADMINISTRASI</v>
          </cell>
          <cell r="D32">
            <v>4000000</v>
          </cell>
          <cell r="E32">
            <v>4</v>
          </cell>
          <cell r="F32" t="str">
            <v>G</v>
          </cell>
          <cell r="G32">
            <v>1</v>
          </cell>
          <cell r="H32">
            <v>4142</v>
          </cell>
        </row>
        <row r="33">
          <cell r="A33" t="str">
            <v>425</v>
          </cell>
          <cell r="B33">
            <v>4250000</v>
          </cell>
          <cell r="C33" t="str">
            <v>PENDAPATAN DENDA KETERLAMBATAN</v>
          </cell>
          <cell r="D33">
            <v>4000000</v>
          </cell>
          <cell r="E33">
            <v>4</v>
          </cell>
          <cell r="F33" t="str">
            <v>G</v>
          </cell>
          <cell r="G33">
            <v>1</v>
          </cell>
          <cell r="H33">
            <v>4142</v>
          </cell>
        </row>
        <row r="34">
          <cell r="A34" t="str">
            <v>430</v>
          </cell>
          <cell r="B34">
            <v>4300000</v>
          </cell>
          <cell r="C34" t="str">
            <v>PENDAPATAN PENALTY PSJT</v>
          </cell>
          <cell r="D34">
            <v>4000000</v>
          </cell>
          <cell r="E34">
            <v>4</v>
          </cell>
          <cell r="F34" t="str">
            <v>G</v>
          </cell>
          <cell r="G34">
            <v>1</v>
          </cell>
          <cell r="H34">
            <v>4142</v>
          </cell>
        </row>
        <row r="35">
          <cell r="A35" t="str">
            <v>435</v>
          </cell>
          <cell r="B35">
            <v>4350000</v>
          </cell>
          <cell r="C35" t="str">
            <v>PENDAPATAN SELISIH PREMI ASURANSI</v>
          </cell>
          <cell r="D35">
            <v>4000000</v>
          </cell>
          <cell r="E35">
            <v>4</v>
          </cell>
          <cell r="F35" t="str">
            <v>G</v>
          </cell>
          <cell r="G35">
            <v>1</v>
          </cell>
          <cell r="H35">
            <v>4142</v>
          </cell>
        </row>
        <row r="36">
          <cell r="A36" t="str">
            <v>440</v>
          </cell>
          <cell r="B36">
            <v>4400000</v>
          </cell>
          <cell r="C36" t="str">
            <v>PENDAPATAN RECOVERY</v>
          </cell>
          <cell r="D36">
            <v>4000000</v>
          </cell>
          <cell r="E36">
            <v>4</v>
          </cell>
          <cell r="F36" t="str">
            <v>G</v>
          </cell>
          <cell r="G36">
            <v>1</v>
          </cell>
          <cell r="H36">
            <v>4290</v>
          </cell>
        </row>
        <row r="37">
          <cell r="A37" t="str">
            <v>490</v>
          </cell>
          <cell r="B37">
            <v>4900000</v>
          </cell>
          <cell r="C37" t="str">
            <v>PENDAPATAN LAIN-LAIN</v>
          </cell>
          <cell r="D37">
            <v>4000000</v>
          </cell>
          <cell r="E37">
            <v>6</v>
          </cell>
          <cell r="F37" t="str">
            <v>G</v>
          </cell>
          <cell r="G37">
            <v>1</v>
          </cell>
          <cell r="H37">
            <v>4290</v>
          </cell>
        </row>
        <row r="38">
          <cell r="A38" t="str">
            <v>510</v>
          </cell>
          <cell r="B38">
            <v>5100000</v>
          </cell>
          <cell r="C38" t="str">
            <v>BEBAN BUNGA</v>
          </cell>
          <cell r="D38">
            <v>5000000</v>
          </cell>
          <cell r="E38">
            <v>5</v>
          </cell>
          <cell r="F38" t="str">
            <v>G</v>
          </cell>
          <cell r="G38">
            <v>1</v>
          </cell>
          <cell r="H38">
            <v>5110</v>
          </cell>
        </row>
        <row r="39">
          <cell r="A39" t="str">
            <v>520</v>
          </cell>
          <cell r="B39">
            <v>5200000</v>
          </cell>
          <cell r="C39" t="str">
            <v>GAJI DAN KESEJAHTERAAN KARYAWAN</v>
          </cell>
          <cell r="D39">
            <v>5000000</v>
          </cell>
          <cell r="E39">
            <v>5</v>
          </cell>
          <cell r="F39" t="str">
            <v>G</v>
          </cell>
          <cell r="G39">
            <v>1</v>
          </cell>
          <cell r="H39">
            <v>5140</v>
          </cell>
        </row>
        <row r="40">
          <cell r="A40" t="str">
            <v>521</v>
          </cell>
          <cell r="B40">
            <v>5210000</v>
          </cell>
          <cell r="C40" t="str">
            <v>PENDIDIKAN DAN LATIHAN</v>
          </cell>
          <cell r="D40">
            <v>5000000</v>
          </cell>
          <cell r="E40">
            <v>5</v>
          </cell>
          <cell r="F40" t="str">
            <v>G</v>
          </cell>
          <cell r="G40">
            <v>1</v>
          </cell>
          <cell r="H40">
            <v>5180</v>
          </cell>
        </row>
        <row r="41">
          <cell r="A41" t="str">
            <v>522</v>
          </cell>
          <cell r="B41">
            <v>5220000</v>
          </cell>
          <cell r="C41" t="str">
            <v>PROFESIONAL</v>
          </cell>
          <cell r="D41">
            <v>5000000</v>
          </cell>
          <cell r="E41">
            <v>5</v>
          </cell>
          <cell r="F41" t="str">
            <v>G</v>
          </cell>
          <cell r="G41">
            <v>1</v>
          </cell>
          <cell r="H41">
            <v>5180</v>
          </cell>
        </row>
        <row r="42">
          <cell r="A42" t="str">
            <v>530</v>
          </cell>
          <cell r="B42">
            <v>5300000</v>
          </cell>
          <cell r="C42" t="str">
            <v>IKLAN DAN PROMOSI</v>
          </cell>
          <cell r="D42">
            <v>5000000</v>
          </cell>
          <cell r="E42">
            <v>5</v>
          </cell>
          <cell r="F42" t="str">
            <v>G</v>
          </cell>
          <cell r="G42">
            <v>1</v>
          </cell>
          <cell r="H42">
            <v>5180</v>
          </cell>
        </row>
        <row r="43">
          <cell r="A43" t="str">
            <v>531</v>
          </cell>
          <cell r="B43">
            <v>5310000</v>
          </cell>
          <cell r="C43" t="str">
            <v>REPRESENTASI</v>
          </cell>
          <cell r="D43">
            <v>5000000</v>
          </cell>
          <cell r="E43">
            <v>5</v>
          </cell>
          <cell r="F43" t="str">
            <v>G</v>
          </cell>
          <cell r="G43">
            <v>1</v>
          </cell>
          <cell r="H43">
            <v>5190</v>
          </cell>
        </row>
        <row r="44">
          <cell r="A44" t="str">
            <v>540</v>
          </cell>
          <cell r="B44">
            <v>5400000</v>
          </cell>
          <cell r="C44" t="str">
            <v>PENYUSUTAN</v>
          </cell>
          <cell r="D44">
            <v>5000000</v>
          </cell>
          <cell r="E44">
            <v>5</v>
          </cell>
          <cell r="F44" t="str">
            <v>G</v>
          </cell>
          <cell r="G44">
            <v>1</v>
          </cell>
          <cell r="H44">
            <v>5153</v>
          </cell>
        </row>
        <row r="45">
          <cell r="A45" t="str">
            <v>541</v>
          </cell>
          <cell r="B45">
            <v>5410000</v>
          </cell>
          <cell r="C45" t="str">
            <v>AMORTISASI</v>
          </cell>
          <cell r="D45">
            <v>5000000</v>
          </cell>
          <cell r="E45">
            <v>5</v>
          </cell>
          <cell r="F45" t="str">
            <v>G</v>
          </cell>
          <cell r="G45">
            <v>1</v>
          </cell>
          <cell r="H45">
            <v>5180</v>
          </cell>
        </row>
        <row r="46">
          <cell r="A46" t="str">
            <v>550</v>
          </cell>
          <cell r="B46">
            <v>5500000</v>
          </cell>
          <cell r="C46" t="str">
            <v>PENGHAPUSAN PIUTANG</v>
          </cell>
          <cell r="D46">
            <v>5000000</v>
          </cell>
          <cell r="E46">
            <v>5</v>
          </cell>
          <cell r="F46" t="str">
            <v>G</v>
          </cell>
          <cell r="G46">
            <v>1</v>
          </cell>
          <cell r="H46">
            <v>5151</v>
          </cell>
        </row>
        <row r="47">
          <cell r="A47" t="str">
            <v>551</v>
          </cell>
          <cell r="B47">
            <v>5510000</v>
          </cell>
          <cell r="C47" t="str">
            <v>ASURANSI</v>
          </cell>
          <cell r="D47">
            <v>5000000</v>
          </cell>
          <cell r="E47">
            <v>5</v>
          </cell>
          <cell r="F47" t="str">
            <v>G</v>
          </cell>
          <cell r="G47">
            <v>1</v>
          </cell>
          <cell r="H47">
            <v>5130</v>
          </cell>
        </row>
        <row r="48">
          <cell r="A48" t="str">
            <v>552</v>
          </cell>
          <cell r="B48">
            <v>5520000</v>
          </cell>
          <cell r="C48" t="str">
            <v>TRANSPORTASI DAN PERJALANAN DINAS</v>
          </cell>
          <cell r="D48">
            <v>5000000</v>
          </cell>
          <cell r="E48">
            <v>5</v>
          </cell>
          <cell r="F48" t="str">
            <v>G</v>
          </cell>
          <cell r="G48">
            <v>1</v>
          </cell>
          <cell r="H48">
            <v>5180</v>
          </cell>
        </row>
        <row r="49">
          <cell r="A49" t="str">
            <v>553</v>
          </cell>
          <cell r="B49">
            <v>5530000</v>
          </cell>
          <cell r="C49" t="str">
            <v>LABA/RUGI PENJUALAN AYDA</v>
          </cell>
          <cell r="D49">
            <v>5000000</v>
          </cell>
          <cell r="E49">
            <v>5</v>
          </cell>
          <cell r="F49" t="str">
            <v>G</v>
          </cell>
          <cell r="G49">
            <v>1</v>
          </cell>
          <cell r="H49">
            <v>5200</v>
          </cell>
        </row>
        <row r="50">
          <cell r="A50" t="str">
            <v>554</v>
          </cell>
          <cell r="B50">
            <v>5540000</v>
          </cell>
          <cell r="C50" t="str">
            <v>LEGALITAS</v>
          </cell>
          <cell r="D50">
            <v>5000000</v>
          </cell>
          <cell r="E50">
            <v>5</v>
          </cell>
          <cell r="F50" t="str">
            <v>G</v>
          </cell>
          <cell r="G50">
            <v>1</v>
          </cell>
          <cell r="H50">
            <v>5200</v>
          </cell>
        </row>
        <row r="51">
          <cell r="A51" t="str">
            <v>560</v>
          </cell>
          <cell r="B51">
            <v>5600000</v>
          </cell>
          <cell r="C51" t="str">
            <v>SEWA</v>
          </cell>
          <cell r="D51">
            <v>5000000</v>
          </cell>
          <cell r="E51">
            <v>5</v>
          </cell>
          <cell r="F51" t="str">
            <v>G</v>
          </cell>
          <cell r="G51">
            <v>1</v>
          </cell>
          <cell r="H51">
            <v>5160</v>
          </cell>
        </row>
        <row r="52">
          <cell r="A52" t="str">
            <v>561</v>
          </cell>
          <cell r="B52">
            <v>5610000</v>
          </cell>
          <cell r="C52" t="str">
            <v>PEMELIHARAAN DAN PERBAIKAN</v>
          </cell>
          <cell r="D52">
            <v>5000000</v>
          </cell>
          <cell r="E52">
            <v>5</v>
          </cell>
          <cell r="F52" t="str">
            <v>G</v>
          </cell>
          <cell r="G52">
            <v>1</v>
          </cell>
          <cell r="H52">
            <v>5170</v>
          </cell>
        </row>
        <row r="53">
          <cell r="A53" t="str">
            <v>570</v>
          </cell>
          <cell r="B53">
            <v>5700000</v>
          </cell>
          <cell r="C53" t="str">
            <v>ALAT TULIS DAN CETAKAN</v>
          </cell>
          <cell r="D53">
            <v>5000000</v>
          </cell>
          <cell r="E53">
            <v>5</v>
          </cell>
          <cell r="F53" t="str">
            <v>G</v>
          </cell>
          <cell r="G53">
            <v>1</v>
          </cell>
          <cell r="H53">
            <v>5180</v>
          </cell>
        </row>
        <row r="54">
          <cell r="A54" t="str">
            <v>571</v>
          </cell>
          <cell r="B54">
            <v>5710000</v>
          </cell>
          <cell r="C54" t="str">
            <v>ADMINISTRASI DAN MATERAI</v>
          </cell>
          <cell r="D54">
            <v>5000000</v>
          </cell>
          <cell r="E54">
            <v>5</v>
          </cell>
          <cell r="F54" t="str">
            <v>G</v>
          </cell>
          <cell r="G54">
            <v>1</v>
          </cell>
          <cell r="H54">
            <v>5180</v>
          </cell>
        </row>
        <row r="55">
          <cell r="A55" t="str">
            <v>572</v>
          </cell>
          <cell r="B55">
            <v>5720000</v>
          </cell>
          <cell r="C55" t="str">
            <v>KOMUNIKASI, POS DAN PENGIRIMAN</v>
          </cell>
          <cell r="D55">
            <v>5000000</v>
          </cell>
          <cell r="E55">
            <v>5</v>
          </cell>
          <cell r="F55" t="str">
            <v>G</v>
          </cell>
          <cell r="G55">
            <v>1</v>
          </cell>
          <cell r="H55">
            <v>5180</v>
          </cell>
        </row>
        <row r="56">
          <cell r="A56" t="str">
            <v>573</v>
          </cell>
          <cell r="B56">
            <v>5730000</v>
          </cell>
          <cell r="C56" t="str">
            <v>LISTRIK, AIR DAN ENERGI</v>
          </cell>
          <cell r="D56">
            <v>5000000</v>
          </cell>
          <cell r="E56">
            <v>5</v>
          </cell>
          <cell r="F56" t="str">
            <v>G</v>
          </cell>
          <cell r="G56">
            <v>1</v>
          </cell>
          <cell r="H56">
            <v>5180</v>
          </cell>
        </row>
        <row r="57">
          <cell r="A57" t="str">
            <v>574</v>
          </cell>
          <cell r="B57">
            <v>5740000</v>
          </cell>
          <cell r="C57" t="str">
            <v>KEPERLUAN KANTOR</v>
          </cell>
          <cell r="D57">
            <v>5000000</v>
          </cell>
          <cell r="E57">
            <v>5</v>
          </cell>
          <cell r="F57" t="str">
            <v>G</v>
          </cell>
          <cell r="G57">
            <v>1</v>
          </cell>
          <cell r="H57">
            <v>5180</v>
          </cell>
        </row>
        <row r="58">
          <cell r="A58" t="str">
            <v>575</v>
          </cell>
          <cell r="B58">
            <v>5750000</v>
          </cell>
          <cell r="C58" t="str">
            <v>BEBAN BANK</v>
          </cell>
          <cell r="D58">
            <v>5000000</v>
          </cell>
          <cell r="E58">
            <v>5</v>
          </cell>
          <cell r="F58" t="str">
            <v>G</v>
          </cell>
          <cell r="G58">
            <v>1</v>
          </cell>
          <cell r="H58">
            <v>5200</v>
          </cell>
        </row>
        <row r="59">
          <cell r="A59" t="str">
            <v>580</v>
          </cell>
          <cell r="B59">
            <v>5800000</v>
          </cell>
          <cell r="C59" t="str">
            <v>PAJAK DAN PERIJINAN</v>
          </cell>
          <cell r="D59">
            <v>5000000</v>
          </cell>
          <cell r="E59">
            <v>5</v>
          </cell>
          <cell r="F59" t="str">
            <v>G</v>
          </cell>
          <cell r="G59">
            <v>1</v>
          </cell>
          <cell r="H59">
            <v>5200</v>
          </cell>
        </row>
        <row r="60">
          <cell r="A60" t="str">
            <v>581</v>
          </cell>
          <cell r="B60">
            <v>5810000</v>
          </cell>
          <cell r="C60" t="str">
            <v>BEBAN PAJAK TANGGUHAN</v>
          </cell>
          <cell r="D60">
            <v>5000000</v>
          </cell>
          <cell r="E60">
            <v>5</v>
          </cell>
          <cell r="F60" t="str">
            <v>G</v>
          </cell>
          <cell r="G60">
            <v>1</v>
          </cell>
          <cell r="H60">
            <v>5200</v>
          </cell>
        </row>
        <row r="61">
          <cell r="A61" t="str">
            <v>582</v>
          </cell>
          <cell r="B61">
            <v>5820000</v>
          </cell>
          <cell r="C61" t="str">
            <v>BEBAN PAJAK KINI</v>
          </cell>
          <cell r="D61">
            <v>5000000</v>
          </cell>
          <cell r="E61">
            <v>5</v>
          </cell>
          <cell r="F61" t="str">
            <v>G</v>
          </cell>
          <cell r="G61">
            <v>1</v>
          </cell>
          <cell r="H61">
            <v>5200</v>
          </cell>
        </row>
        <row r="62">
          <cell r="A62" t="str">
            <v>590</v>
          </cell>
          <cell r="B62">
            <v>5900000</v>
          </cell>
          <cell r="C62" t="str">
            <v>BEBAN LAIN-LAIN</v>
          </cell>
          <cell r="D62">
            <v>5000000</v>
          </cell>
          <cell r="E62">
            <v>5</v>
          </cell>
          <cell r="F62" t="str">
            <v>G</v>
          </cell>
          <cell r="G62">
            <v>1</v>
          </cell>
          <cell r="H62">
            <v>5190</v>
          </cell>
        </row>
      </sheetData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AA"/>
      <sheetName val="JU"/>
      <sheetName val="BB"/>
      <sheetName val="NR"/>
      <sheetName val="LR"/>
    </sheetNames>
    <sheetDataSet>
      <sheetData sheetId="0"/>
      <sheetData sheetId="1">
        <row r="10">
          <cell r="J10" t="str">
            <v>1-1110  Kas Kecil</v>
          </cell>
        </row>
        <row r="11">
          <cell r="J11" t="str">
            <v>1-1120  Kas di Tangan</v>
          </cell>
        </row>
        <row r="12">
          <cell r="J12" t="str">
            <v>1-1210  Bank - BCA</v>
          </cell>
        </row>
        <row r="13">
          <cell r="J13" t="str">
            <v>1-1220  Bank - BNI</v>
          </cell>
        </row>
        <row r="14">
          <cell r="J14" t="str">
            <v>1-1310  Piutang Karyawan</v>
          </cell>
        </row>
        <row r="15">
          <cell r="J15" t="str">
            <v>1-1320  Uangmuka Sewa Ruko</v>
          </cell>
        </row>
        <row r="16">
          <cell r="J16" t="str">
            <v>1-1410  PT Garuda</v>
          </cell>
        </row>
        <row r="17">
          <cell r="J17" t="str">
            <v>1-1420  PT Rajawali</v>
          </cell>
        </row>
        <row r="18">
          <cell r="J18" t="str">
            <v>1-1430  PT Camar</v>
          </cell>
        </row>
        <row r="19">
          <cell r="J19" t="str">
            <v>1-1500  Persediaan Barang Dagangan</v>
          </cell>
        </row>
        <row r="20">
          <cell r="J20" t="str">
            <v>1-2110  HP Peralatan Kantor</v>
          </cell>
        </row>
        <row r="21">
          <cell r="J21" t="str">
            <v>1-2120  Akum. Peny. Peralatan kantor</v>
          </cell>
        </row>
        <row r="22">
          <cell r="J22" t="str">
            <v>1-2210  HP Kendaraan</v>
          </cell>
        </row>
        <row r="23">
          <cell r="J23" t="str">
            <v>1-2220  Akum. Peny. Kendaraan</v>
          </cell>
        </row>
        <row r="24">
          <cell r="J24" t="str">
            <v>2-1110  Hutang Gaji</v>
          </cell>
        </row>
        <row r="25">
          <cell r="J25" t="str">
            <v>2-1210  PT Prima</v>
          </cell>
        </row>
        <row r="26">
          <cell r="J26" t="str">
            <v>2-1220  PT Matahari</v>
          </cell>
        </row>
        <row r="27">
          <cell r="J27" t="str">
            <v>2-1230  PT Metropolitan</v>
          </cell>
        </row>
        <row r="28">
          <cell r="J28" t="str">
            <v>2-1310  PPN Keluaran</v>
          </cell>
        </row>
        <row r="29">
          <cell r="J29" t="str">
            <v>2-1320  PPN Masukan</v>
          </cell>
        </row>
        <row r="30">
          <cell r="J30" t="str">
            <v>2-2110  Hutang BCA</v>
          </cell>
        </row>
        <row r="31">
          <cell r="J31" t="str">
            <v>2-2210  Hutang Jangka Panjang Lain</v>
          </cell>
        </row>
        <row r="32">
          <cell r="J32" t="str">
            <v>3-1000  Modal Saham</v>
          </cell>
        </row>
        <row r="33">
          <cell r="J33" t="str">
            <v>3-2000  Laba Ditahan</v>
          </cell>
        </row>
        <row r="34">
          <cell r="J34" t="str">
            <v>3-3000  Laba Periode Berjalan</v>
          </cell>
        </row>
        <row r="35">
          <cell r="J35" t="str">
            <v>4-1000  Penjualan Barang Dagangan</v>
          </cell>
        </row>
        <row r="36">
          <cell r="J36" t="str">
            <v>5-1000  HPP Barang Dagangan</v>
          </cell>
        </row>
        <row r="37">
          <cell r="J37" t="str">
            <v>5-1110  Gaji Karyawan</v>
          </cell>
        </row>
        <row r="38">
          <cell r="J38" t="str">
            <v>5-1120  Biaya Pemasaran</v>
          </cell>
        </row>
        <row r="39">
          <cell r="J39" t="str">
            <v>5-1130  Biaya Transportasi</v>
          </cell>
        </row>
        <row r="40">
          <cell r="J40" t="str">
            <v>5-1140  Biaya Listrik</v>
          </cell>
        </row>
        <row r="41">
          <cell r="J41" t="str">
            <v>5-1150  Biaya Telpon</v>
          </cell>
        </row>
        <row r="42">
          <cell r="J42" t="str">
            <v>5-1180  Biaya Sewa Ruko</v>
          </cell>
        </row>
        <row r="43">
          <cell r="J43" t="str">
            <v>5-1190  Perawatan Aktiva</v>
          </cell>
        </row>
        <row r="44">
          <cell r="J44" t="str">
            <v>5-1200  Penyusutan Aktiva</v>
          </cell>
        </row>
        <row r="45">
          <cell r="J45" t="str">
            <v>5-1210  Biaya Lain-lain</v>
          </cell>
        </row>
        <row r="46">
          <cell r="J46" t="str">
            <v/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ver"/>
      <sheetName val="Daftar Isi"/>
      <sheetName val="NR"/>
      <sheetName val="Sheet4"/>
      <sheetName val="Temuan"/>
      <sheetName val="AJP"/>
      <sheetName val="CLK"/>
      <sheetName val="WS REKAP"/>
      <sheetName val="WS EDIT (Izul)_DB"/>
      <sheetName val="AT Revisi"/>
      <sheetName val="RL"/>
      <sheetName val="LPPK-2013"/>
      <sheetName val="Arus Kas"/>
      <sheetName val="KertasKerja_DB"/>
      <sheetName val="Lamp"/>
      <sheetName val="WS"/>
      <sheetName val="Sheet5"/>
      <sheetName val="Sheet1 (2)"/>
      <sheetName val="Sheet2 (2)"/>
      <sheetName val="RKP Pembelian"/>
      <sheetName val="AT Fix"/>
      <sheetName val="Sheet3"/>
      <sheetName val="I"/>
      <sheetName val="II"/>
      <sheetName val="III"/>
      <sheetName val="IV"/>
      <sheetName val="V"/>
      <sheetName val="Sheet2"/>
      <sheetName val="IV (2)"/>
      <sheetName val="Penjualan"/>
      <sheetName val="Rinc_Penjualan"/>
      <sheetName val="Rinc_HPP"/>
      <sheetName val="HPP"/>
      <sheetName val="Rinc_HPP2"/>
      <sheetName val="LR"/>
      <sheetName val="LR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B5" t="str">
            <v>No Akun</v>
          </cell>
          <cell r="C5" t="str">
            <v>Nama Akun</v>
          </cell>
          <cell r="D5" t="str">
            <v>Bulan</v>
          </cell>
          <cell r="F5" t="str">
            <v>No Akun</v>
          </cell>
          <cell r="G5" t="str">
            <v>Nama Rekening</v>
          </cell>
          <cell r="H5" t="str">
            <v>Per Audit 31 Des '13</v>
          </cell>
          <cell r="J5" t="str">
            <v>HPP BRC</v>
          </cell>
          <cell r="L5" t="str">
            <v>JJ Pembelian</v>
          </cell>
          <cell r="N5" t="str">
            <v>JJ Piutang Kredit</v>
          </cell>
          <cell r="P5" t="str">
            <v>Jurnal Bahan</v>
          </cell>
          <cell r="R5" t="str">
            <v>Jurnal Gaji</v>
          </cell>
          <cell r="T5" t="str">
            <v>Jurnal Penerimaan Kas</v>
          </cell>
          <cell r="V5" t="str">
            <v>Jurnal Penerimaan Bank</v>
          </cell>
          <cell r="X5" t="str">
            <v>Jurnal Pengeluaran Bank</v>
          </cell>
          <cell r="Z5" t="str">
            <v>Jurnal Pengeluaran Kas</v>
          </cell>
          <cell r="AB5" t="str">
            <v>Saldo per Audit 2014</v>
          </cell>
          <cell r="AD5" t="str">
            <v>Mutasi 2014</v>
          </cell>
        </row>
        <row r="6">
          <cell r="H6" t="str">
            <v xml:space="preserve">Debet </v>
          </cell>
          <cell r="I6" t="str">
            <v>Kredit</v>
          </cell>
          <cell r="J6" t="str">
            <v>DEBIT</v>
          </cell>
          <cell r="K6" t="str">
            <v>KREDIT</v>
          </cell>
          <cell r="L6" t="str">
            <v>DEBIT</v>
          </cell>
          <cell r="M6" t="str">
            <v>KREDIT</v>
          </cell>
          <cell r="N6" t="str">
            <v>DEBIT</v>
          </cell>
          <cell r="O6" t="str">
            <v>KREDIT</v>
          </cell>
          <cell r="P6" t="str">
            <v>DEBIT</v>
          </cell>
          <cell r="Q6" t="str">
            <v>KREDIT</v>
          </cell>
          <cell r="R6" t="str">
            <v>DEBIT</v>
          </cell>
          <cell r="S6" t="str">
            <v>KREDIT</v>
          </cell>
          <cell r="T6" t="str">
            <v>DEBIT</v>
          </cell>
          <cell r="U6" t="str">
            <v>KREDIT</v>
          </cell>
          <cell r="V6" t="str">
            <v>DEBIT</v>
          </cell>
          <cell r="W6" t="str">
            <v>KREDIT</v>
          </cell>
          <cell r="X6" t="str">
            <v>DEBIT</v>
          </cell>
          <cell r="Y6" t="str">
            <v>KREDIT</v>
          </cell>
          <cell r="Z6" t="str">
            <v>DEBIT</v>
          </cell>
          <cell r="AA6" t="str">
            <v>KREDIT</v>
          </cell>
          <cell r="AB6" t="str">
            <v>D</v>
          </cell>
          <cell r="AC6" t="str">
            <v>K</v>
          </cell>
        </row>
        <row r="7">
          <cell r="B7">
            <v>101000</v>
          </cell>
          <cell r="C7" t="str">
            <v>AKTIVA LANCAR</v>
          </cell>
          <cell r="E7">
            <v>101</v>
          </cell>
          <cell r="F7">
            <v>101000</v>
          </cell>
          <cell r="G7" t="str">
            <v>AKTIVA LANCAR</v>
          </cell>
        </row>
        <row r="8">
          <cell r="B8">
            <v>101001</v>
          </cell>
          <cell r="C8" t="str">
            <v>Kas</v>
          </cell>
          <cell r="E8">
            <v>101.001</v>
          </cell>
          <cell r="F8">
            <v>101001</v>
          </cell>
          <cell r="G8" t="str">
            <v>Kas</v>
          </cell>
          <cell r="H8">
            <v>38686968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139697</v>
          </cell>
          <cell r="T8">
            <v>3787310748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3786958463</v>
          </cell>
          <cell r="AB8">
            <v>3825997716</v>
          </cell>
          <cell r="AC8">
            <v>3787098160</v>
          </cell>
          <cell r="AD8">
            <v>3787310748</v>
          </cell>
          <cell r="AE8">
            <v>3786958463</v>
          </cell>
        </row>
        <row r="9">
          <cell r="B9">
            <v>101001</v>
          </cell>
          <cell r="C9" t="str">
            <v>Kas</v>
          </cell>
          <cell r="D9" t="str">
            <v>Januari</v>
          </cell>
          <cell r="F9">
            <v>101001</v>
          </cell>
          <cell r="G9" t="str">
            <v>Januari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169</v>
          </cell>
          <cell r="T9">
            <v>350146550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363459630</v>
          </cell>
          <cell r="AB9">
            <v>350146550</v>
          </cell>
          <cell r="AC9">
            <v>363459799</v>
          </cell>
          <cell r="AD9">
            <v>350146550</v>
          </cell>
          <cell r="AE9">
            <v>363459630</v>
          </cell>
        </row>
        <row r="10">
          <cell r="B10">
            <v>101001</v>
          </cell>
          <cell r="C10" t="str">
            <v>Kas</v>
          </cell>
          <cell r="D10" t="str">
            <v>Februari</v>
          </cell>
          <cell r="F10">
            <v>101001</v>
          </cell>
          <cell r="G10" t="str">
            <v>Februari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642</v>
          </cell>
          <cell r="T10">
            <v>231176295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223184803</v>
          </cell>
          <cell r="AB10">
            <v>231176295</v>
          </cell>
          <cell r="AC10">
            <v>223185445</v>
          </cell>
          <cell r="AD10">
            <v>231176295</v>
          </cell>
          <cell r="AE10">
            <v>223184803</v>
          </cell>
        </row>
        <row r="11">
          <cell r="B11">
            <v>101001</v>
          </cell>
          <cell r="C11" t="str">
            <v>Kas</v>
          </cell>
          <cell r="D11" t="str">
            <v>Maret</v>
          </cell>
          <cell r="F11">
            <v>101001</v>
          </cell>
          <cell r="G11" t="str">
            <v>Maret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382</v>
          </cell>
          <cell r="T11">
            <v>254006448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241901431</v>
          </cell>
          <cell r="AB11">
            <v>254006448</v>
          </cell>
          <cell r="AC11">
            <v>241901813</v>
          </cell>
          <cell r="AD11">
            <v>254006448</v>
          </cell>
          <cell r="AE11">
            <v>241901431</v>
          </cell>
        </row>
        <row r="12">
          <cell r="B12">
            <v>101001</v>
          </cell>
          <cell r="C12" t="str">
            <v>Kas</v>
          </cell>
          <cell r="D12" t="str">
            <v>April</v>
          </cell>
          <cell r="F12">
            <v>101001</v>
          </cell>
          <cell r="G12" t="str">
            <v>April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255</v>
          </cell>
          <cell r="T12">
            <v>258681650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272035973</v>
          </cell>
          <cell r="AB12">
            <v>258681650</v>
          </cell>
          <cell r="AC12">
            <v>272036228</v>
          </cell>
          <cell r="AD12">
            <v>258681650</v>
          </cell>
          <cell r="AE12">
            <v>272035973</v>
          </cell>
        </row>
        <row r="13">
          <cell r="B13">
            <v>101001</v>
          </cell>
          <cell r="C13" t="str">
            <v>Kas</v>
          </cell>
          <cell r="D13" t="str">
            <v>Mei</v>
          </cell>
          <cell r="F13">
            <v>101001</v>
          </cell>
          <cell r="G13" t="str">
            <v>Mei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149</v>
          </cell>
          <cell r="T13">
            <v>283698703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303960503</v>
          </cell>
          <cell r="AB13">
            <v>283698703</v>
          </cell>
          <cell r="AC13">
            <v>303960652</v>
          </cell>
          <cell r="AD13">
            <v>283698703</v>
          </cell>
          <cell r="AE13">
            <v>303960503</v>
          </cell>
        </row>
        <row r="14">
          <cell r="B14">
            <v>101001</v>
          </cell>
          <cell r="C14" t="str">
            <v>Kas</v>
          </cell>
          <cell r="D14" t="str">
            <v>Juni</v>
          </cell>
          <cell r="F14">
            <v>101001</v>
          </cell>
          <cell r="G14" t="str">
            <v>Juni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1346</v>
          </cell>
          <cell r="T14">
            <v>338121588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328729126</v>
          </cell>
          <cell r="AB14">
            <v>338121588</v>
          </cell>
          <cell r="AC14">
            <v>328730472</v>
          </cell>
          <cell r="AD14">
            <v>338121588</v>
          </cell>
          <cell r="AE14">
            <v>328729126</v>
          </cell>
        </row>
        <row r="15">
          <cell r="B15">
            <v>101001</v>
          </cell>
          <cell r="C15" t="str">
            <v>Kas</v>
          </cell>
          <cell r="D15" t="str">
            <v>Juli</v>
          </cell>
          <cell r="F15">
            <v>101001</v>
          </cell>
          <cell r="G15" t="str">
            <v>Juli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972</v>
          </cell>
          <cell r="T15">
            <v>291219750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289385448</v>
          </cell>
          <cell r="AB15">
            <v>291219750</v>
          </cell>
          <cell r="AC15">
            <v>289386420</v>
          </cell>
          <cell r="AD15">
            <v>291219750</v>
          </cell>
          <cell r="AE15">
            <v>289385448</v>
          </cell>
        </row>
        <row r="16">
          <cell r="B16">
            <v>101001</v>
          </cell>
          <cell r="C16" t="str">
            <v>Kas</v>
          </cell>
          <cell r="D16" t="str">
            <v>Agustus</v>
          </cell>
          <cell r="F16">
            <v>101001</v>
          </cell>
          <cell r="G16" t="str">
            <v>Agustus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66631</v>
          </cell>
          <cell r="T16">
            <v>415782792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390372430</v>
          </cell>
          <cell r="AB16">
            <v>415782792</v>
          </cell>
          <cell r="AC16">
            <v>390439061</v>
          </cell>
          <cell r="AD16">
            <v>415782792</v>
          </cell>
          <cell r="AE16">
            <v>390372430</v>
          </cell>
        </row>
        <row r="17">
          <cell r="B17">
            <v>101001</v>
          </cell>
          <cell r="C17" t="str">
            <v>Kas</v>
          </cell>
          <cell r="D17" t="str">
            <v>September</v>
          </cell>
          <cell r="F17">
            <v>101001</v>
          </cell>
          <cell r="G17" t="str">
            <v>September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287</v>
          </cell>
          <cell r="T17">
            <v>315888800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340767244</v>
          </cell>
          <cell r="AB17">
            <v>315888800</v>
          </cell>
          <cell r="AC17">
            <v>340767531</v>
          </cell>
          <cell r="AD17">
            <v>315888800</v>
          </cell>
          <cell r="AE17">
            <v>340767244</v>
          </cell>
        </row>
        <row r="18">
          <cell r="B18">
            <v>101001</v>
          </cell>
          <cell r="C18" t="str">
            <v>Kas</v>
          </cell>
          <cell r="D18" t="str">
            <v>Oktober</v>
          </cell>
          <cell r="F18">
            <v>101001</v>
          </cell>
          <cell r="G18" t="str">
            <v>Oktober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67425</v>
          </cell>
          <cell r="T18">
            <v>329800250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327774942</v>
          </cell>
          <cell r="AB18">
            <v>329800250</v>
          </cell>
          <cell r="AC18">
            <v>327842367</v>
          </cell>
          <cell r="AD18">
            <v>329800250</v>
          </cell>
          <cell r="AE18">
            <v>327774942</v>
          </cell>
        </row>
        <row r="19">
          <cell r="B19">
            <v>101001</v>
          </cell>
          <cell r="C19" t="str">
            <v>Kas</v>
          </cell>
          <cell r="D19" t="str">
            <v>November</v>
          </cell>
          <cell r="F19">
            <v>101001</v>
          </cell>
          <cell r="G19" t="str">
            <v>November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1078</v>
          </cell>
          <cell r="T19">
            <v>341136000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344929647</v>
          </cell>
          <cell r="AB19">
            <v>341136000</v>
          </cell>
          <cell r="AC19">
            <v>344930725</v>
          </cell>
          <cell r="AD19">
            <v>341136000</v>
          </cell>
          <cell r="AE19">
            <v>344929647</v>
          </cell>
        </row>
        <row r="20">
          <cell r="B20">
            <v>101001</v>
          </cell>
          <cell r="C20" t="str">
            <v>Kas</v>
          </cell>
          <cell r="D20" t="str">
            <v>Desember</v>
          </cell>
          <cell r="F20">
            <v>101001</v>
          </cell>
          <cell r="G20" t="str">
            <v>Desember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361</v>
          </cell>
          <cell r="T20">
            <v>377651922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360457286</v>
          </cell>
          <cell r="AB20">
            <v>377651922</v>
          </cell>
          <cell r="AC20">
            <v>360457647</v>
          </cell>
          <cell r="AD20">
            <v>377651922</v>
          </cell>
          <cell r="AE20">
            <v>360457286</v>
          </cell>
        </row>
        <row r="21">
          <cell r="F21">
            <v>101001</v>
          </cell>
          <cell r="G21">
            <v>0</v>
          </cell>
          <cell r="AB21">
            <v>0</v>
          </cell>
          <cell r="AC21">
            <v>0</v>
          </cell>
        </row>
        <row r="22">
          <cell r="B22">
            <v>102000</v>
          </cell>
          <cell r="C22" t="str">
            <v>Bank</v>
          </cell>
          <cell r="E22">
            <v>102</v>
          </cell>
          <cell r="F22">
            <v>102000</v>
          </cell>
          <cell r="G22" t="str">
            <v>Bank</v>
          </cell>
          <cell r="H22">
            <v>0</v>
          </cell>
          <cell r="I22">
            <v>0</v>
          </cell>
          <cell r="AB22">
            <v>0</v>
          </cell>
          <cell r="AC22">
            <v>0</v>
          </cell>
        </row>
        <row r="23">
          <cell r="B23">
            <v>102007</v>
          </cell>
          <cell r="C23" t="str">
            <v>Bank Panin</v>
          </cell>
          <cell r="E23">
            <v>102.00700000000001</v>
          </cell>
          <cell r="F23">
            <v>102007</v>
          </cell>
          <cell r="G23" t="str">
            <v>Bank Panin</v>
          </cell>
          <cell r="H23">
            <v>21822247.079999998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25000000</v>
          </cell>
          <cell r="V23">
            <v>25024953</v>
          </cell>
          <cell r="W23">
            <v>0</v>
          </cell>
          <cell r="X23">
            <v>0</v>
          </cell>
          <cell r="Y23">
            <v>432000</v>
          </cell>
          <cell r="Z23">
            <v>0</v>
          </cell>
          <cell r="AA23">
            <v>0</v>
          </cell>
          <cell r="AB23">
            <v>46847200.079999998</v>
          </cell>
          <cell r="AC23">
            <v>25432000</v>
          </cell>
          <cell r="AD23">
            <v>25024953</v>
          </cell>
          <cell r="AE23">
            <v>25432000</v>
          </cell>
        </row>
        <row r="24">
          <cell r="B24">
            <v>102007</v>
          </cell>
          <cell r="C24" t="str">
            <v>Bank Panin</v>
          </cell>
          <cell r="D24" t="str">
            <v>Januari</v>
          </cell>
          <cell r="F24">
            <v>102007</v>
          </cell>
          <cell r="G24" t="str">
            <v>Januari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1351985</v>
          </cell>
          <cell r="W24">
            <v>0</v>
          </cell>
          <cell r="X24">
            <v>0</v>
          </cell>
          <cell r="Y24">
            <v>36000</v>
          </cell>
          <cell r="Z24">
            <v>0</v>
          </cell>
          <cell r="AA24">
            <v>0</v>
          </cell>
          <cell r="AB24">
            <v>1351985</v>
          </cell>
          <cell r="AC24">
            <v>36000</v>
          </cell>
          <cell r="AD24">
            <v>1351985</v>
          </cell>
          <cell r="AE24">
            <v>36000</v>
          </cell>
        </row>
        <row r="25">
          <cell r="B25">
            <v>102007</v>
          </cell>
          <cell r="C25" t="str">
            <v>Bank Panin</v>
          </cell>
          <cell r="D25" t="str">
            <v>Februari</v>
          </cell>
          <cell r="F25">
            <v>102007</v>
          </cell>
          <cell r="G25" t="str">
            <v>Februari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4555432</v>
          </cell>
          <cell r="W25">
            <v>0</v>
          </cell>
          <cell r="X25">
            <v>0</v>
          </cell>
          <cell r="Y25">
            <v>36000</v>
          </cell>
          <cell r="Z25">
            <v>0</v>
          </cell>
          <cell r="AA25">
            <v>0</v>
          </cell>
          <cell r="AB25">
            <v>4555432</v>
          </cell>
          <cell r="AC25">
            <v>36000</v>
          </cell>
          <cell r="AD25">
            <v>4555432</v>
          </cell>
          <cell r="AE25">
            <v>36000</v>
          </cell>
        </row>
        <row r="26">
          <cell r="B26">
            <v>102007</v>
          </cell>
          <cell r="C26" t="str">
            <v>Bank Panin</v>
          </cell>
          <cell r="D26" t="str">
            <v>Maret</v>
          </cell>
          <cell r="F26">
            <v>102007</v>
          </cell>
          <cell r="G26" t="str">
            <v>Maret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14091</v>
          </cell>
          <cell r="W26">
            <v>0</v>
          </cell>
          <cell r="X26">
            <v>0</v>
          </cell>
          <cell r="Y26">
            <v>36000</v>
          </cell>
          <cell r="Z26">
            <v>0</v>
          </cell>
          <cell r="AA26">
            <v>0</v>
          </cell>
          <cell r="AB26">
            <v>14091</v>
          </cell>
          <cell r="AC26">
            <v>36000</v>
          </cell>
          <cell r="AD26">
            <v>14091</v>
          </cell>
          <cell r="AE26">
            <v>36000</v>
          </cell>
        </row>
        <row r="27">
          <cell r="B27">
            <v>102007</v>
          </cell>
          <cell r="C27" t="str">
            <v>Bank Panin</v>
          </cell>
          <cell r="D27" t="str">
            <v>April</v>
          </cell>
          <cell r="F27">
            <v>102007</v>
          </cell>
          <cell r="G27" t="str">
            <v>April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13626</v>
          </cell>
          <cell r="W27">
            <v>0</v>
          </cell>
          <cell r="X27">
            <v>0</v>
          </cell>
          <cell r="Y27">
            <v>36000</v>
          </cell>
          <cell r="Z27">
            <v>0</v>
          </cell>
          <cell r="AA27">
            <v>0</v>
          </cell>
          <cell r="AB27">
            <v>13626</v>
          </cell>
          <cell r="AC27">
            <v>36000</v>
          </cell>
          <cell r="AD27">
            <v>13626</v>
          </cell>
          <cell r="AE27">
            <v>36000</v>
          </cell>
        </row>
        <row r="28">
          <cell r="B28">
            <v>102007</v>
          </cell>
          <cell r="C28" t="str">
            <v>Bank Panin</v>
          </cell>
          <cell r="D28" t="str">
            <v>Mei</v>
          </cell>
          <cell r="F28">
            <v>102007</v>
          </cell>
          <cell r="G28" t="str">
            <v>Mei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1062362</v>
          </cell>
          <cell r="W28">
            <v>0</v>
          </cell>
          <cell r="X28">
            <v>0</v>
          </cell>
          <cell r="Y28">
            <v>36000</v>
          </cell>
          <cell r="Z28">
            <v>0</v>
          </cell>
          <cell r="AA28">
            <v>0</v>
          </cell>
          <cell r="AB28">
            <v>1062362</v>
          </cell>
          <cell r="AC28">
            <v>36000</v>
          </cell>
          <cell r="AD28">
            <v>1062362</v>
          </cell>
          <cell r="AE28">
            <v>36000</v>
          </cell>
        </row>
        <row r="29">
          <cell r="B29">
            <v>102007</v>
          </cell>
          <cell r="C29" t="str">
            <v>Bank Panin</v>
          </cell>
          <cell r="D29" t="str">
            <v>Juni</v>
          </cell>
          <cell r="F29">
            <v>102007</v>
          </cell>
          <cell r="G29" t="str">
            <v>Juni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14121</v>
          </cell>
          <cell r="W29">
            <v>0</v>
          </cell>
          <cell r="X29">
            <v>0</v>
          </cell>
          <cell r="Y29">
            <v>36000</v>
          </cell>
          <cell r="Z29">
            <v>0</v>
          </cell>
          <cell r="AA29">
            <v>0</v>
          </cell>
          <cell r="AB29">
            <v>14121</v>
          </cell>
          <cell r="AC29">
            <v>36000</v>
          </cell>
          <cell r="AD29">
            <v>14121</v>
          </cell>
          <cell r="AE29">
            <v>36000</v>
          </cell>
        </row>
        <row r="30">
          <cell r="B30">
            <v>102007</v>
          </cell>
          <cell r="C30" t="str">
            <v>Bank Panin</v>
          </cell>
          <cell r="D30" t="str">
            <v>Juli</v>
          </cell>
          <cell r="F30">
            <v>102007</v>
          </cell>
          <cell r="G30" t="str">
            <v>Juli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14580</v>
          </cell>
          <cell r="W30">
            <v>0</v>
          </cell>
          <cell r="X30">
            <v>0</v>
          </cell>
          <cell r="Y30">
            <v>36000</v>
          </cell>
          <cell r="Z30">
            <v>0</v>
          </cell>
          <cell r="AA30">
            <v>0</v>
          </cell>
          <cell r="AB30">
            <v>14580</v>
          </cell>
          <cell r="AC30">
            <v>36000</v>
          </cell>
          <cell r="AD30">
            <v>14580</v>
          </cell>
          <cell r="AE30">
            <v>36000</v>
          </cell>
        </row>
        <row r="31">
          <cell r="B31">
            <v>102007</v>
          </cell>
          <cell r="C31" t="str">
            <v>Bank Panin</v>
          </cell>
          <cell r="D31" t="str">
            <v>Agustus</v>
          </cell>
          <cell r="F31">
            <v>102007</v>
          </cell>
          <cell r="G31" t="str">
            <v>Agustus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25000000</v>
          </cell>
          <cell r="V31">
            <v>12847</v>
          </cell>
          <cell r="W31">
            <v>0</v>
          </cell>
          <cell r="X31">
            <v>0</v>
          </cell>
          <cell r="Y31">
            <v>36000</v>
          </cell>
          <cell r="Z31">
            <v>0</v>
          </cell>
          <cell r="AA31">
            <v>0</v>
          </cell>
          <cell r="AB31">
            <v>12847</v>
          </cell>
          <cell r="AC31">
            <v>25036000</v>
          </cell>
          <cell r="AD31">
            <v>12847</v>
          </cell>
          <cell r="AE31">
            <v>25036000</v>
          </cell>
        </row>
        <row r="32">
          <cell r="B32">
            <v>102007</v>
          </cell>
          <cell r="C32" t="str">
            <v>Bank Panin</v>
          </cell>
          <cell r="D32" t="str">
            <v>September</v>
          </cell>
          <cell r="F32">
            <v>102007</v>
          </cell>
          <cell r="G32" t="str">
            <v>September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5463789</v>
          </cell>
          <cell r="W32">
            <v>0</v>
          </cell>
          <cell r="X32">
            <v>0</v>
          </cell>
          <cell r="Y32">
            <v>36000</v>
          </cell>
          <cell r="Z32">
            <v>0</v>
          </cell>
          <cell r="AA32">
            <v>0</v>
          </cell>
          <cell r="AB32">
            <v>5463789</v>
          </cell>
          <cell r="AC32">
            <v>36000</v>
          </cell>
          <cell r="AD32">
            <v>5463789</v>
          </cell>
          <cell r="AE32">
            <v>36000</v>
          </cell>
        </row>
        <row r="33">
          <cell r="B33">
            <v>102007</v>
          </cell>
          <cell r="C33" t="str">
            <v>Bank Panin</v>
          </cell>
          <cell r="D33" t="str">
            <v>Oktober</v>
          </cell>
          <cell r="F33">
            <v>102007</v>
          </cell>
          <cell r="G33" t="str">
            <v>Oktober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2483863</v>
          </cell>
          <cell r="W33">
            <v>0</v>
          </cell>
          <cell r="X33">
            <v>0</v>
          </cell>
          <cell r="Y33">
            <v>36000</v>
          </cell>
          <cell r="Z33">
            <v>0</v>
          </cell>
          <cell r="AA33">
            <v>0</v>
          </cell>
          <cell r="AB33">
            <v>2483863</v>
          </cell>
          <cell r="AC33">
            <v>36000</v>
          </cell>
          <cell r="AD33">
            <v>2483863</v>
          </cell>
          <cell r="AE33">
            <v>36000</v>
          </cell>
        </row>
        <row r="34">
          <cell r="B34">
            <v>102007</v>
          </cell>
          <cell r="C34" t="str">
            <v>Bank Panin</v>
          </cell>
          <cell r="D34" t="str">
            <v>November</v>
          </cell>
          <cell r="F34">
            <v>102007</v>
          </cell>
          <cell r="G34" t="str">
            <v>November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3762</v>
          </cell>
          <cell r="W34">
            <v>0</v>
          </cell>
          <cell r="X34">
            <v>0</v>
          </cell>
          <cell r="Y34">
            <v>36000</v>
          </cell>
          <cell r="Z34">
            <v>0</v>
          </cell>
          <cell r="AA34">
            <v>0</v>
          </cell>
          <cell r="AB34">
            <v>3762</v>
          </cell>
          <cell r="AC34">
            <v>36000</v>
          </cell>
          <cell r="AD34">
            <v>3762</v>
          </cell>
          <cell r="AE34">
            <v>36000</v>
          </cell>
        </row>
        <row r="35">
          <cell r="B35">
            <v>102007</v>
          </cell>
          <cell r="C35" t="str">
            <v>Bank Panin</v>
          </cell>
          <cell r="D35" t="str">
            <v>Desember</v>
          </cell>
          <cell r="F35">
            <v>102007</v>
          </cell>
          <cell r="G35" t="str">
            <v>Desember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10034495</v>
          </cell>
          <cell r="W35">
            <v>0</v>
          </cell>
          <cell r="X35">
            <v>0</v>
          </cell>
          <cell r="Y35">
            <v>36000</v>
          </cell>
          <cell r="Z35">
            <v>0</v>
          </cell>
          <cell r="AA35">
            <v>0</v>
          </cell>
          <cell r="AB35">
            <v>10034495</v>
          </cell>
          <cell r="AC35">
            <v>36000</v>
          </cell>
          <cell r="AD35">
            <v>10034495</v>
          </cell>
          <cell r="AE35">
            <v>36000</v>
          </cell>
        </row>
        <row r="37">
          <cell r="B37">
            <v>102002</v>
          </cell>
          <cell r="C37" t="str">
            <v>Bank BNI 0258780723</v>
          </cell>
          <cell r="E37">
            <v>102.002</v>
          </cell>
          <cell r="F37">
            <v>102002</v>
          </cell>
          <cell r="G37" t="str">
            <v>Bank BNI 0258780723</v>
          </cell>
          <cell r="H37">
            <v>52500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52500</v>
          </cell>
          <cell r="AC37">
            <v>0</v>
          </cell>
          <cell r="AD37">
            <v>0</v>
          </cell>
          <cell r="AE37">
            <v>0</v>
          </cell>
        </row>
        <row r="38">
          <cell r="B38">
            <v>102002</v>
          </cell>
          <cell r="C38" t="str">
            <v>Bank BNI 0258780723</v>
          </cell>
          <cell r="D38" t="str">
            <v>Januari</v>
          </cell>
          <cell r="F38">
            <v>102002</v>
          </cell>
          <cell r="G38" t="str">
            <v>Januari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B39">
            <v>102002</v>
          </cell>
          <cell r="C39" t="str">
            <v>Bank BNI 0258780723</v>
          </cell>
          <cell r="D39" t="str">
            <v>Februari</v>
          </cell>
          <cell r="F39">
            <v>102002</v>
          </cell>
          <cell r="G39" t="str">
            <v>Februari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B40">
            <v>102002</v>
          </cell>
          <cell r="C40" t="str">
            <v>Bank BNI 0258780723</v>
          </cell>
          <cell r="D40" t="str">
            <v>Maret</v>
          </cell>
          <cell r="F40">
            <v>102002</v>
          </cell>
          <cell r="G40" t="str">
            <v>Maret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B41">
            <v>102002</v>
          </cell>
          <cell r="C41" t="str">
            <v>Bank BNI 0258780723</v>
          </cell>
          <cell r="D41" t="str">
            <v>April</v>
          </cell>
          <cell r="F41">
            <v>102002</v>
          </cell>
          <cell r="G41" t="str">
            <v>April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B42">
            <v>102002</v>
          </cell>
          <cell r="C42" t="str">
            <v>Bank BNI 0258780723</v>
          </cell>
          <cell r="D42" t="str">
            <v>Mei</v>
          </cell>
          <cell r="F42">
            <v>102002</v>
          </cell>
          <cell r="G42" t="str">
            <v>Mei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B43">
            <v>102002</v>
          </cell>
          <cell r="C43" t="str">
            <v>Bank BNI 0258780723</v>
          </cell>
          <cell r="D43" t="str">
            <v>Juni</v>
          </cell>
          <cell r="F43">
            <v>102002</v>
          </cell>
          <cell r="G43" t="str">
            <v>Juni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B44">
            <v>102002</v>
          </cell>
          <cell r="C44" t="str">
            <v>Bank BNI 0258780723</v>
          </cell>
          <cell r="D44" t="str">
            <v>Juli</v>
          </cell>
          <cell r="F44">
            <v>102002</v>
          </cell>
          <cell r="G44" t="str">
            <v>Juli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B45">
            <v>102002</v>
          </cell>
          <cell r="C45" t="str">
            <v>Bank BNI 0258780723</v>
          </cell>
          <cell r="D45" t="str">
            <v>Agustus</v>
          </cell>
          <cell r="F45">
            <v>102002</v>
          </cell>
          <cell r="G45" t="str">
            <v>Agustus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B46">
            <v>102002</v>
          </cell>
          <cell r="C46" t="str">
            <v>Bank BNI 0258780723</v>
          </cell>
          <cell r="D46" t="str">
            <v>September</v>
          </cell>
          <cell r="F46">
            <v>102002</v>
          </cell>
          <cell r="G46" t="str">
            <v>September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B47">
            <v>102002</v>
          </cell>
          <cell r="C47" t="str">
            <v>Bank BNI 0258780723</v>
          </cell>
          <cell r="D47" t="str">
            <v>Oktober</v>
          </cell>
          <cell r="F47">
            <v>102002</v>
          </cell>
          <cell r="G47" t="str">
            <v>Oktober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B48">
            <v>102002</v>
          </cell>
          <cell r="C48" t="str">
            <v>Bank BNI 0258780723</v>
          </cell>
          <cell r="D48" t="str">
            <v>November</v>
          </cell>
          <cell r="F48">
            <v>102002</v>
          </cell>
          <cell r="G48" t="str">
            <v>November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B49">
            <v>102002</v>
          </cell>
          <cell r="C49" t="str">
            <v>Bank BNI 0258780723</v>
          </cell>
          <cell r="D49" t="str">
            <v>Desember</v>
          </cell>
          <cell r="F49">
            <v>102002</v>
          </cell>
          <cell r="G49" t="str">
            <v>Desember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1">
          <cell r="B51">
            <v>102004</v>
          </cell>
          <cell r="C51" t="str">
            <v>PANIN</v>
          </cell>
          <cell r="E51">
            <v>102.004</v>
          </cell>
          <cell r="F51">
            <v>102004</v>
          </cell>
          <cell r="G51" t="str">
            <v>PANIN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B52">
            <v>102004</v>
          </cell>
          <cell r="C52" t="str">
            <v>PANIN</v>
          </cell>
          <cell r="D52" t="str">
            <v>Januari</v>
          </cell>
          <cell r="F52">
            <v>102004</v>
          </cell>
          <cell r="G52" t="str">
            <v>Januari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B53">
            <v>102004</v>
          </cell>
          <cell r="C53" t="str">
            <v>PANIN</v>
          </cell>
          <cell r="D53" t="str">
            <v>Februari</v>
          </cell>
          <cell r="F53">
            <v>102004</v>
          </cell>
          <cell r="G53" t="str">
            <v>Februari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B54">
            <v>102004</v>
          </cell>
          <cell r="C54" t="str">
            <v>PANIN</v>
          </cell>
          <cell r="D54" t="str">
            <v>Maret</v>
          </cell>
          <cell r="F54">
            <v>102004</v>
          </cell>
          <cell r="G54" t="str">
            <v>Maret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B55">
            <v>102004</v>
          </cell>
          <cell r="C55" t="str">
            <v>PANIN</v>
          </cell>
          <cell r="D55" t="str">
            <v>April</v>
          </cell>
          <cell r="F55">
            <v>102004</v>
          </cell>
          <cell r="G55" t="str">
            <v>April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B56">
            <v>102004</v>
          </cell>
          <cell r="C56" t="str">
            <v>PANIN</v>
          </cell>
          <cell r="D56" t="str">
            <v>Mei</v>
          </cell>
          <cell r="F56">
            <v>102004</v>
          </cell>
          <cell r="G56" t="str">
            <v>Mei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B57">
            <v>102004</v>
          </cell>
          <cell r="C57" t="str">
            <v>PANIN</v>
          </cell>
          <cell r="D57" t="str">
            <v>Juni</v>
          </cell>
          <cell r="F57">
            <v>102004</v>
          </cell>
          <cell r="G57" t="str">
            <v>Juni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B58">
            <v>102004</v>
          </cell>
          <cell r="C58" t="str">
            <v>PANIN</v>
          </cell>
          <cell r="D58" t="str">
            <v>Juli</v>
          </cell>
          <cell r="F58">
            <v>102004</v>
          </cell>
          <cell r="G58" t="str">
            <v>Juli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B59">
            <v>102004</v>
          </cell>
          <cell r="C59" t="str">
            <v>PANIN</v>
          </cell>
          <cell r="D59" t="str">
            <v>Agustus</v>
          </cell>
          <cell r="F59">
            <v>102004</v>
          </cell>
          <cell r="G59" t="str">
            <v>Agustus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B60">
            <v>102004</v>
          </cell>
          <cell r="C60" t="str">
            <v>PANIN</v>
          </cell>
          <cell r="D60" t="str">
            <v>September</v>
          </cell>
          <cell r="F60">
            <v>102004</v>
          </cell>
          <cell r="G60" t="str">
            <v>September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B61">
            <v>102004</v>
          </cell>
          <cell r="C61" t="str">
            <v>PANIN</v>
          </cell>
          <cell r="D61" t="str">
            <v>Oktober</v>
          </cell>
          <cell r="F61">
            <v>102004</v>
          </cell>
          <cell r="G61" t="str">
            <v>Oktober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B62">
            <v>102004</v>
          </cell>
          <cell r="C62" t="str">
            <v>PANIN</v>
          </cell>
          <cell r="D62" t="str">
            <v>November</v>
          </cell>
          <cell r="F62">
            <v>102004</v>
          </cell>
          <cell r="G62" t="str">
            <v>November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B63">
            <v>102004</v>
          </cell>
          <cell r="C63" t="str">
            <v>PANIN</v>
          </cell>
          <cell r="D63" t="str">
            <v>Desember</v>
          </cell>
          <cell r="F63">
            <v>102004</v>
          </cell>
          <cell r="G63" t="str">
            <v>Desember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B64">
            <v>102005</v>
          </cell>
          <cell r="C64" t="str">
            <v>Bank BNI 0272265025</v>
          </cell>
          <cell r="E64">
            <v>102.005</v>
          </cell>
          <cell r="F64">
            <v>102005</v>
          </cell>
          <cell r="G64" t="str">
            <v>Bank BNI 0272265025</v>
          </cell>
          <cell r="H64">
            <v>62334584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30000000</v>
          </cell>
          <cell r="V64">
            <v>1596369611</v>
          </cell>
          <cell r="W64">
            <v>0</v>
          </cell>
          <cell r="X64">
            <v>550250000</v>
          </cell>
          <cell r="Y64">
            <v>2124420193</v>
          </cell>
          <cell r="Z64">
            <v>0</v>
          </cell>
          <cell r="AA64">
            <v>0</v>
          </cell>
          <cell r="AB64">
            <v>2208954195</v>
          </cell>
          <cell r="AC64">
            <v>2154420193</v>
          </cell>
          <cell r="AD64">
            <v>2146619611</v>
          </cell>
          <cell r="AE64">
            <v>2154420193</v>
          </cell>
        </row>
        <row r="65">
          <cell r="B65">
            <v>102005</v>
          </cell>
          <cell r="C65" t="str">
            <v>Bank BNI 0272265025</v>
          </cell>
          <cell r="D65" t="str">
            <v>Januari</v>
          </cell>
          <cell r="F65">
            <v>102005</v>
          </cell>
          <cell r="G65" t="str">
            <v>Januari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200126544</v>
          </cell>
          <cell r="W65">
            <v>0</v>
          </cell>
          <cell r="X65">
            <v>0</v>
          </cell>
          <cell r="Y65">
            <v>139443245</v>
          </cell>
          <cell r="Z65">
            <v>0</v>
          </cell>
          <cell r="AA65">
            <v>0</v>
          </cell>
          <cell r="AB65">
            <v>200126544</v>
          </cell>
          <cell r="AC65">
            <v>139443245</v>
          </cell>
          <cell r="AD65">
            <v>200126544</v>
          </cell>
          <cell r="AE65">
            <v>139443245</v>
          </cell>
        </row>
        <row r="66">
          <cell r="B66">
            <v>102005</v>
          </cell>
          <cell r="C66" t="str">
            <v>Bank BNI 0272265025</v>
          </cell>
          <cell r="D66" t="str">
            <v>Februari</v>
          </cell>
          <cell r="F66">
            <v>102005</v>
          </cell>
          <cell r="G66" t="str">
            <v>Februari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152507021</v>
          </cell>
          <cell r="W66">
            <v>0</v>
          </cell>
          <cell r="X66">
            <v>0</v>
          </cell>
          <cell r="Y66">
            <v>195550610</v>
          </cell>
          <cell r="Z66">
            <v>0</v>
          </cell>
          <cell r="AA66">
            <v>0</v>
          </cell>
          <cell r="AB66">
            <v>152507021</v>
          </cell>
          <cell r="AC66">
            <v>195550610</v>
          </cell>
          <cell r="AD66">
            <v>152507021</v>
          </cell>
          <cell r="AE66">
            <v>195550610</v>
          </cell>
        </row>
        <row r="67">
          <cell r="B67">
            <v>102005</v>
          </cell>
          <cell r="C67" t="str">
            <v>Bank BNI 0272265025</v>
          </cell>
          <cell r="D67" t="str">
            <v>Maret</v>
          </cell>
          <cell r="F67">
            <v>102005</v>
          </cell>
          <cell r="G67" t="str">
            <v>Maret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97063522</v>
          </cell>
          <cell r="W67">
            <v>0</v>
          </cell>
          <cell r="X67">
            <v>100025000</v>
          </cell>
          <cell r="Y67">
            <v>183860335</v>
          </cell>
          <cell r="Z67">
            <v>0</v>
          </cell>
          <cell r="AA67">
            <v>0</v>
          </cell>
          <cell r="AB67">
            <v>197088522</v>
          </cell>
          <cell r="AC67">
            <v>183860335</v>
          </cell>
          <cell r="AD67">
            <v>197088522</v>
          </cell>
          <cell r="AE67">
            <v>183860335</v>
          </cell>
        </row>
        <row r="68">
          <cell r="B68">
            <v>102005</v>
          </cell>
          <cell r="C68" t="str">
            <v>Bank BNI 0272265025</v>
          </cell>
          <cell r="D68" t="str">
            <v>April</v>
          </cell>
          <cell r="F68">
            <v>102005</v>
          </cell>
          <cell r="G68" t="str">
            <v>April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208146955</v>
          </cell>
          <cell r="W68">
            <v>0</v>
          </cell>
          <cell r="X68">
            <v>25000</v>
          </cell>
          <cell r="Y68">
            <v>190968729</v>
          </cell>
          <cell r="Z68">
            <v>0</v>
          </cell>
          <cell r="AA68">
            <v>0</v>
          </cell>
          <cell r="AB68">
            <v>208171955</v>
          </cell>
          <cell r="AC68">
            <v>190968729</v>
          </cell>
          <cell r="AD68">
            <v>208171955</v>
          </cell>
          <cell r="AE68">
            <v>190968729</v>
          </cell>
        </row>
        <row r="69">
          <cell r="B69">
            <v>102005</v>
          </cell>
          <cell r="C69" t="str">
            <v>Bank BNI 0272265025</v>
          </cell>
          <cell r="D69" t="str">
            <v>Mei</v>
          </cell>
          <cell r="F69">
            <v>102005</v>
          </cell>
          <cell r="G69" t="str">
            <v>Mei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93651136</v>
          </cell>
          <cell r="W69">
            <v>0</v>
          </cell>
          <cell r="X69">
            <v>100025000</v>
          </cell>
          <cell r="Y69">
            <v>179655419</v>
          </cell>
          <cell r="Z69">
            <v>0</v>
          </cell>
          <cell r="AA69">
            <v>0</v>
          </cell>
          <cell r="AB69">
            <v>193676136</v>
          </cell>
          <cell r="AC69">
            <v>179655419</v>
          </cell>
          <cell r="AD69">
            <v>193676136</v>
          </cell>
          <cell r="AE69">
            <v>179655419</v>
          </cell>
        </row>
        <row r="70">
          <cell r="B70">
            <v>102005</v>
          </cell>
          <cell r="C70" t="str">
            <v>Bank BNI 0272265025</v>
          </cell>
          <cell r="D70" t="str">
            <v>Juni</v>
          </cell>
          <cell r="F70">
            <v>102005</v>
          </cell>
          <cell r="G70" t="str">
            <v>Juni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141546454</v>
          </cell>
          <cell r="W70">
            <v>0</v>
          </cell>
          <cell r="X70">
            <v>25000</v>
          </cell>
          <cell r="Y70">
            <v>165586940</v>
          </cell>
          <cell r="Z70">
            <v>0</v>
          </cell>
          <cell r="AA70">
            <v>0</v>
          </cell>
          <cell r="AB70">
            <v>141571454</v>
          </cell>
          <cell r="AC70">
            <v>165586940</v>
          </cell>
          <cell r="AD70">
            <v>141571454</v>
          </cell>
          <cell r="AE70">
            <v>165586940</v>
          </cell>
        </row>
        <row r="71">
          <cell r="B71">
            <v>102005</v>
          </cell>
          <cell r="C71" t="str">
            <v>Bank BNI 0272265025</v>
          </cell>
          <cell r="D71" t="str">
            <v>Juli</v>
          </cell>
          <cell r="F71">
            <v>102005</v>
          </cell>
          <cell r="G71" t="str">
            <v>Juli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113011808</v>
          </cell>
          <cell r="W71">
            <v>0</v>
          </cell>
          <cell r="X71">
            <v>100025000</v>
          </cell>
          <cell r="Y71">
            <v>198273350</v>
          </cell>
          <cell r="Z71">
            <v>0</v>
          </cell>
          <cell r="AA71">
            <v>0</v>
          </cell>
          <cell r="AB71">
            <v>213036808</v>
          </cell>
          <cell r="AC71">
            <v>198273350</v>
          </cell>
          <cell r="AD71">
            <v>213036808</v>
          </cell>
          <cell r="AE71">
            <v>198273350</v>
          </cell>
        </row>
        <row r="72">
          <cell r="B72">
            <v>102005</v>
          </cell>
          <cell r="C72" t="str">
            <v>Bank BNI 0272265025</v>
          </cell>
          <cell r="D72" t="str">
            <v>Agustus</v>
          </cell>
          <cell r="F72">
            <v>102005</v>
          </cell>
          <cell r="G72" t="str">
            <v>Agustus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113436570</v>
          </cell>
          <cell r="W72">
            <v>0</v>
          </cell>
          <cell r="X72">
            <v>25000</v>
          </cell>
          <cell r="Y72">
            <v>159413397</v>
          </cell>
          <cell r="Z72">
            <v>0</v>
          </cell>
          <cell r="AA72">
            <v>0</v>
          </cell>
          <cell r="AB72">
            <v>113461570</v>
          </cell>
          <cell r="AC72">
            <v>159413397</v>
          </cell>
          <cell r="AD72">
            <v>113461570</v>
          </cell>
          <cell r="AE72">
            <v>159413397</v>
          </cell>
        </row>
        <row r="73">
          <cell r="B73">
            <v>102005</v>
          </cell>
          <cell r="C73" t="str">
            <v>Bank BNI 0272265025</v>
          </cell>
          <cell r="D73" t="str">
            <v>September</v>
          </cell>
          <cell r="F73">
            <v>102005</v>
          </cell>
          <cell r="G73" t="str">
            <v>September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54473733</v>
          </cell>
          <cell r="W73">
            <v>0</v>
          </cell>
          <cell r="X73">
            <v>100025000</v>
          </cell>
          <cell r="Y73">
            <v>163307388</v>
          </cell>
          <cell r="Z73">
            <v>0</v>
          </cell>
          <cell r="AA73">
            <v>0</v>
          </cell>
          <cell r="AB73">
            <v>154498733</v>
          </cell>
          <cell r="AC73">
            <v>163307388</v>
          </cell>
          <cell r="AD73">
            <v>154498733</v>
          </cell>
          <cell r="AE73">
            <v>163307388</v>
          </cell>
        </row>
        <row r="74">
          <cell r="B74">
            <v>102005</v>
          </cell>
          <cell r="C74" t="str">
            <v>Bank BNI 0272265025</v>
          </cell>
          <cell r="D74" t="str">
            <v>Oktober</v>
          </cell>
          <cell r="F74">
            <v>102005</v>
          </cell>
          <cell r="G74" t="str">
            <v>Oktober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110660517</v>
          </cell>
          <cell r="W74">
            <v>0</v>
          </cell>
          <cell r="X74">
            <v>150025000</v>
          </cell>
          <cell r="Y74">
            <v>231578207</v>
          </cell>
          <cell r="Z74">
            <v>0</v>
          </cell>
          <cell r="AA74">
            <v>0</v>
          </cell>
          <cell r="AB74">
            <v>260685517</v>
          </cell>
          <cell r="AC74">
            <v>231578207</v>
          </cell>
          <cell r="AD74">
            <v>260685517</v>
          </cell>
          <cell r="AE74">
            <v>231578207</v>
          </cell>
        </row>
        <row r="75">
          <cell r="B75">
            <v>102005</v>
          </cell>
          <cell r="C75" t="str">
            <v>Bank BNI 0272265025</v>
          </cell>
          <cell r="D75" t="str">
            <v>November</v>
          </cell>
          <cell r="F75">
            <v>102005</v>
          </cell>
          <cell r="G75" t="str">
            <v>November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30000000</v>
          </cell>
          <cell r="V75">
            <v>203974932</v>
          </cell>
          <cell r="W75">
            <v>0</v>
          </cell>
          <cell r="X75">
            <v>25000</v>
          </cell>
          <cell r="Y75">
            <v>141532129</v>
          </cell>
          <cell r="Z75">
            <v>0</v>
          </cell>
          <cell r="AA75">
            <v>0</v>
          </cell>
          <cell r="AB75">
            <v>203999932</v>
          </cell>
          <cell r="AC75">
            <v>171532129</v>
          </cell>
          <cell r="AD75">
            <v>203999932</v>
          </cell>
          <cell r="AE75">
            <v>171532129</v>
          </cell>
        </row>
        <row r="76">
          <cell r="B76">
            <v>102005</v>
          </cell>
          <cell r="C76" t="str">
            <v>Bank BNI 0272265025</v>
          </cell>
          <cell r="D76" t="str">
            <v>Desember</v>
          </cell>
          <cell r="F76">
            <v>102005</v>
          </cell>
          <cell r="G76" t="str">
            <v>Desember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107770419</v>
          </cell>
          <cell r="W76">
            <v>0</v>
          </cell>
          <cell r="X76">
            <v>25000</v>
          </cell>
          <cell r="Y76">
            <v>175250444</v>
          </cell>
          <cell r="Z76">
            <v>0</v>
          </cell>
          <cell r="AA76">
            <v>0</v>
          </cell>
          <cell r="AB76">
            <v>107795419</v>
          </cell>
          <cell r="AC76">
            <v>175250444</v>
          </cell>
          <cell r="AD76">
            <v>107795419</v>
          </cell>
          <cell r="AE76">
            <v>175250444</v>
          </cell>
        </row>
        <row r="77">
          <cell r="B77">
            <v>102006</v>
          </cell>
          <cell r="C77" t="str">
            <v>Bank Lampung</v>
          </cell>
          <cell r="E77">
            <v>102.006</v>
          </cell>
          <cell r="F77">
            <v>102006</v>
          </cell>
          <cell r="G77" t="str">
            <v>Bank Lampung</v>
          </cell>
          <cell r="H77">
            <v>130697328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4621963.7699999996</v>
          </cell>
          <cell r="W77">
            <v>0</v>
          </cell>
          <cell r="X77">
            <v>0</v>
          </cell>
          <cell r="Y77">
            <v>550195000</v>
          </cell>
          <cell r="Z77">
            <v>690000000</v>
          </cell>
          <cell r="AA77">
            <v>0</v>
          </cell>
          <cell r="AB77">
            <v>825319291.76999998</v>
          </cell>
          <cell r="AC77">
            <v>550195000</v>
          </cell>
          <cell r="AD77">
            <v>694621963.76999998</v>
          </cell>
          <cell r="AE77">
            <v>550195000</v>
          </cell>
        </row>
        <row r="78">
          <cell r="B78">
            <v>102006</v>
          </cell>
          <cell r="C78" t="str">
            <v>Bank Lampung</v>
          </cell>
          <cell r="D78" t="str">
            <v>Januari</v>
          </cell>
          <cell r="F78">
            <v>102006</v>
          </cell>
          <cell r="G78" t="str">
            <v>Januari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406699.25</v>
          </cell>
          <cell r="W78">
            <v>0</v>
          </cell>
          <cell r="X78">
            <v>0</v>
          </cell>
          <cell r="Y78">
            <v>15000</v>
          </cell>
          <cell r="Z78">
            <v>100000000</v>
          </cell>
          <cell r="AA78">
            <v>0</v>
          </cell>
          <cell r="AB78">
            <v>100406699.25</v>
          </cell>
          <cell r="AC78">
            <v>15000</v>
          </cell>
          <cell r="AD78">
            <v>100406699.25</v>
          </cell>
          <cell r="AE78">
            <v>15000</v>
          </cell>
        </row>
        <row r="79">
          <cell r="B79">
            <v>102006</v>
          </cell>
          <cell r="C79" t="str">
            <v>Bank Lampung</v>
          </cell>
          <cell r="D79" t="str">
            <v>Februari</v>
          </cell>
          <cell r="F79">
            <v>102006</v>
          </cell>
          <cell r="G79" t="str">
            <v>Februari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496366.20999999996</v>
          </cell>
          <cell r="W79">
            <v>0</v>
          </cell>
          <cell r="X79">
            <v>0</v>
          </cell>
          <cell r="Y79">
            <v>15000</v>
          </cell>
          <cell r="Z79">
            <v>0</v>
          </cell>
          <cell r="AA79">
            <v>0</v>
          </cell>
          <cell r="AB79">
            <v>496366.20999999996</v>
          </cell>
          <cell r="AC79">
            <v>15000</v>
          </cell>
          <cell r="AD79">
            <v>496366.20999999996</v>
          </cell>
          <cell r="AE79">
            <v>15000</v>
          </cell>
        </row>
        <row r="80">
          <cell r="B80">
            <v>102006</v>
          </cell>
          <cell r="C80" t="str">
            <v>Bank Lampung</v>
          </cell>
          <cell r="D80" t="str">
            <v>Maret</v>
          </cell>
          <cell r="F80">
            <v>102006</v>
          </cell>
          <cell r="G80" t="str">
            <v>Maret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412611.03</v>
          </cell>
          <cell r="W80">
            <v>0</v>
          </cell>
          <cell r="X80">
            <v>0</v>
          </cell>
          <cell r="Y80">
            <v>100015000</v>
          </cell>
          <cell r="Z80">
            <v>0</v>
          </cell>
          <cell r="AA80">
            <v>0</v>
          </cell>
          <cell r="AB80">
            <v>412611.03</v>
          </cell>
          <cell r="AC80">
            <v>100015000</v>
          </cell>
          <cell r="AD80">
            <v>412611.03</v>
          </cell>
          <cell r="AE80">
            <v>100015000</v>
          </cell>
        </row>
        <row r="81">
          <cell r="B81">
            <v>102006</v>
          </cell>
          <cell r="C81" t="str">
            <v>Bank Lampung</v>
          </cell>
          <cell r="D81" t="str">
            <v>April</v>
          </cell>
          <cell r="F81">
            <v>102006</v>
          </cell>
          <cell r="G81" t="str">
            <v>April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330555.63</v>
          </cell>
          <cell r="W81">
            <v>0</v>
          </cell>
          <cell r="X81">
            <v>0</v>
          </cell>
          <cell r="Y81">
            <v>30000</v>
          </cell>
          <cell r="Z81">
            <v>50000000</v>
          </cell>
          <cell r="AA81">
            <v>0</v>
          </cell>
          <cell r="AB81">
            <v>50330555.630000003</v>
          </cell>
          <cell r="AC81">
            <v>30000</v>
          </cell>
          <cell r="AD81">
            <v>50330555.630000003</v>
          </cell>
          <cell r="AE81">
            <v>30000</v>
          </cell>
        </row>
        <row r="82">
          <cell r="B82">
            <v>102006</v>
          </cell>
          <cell r="C82" t="str">
            <v>Bank Lampung</v>
          </cell>
          <cell r="D82" t="str">
            <v>Mei</v>
          </cell>
          <cell r="F82">
            <v>102006</v>
          </cell>
          <cell r="G82" t="str">
            <v>Mei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382854.94</v>
          </cell>
          <cell r="W82">
            <v>0</v>
          </cell>
          <cell r="X82">
            <v>0</v>
          </cell>
          <cell r="Y82">
            <v>100015000</v>
          </cell>
          <cell r="Z82">
            <v>50000000</v>
          </cell>
          <cell r="AA82">
            <v>0</v>
          </cell>
          <cell r="AB82">
            <v>50382854.939999998</v>
          </cell>
          <cell r="AC82">
            <v>100015000</v>
          </cell>
          <cell r="AD82">
            <v>50382854.939999998</v>
          </cell>
          <cell r="AE82">
            <v>100015000</v>
          </cell>
        </row>
        <row r="83">
          <cell r="B83">
            <v>102006</v>
          </cell>
          <cell r="C83" t="str">
            <v>Bank Lampung</v>
          </cell>
          <cell r="D83" t="str">
            <v>Juni</v>
          </cell>
          <cell r="F83">
            <v>102006</v>
          </cell>
          <cell r="G83" t="str">
            <v>Juni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374320.34</v>
          </cell>
          <cell r="W83">
            <v>0</v>
          </cell>
          <cell r="X83">
            <v>0</v>
          </cell>
          <cell r="Y83">
            <v>15000</v>
          </cell>
          <cell r="Z83">
            <v>50000000</v>
          </cell>
          <cell r="AA83">
            <v>0</v>
          </cell>
          <cell r="AB83">
            <v>50374320.340000004</v>
          </cell>
          <cell r="AC83">
            <v>15000</v>
          </cell>
          <cell r="AD83">
            <v>50374320.340000004</v>
          </cell>
          <cell r="AE83">
            <v>15000</v>
          </cell>
        </row>
        <row r="84">
          <cell r="B84">
            <v>102006</v>
          </cell>
          <cell r="C84" t="str">
            <v>Bank Lampung</v>
          </cell>
          <cell r="D84" t="str">
            <v>Juli</v>
          </cell>
          <cell r="F84">
            <v>102006</v>
          </cell>
          <cell r="G84" t="str">
            <v>Juli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255015</v>
          </cell>
          <cell r="W84">
            <v>0</v>
          </cell>
          <cell r="X84">
            <v>0</v>
          </cell>
          <cell r="Y84">
            <v>100015000</v>
          </cell>
          <cell r="Z84">
            <v>0</v>
          </cell>
          <cell r="AA84">
            <v>0</v>
          </cell>
          <cell r="AB84">
            <v>255015</v>
          </cell>
          <cell r="AC84">
            <v>100015000</v>
          </cell>
          <cell r="AD84">
            <v>255015</v>
          </cell>
          <cell r="AE84">
            <v>100015000</v>
          </cell>
        </row>
        <row r="85">
          <cell r="B85">
            <v>102006</v>
          </cell>
          <cell r="C85" t="str">
            <v>Bank Lampung</v>
          </cell>
          <cell r="D85" t="str">
            <v>Agustus</v>
          </cell>
          <cell r="F85">
            <v>102006</v>
          </cell>
          <cell r="G85" t="str">
            <v>Agustus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316632</v>
          </cell>
          <cell r="W85">
            <v>0</v>
          </cell>
          <cell r="X85">
            <v>0</v>
          </cell>
          <cell r="Y85">
            <v>15000</v>
          </cell>
          <cell r="Z85">
            <v>95000000</v>
          </cell>
          <cell r="AA85">
            <v>0</v>
          </cell>
          <cell r="AB85">
            <v>95316632</v>
          </cell>
          <cell r="AC85">
            <v>15000</v>
          </cell>
          <cell r="AD85">
            <v>95316632</v>
          </cell>
          <cell r="AE85">
            <v>15000</v>
          </cell>
        </row>
        <row r="86">
          <cell r="B86">
            <v>102006</v>
          </cell>
          <cell r="C86" t="str">
            <v>Bank Lampung</v>
          </cell>
          <cell r="D86" t="str">
            <v>September</v>
          </cell>
          <cell r="F86">
            <v>102006</v>
          </cell>
          <cell r="G86" t="str">
            <v>September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430092</v>
          </cell>
          <cell r="W86">
            <v>0</v>
          </cell>
          <cell r="X86">
            <v>0</v>
          </cell>
          <cell r="Y86">
            <v>100015000</v>
          </cell>
          <cell r="Z86">
            <v>100000000</v>
          </cell>
          <cell r="AA86">
            <v>0</v>
          </cell>
          <cell r="AB86">
            <v>100430092</v>
          </cell>
          <cell r="AC86">
            <v>100015000</v>
          </cell>
          <cell r="AD86">
            <v>100430092</v>
          </cell>
          <cell r="AE86">
            <v>100015000</v>
          </cell>
        </row>
        <row r="87">
          <cell r="B87">
            <v>102006</v>
          </cell>
          <cell r="C87" t="str">
            <v>Bank Lampung</v>
          </cell>
          <cell r="D87" t="str">
            <v>Oktober</v>
          </cell>
          <cell r="F87">
            <v>102006</v>
          </cell>
          <cell r="G87" t="str">
            <v>Oktober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325264</v>
          </cell>
          <cell r="W87">
            <v>0</v>
          </cell>
          <cell r="X87">
            <v>0</v>
          </cell>
          <cell r="Y87">
            <v>150015000</v>
          </cell>
          <cell r="Z87">
            <v>75000000</v>
          </cell>
          <cell r="AA87">
            <v>0</v>
          </cell>
          <cell r="AB87">
            <v>75325264</v>
          </cell>
          <cell r="AC87">
            <v>150015000</v>
          </cell>
          <cell r="AD87">
            <v>75325264</v>
          </cell>
          <cell r="AE87">
            <v>150015000</v>
          </cell>
        </row>
        <row r="88">
          <cell r="B88">
            <v>102006</v>
          </cell>
          <cell r="C88" t="str">
            <v>Bank Lampung</v>
          </cell>
          <cell r="D88" t="str">
            <v>November</v>
          </cell>
          <cell r="F88">
            <v>102006</v>
          </cell>
          <cell r="G88" t="str">
            <v>November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373460.37</v>
          </cell>
          <cell r="W88">
            <v>0</v>
          </cell>
          <cell r="X88">
            <v>0</v>
          </cell>
          <cell r="Y88">
            <v>15000</v>
          </cell>
          <cell r="Z88">
            <v>90000000</v>
          </cell>
          <cell r="AA88">
            <v>0</v>
          </cell>
          <cell r="AB88">
            <v>90373460.370000005</v>
          </cell>
          <cell r="AC88">
            <v>15000</v>
          </cell>
          <cell r="AD88">
            <v>90373460.370000005</v>
          </cell>
          <cell r="AE88">
            <v>15000</v>
          </cell>
        </row>
        <row r="89">
          <cell r="B89">
            <v>102006</v>
          </cell>
          <cell r="C89" t="str">
            <v>Bank Lampung</v>
          </cell>
          <cell r="D89" t="str">
            <v>Desember</v>
          </cell>
          <cell r="F89">
            <v>102006</v>
          </cell>
          <cell r="G89" t="str">
            <v>Desember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518093</v>
          </cell>
          <cell r="W89">
            <v>0</v>
          </cell>
          <cell r="X89">
            <v>0</v>
          </cell>
          <cell r="Y89">
            <v>15000</v>
          </cell>
          <cell r="Z89">
            <v>80000000</v>
          </cell>
          <cell r="AA89">
            <v>0</v>
          </cell>
          <cell r="AB89">
            <v>80518093</v>
          </cell>
          <cell r="AC89">
            <v>15000</v>
          </cell>
          <cell r="AD89">
            <v>80518093</v>
          </cell>
          <cell r="AE89">
            <v>15000</v>
          </cell>
        </row>
        <row r="90">
          <cell r="B90">
            <v>102008</v>
          </cell>
          <cell r="C90" t="str">
            <v>BNI Transitoris ( AC 7776977765)</v>
          </cell>
          <cell r="E90">
            <v>102.008</v>
          </cell>
          <cell r="F90">
            <v>102008</v>
          </cell>
          <cell r="G90" t="str">
            <v>BNI Transitoris ( AC 7776977765)</v>
          </cell>
          <cell r="H90">
            <v>62731333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106923837</v>
          </cell>
          <cell r="W90">
            <v>506900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169655170</v>
          </cell>
          <cell r="AC90">
            <v>506900</v>
          </cell>
          <cell r="AD90">
            <v>106923837</v>
          </cell>
          <cell r="AE90">
            <v>506900</v>
          </cell>
        </row>
        <row r="91">
          <cell r="B91">
            <v>102008</v>
          </cell>
          <cell r="C91" t="str">
            <v>BNI Transitoris ( AC 7776977765)</v>
          </cell>
          <cell r="D91" t="str">
            <v>Januari</v>
          </cell>
          <cell r="F91">
            <v>102008</v>
          </cell>
          <cell r="G91" t="str">
            <v>Januari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</row>
        <row r="92">
          <cell r="B92">
            <v>102008</v>
          </cell>
          <cell r="C92" t="str">
            <v>BNI Transitoris ( AC 7776977765)</v>
          </cell>
          <cell r="D92" t="str">
            <v>Februari</v>
          </cell>
          <cell r="F92">
            <v>102008</v>
          </cell>
          <cell r="G92" t="str">
            <v>Februari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</row>
        <row r="93">
          <cell r="B93">
            <v>102008</v>
          </cell>
          <cell r="C93" t="str">
            <v>BNI Transitoris ( AC 7776977765)</v>
          </cell>
          <cell r="D93" t="str">
            <v>Maret</v>
          </cell>
          <cell r="F93">
            <v>102008</v>
          </cell>
          <cell r="G93" t="str">
            <v>Maret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B94">
            <v>102008</v>
          </cell>
          <cell r="C94" t="str">
            <v>BNI Transitoris ( AC 7776977765)</v>
          </cell>
          <cell r="D94" t="str">
            <v>April</v>
          </cell>
          <cell r="F94">
            <v>102008</v>
          </cell>
          <cell r="G94" t="str">
            <v>April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B95">
            <v>102008</v>
          </cell>
          <cell r="C95" t="str">
            <v>BNI Transitoris ( AC 7776977765)</v>
          </cell>
          <cell r="D95" t="str">
            <v>Mei</v>
          </cell>
          <cell r="F95">
            <v>102008</v>
          </cell>
          <cell r="G95" t="str">
            <v>Mei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</row>
        <row r="96">
          <cell r="B96">
            <v>102008</v>
          </cell>
          <cell r="C96" t="str">
            <v>BNI Transitoris ( AC 7776977765)</v>
          </cell>
          <cell r="D96" t="str">
            <v>Juni</v>
          </cell>
          <cell r="F96">
            <v>102008</v>
          </cell>
          <cell r="G96" t="str">
            <v>Juni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</row>
        <row r="97">
          <cell r="B97">
            <v>102008</v>
          </cell>
          <cell r="C97" t="str">
            <v>BNI Transitoris ( AC 7776977765)</v>
          </cell>
          <cell r="D97" t="str">
            <v>Juli</v>
          </cell>
          <cell r="F97">
            <v>102008</v>
          </cell>
          <cell r="G97" t="str">
            <v>Juli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B98">
            <v>102008</v>
          </cell>
          <cell r="C98" t="str">
            <v>BNI Transitoris ( AC 7776977765)</v>
          </cell>
          <cell r="D98" t="str">
            <v>Agustus</v>
          </cell>
          <cell r="F98">
            <v>102008</v>
          </cell>
          <cell r="G98" t="str">
            <v>Agustus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B99">
            <v>102008</v>
          </cell>
          <cell r="C99" t="str">
            <v>BNI Transitoris ( AC 7776977765)</v>
          </cell>
          <cell r="D99" t="str">
            <v>September</v>
          </cell>
          <cell r="F99">
            <v>102008</v>
          </cell>
          <cell r="G99" t="str">
            <v>September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B100">
            <v>102008</v>
          </cell>
          <cell r="C100" t="str">
            <v>BNI Transitoris ( AC 7776977765)</v>
          </cell>
          <cell r="D100" t="str">
            <v>Oktober</v>
          </cell>
          <cell r="F100">
            <v>102008</v>
          </cell>
          <cell r="G100" t="str">
            <v>Oktober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B101">
            <v>102008</v>
          </cell>
          <cell r="C101" t="str">
            <v>BNI Transitoris ( AC 7776977765)</v>
          </cell>
          <cell r="D101" t="str">
            <v>November</v>
          </cell>
          <cell r="F101">
            <v>102008</v>
          </cell>
          <cell r="G101" t="str">
            <v>November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B102">
            <v>102008</v>
          </cell>
          <cell r="C102" t="str">
            <v>BNI Transitoris ( AC 7776977765)</v>
          </cell>
          <cell r="D102" t="str">
            <v>Desember</v>
          </cell>
          <cell r="F102">
            <v>102008</v>
          </cell>
          <cell r="G102" t="str">
            <v>Desember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106923837</v>
          </cell>
          <cell r="W102">
            <v>506900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106923837</v>
          </cell>
          <cell r="AC102">
            <v>506900</v>
          </cell>
          <cell r="AD102">
            <v>106923837</v>
          </cell>
          <cell r="AE102">
            <v>506900</v>
          </cell>
        </row>
        <row r="104">
          <cell r="B104">
            <v>103000</v>
          </cell>
          <cell r="C104" t="str">
            <v>Piutang</v>
          </cell>
          <cell r="E104">
            <v>103</v>
          </cell>
          <cell r="F104">
            <v>103000</v>
          </cell>
          <cell r="G104" t="str">
            <v>Piutang</v>
          </cell>
          <cell r="H104">
            <v>0</v>
          </cell>
          <cell r="I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B105">
            <v>103103</v>
          </cell>
          <cell r="C105" t="str">
            <v>Piutang Asuransi</v>
          </cell>
          <cell r="E105">
            <v>103.10299999999999</v>
          </cell>
          <cell r="F105">
            <v>103103</v>
          </cell>
          <cell r="G105" t="str">
            <v>Piutang Asuransi</v>
          </cell>
          <cell r="H105">
            <v>381245056.92000002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1258288195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54583658</v>
          </cell>
          <cell r="V105">
            <v>0</v>
          </cell>
          <cell r="W105">
            <v>1262512509</v>
          </cell>
          <cell r="X105">
            <v>0</v>
          </cell>
          <cell r="Y105">
            <v>0</v>
          </cell>
          <cell r="Z105">
            <v>8742000</v>
          </cell>
          <cell r="AA105">
            <v>0</v>
          </cell>
          <cell r="AB105">
            <v>1648275251.9200001</v>
          </cell>
          <cell r="AC105">
            <v>1317096167</v>
          </cell>
          <cell r="AD105">
            <v>1267030195</v>
          </cell>
          <cell r="AE105">
            <v>1317096167</v>
          </cell>
        </row>
        <row r="106">
          <cell r="B106">
            <v>103103</v>
          </cell>
          <cell r="C106" t="str">
            <v>Piutang Asuransi</v>
          </cell>
          <cell r="D106" t="str">
            <v>Januari</v>
          </cell>
          <cell r="F106">
            <v>103103</v>
          </cell>
          <cell r="G106" t="str">
            <v>Januari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99474760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7114550</v>
          </cell>
          <cell r="V106">
            <v>0</v>
          </cell>
          <cell r="W106">
            <v>156349846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99474760</v>
          </cell>
          <cell r="AC106">
            <v>163464396</v>
          </cell>
          <cell r="AD106">
            <v>99474760</v>
          </cell>
          <cell r="AE106">
            <v>163464396</v>
          </cell>
        </row>
        <row r="107">
          <cell r="B107">
            <v>103103</v>
          </cell>
          <cell r="C107" t="str">
            <v>Piutang Asuransi</v>
          </cell>
          <cell r="D107" t="str">
            <v>Februari</v>
          </cell>
          <cell r="F107">
            <v>103103</v>
          </cell>
          <cell r="G107" t="str">
            <v>Februari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73061757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14411045</v>
          </cell>
          <cell r="V107">
            <v>0</v>
          </cell>
          <cell r="W107">
            <v>102882010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73061757</v>
          </cell>
          <cell r="AC107">
            <v>117293055</v>
          </cell>
          <cell r="AD107">
            <v>73061757</v>
          </cell>
          <cell r="AE107">
            <v>117293055</v>
          </cell>
        </row>
        <row r="108">
          <cell r="B108">
            <v>103103</v>
          </cell>
          <cell r="C108" t="str">
            <v>Piutang Asuransi</v>
          </cell>
          <cell r="D108" t="str">
            <v>Maret</v>
          </cell>
          <cell r="F108">
            <v>103103</v>
          </cell>
          <cell r="G108" t="str">
            <v>Maret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181895020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2726000</v>
          </cell>
          <cell r="V108">
            <v>0</v>
          </cell>
          <cell r="W108">
            <v>83506895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181895020</v>
          </cell>
          <cell r="AC108">
            <v>86232895</v>
          </cell>
          <cell r="AD108">
            <v>181895020</v>
          </cell>
          <cell r="AE108">
            <v>86232895</v>
          </cell>
        </row>
        <row r="109">
          <cell r="B109">
            <v>103103</v>
          </cell>
          <cell r="C109" t="str">
            <v>Piutang Asuransi</v>
          </cell>
          <cell r="D109" t="str">
            <v>April</v>
          </cell>
          <cell r="F109">
            <v>103103</v>
          </cell>
          <cell r="G109" t="str">
            <v>April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61724097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3321000</v>
          </cell>
          <cell r="V109">
            <v>0</v>
          </cell>
          <cell r="W109">
            <v>156080920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61724097</v>
          </cell>
          <cell r="AC109">
            <v>159401920</v>
          </cell>
          <cell r="AD109">
            <v>61724097</v>
          </cell>
          <cell r="AE109">
            <v>159401920</v>
          </cell>
        </row>
        <row r="110">
          <cell r="B110">
            <v>103103</v>
          </cell>
          <cell r="C110" t="str">
            <v>Piutang Asuransi</v>
          </cell>
          <cell r="D110" t="str">
            <v>Mei</v>
          </cell>
          <cell r="F110">
            <v>103103</v>
          </cell>
          <cell r="G110" t="str">
            <v>Mei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145215013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4436600</v>
          </cell>
          <cell r="V110">
            <v>0</v>
          </cell>
          <cell r="W110">
            <v>75579500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145215013</v>
          </cell>
          <cell r="AC110">
            <v>80016100</v>
          </cell>
          <cell r="AD110">
            <v>145215013</v>
          </cell>
          <cell r="AE110">
            <v>80016100</v>
          </cell>
        </row>
        <row r="111">
          <cell r="B111">
            <v>103103</v>
          </cell>
          <cell r="C111" t="str">
            <v>Piutang Asuransi</v>
          </cell>
          <cell r="D111" t="str">
            <v>Juni</v>
          </cell>
          <cell r="F111">
            <v>103103</v>
          </cell>
          <cell r="G111" t="str">
            <v>Juni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60748320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16587088</v>
          </cell>
          <cell r="V111">
            <v>0</v>
          </cell>
          <cell r="W111">
            <v>57786182</v>
          </cell>
          <cell r="X111">
            <v>0</v>
          </cell>
          <cell r="Y111">
            <v>0</v>
          </cell>
          <cell r="Z111">
            <v>7600000</v>
          </cell>
          <cell r="AA111">
            <v>0</v>
          </cell>
          <cell r="AB111">
            <v>68348320</v>
          </cell>
          <cell r="AC111">
            <v>74373270</v>
          </cell>
          <cell r="AD111">
            <v>68348320</v>
          </cell>
          <cell r="AE111">
            <v>74373270</v>
          </cell>
        </row>
        <row r="112">
          <cell r="B112">
            <v>103103</v>
          </cell>
          <cell r="C112" t="str">
            <v>Piutang Asuransi</v>
          </cell>
          <cell r="D112" t="str">
            <v>Juli</v>
          </cell>
          <cell r="F112">
            <v>103103</v>
          </cell>
          <cell r="G112" t="str">
            <v>Juli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126941287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102467267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126941287</v>
          </cell>
          <cell r="AC112">
            <v>102467267</v>
          </cell>
          <cell r="AD112">
            <v>126941287</v>
          </cell>
          <cell r="AE112">
            <v>102467267</v>
          </cell>
        </row>
        <row r="113">
          <cell r="B113">
            <v>103103</v>
          </cell>
          <cell r="C113" t="str">
            <v>Piutang Asuransi</v>
          </cell>
          <cell r="D113" t="str">
            <v>Agustus</v>
          </cell>
          <cell r="F113">
            <v>103103</v>
          </cell>
          <cell r="G113" t="str">
            <v>Agustus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66239787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3927375</v>
          </cell>
          <cell r="V113">
            <v>0</v>
          </cell>
          <cell r="W113">
            <v>112399283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66239787</v>
          </cell>
          <cell r="AC113">
            <v>116326658</v>
          </cell>
          <cell r="AD113">
            <v>66239787</v>
          </cell>
          <cell r="AE113">
            <v>116326658</v>
          </cell>
        </row>
        <row r="114">
          <cell r="B114">
            <v>103103</v>
          </cell>
          <cell r="C114" t="str">
            <v>Piutang Asuransi</v>
          </cell>
          <cell r="D114" t="str">
            <v>September</v>
          </cell>
          <cell r="F114">
            <v>103103</v>
          </cell>
          <cell r="G114" t="str">
            <v>September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131736314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51531626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131736314</v>
          </cell>
          <cell r="AC114">
            <v>51531626</v>
          </cell>
          <cell r="AD114">
            <v>131736314</v>
          </cell>
          <cell r="AE114">
            <v>51531626</v>
          </cell>
        </row>
        <row r="115">
          <cell r="B115">
            <v>103103</v>
          </cell>
          <cell r="C115" t="str">
            <v>Piutang Asuransi</v>
          </cell>
          <cell r="D115" t="str">
            <v>Oktober</v>
          </cell>
          <cell r="F115">
            <v>103103</v>
          </cell>
          <cell r="G115" t="str">
            <v>Oktober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91599630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1000000</v>
          </cell>
          <cell r="V115">
            <v>0</v>
          </cell>
          <cell r="W115">
            <v>81779353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91599630</v>
          </cell>
          <cell r="AC115">
            <v>82779353</v>
          </cell>
          <cell r="AD115">
            <v>91599630</v>
          </cell>
          <cell r="AE115">
            <v>82779353</v>
          </cell>
        </row>
        <row r="116">
          <cell r="B116">
            <v>103103</v>
          </cell>
          <cell r="C116" t="str">
            <v>Piutang Asuransi</v>
          </cell>
          <cell r="D116" t="str">
            <v>November</v>
          </cell>
          <cell r="F116">
            <v>103103</v>
          </cell>
          <cell r="G116" t="str">
            <v>November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141231900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100000</v>
          </cell>
          <cell r="V116">
            <v>0</v>
          </cell>
          <cell r="W116">
            <v>192933777</v>
          </cell>
          <cell r="X116">
            <v>0</v>
          </cell>
          <cell r="Y116">
            <v>0</v>
          </cell>
          <cell r="Z116">
            <v>1142000</v>
          </cell>
          <cell r="AA116">
            <v>0</v>
          </cell>
          <cell r="AB116">
            <v>142373900</v>
          </cell>
          <cell r="AC116">
            <v>193033777</v>
          </cell>
          <cell r="AD116">
            <v>142373900</v>
          </cell>
          <cell r="AE116">
            <v>193033777</v>
          </cell>
        </row>
        <row r="117">
          <cell r="B117">
            <v>103103</v>
          </cell>
          <cell r="C117" t="str">
            <v>Piutang Asuransi</v>
          </cell>
          <cell r="D117" t="str">
            <v>Desember</v>
          </cell>
          <cell r="F117">
            <v>103103</v>
          </cell>
          <cell r="G117" t="str">
            <v>Desember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78420310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960000</v>
          </cell>
          <cell r="V117">
            <v>0</v>
          </cell>
          <cell r="W117">
            <v>89215850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78420310</v>
          </cell>
          <cell r="AC117">
            <v>90175850</v>
          </cell>
          <cell r="AD117">
            <v>78420310</v>
          </cell>
          <cell r="AE117">
            <v>90175850</v>
          </cell>
        </row>
        <row r="118">
          <cell r="B118">
            <v>103104</v>
          </cell>
          <cell r="C118" t="str">
            <v>Piutang Instansi Pemerintah</v>
          </cell>
          <cell r="E118">
            <v>103.104</v>
          </cell>
          <cell r="F118">
            <v>103104</v>
          </cell>
          <cell r="G118" t="str">
            <v>Piutang Instansi Pemerintah</v>
          </cell>
          <cell r="H118">
            <v>63186570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106460000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63186570</v>
          </cell>
          <cell r="AC118">
            <v>106460000</v>
          </cell>
          <cell r="AD118">
            <v>0</v>
          </cell>
          <cell r="AE118">
            <v>106460000</v>
          </cell>
        </row>
        <row r="119">
          <cell r="B119">
            <v>103104</v>
          </cell>
          <cell r="C119" t="str">
            <v>Piutang Instansi Pemerintah</v>
          </cell>
          <cell r="D119" t="str">
            <v>Januari</v>
          </cell>
          <cell r="F119">
            <v>103104</v>
          </cell>
          <cell r="G119" t="str">
            <v>Januari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</row>
        <row r="120">
          <cell r="B120">
            <v>103104</v>
          </cell>
          <cell r="C120" t="str">
            <v>Piutang Instansi Pemerintah</v>
          </cell>
          <cell r="D120" t="str">
            <v>Februari</v>
          </cell>
          <cell r="F120">
            <v>103104</v>
          </cell>
          <cell r="G120" t="str">
            <v>Februari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</row>
        <row r="121">
          <cell r="B121">
            <v>103104</v>
          </cell>
          <cell r="C121" t="str">
            <v>Piutang Instansi Pemerintah</v>
          </cell>
          <cell r="D121" t="str">
            <v>Maret</v>
          </cell>
          <cell r="F121">
            <v>103104</v>
          </cell>
          <cell r="G121" t="str">
            <v>Maret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B122">
            <v>103104</v>
          </cell>
          <cell r="C122" t="str">
            <v>Piutang Instansi Pemerintah</v>
          </cell>
          <cell r="D122" t="str">
            <v>April</v>
          </cell>
          <cell r="F122">
            <v>103104</v>
          </cell>
          <cell r="G122" t="str">
            <v>April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B123">
            <v>103104</v>
          </cell>
          <cell r="C123" t="str">
            <v>Piutang Instansi Pemerintah</v>
          </cell>
          <cell r="D123" t="str">
            <v>Mei</v>
          </cell>
          <cell r="F123">
            <v>103104</v>
          </cell>
          <cell r="G123" t="str">
            <v>Mei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B124">
            <v>103104</v>
          </cell>
          <cell r="C124" t="str">
            <v>Piutang Instansi Pemerintah</v>
          </cell>
          <cell r="D124" t="str">
            <v>Juni</v>
          </cell>
          <cell r="F124">
            <v>103104</v>
          </cell>
          <cell r="G124" t="str">
            <v>Juni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B125">
            <v>103104</v>
          </cell>
          <cell r="C125" t="str">
            <v>Piutang Instansi Pemerintah</v>
          </cell>
          <cell r="D125" t="str">
            <v>Juli</v>
          </cell>
          <cell r="F125">
            <v>103104</v>
          </cell>
          <cell r="G125" t="str">
            <v>Juli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B126">
            <v>103104</v>
          </cell>
          <cell r="C126" t="str">
            <v>Piutang Instansi Pemerintah</v>
          </cell>
          <cell r="D126" t="str">
            <v>Agustus</v>
          </cell>
          <cell r="F126">
            <v>103104</v>
          </cell>
          <cell r="G126" t="str">
            <v>Agustus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B127">
            <v>103104</v>
          </cell>
          <cell r="C127" t="str">
            <v>Piutang Instansi Pemerintah</v>
          </cell>
          <cell r="D127" t="str">
            <v>September</v>
          </cell>
          <cell r="F127">
            <v>103104</v>
          </cell>
          <cell r="G127" t="str">
            <v>September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1460000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1460000</v>
          </cell>
          <cell r="AD127">
            <v>0</v>
          </cell>
          <cell r="AE127">
            <v>1460000</v>
          </cell>
        </row>
        <row r="128">
          <cell r="B128">
            <v>103104</v>
          </cell>
          <cell r="C128" t="str">
            <v>Piutang Instansi Pemerintah</v>
          </cell>
          <cell r="D128" t="str">
            <v>Oktober</v>
          </cell>
          <cell r="F128">
            <v>103104</v>
          </cell>
          <cell r="G128" t="str">
            <v>Oktober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B129">
            <v>103104</v>
          </cell>
          <cell r="C129" t="str">
            <v>Piutang Instansi Pemerintah</v>
          </cell>
          <cell r="D129" t="str">
            <v>November</v>
          </cell>
          <cell r="F129">
            <v>103104</v>
          </cell>
          <cell r="G129" t="str">
            <v>November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50000000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50000000</v>
          </cell>
          <cell r="AD129">
            <v>0</v>
          </cell>
          <cell r="AE129">
            <v>50000000</v>
          </cell>
        </row>
        <row r="130">
          <cell r="B130">
            <v>103104</v>
          </cell>
          <cell r="C130" t="str">
            <v>Piutang Instansi Pemerintah</v>
          </cell>
          <cell r="D130" t="str">
            <v>Desember</v>
          </cell>
          <cell r="F130">
            <v>103104</v>
          </cell>
          <cell r="G130" t="str">
            <v>Desember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55000000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55000000</v>
          </cell>
          <cell r="AD130">
            <v>0</v>
          </cell>
          <cell r="AE130">
            <v>55000000</v>
          </cell>
        </row>
        <row r="131">
          <cell r="B131">
            <v>103105</v>
          </cell>
          <cell r="C131" t="str">
            <v>Piutang Umum</v>
          </cell>
          <cell r="E131">
            <v>103.105</v>
          </cell>
          <cell r="F131">
            <v>103105</v>
          </cell>
          <cell r="G131" t="str">
            <v>Piutang Umum</v>
          </cell>
          <cell r="H131">
            <v>106605152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242000239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37560722</v>
          </cell>
          <cell r="V131">
            <v>0</v>
          </cell>
          <cell r="W131">
            <v>259790252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348605391</v>
          </cell>
          <cell r="AC131">
            <v>297350974</v>
          </cell>
          <cell r="AD131">
            <v>242000239</v>
          </cell>
          <cell r="AE131">
            <v>297350974</v>
          </cell>
        </row>
        <row r="132">
          <cell r="B132">
            <v>103105</v>
          </cell>
          <cell r="C132" t="str">
            <v>Piutang Umum</v>
          </cell>
          <cell r="D132" t="str">
            <v>Januari</v>
          </cell>
          <cell r="F132">
            <v>103105</v>
          </cell>
          <cell r="G132" t="str">
            <v>Januari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16927500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4224000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16927500</v>
          </cell>
          <cell r="AC132">
            <v>4224000</v>
          </cell>
          <cell r="AD132">
            <v>16927500</v>
          </cell>
          <cell r="AE132">
            <v>4224000</v>
          </cell>
        </row>
        <row r="133">
          <cell r="B133">
            <v>103105</v>
          </cell>
          <cell r="C133" t="str">
            <v>Piutang Umum</v>
          </cell>
          <cell r="D133" t="str">
            <v>Februari</v>
          </cell>
          <cell r="F133">
            <v>103105</v>
          </cell>
          <cell r="G133" t="str">
            <v>Februari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13402000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3426000</v>
          </cell>
          <cell r="V133">
            <v>0</v>
          </cell>
          <cell r="W133">
            <v>54111539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13402000</v>
          </cell>
          <cell r="AC133">
            <v>57537539</v>
          </cell>
          <cell r="AD133">
            <v>13402000</v>
          </cell>
          <cell r="AE133">
            <v>57537539</v>
          </cell>
        </row>
        <row r="134">
          <cell r="B134">
            <v>103105</v>
          </cell>
          <cell r="C134" t="str">
            <v>Piutang Umum</v>
          </cell>
          <cell r="D134" t="str">
            <v>Maret</v>
          </cell>
          <cell r="F134">
            <v>103105</v>
          </cell>
          <cell r="G134" t="str">
            <v>Maret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13304696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13449000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13304696</v>
          </cell>
          <cell r="AC134">
            <v>13449000</v>
          </cell>
          <cell r="AD134">
            <v>13304696</v>
          </cell>
          <cell r="AE134">
            <v>13449000</v>
          </cell>
        </row>
        <row r="135">
          <cell r="B135">
            <v>103105</v>
          </cell>
          <cell r="C135" t="str">
            <v>Piutang Umum</v>
          </cell>
          <cell r="D135" t="str">
            <v>April</v>
          </cell>
          <cell r="F135">
            <v>103105</v>
          </cell>
          <cell r="G135" t="str">
            <v>April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10756392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3267000</v>
          </cell>
          <cell r="V135">
            <v>0</v>
          </cell>
          <cell r="W135">
            <v>1950600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10756392</v>
          </cell>
          <cell r="AC135">
            <v>5217600</v>
          </cell>
          <cell r="AD135">
            <v>10756392</v>
          </cell>
          <cell r="AE135">
            <v>5217600</v>
          </cell>
        </row>
        <row r="136">
          <cell r="B136">
            <v>103105</v>
          </cell>
          <cell r="C136" t="str">
            <v>Piutang Umum</v>
          </cell>
          <cell r="D136" t="str">
            <v>Mei</v>
          </cell>
          <cell r="F136">
            <v>103105</v>
          </cell>
          <cell r="G136" t="str">
            <v>Mei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62506500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4608000</v>
          </cell>
          <cell r="V136">
            <v>0</v>
          </cell>
          <cell r="W136">
            <v>18969500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62506500</v>
          </cell>
          <cell r="AC136">
            <v>23577500</v>
          </cell>
          <cell r="AD136">
            <v>62506500</v>
          </cell>
          <cell r="AE136">
            <v>23577500</v>
          </cell>
        </row>
        <row r="137">
          <cell r="B137">
            <v>103105</v>
          </cell>
          <cell r="C137" t="str">
            <v>Piutang Umum</v>
          </cell>
          <cell r="D137" t="str">
            <v>Juni</v>
          </cell>
          <cell r="F137">
            <v>103105</v>
          </cell>
          <cell r="G137" t="str">
            <v>Juni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15444200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2581000</v>
          </cell>
          <cell r="V137">
            <v>0</v>
          </cell>
          <cell r="W137">
            <v>83649195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15444200</v>
          </cell>
          <cell r="AC137">
            <v>86230195</v>
          </cell>
          <cell r="AD137">
            <v>15444200</v>
          </cell>
          <cell r="AE137">
            <v>86230195</v>
          </cell>
        </row>
        <row r="138">
          <cell r="B138">
            <v>103105</v>
          </cell>
          <cell r="C138" t="str">
            <v>Piutang Umum</v>
          </cell>
          <cell r="D138" t="str">
            <v>Juli</v>
          </cell>
          <cell r="F138">
            <v>103105</v>
          </cell>
          <cell r="G138" t="str">
            <v>Juli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24781476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3009500</v>
          </cell>
          <cell r="V138">
            <v>0</v>
          </cell>
          <cell r="W138">
            <v>9407892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24781476</v>
          </cell>
          <cell r="AC138">
            <v>12417392</v>
          </cell>
          <cell r="AD138">
            <v>24781476</v>
          </cell>
          <cell r="AE138">
            <v>12417392</v>
          </cell>
        </row>
        <row r="139">
          <cell r="B139">
            <v>103105</v>
          </cell>
          <cell r="C139" t="str">
            <v>Piutang Umum</v>
          </cell>
          <cell r="D139" t="str">
            <v>Agustus</v>
          </cell>
          <cell r="F139">
            <v>103105</v>
          </cell>
          <cell r="G139" t="str">
            <v>Agustus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17840000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1317000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17840000</v>
          </cell>
          <cell r="AC139">
            <v>1317000</v>
          </cell>
          <cell r="AD139">
            <v>17840000</v>
          </cell>
          <cell r="AE139">
            <v>1317000</v>
          </cell>
        </row>
        <row r="140">
          <cell r="B140">
            <v>103105</v>
          </cell>
          <cell r="C140" t="str">
            <v>Piutang Umum</v>
          </cell>
          <cell r="D140" t="str">
            <v>September</v>
          </cell>
          <cell r="F140">
            <v>103105</v>
          </cell>
          <cell r="G140" t="str">
            <v>September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12965300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3322000</v>
          </cell>
          <cell r="V140">
            <v>0</v>
          </cell>
          <cell r="W140">
            <v>8260000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12965300</v>
          </cell>
          <cell r="AC140">
            <v>11582000</v>
          </cell>
          <cell r="AD140">
            <v>12965300</v>
          </cell>
          <cell r="AE140">
            <v>11582000</v>
          </cell>
        </row>
        <row r="141">
          <cell r="B141">
            <v>103105</v>
          </cell>
          <cell r="C141" t="str">
            <v>Piutang Umum</v>
          </cell>
          <cell r="D141" t="str">
            <v>Oktober</v>
          </cell>
          <cell r="F141">
            <v>103105</v>
          </cell>
          <cell r="G141" t="str">
            <v>Oktober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11346875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4851000</v>
          </cell>
          <cell r="V141">
            <v>0</v>
          </cell>
          <cell r="W141">
            <v>30788476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11346875</v>
          </cell>
          <cell r="AC141">
            <v>35639476</v>
          </cell>
          <cell r="AD141">
            <v>11346875</v>
          </cell>
          <cell r="AE141">
            <v>35639476</v>
          </cell>
        </row>
        <row r="142">
          <cell r="B142">
            <v>103105</v>
          </cell>
          <cell r="C142" t="str">
            <v>Piutang Umum</v>
          </cell>
          <cell r="D142" t="str">
            <v>November</v>
          </cell>
          <cell r="F142">
            <v>103105</v>
          </cell>
          <cell r="G142" t="str">
            <v>November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16851300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1044000</v>
          </cell>
          <cell r="V142">
            <v>0</v>
          </cell>
          <cell r="W142">
            <v>10840000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16851300</v>
          </cell>
          <cell r="AC142">
            <v>11884000</v>
          </cell>
          <cell r="AD142">
            <v>16851300</v>
          </cell>
          <cell r="AE142">
            <v>11884000</v>
          </cell>
        </row>
        <row r="143">
          <cell r="B143">
            <v>103105</v>
          </cell>
          <cell r="C143" t="str">
            <v>Piutang Umum</v>
          </cell>
          <cell r="D143" t="str">
            <v>Desember</v>
          </cell>
          <cell r="F143">
            <v>103105</v>
          </cell>
          <cell r="G143" t="str">
            <v>Desember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25874000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5911222</v>
          </cell>
          <cell r="V143">
            <v>0</v>
          </cell>
          <cell r="W143">
            <v>28364050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25874000</v>
          </cell>
          <cell r="AC143">
            <v>34275272</v>
          </cell>
          <cell r="AD143">
            <v>25874000</v>
          </cell>
          <cell r="AE143">
            <v>34275272</v>
          </cell>
        </row>
        <row r="144">
          <cell r="B144">
            <v>103106</v>
          </cell>
          <cell r="C144" t="str">
            <v>Piutang NPG</v>
          </cell>
          <cell r="E144">
            <v>103.10599999999999</v>
          </cell>
          <cell r="F144">
            <v>103106</v>
          </cell>
          <cell r="G144" t="str">
            <v>Piutang NPG</v>
          </cell>
          <cell r="H144">
            <v>10908600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25744000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26451442</v>
          </cell>
          <cell r="V144">
            <v>0</v>
          </cell>
          <cell r="W144">
            <v>50000000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36652600</v>
          </cell>
          <cell r="AC144">
            <v>76451442</v>
          </cell>
          <cell r="AD144">
            <v>25744000</v>
          </cell>
          <cell r="AE144">
            <v>76451442</v>
          </cell>
        </row>
        <row r="145">
          <cell r="B145">
            <v>103106</v>
          </cell>
          <cell r="C145" t="str">
            <v>Piutang NPG</v>
          </cell>
          <cell r="D145" t="str">
            <v>Januari</v>
          </cell>
          <cell r="F145">
            <v>103106</v>
          </cell>
          <cell r="G145" t="str">
            <v>Januari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3890000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525000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3890000</v>
          </cell>
          <cell r="AC145">
            <v>525000</v>
          </cell>
          <cell r="AD145">
            <v>3890000</v>
          </cell>
          <cell r="AE145">
            <v>525000</v>
          </cell>
        </row>
        <row r="146">
          <cell r="B146">
            <v>103106</v>
          </cell>
          <cell r="C146" t="str">
            <v>Piutang NPG</v>
          </cell>
          <cell r="D146" t="str">
            <v>Februari</v>
          </cell>
          <cell r="F146">
            <v>103106</v>
          </cell>
          <cell r="G146" t="str">
            <v>Februari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750000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750000</v>
          </cell>
          <cell r="AC146">
            <v>0</v>
          </cell>
          <cell r="AD146">
            <v>750000</v>
          </cell>
          <cell r="AE146">
            <v>0</v>
          </cell>
        </row>
        <row r="147">
          <cell r="B147">
            <v>103106</v>
          </cell>
          <cell r="C147" t="str">
            <v>Piutang NPG</v>
          </cell>
          <cell r="D147" t="str">
            <v>Maret</v>
          </cell>
          <cell r="F147">
            <v>103106</v>
          </cell>
          <cell r="G147" t="str">
            <v>Maret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2209000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2209000</v>
          </cell>
          <cell r="AC147">
            <v>0</v>
          </cell>
          <cell r="AD147">
            <v>2209000</v>
          </cell>
          <cell r="AE147">
            <v>0</v>
          </cell>
        </row>
        <row r="148">
          <cell r="B148">
            <v>103106</v>
          </cell>
          <cell r="C148" t="str">
            <v>Piutang NPG</v>
          </cell>
          <cell r="D148" t="str">
            <v>April</v>
          </cell>
          <cell r="F148">
            <v>103106</v>
          </cell>
          <cell r="G148" t="str">
            <v>April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5158000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50000000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5158000</v>
          </cell>
          <cell r="AC148">
            <v>50000000</v>
          </cell>
          <cell r="AD148">
            <v>5158000</v>
          </cell>
          <cell r="AE148">
            <v>50000000</v>
          </cell>
        </row>
        <row r="149">
          <cell r="B149">
            <v>103106</v>
          </cell>
          <cell r="C149" t="str">
            <v>Piutang NPG</v>
          </cell>
          <cell r="D149" t="str">
            <v>Mei</v>
          </cell>
          <cell r="F149">
            <v>103106</v>
          </cell>
          <cell r="G149" t="str">
            <v>Mei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667000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1772000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667000</v>
          </cell>
          <cell r="AC149">
            <v>1772000</v>
          </cell>
          <cell r="AD149">
            <v>667000</v>
          </cell>
          <cell r="AE149">
            <v>1772000</v>
          </cell>
        </row>
        <row r="150">
          <cell r="B150">
            <v>103106</v>
          </cell>
          <cell r="C150" t="str">
            <v>Piutang NPG</v>
          </cell>
          <cell r="D150" t="str">
            <v>Juni</v>
          </cell>
          <cell r="F150">
            <v>103106</v>
          </cell>
          <cell r="G150" t="str">
            <v>Juni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375000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8427000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375000</v>
          </cell>
          <cell r="AC150">
            <v>8427000</v>
          </cell>
          <cell r="AD150">
            <v>375000</v>
          </cell>
          <cell r="AE150">
            <v>8427000</v>
          </cell>
        </row>
        <row r="151">
          <cell r="B151">
            <v>103106</v>
          </cell>
          <cell r="C151" t="str">
            <v>Piutang NPG</v>
          </cell>
          <cell r="D151" t="str">
            <v>Juli</v>
          </cell>
          <cell r="F151">
            <v>103106</v>
          </cell>
          <cell r="G151" t="str">
            <v>Juli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3960000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8326442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3960000</v>
          </cell>
          <cell r="AC151">
            <v>8326442</v>
          </cell>
          <cell r="AD151">
            <v>3960000</v>
          </cell>
          <cell r="AE151">
            <v>8326442</v>
          </cell>
        </row>
        <row r="152">
          <cell r="B152">
            <v>103106</v>
          </cell>
          <cell r="C152" t="str">
            <v>Piutang NPG</v>
          </cell>
          <cell r="D152" t="str">
            <v>Agustus</v>
          </cell>
          <cell r="F152">
            <v>103106</v>
          </cell>
          <cell r="G152" t="str">
            <v>Agustus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2005000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2005000</v>
          </cell>
          <cell r="AC152">
            <v>0</v>
          </cell>
          <cell r="AD152">
            <v>2005000</v>
          </cell>
          <cell r="AE152">
            <v>0</v>
          </cell>
        </row>
        <row r="153">
          <cell r="B153">
            <v>103106</v>
          </cell>
          <cell r="C153" t="str">
            <v>Piutang NPG</v>
          </cell>
          <cell r="D153" t="str">
            <v>September</v>
          </cell>
          <cell r="F153">
            <v>103106</v>
          </cell>
          <cell r="G153" t="str">
            <v>September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2161000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2161000</v>
          </cell>
          <cell r="AC153">
            <v>0</v>
          </cell>
          <cell r="AD153">
            <v>2161000</v>
          </cell>
          <cell r="AE153">
            <v>0</v>
          </cell>
        </row>
        <row r="154">
          <cell r="B154">
            <v>103106</v>
          </cell>
          <cell r="C154" t="str">
            <v>Piutang NPG</v>
          </cell>
          <cell r="D154" t="str">
            <v>Oktober</v>
          </cell>
          <cell r="F154">
            <v>103106</v>
          </cell>
          <cell r="G154" t="str">
            <v>Oktober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3736000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3736000</v>
          </cell>
          <cell r="AC154">
            <v>0</v>
          </cell>
          <cell r="AD154">
            <v>3736000</v>
          </cell>
          <cell r="AE154">
            <v>0</v>
          </cell>
        </row>
        <row r="155">
          <cell r="B155">
            <v>103106</v>
          </cell>
          <cell r="C155" t="str">
            <v>Piutang NPG</v>
          </cell>
          <cell r="D155" t="str">
            <v>November</v>
          </cell>
          <cell r="F155">
            <v>103106</v>
          </cell>
          <cell r="G155" t="str">
            <v>November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3688000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3688000</v>
          </cell>
          <cell r="AD155">
            <v>0</v>
          </cell>
          <cell r="AE155">
            <v>3688000</v>
          </cell>
        </row>
        <row r="156">
          <cell r="B156">
            <v>103106</v>
          </cell>
          <cell r="C156" t="str">
            <v>Piutang NPG</v>
          </cell>
          <cell r="D156" t="str">
            <v>Desember</v>
          </cell>
          <cell r="F156">
            <v>103106</v>
          </cell>
          <cell r="G156" t="str">
            <v>Desember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833000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3713000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833000</v>
          </cell>
          <cell r="AC156">
            <v>3713000</v>
          </cell>
          <cell r="AD156">
            <v>833000</v>
          </cell>
          <cell r="AE156">
            <v>3713000</v>
          </cell>
        </row>
        <row r="157">
          <cell r="B157">
            <v>108003</v>
          </cell>
          <cell r="C157" t="str">
            <v>Piutang Lain-lain</v>
          </cell>
          <cell r="E157">
            <v>108.003</v>
          </cell>
          <cell r="F157">
            <v>108003</v>
          </cell>
          <cell r="G157" t="str">
            <v>Piutang Lain-lain</v>
          </cell>
          <cell r="H157">
            <v>84716500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19209500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5973800</v>
          </cell>
          <cell r="T157">
            <v>0</v>
          </cell>
          <cell r="U157">
            <v>7469000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103926000</v>
          </cell>
          <cell r="AC157">
            <v>13442800</v>
          </cell>
          <cell r="AD157">
            <v>19209500</v>
          </cell>
          <cell r="AE157">
            <v>7469000</v>
          </cell>
        </row>
        <row r="158">
          <cell r="B158">
            <v>108003</v>
          </cell>
          <cell r="C158" t="str">
            <v>Piutang Lain-lain</v>
          </cell>
          <cell r="D158" t="str">
            <v>Januari</v>
          </cell>
          <cell r="F158">
            <v>108003</v>
          </cell>
          <cell r="G158" t="str">
            <v>Januari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1075000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200000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1075000</v>
          </cell>
          <cell r="AC158">
            <v>200000</v>
          </cell>
          <cell r="AD158">
            <v>1075000</v>
          </cell>
          <cell r="AE158">
            <v>0</v>
          </cell>
        </row>
        <row r="159">
          <cell r="B159">
            <v>108003</v>
          </cell>
          <cell r="C159" t="str">
            <v>Piutang Lain-lain</v>
          </cell>
          <cell r="D159" t="str">
            <v>Februari</v>
          </cell>
          <cell r="F159">
            <v>108003</v>
          </cell>
          <cell r="G159" t="str">
            <v>Februari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30000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200000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30000</v>
          </cell>
          <cell r="AC159">
            <v>200000</v>
          </cell>
          <cell r="AD159">
            <v>30000</v>
          </cell>
          <cell r="AE159">
            <v>0</v>
          </cell>
        </row>
        <row r="160">
          <cell r="B160">
            <v>108003</v>
          </cell>
          <cell r="C160" t="str">
            <v>Piutang Lain-lain</v>
          </cell>
          <cell r="D160" t="str">
            <v>Maret</v>
          </cell>
          <cell r="F160">
            <v>108003</v>
          </cell>
          <cell r="G160" t="str">
            <v>Maret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</row>
        <row r="161">
          <cell r="B161">
            <v>108003</v>
          </cell>
          <cell r="C161" t="str">
            <v>Piutang Lain-lain</v>
          </cell>
          <cell r="D161" t="str">
            <v>April</v>
          </cell>
          <cell r="F161">
            <v>108003</v>
          </cell>
          <cell r="G161" t="str">
            <v>April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715000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715000</v>
          </cell>
          <cell r="AC161">
            <v>0</v>
          </cell>
          <cell r="AD161">
            <v>715000</v>
          </cell>
          <cell r="AE161">
            <v>0</v>
          </cell>
        </row>
        <row r="162">
          <cell r="B162">
            <v>108003</v>
          </cell>
          <cell r="C162" t="str">
            <v>Piutang Lain-lain</v>
          </cell>
          <cell r="D162" t="str">
            <v>Mei</v>
          </cell>
          <cell r="F162">
            <v>108003</v>
          </cell>
          <cell r="G162" t="str">
            <v>Mei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1200000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1200000</v>
          </cell>
          <cell r="AD162">
            <v>0</v>
          </cell>
          <cell r="AE162">
            <v>0</v>
          </cell>
        </row>
        <row r="163">
          <cell r="B163">
            <v>108003</v>
          </cell>
          <cell r="C163" t="str">
            <v>Piutang Lain-lain</v>
          </cell>
          <cell r="D163" t="str">
            <v>Juni</v>
          </cell>
          <cell r="F163">
            <v>108003</v>
          </cell>
          <cell r="G163" t="str">
            <v>Juni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1200000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1200000</v>
          </cell>
          <cell r="AD163">
            <v>0</v>
          </cell>
          <cell r="AE163">
            <v>0</v>
          </cell>
        </row>
        <row r="164">
          <cell r="B164">
            <v>108003</v>
          </cell>
          <cell r="C164" t="str">
            <v>Piutang Lain-lain</v>
          </cell>
          <cell r="D164" t="str">
            <v>Juli</v>
          </cell>
          <cell r="F164">
            <v>108003</v>
          </cell>
          <cell r="G164" t="str">
            <v>Juli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1460000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700000</v>
          </cell>
          <cell r="T164">
            <v>0</v>
          </cell>
          <cell r="U164">
            <v>2192000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1460000</v>
          </cell>
          <cell r="AC164">
            <v>2892000</v>
          </cell>
          <cell r="AD164">
            <v>1460000</v>
          </cell>
          <cell r="AE164">
            <v>2192000</v>
          </cell>
        </row>
        <row r="165">
          <cell r="B165">
            <v>108003</v>
          </cell>
          <cell r="C165" t="str">
            <v>Piutang Lain-lain</v>
          </cell>
          <cell r="D165" t="str">
            <v>Agustus</v>
          </cell>
          <cell r="F165">
            <v>108003</v>
          </cell>
          <cell r="G165" t="str">
            <v>Agustus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700000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700000</v>
          </cell>
          <cell r="AD165">
            <v>0</v>
          </cell>
          <cell r="AE165">
            <v>0</v>
          </cell>
        </row>
        <row r="166">
          <cell r="B166">
            <v>108003</v>
          </cell>
          <cell r="C166" t="str">
            <v>Piutang Lain-lain</v>
          </cell>
          <cell r="D166" t="str">
            <v>September</v>
          </cell>
          <cell r="F166">
            <v>108003</v>
          </cell>
          <cell r="G166" t="str">
            <v>September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10978500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700000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10978500</v>
          </cell>
          <cell r="AC166">
            <v>700000</v>
          </cell>
          <cell r="AD166">
            <v>10978500</v>
          </cell>
          <cell r="AE166">
            <v>0</v>
          </cell>
        </row>
        <row r="167">
          <cell r="B167">
            <v>108003</v>
          </cell>
          <cell r="C167" t="str">
            <v>Piutang Lain-lain</v>
          </cell>
          <cell r="D167" t="str">
            <v>Oktober</v>
          </cell>
          <cell r="F167">
            <v>108003</v>
          </cell>
          <cell r="G167" t="str">
            <v>Oktober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4951000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1073800</v>
          </cell>
          <cell r="T167">
            <v>0</v>
          </cell>
          <cell r="U167">
            <v>4135000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4951000</v>
          </cell>
          <cell r="AC167">
            <v>5208800</v>
          </cell>
          <cell r="AD167">
            <v>4951000</v>
          </cell>
          <cell r="AE167">
            <v>4135000</v>
          </cell>
        </row>
        <row r="168">
          <cell r="B168">
            <v>108003</v>
          </cell>
          <cell r="C168" t="str">
            <v>Piutang Lain-lain</v>
          </cell>
          <cell r="D168" t="str">
            <v>November</v>
          </cell>
          <cell r="F168">
            <v>108003</v>
          </cell>
          <cell r="G168" t="str">
            <v>November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1142000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1142000</v>
          </cell>
          <cell r="AD168">
            <v>0</v>
          </cell>
          <cell r="AE168">
            <v>1142000</v>
          </cell>
        </row>
        <row r="169">
          <cell r="B169">
            <v>108003</v>
          </cell>
          <cell r="C169" t="str">
            <v>Piutang Lain-lain</v>
          </cell>
          <cell r="D169" t="str">
            <v>Desember</v>
          </cell>
          <cell r="F169">
            <v>108003</v>
          </cell>
          <cell r="G169" t="str">
            <v>Desember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B170">
            <v>108001</v>
          </cell>
          <cell r="C170" t="str">
            <v>Piutang karyawan</v>
          </cell>
          <cell r="E170">
            <v>108.001</v>
          </cell>
          <cell r="F170">
            <v>108001</v>
          </cell>
          <cell r="G170" t="str">
            <v>Piutang karyawan</v>
          </cell>
          <cell r="H170">
            <v>995000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4900000</v>
          </cell>
          <cell r="AA170">
            <v>0</v>
          </cell>
          <cell r="AB170">
            <v>5895000</v>
          </cell>
          <cell r="AC170">
            <v>0</v>
          </cell>
          <cell r="AD170">
            <v>4900000</v>
          </cell>
          <cell r="AE170">
            <v>0</v>
          </cell>
        </row>
        <row r="171">
          <cell r="B171">
            <v>108001</v>
          </cell>
          <cell r="C171" t="str">
            <v>Piutang karyawan</v>
          </cell>
          <cell r="D171" t="str">
            <v>Januari</v>
          </cell>
          <cell r="F171">
            <v>108001</v>
          </cell>
          <cell r="G171" t="str">
            <v>Januari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B172">
            <v>108001</v>
          </cell>
          <cell r="C172" t="str">
            <v>Piutang karyawan</v>
          </cell>
          <cell r="D172" t="str">
            <v>Februari</v>
          </cell>
          <cell r="F172">
            <v>108001</v>
          </cell>
          <cell r="G172" t="str">
            <v>Februari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</row>
        <row r="173">
          <cell r="B173">
            <v>108001</v>
          </cell>
          <cell r="C173" t="str">
            <v>Piutang karyawan</v>
          </cell>
          <cell r="D173" t="str">
            <v>Maret</v>
          </cell>
          <cell r="F173">
            <v>108001</v>
          </cell>
          <cell r="G173" t="str">
            <v>Maret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B174">
            <v>108001</v>
          </cell>
          <cell r="C174" t="str">
            <v>Piutang karyawan</v>
          </cell>
          <cell r="D174" t="str">
            <v>April</v>
          </cell>
          <cell r="F174">
            <v>108001</v>
          </cell>
          <cell r="G174" t="str">
            <v>April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B175">
            <v>108001</v>
          </cell>
          <cell r="C175" t="str">
            <v>Piutang karyawan</v>
          </cell>
          <cell r="D175" t="str">
            <v>Mei</v>
          </cell>
          <cell r="F175">
            <v>108001</v>
          </cell>
          <cell r="G175" t="str">
            <v>Mei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4000000</v>
          </cell>
          <cell r="AA175">
            <v>0</v>
          </cell>
          <cell r="AB175">
            <v>4000000</v>
          </cell>
          <cell r="AC175">
            <v>0</v>
          </cell>
          <cell r="AD175">
            <v>4000000</v>
          </cell>
          <cell r="AE175">
            <v>0</v>
          </cell>
        </row>
        <row r="176">
          <cell r="B176">
            <v>108001</v>
          </cell>
          <cell r="C176" t="str">
            <v>Piutang karyawan</v>
          </cell>
          <cell r="D176" t="str">
            <v>Juni</v>
          </cell>
          <cell r="F176">
            <v>108001</v>
          </cell>
          <cell r="G176" t="str">
            <v>Juni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</row>
        <row r="177">
          <cell r="B177">
            <v>108001</v>
          </cell>
          <cell r="C177" t="str">
            <v>Piutang karyawan</v>
          </cell>
          <cell r="D177" t="str">
            <v>Juli</v>
          </cell>
          <cell r="F177">
            <v>108001</v>
          </cell>
          <cell r="G177" t="str">
            <v>Juli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B178">
            <v>108001</v>
          </cell>
          <cell r="C178" t="str">
            <v>Piutang karyawan</v>
          </cell>
          <cell r="D178" t="str">
            <v>Agustus</v>
          </cell>
          <cell r="F178">
            <v>108001</v>
          </cell>
          <cell r="G178" t="str">
            <v>Agustus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B179">
            <v>108001</v>
          </cell>
          <cell r="C179" t="str">
            <v>Piutang karyawan</v>
          </cell>
          <cell r="D179" t="str">
            <v>September</v>
          </cell>
          <cell r="F179">
            <v>108001</v>
          </cell>
          <cell r="G179" t="str">
            <v>September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B180">
            <v>108001</v>
          </cell>
          <cell r="C180" t="str">
            <v>Piutang karyawan</v>
          </cell>
          <cell r="D180" t="str">
            <v>Oktober</v>
          </cell>
          <cell r="F180">
            <v>108001</v>
          </cell>
          <cell r="G180" t="str">
            <v>Oktober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900000</v>
          </cell>
          <cell r="AA180">
            <v>0</v>
          </cell>
          <cell r="AB180">
            <v>900000</v>
          </cell>
          <cell r="AC180">
            <v>0</v>
          </cell>
          <cell r="AD180">
            <v>900000</v>
          </cell>
          <cell r="AE180">
            <v>0</v>
          </cell>
        </row>
        <row r="181">
          <cell r="B181">
            <v>108001</v>
          </cell>
          <cell r="C181" t="str">
            <v>Piutang karyawan</v>
          </cell>
          <cell r="D181" t="str">
            <v>November</v>
          </cell>
          <cell r="F181">
            <v>108001</v>
          </cell>
          <cell r="G181" t="str">
            <v>November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</row>
        <row r="182">
          <cell r="B182">
            <v>108001</v>
          </cell>
          <cell r="C182" t="str">
            <v>Piutang karyawan</v>
          </cell>
          <cell r="D182" t="str">
            <v>Desember</v>
          </cell>
          <cell r="F182">
            <v>108001</v>
          </cell>
          <cell r="G182" t="str">
            <v>Desember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</row>
        <row r="183">
          <cell r="B183">
            <v>108004</v>
          </cell>
          <cell r="C183" t="str">
            <v>Piutang Kartu Kredit</v>
          </cell>
          <cell r="E183">
            <v>108.004</v>
          </cell>
          <cell r="F183">
            <v>108004</v>
          </cell>
          <cell r="G183" t="str">
            <v>Piutang Kartu Kredit</v>
          </cell>
          <cell r="H183">
            <v>33855786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105889366</v>
          </cell>
          <cell r="X183">
            <v>0</v>
          </cell>
          <cell r="Y183">
            <v>0</v>
          </cell>
          <cell r="Z183">
            <v>111513250</v>
          </cell>
          <cell r="AA183">
            <v>0</v>
          </cell>
          <cell r="AB183">
            <v>145369036</v>
          </cell>
          <cell r="AC183">
            <v>105889366</v>
          </cell>
          <cell r="AD183">
            <v>111513250</v>
          </cell>
          <cell r="AE183">
            <v>105889366</v>
          </cell>
        </row>
        <row r="184">
          <cell r="B184">
            <v>108004</v>
          </cell>
          <cell r="C184" t="str">
            <v>Piutang Kartu Kredit</v>
          </cell>
          <cell r="D184" t="str">
            <v>Januari</v>
          </cell>
          <cell r="F184">
            <v>108004</v>
          </cell>
          <cell r="G184" t="str">
            <v>Januari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4112000</v>
          </cell>
          <cell r="AA184">
            <v>0</v>
          </cell>
          <cell r="AB184">
            <v>4112000</v>
          </cell>
          <cell r="AC184">
            <v>0</v>
          </cell>
          <cell r="AD184">
            <v>4112000</v>
          </cell>
          <cell r="AE184">
            <v>0</v>
          </cell>
        </row>
        <row r="185">
          <cell r="B185">
            <v>108004</v>
          </cell>
          <cell r="C185" t="str">
            <v>Piutang Kartu Kredit</v>
          </cell>
          <cell r="D185" t="str">
            <v>Februari</v>
          </cell>
          <cell r="F185">
            <v>108004</v>
          </cell>
          <cell r="G185" t="str">
            <v>Februari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852000</v>
          </cell>
          <cell r="AA185">
            <v>0</v>
          </cell>
          <cell r="AB185">
            <v>852000</v>
          </cell>
          <cell r="AC185">
            <v>0</v>
          </cell>
          <cell r="AD185">
            <v>852000</v>
          </cell>
          <cell r="AE185">
            <v>0</v>
          </cell>
        </row>
        <row r="186">
          <cell r="B186">
            <v>108004</v>
          </cell>
          <cell r="C186" t="str">
            <v>Piutang Kartu Kredit</v>
          </cell>
          <cell r="D186" t="str">
            <v>Maret</v>
          </cell>
          <cell r="F186">
            <v>108004</v>
          </cell>
          <cell r="G186" t="str">
            <v>Maret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7464250</v>
          </cell>
          <cell r="AA186">
            <v>0</v>
          </cell>
          <cell r="AB186">
            <v>7464250</v>
          </cell>
          <cell r="AC186">
            <v>0</v>
          </cell>
          <cell r="AD186">
            <v>7464250</v>
          </cell>
          <cell r="AE186">
            <v>0</v>
          </cell>
        </row>
        <row r="187">
          <cell r="B187">
            <v>108004</v>
          </cell>
          <cell r="C187" t="str">
            <v>Piutang Kartu Kredit</v>
          </cell>
          <cell r="D187" t="str">
            <v>April</v>
          </cell>
          <cell r="F187">
            <v>108004</v>
          </cell>
          <cell r="G187" t="str">
            <v>April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3361000</v>
          </cell>
          <cell r="AA187">
            <v>0</v>
          </cell>
          <cell r="AB187">
            <v>3361000</v>
          </cell>
          <cell r="AC187">
            <v>0</v>
          </cell>
          <cell r="AD187">
            <v>3361000</v>
          </cell>
          <cell r="AE187">
            <v>0</v>
          </cell>
        </row>
        <row r="188">
          <cell r="B188">
            <v>108004</v>
          </cell>
          <cell r="C188" t="str">
            <v>Piutang Kartu Kredit</v>
          </cell>
          <cell r="D188" t="str">
            <v>Mei</v>
          </cell>
          <cell r="F188">
            <v>108004</v>
          </cell>
          <cell r="G188" t="str">
            <v>Mei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2535000</v>
          </cell>
          <cell r="AA188">
            <v>0</v>
          </cell>
          <cell r="AB188">
            <v>2535000</v>
          </cell>
          <cell r="AC188">
            <v>0</v>
          </cell>
          <cell r="AD188">
            <v>2535000</v>
          </cell>
          <cell r="AE188">
            <v>0</v>
          </cell>
        </row>
        <row r="189">
          <cell r="B189">
            <v>108004</v>
          </cell>
          <cell r="C189" t="str">
            <v>Piutang Kartu Kredit</v>
          </cell>
          <cell r="D189" t="str">
            <v>Juni</v>
          </cell>
          <cell r="F189">
            <v>108004</v>
          </cell>
          <cell r="G189" t="str">
            <v>Juni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11340000</v>
          </cell>
          <cell r="AA189">
            <v>0</v>
          </cell>
          <cell r="AB189">
            <v>11340000</v>
          </cell>
          <cell r="AC189">
            <v>0</v>
          </cell>
          <cell r="AD189">
            <v>11340000</v>
          </cell>
          <cell r="AE189">
            <v>0</v>
          </cell>
        </row>
        <row r="190">
          <cell r="B190">
            <v>108004</v>
          </cell>
          <cell r="C190" t="str">
            <v>Piutang Kartu Kredit</v>
          </cell>
          <cell r="D190" t="str">
            <v>Juli</v>
          </cell>
          <cell r="F190">
            <v>108004</v>
          </cell>
          <cell r="G190" t="str">
            <v>Juli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7812000</v>
          </cell>
          <cell r="AA190">
            <v>0</v>
          </cell>
          <cell r="AB190">
            <v>7812000</v>
          </cell>
          <cell r="AC190">
            <v>0</v>
          </cell>
          <cell r="AD190">
            <v>7812000</v>
          </cell>
          <cell r="AE190">
            <v>0</v>
          </cell>
        </row>
        <row r="191">
          <cell r="B191">
            <v>108004</v>
          </cell>
          <cell r="C191" t="str">
            <v>Piutang Kartu Kredit</v>
          </cell>
          <cell r="D191" t="str">
            <v>Agustus</v>
          </cell>
          <cell r="F191">
            <v>108004</v>
          </cell>
          <cell r="G191" t="str">
            <v>Agustus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4484500</v>
          </cell>
          <cell r="AA191">
            <v>0</v>
          </cell>
          <cell r="AB191">
            <v>4484500</v>
          </cell>
          <cell r="AC191">
            <v>0</v>
          </cell>
          <cell r="AD191">
            <v>4484500</v>
          </cell>
          <cell r="AE191">
            <v>0</v>
          </cell>
        </row>
        <row r="192">
          <cell r="B192">
            <v>108004</v>
          </cell>
          <cell r="C192" t="str">
            <v>Piutang Kartu Kredit</v>
          </cell>
          <cell r="D192" t="str">
            <v>September</v>
          </cell>
          <cell r="F192">
            <v>108004</v>
          </cell>
          <cell r="G192" t="str">
            <v>September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34872500</v>
          </cell>
          <cell r="AA192">
            <v>0</v>
          </cell>
          <cell r="AB192">
            <v>34872500</v>
          </cell>
          <cell r="AC192">
            <v>0</v>
          </cell>
          <cell r="AD192">
            <v>34872500</v>
          </cell>
          <cell r="AE192">
            <v>0</v>
          </cell>
        </row>
        <row r="193">
          <cell r="B193">
            <v>108004</v>
          </cell>
          <cell r="C193" t="str">
            <v>Piutang Kartu Kredit</v>
          </cell>
          <cell r="D193" t="str">
            <v>Oktober</v>
          </cell>
          <cell r="F193">
            <v>108004</v>
          </cell>
          <cell r="G193" t="str">
            <v>Oktober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17699500</v>
          </cell>
          <cell r="AA193">
            <v>0</v>
          </cell>
          <cell r="AB193">
            <v>17699500</v>
          </cell>
          <cell r="AC193">
            <v>0</v>
          </cell>
          <cell r="AD193">
            <v>17699500</v>
          </cell>
          <cell r="AE193">
            <v>0</v>
          </cell>
        </row>
        <row r="194">
          <cell r="B194">
            <v>108004</v>
          </cell>
          <cell r="C194" t="str">
            <v>Piutang Kartu Kredit</v>
          </cell>
          <cell r="D194" t="str">
            <v>November</v>
          </cell>
          <cell r="F194">
            <v>108004</v>
          </cell>
          <cell r="G194" t="str">
            <v>November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13170000</v>
          </cell>
          <cell r="AA194">
            <v>0</v>
          </cell>
          <cell r="AB194">
            <v>13170000</v>
          </cell>
          <cell r="AC194">
            <v>0</v>
          </cell>
          <cell r="AD194">
            <v>13170000</v>
          </cell>
          <cell r="AE194">
            <v>0</v>
          </cell>
        </row>
        <row r="195">
          <cell r="B195">
            <v>108004</v>
          </cell>
          <cell r="C195" t="str">
            <v>Piutang Kartu Kredit</v>
          </cell>
          <cell r="D195" t="str">
            <v>Desember</v>
          </cell>
          <cell r="F195">
            <v>108004</v>
          </cell>
          <cell r="G195" t="str">
            <v>Desember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105889366</v>
          </cell>
          <cell r="X195">
            <v>0</v>
          </cell>
          <cell r="Y195">
            <v>0</v>
          </cell>
          <cell r="Z195">
            <v>3810500</v>
          </cell>
          <cell r="AA195">
            <v>0</v>
          </cell>
          <cell r="AB195">
            <v>3810500</v>
          </cell>
          <cell r="AC195">
            <v>105889366</v>
          </cell>
          <cell r="AD195">
            <v>3810500</v>
          </cell>
          <cell r="AE195">
            <v>105889366</v>
          </cell>
        </row>
        <row r="196">
          <cell r="B196">
            <v>108004</v>
          </cell>
          <cell r="F196">
            <v>108004</v>
          </cell>
          <cell r="G196">
            <v>0</v>
          </cell>
          <cell r="H196">
            <v>0</v>
          </cell>
          <cell r="I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B197">
            <v>107000</v>
          </cell>
          <cell r="C197" t="str">
            <v>Jaminan Asuransi</v>
          </cell>
          <cell r="E197">
            <v>107</v>
          </cell>
          <cell r="F197">
            <v>107000</v>
          </cell>
          <cell r="G197" t="str">
            <v>Jaminan Asuransi</v>
          </cell>
          <cell r="H197">
            <v>20000000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20000000</v>
          </cell>
          <cell r="AC197">
            <v>0</v>
          </cell>
          <cell r="AD197">
            <v>0</v>
          </cell>
          <cell r="AE197">
            <v>0</v>
          </cell>
        </row>
        <row r="198">
          <cell r="B198">
            <v>107000</v>
          </cell>
          <cell r="C198" t="str">
            <v>Jaminan Asuransi</v>
          </cell>
          <cell r="D198" t="str">
            <v>Januari</v>
          </cell>
          <cell r="F198">
            <v>107000</v>
          </cell>
          <cell r="G198" t="str">
            <v>Januari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</row>
        <row r="199">
          <cell r="B199">
            <v>107000</v>
          </cell>
          <cell r="C199" t="str">
            <v>Jaminan Asuransi</v>
          </cell>
          <cell r="D199" t="str">
            <v>Februari</v>
          </cell>
          <cell r="F199">
            <v>107000</v>
          </cell>
          <cell r="G199" t="str">
            <v>Februari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</row>
        <row r="200">
          <cell r="B200">
            <v>107000</v>
          </cell>
          <cell r="C200" t="str">
            <v>Jaminan Asuransi</v>
          </cell>
          <cell r="D200" t="str">
            <v>Maret</v>
          </cell>
          <cell r="F200">
            <v>107000</v>
          </cell>
          <cell r="G200" t="str">
            <v>Maret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B201">
            <v>107000</v>
          </cell>
          <cell r="C201" t="str">
            <v>Jaminan Asuransi</v>
          </cell>
          <cell r="D201" t="str">
            <v>April</v>
          </cell>
          <cell r="F201">
            <v>107000</v>
          </cell>
          <cell r="G201" t="str">
            <v>April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B202">
            <v>107000</v>
          </cell>
          <cell r="C202" t="str">
            <v>Jaminan Asuransi</v>
          </cell>
          <cell r="D202" t="str">
            <v>Mei</v>
          </cell>
          <cell r="F202">
            <v>107000</v>
          </cell>
          <cell r="G202" t="str">
            <v>Mei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B203">
            <v>107000</v>
          </cell>
          <cell r="C203" t="str">
            <v>Jaminan Asuransi</v>
          </cell>
          <cell r="D203" t="str">
            <v>Juni</v>
          </cell>
          <cell r="F203">
            <v>107000</v>
          </cell>
          <cell r="G203" t="str">
            <v>Juni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B204">
            <v>107000</v>
          </cell>
          <cell r="C204" t="str">
            <v>Jaminan Asuransi</v>
          </cell>
          <cell r="D204" t="str">
            <v>Juli</v>
          </cell>
          <cell r="F204">
            <v>107000</v>
          </cell>
          <cell r="G204" t="str">
            <v>Juli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B205">
            <v>107000</v>
          </cell>
          <cell r="C205" t="str">
            <v>Jaminan Asuransi</v>
          </cell>
          <cell r="D205" t="str">
            <v>Agustus</v>
          </cell>
          <cell r="F205">
            <v>107000</v>
          </cell>
          <cell r="G205" t="str">
            <v>Agustus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</row>
        <row r="206">
          <cell r="B206">
            <v>107000</v>
          </cell>
          <cell r="C206" t="str">
            <v>Jaminan Asuransi</v>
          </cell>
          <cell r="D206" t="str">
            <v>September</v>
          </cell>
          <cell r="F206">
            <v>107000</v>
          </cell>
          <cell r="G206" t="str">
            <v>September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</row>
        <row r="207">
          <cell r="B207">
            <v>107000</v>
          </cell>
          <cell r="C207" t="str">
            <v>Jaminan Asuransi</v>
          </cell>
          <cell r="D207" t="str">
            <v>Oktober</v>
          </cell>
          <cell r="F207">
            <v>107000</v>
          </cell>
          <cell r="G207" t="str">
            <v>Oktober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</row>
        <row r="208">
          <cell r="B208">
            <v>107000</v>
          </cell>
          <cell r="C208" t="str">
            <v>Jaminan Asuransi</v>
          </cell>
          <cell r="D208" t="str">
            <v>November</v>
          </cell>
          <cell r="F208">
            <v>107000</v>
          </cell>
          <cell r="G208" t="str">
            <v>November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</row>
        <row r="209">
          <cell r="B209">
            <v>107000</v>
          </cell>
          <cell r="C209" t="str">
            <v>Jaminan Asuransi</v>
          </cell>
          <cell r="D209" t="str">
            <v>Desember</v>
          </cell>
          <cell r="F209">
            <v>107000</v>
          </cell>
          <cell r="G209" t="str">
            <v>Desember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</row>
        <row r="210">
          <cell r="B210">
            <v>107000</v>
          </cell>
          <cell r="F210">
            <v>107000</v>
          </cell>
          <cell r="H210">
            <v>0</v>
          </cell>
          <cell r="I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</row>
        <row r="211">
          <cell r="B211">
            <v>109000</v>
          </cell>
          <cell r="C211" t="str">
            <v>Biaya dan Pajak Dibayar Dimuka</v>
          </cell>
          <cell r="E211">
            <v>109</v>
          </cell>
          <cell r="F211">
            <v>109000</v>
          </cell>
          <cell r="G211" t="str">
            <v>Biaya dan Pajak Dibayar Dimuka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</row>
        <row r="212">
          <cell r="B212">
            <v>109000</v>
          </cell>
          <cell r="C212" t="str">
            <v>Biaya dan Pajak Dibayar Dimuka</v>
          </cell>
          <cell r="D212" t="str">
            <v>Januari</v>
          </cell>
          <cell r="F212">
            <v>109000</v>
          </cell>
          <cell r="G212" t="str">
            <v>Januari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B213">
            <v>109000</v>
          </cell>
          <cell r="C213" t="str">
            <v>Biaya dan Pajak Dibayar Dimuka</v>
          </cell>
          <cell r="D213" t="str">
            <v>Februari</v>
          </cell>
          <cell r="F213">
            <v>109000</v>
          </cell>
          <cell r="G213" t="str">
            <v>Februari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</row>
        <row r="214">
          <cell r="B214">
            <v>109000</v>
          </cell>
          <cell r="C214" t="str">
            <v>Biaya dan Pajak Dibayar Dimuka</v>
          </cell>
          <cell r="D214" t="str">
            <v>Maret</v>
          </cell>
          <cell r="F214">
            <v>109000</v>
          </cell>
          <cell r="G214" t="str">
            <v>Maret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</row>
        <row r="215">
          <cell r="B215">
            <v>109000</v>
          </cell>
          <cell r="C215" t="str">
            <v>Biaya dan Pajak Dibayar Dimuka</v>
          </cell>
          <cell r="D215" t="str">
            <v>April</v>
          </cell>
          <cell r="F215">
            <v>109000</v>
          </cell>
          <cell r="G215" t="str">
            <v>April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B216">
            <v>109000</v>
          </cell>
          <cell r="C216" t="str">
            <v>Biaya dan Pajak Dibayar Dimuka</v>
          </cell>
          <cell r="D216" t="str">
            <v>Mei</v>
          </cell>
          <cell r="F216">
            <v>109000</v>
          </cell>
          <cell r="G216" t="str">
            <v>Mei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</row>
        <row r="217">
          <cell r="B217">
            <v>109000</v>
          </cell>
          <cell r="C217" t="str">
            <v>Biaya dan Pajak Dibayar Dimuka</v>
          </cell>
          <cell r="D217" t="str">
            <v>Juni</v>
          </cell>
          <cell r="F217">
            <v>109000</v>
          </cell>
          <cell r="G217" t="str">
            <v>Juni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</row>
        <row r="218">
          <cell r="B218">
            <v>109000</v>
          </cell>
          <cell r="C218" t="str">
            <v>Biaya dan Pajak Dibayar Dimuka</v>
          </cell>
          <cell r="D218" t="str">
            <v>Juli</v>
          </cell>
          <cell r="F218">
            <v>109000</v>
          </cell>
          <cell r="G218" t="str">
            <v>Juli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B219">
            <v>109000</v>
          </cell>
          <cell r="C219" t="str">
            <v>Biaya dan Pajak Dibayar Dimuka</v>
          </cell>
          <cell r="D219" t="str">
            <v>Agustus</v>
          </cell>
          <cell r="F219">
            <v>109000</v>
          </cell>
          <cell r="G219" t="str">
            <v>Agustus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</row>
        <row r="220">
          <cell r="B220">
            <v>109000</v>
          </cell>
          <cell r="C220" t="str">
            <v>Biaya dan Pajak Dibayar Dimuka</v>
          </cell>
          <cell r="D220" t="str">
            <v>September</v>
          </cell>
          <cell r="F220">
            <v>109000</v>
          </cell>
          <cell r="G220" t="str">
            <v>September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</row>
        <row r="221">
          <cell r="B221">
            <v>109000</v>
          </cell>
          <cell r="C221" t="str">
            <v>Biaya dan Pajak Dibayar Dimuka</v>
          </cell>
          <cell r="D221" t="str">
            <v>Oktober</v>
          </cell>
          <cell r="F221">
            <v>109000</v>
          </cell>
          <cell r="G221" t="str">
            <v>Oktober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B222">
            <v>109000</v>
          </cell>
          <cell r="C222" t="str">
            <v>Biaya dan Pajak Dibayar Dimuka</v>
          </cell>
          <cell r="D222" t="str">
            <v>November</v>
          </cell>
          <cell r="F222">
            <v>109000</v>
          </cell>
          <cell r="G222" t="str">
            <v>November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B223">
            <v>109000</v>
          </cell>
          <cell r="C223" t="str">
            <v>Biaya dan Pajak Dibayar Dimuka</v>
          </cell>
          <cell r="D223" t="str">
            <v>Desember</v>
          </cell>
          <cell r="F223">
            <v>109000</v>
          </cell>
          <cell r="G223" t="str">
            <v>Desember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B224">
            <v>191001</v>
          </cell>
          <cell r="C224" t="str">
            <v>Jaminan Asuransi Mitra</v>
          </cell>
          <cell r="E224">
            <v>191.001</v>
          </cell>
          <cell r="F224">
            <v>191001</v>
          </cell>
          <cell r="G224" t="str">
            <v>Jaminan Asuransi Mitra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90000</v>
          </cell>
          <cell r="AA224">
            <v>0</v>
          </cell>
          <cell r="AB224">
            <v>90000</v>
          </cell>
          <cell r="AC224">
            <v>0</v>
          </cell>
          <cell r="AD224">
            <v>90000</v>
          </cell>
          <cell r="AE224">
            <v>0</v>
          </cell>
        </row>
        <row r="225">
          <cell r="B225">
            <v>191001</v>
          </cell>
          <cell r="C225" t="str">
            <v>Jaminan Asuransi Mitra</v>
          </cell>
          <cell r="D225" t="str">
            <v>Januari</v>
          </cell>
          <cell r="F225">
            <v>191001</v>
          </cell>
          <cell r="G225" t="str">
            <v>Januari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90000</v>
          </cell>
          <cell r="AA225">
            <v>0</v>
          </cell>
          <cell r="AB225">
            <v>90000</v>
          </cell>
          <cell r="AC225">
            <v>0</v>
          </cell>
          <cell r="AD225">
            <v>90000</v>
          </cell>
          <cell r="AE225">
            <v>0</v>
          </cell>
        </row>
        <row r="226">
          <cell r="B226">
            <v>191001</v>
          </cell>
          <cell r="C226" t="str">
            <v>Jaminan Asuransi Mitra</v>
          </cell>
          <cell r="D226" t="str">
            <v>Februari</v>
          </cell>
          <cell r="F226">
            <v>191001</v>
          </cell>
          <cell r="G226" t="str">
            <v>Februari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B227">
            <v>191001</v>
          </cell>
          <cell r="C227" t="str">
            <v>Jaminan Asuransi Mitra</v>
          </cell>
          <cell r="D227" t="str">
            <v>Maret</v>
          </cell>
          <cell r="F227">
            <v>191001</v>
          </cell>
          <cell r="G227" t="str">
            <v>Maret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</row>
        <row r="228">
          <cell r="B228">
            <v>191001</v>
          </cell>
          <cell r="C228" t="str">
            <v>Jaminan Asuransi Mitra</v>
          </cell>
          <cell r="D228" t="str">
            <v>April</v>
          </cell>
          <cell r="F228">
            <v>191001</v>
          </cell>
          <cell r="G228" t="str">
            <v>April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</row>
        <row r="229">
          <cell r="B229">
            <v>191001</v>
          </cell>
          <cell r="C229" t="str">
            <v>Jaminan Asuransi Mitra</v>
          </cell>
          <cell r="D229" t="str">
            <v>Mei</v>
          </cell>
          <cell r="F229">
            <v>191001</v>
          </cell>
          <cell r="G229" t="str">
            <v>Mei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B230">
            <v>191001</v>
          </cell>
          <cell r="C230" t="str">
            <v>Jaminan Asuransi Mitra</v>
          </cell>
          <cell r="D230" t="str">
            <v>Juni</v>
          </cell>
          <cell r="F230">
            <v>191001</v>
          </cell>
          <cell r="G230" t="str">
            <v>Juni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B231">
            <v>191001</v>
          </cell>
          <cell r="C231" t="str">
            <v>Jaminan Asuransi Mitra</v>
          </cell>
          <cell r="D231" t="str">
            <v>Juli</v>
          </cell>
          <cell r="F231">
            <v>191001</v>
          </cell>
          <cell r="G231" t="str">
            <v>Juli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</row>
        <row r="232">
          <cell r="B232">
            <v>191001</v>
          </cell>
          <cell r="C232" t="str">
            <v>Jaminan Asuransi Mitra</v>
          </cell>
          <cell r="D232" t="str">
            <v>Agustus</v>
          </cell>
          <cell r="F232">
            <v>191001</v>
          </cell>
          <cell r="G232" t="str">
            <v>Agustus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B233">
            <v>191001</v>
          </cell>
          <cell r="C233" t="str">
            <v>Jaminan Asuransi Mitra</v>
          </cell>
          <cell r="D233" t="str">
            <v>September</v>
          </cell>
          <cell r="F233">
            <v>191001</v>
          </cell>
          <cell r="G233" t="str">
            <v>September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</row>
        <row r="234">
          <cell r="B234">
            <v>191001</v>
          </cell>
          <cell r="C234" t="str">
            <v>Jaminan Asuransi Mitra</v>
          </cell>
          <cell r="D234" t="str">
            <v>Oktober</v>
          </cell>
          <cell r="F234">
            <v>191001</v>
          </cell>
          <cell r="G234" t="str">
            <v>Oktober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</row>
        <row r="235">
          <cell r="B235">
            <v>191001</v>
          </cell>
          <cell r="C235" t="str">
            <v>Jaminan Asuransi Mitra</v>
          </cell>
          <cell r="D235" t="str">
            <v>November</v>
          </cell>
          <cell r="F235">
            <v>191001</v>
          </cell>
          <cell r="G235" t="str">
            <v>November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</row>
        <row r="236">
          <cell r="B236">
            <v>191001</v>
          </cell>
          <cell r="C236" t="str">
            <v>Jaminan Asuransi Mitra</v>
          </cell>
          <cell r="D236" t="str">
            <v>Desember</v>
          </cell>
          <cell r="F236">
            <v>191001</v>
          </cell>
          <cell r="G236" t="str">
            <v>Desember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</row>
        <row r="237">
          <cell r="B237">
            <v>111001</v>
          </cell>
          <cell r="C237" t="str">
            <v>Uang Muka Pembelian</v>
          </cell>
          <cell r="E237">
            <v>111.001</v>
          </cell>
          <cell r="F237">
            <v>111001</v>
          </cell>
          <cell r="G237" t="str">
            <v>Uang Muka Pembelian</v>
          </cell>
          <cell r="H237">
            <v>80265480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80265480</v>
          </cell>
          <cell r="AC237">
            <v>0</v>
          </cell>
          <cell r="AD237">
            <v>0</v>
          </cell>
          <cell r="AE237">
            <v>0</v>
          </cell>
        </row>
        <row r="238">
          <cell r="B238">
            <v>111001</v>
          </cell>
          <cell r="C238" t="str">
            <v>Uang Muka Pembelian</v>
          </cell>
          <cell r="D238" t="str">
            <v>Januari</v>
          </cell>
          <cell r="F238">
            <v>111001</v>
          </cell>
          <cell r="G238" t="str">
            <v>Januari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B239">
            <v>111001</v>
          </cell>
          <cell r="C239" t="str">
            <v>Uang Muka Pembelian</v>
          </cell>
          <cell r="D239" t="str">
            <v>Februari</v>
          </cell>
          <cell r="F239">
            <v>111001</v>
          </cell>
          <cell r="G239" t="str">
            <v>Februari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B240">
            <v>111001</v>
          </cell>
          <cell r="C240" t="str">
            <v>Uang Muka Pembelian</v>
          </cell>
          <cell r="D240" t="str">
            <v>Maret</v>
          </cell>
          <cell r="F240">
            <v>111001</v>
          </cell>
          <cell r="G240" t="str">
            <v>Maret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B241">
            <v>111001</v>
          </cell>
          <cell r="C241" t="str">
            <v>Uang Muka Pembelian</v>
          </cell>
          <cell r="D241" t="str">
            <v>April</v>
          </cell>
          <cell r="F241">
            <v>111001</v>
          </cell>
          <cell r="G241" t="str">
            <v>April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B242">
            <v>111001</v>
          </cell>
          <cell r="C242" t="str">
            <v>Uang Muka Pembelian</v>
          </cell>
          <cell r="D242" t="str">
            <v>Mei</v>
          </cell>
          <cell r="F242">
            <v>111001</v>
          </cell>
          <cell r="G242" t="str">
            <v>Mei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</row>
        <row r="243">
          <cell r="B243">
            <v>111001</v>
          </cell>
          <cell r="C243" t="str">
            <v>Uang Muka Pembelian</v>
          </cell>
          <cell r="D243" t="str">
            <v>Juni</v>
          </cell>
          <cell r="F243">
            <v>111001</v>
          </cell>
          <cell r="G243" t="str">
            <v>Juni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B244">
            <v>111001</v>
          </cell>
          <cell r="C244" t="str">
            <v>Uang Muka Pembelian</v>
          </cell>
          <cell r="D244" t="str">
            <v>Juli</v>
          </cell>
          <cell r="F244">
            <v>111001</v>
          </cell>
          <cell r="G244" t="str">
            <v>Juli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</row>
        <row r="245">
          <cell r="B245">
            <v>111001</v>
          </cell>
          <cell r="C245" t="str">
            <v>Uang Muka Pembelian</v>
          </cell>
          <cell r="D245" t="str">
            <v>Agustus</v>
          </cell>
          <cell r="F245">
            <v>111001</v>
          </cell>
          <cell r="G245" t="str">
            <v>Agustus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B246">
            <v>111001</v>
          </cell>
          <cell r="C246" t="str">
            <v>Uang Muka Pembelian</v>
          </cell>
          <cell r="D246" t="str">
            <v>September</v>
          </cell>
          <cell r="F246">
            <v>111001</v>
          </cell>
          <cell r="G246" t="str">
            <v>September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</row>
        <row r="247">
          <cell r="B247">
            <v>111001</v>
          </cell>
          <cell r="C247" t="str">
            <v>Uang Muka Pembelian</v>
          </cell>
          <cell r="D247" t="str">
            <v>Oktober</v>
          </cell>
          <cell r="F247">
            <v>111001</v>
          </cell>
          <cell r="G247" t="str">
            <v>Oktober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B248">
            <v>111001</v>
          </cell>
          <cell r="C248" t="str">
            <v>Uang Muka Pembelian</v>
          </cell>
          <cell r="D248" t="str">
            <v>November</v>
          </cell>
          <cell r="F248">
            <v>111001</v>
          </cell>
          <cell r="G248" t="str">
            <v>November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B249">
            <v>111001</v>
          </cell>
          <cell r="C249" t="str">
            <v>Uang Muka Pembelian</v>
          </cell>
          <cell r="D249" t="str">
            <v>Desember</v>
          </cell>
          <cell r="F249">
            <v>111001</v>
          </cell>
          <cell r="G249" t="str">
            <v>Desember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B250">
            <v>109004</v>
          </cell>
          <cell r="C250" t="str">
            <v>Asuransi</v>
          </cell>
          <cell r="E250">
            <v>109.004</v>
          </cell>
          <cell r="F250">
            <v>109004</v>
          </cell>
          <cell r="G250" t="str">
            <v>Asuransi</v>
          </cell>
          <cell r="H250">
            <v>9970000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9970000</v>
          </cell>
          <cell r="AC250">
            <v>0</v>
          </cell>
          <cell r="AD250">
            <v>0</v>
          </cell>
          <cell r="AE250">
            <v>0</v>
          </cell>
        </row>
        <row r="251">
          <cell r="B251">
            <v>109004</v>
          </cell>
          <cell r="C251" t="str">
            <v>Asuransi</v>
          </cell>
          <cell r="D251" t="str">
            <v>Januari</v>
          </cell>
          <cell r="F251">
            <v>109004</v>
          </cell>
          <cell r="G251" t="str">
            <v>Januari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B252">
            <v>109004</v>
          </cell>
          <cell r="C252" t="str">
            <v>Asuransi</v>
          </cell>
          <cell r="D252" t="str">
            <v>Februari</v>
          </cell>
          <cell r="F252">
            <v>109004</v>
          </cell>
          <cell r="G252" t="str">
            <v>Februari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</row>
        <row r="253">
          <cell r="B253">
            <v>109004</v>
          </cell>
          <cell r="C253" t="str">
            <v>Asuransi</v>
          </cell>
          <cell r="D253" t="str">
            <v>Maret</v>
          </cell>
          <cell r="F253">
            <v>109004</v>
          </cell>
          <cell r="G253" t="str">
            <v>Maret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</row>
        <row r="254">
          <cell r="B254">
            <v>109004</v>
          </cell>
          <cell r="C254" t="str">
            <v>Asuransi</v>
          </cell>
          <cell r="D254" t="str">
            <v>April</v>
          </cell>
          <cell r="F254">
            <v>109004</v>
          </cell>
          <cell r="G254" t="str">
            <v>April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</row>
        <row r="255">
          <cell r="B255">
            <v>109004</v>
          </cell>
          <cell r="C255" t="str">
            <v>Asuransi</v>
          </cell>
          <cell r="D255" t="str">
            <v>Mei</v>
          </cell>
          <cell r="F255">
            <v>109004</v>
          </cell>
          <cell r="G255" t="str">
            <v>Mei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</row>
        <row r="256">
          <cell r="B256">
            <v>109004</v>
          </cell>
          <cell r="C256" t="str">
            <v>Asuransi</v>
          </cell>
          <cell r="D256" t="str">
            <v>Juni</v>
          </cell>
          <cell r="F256">
            <v>109004</v>
          </cell>
          <cell r="G256" t="str">
            <v>Juni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B257">
            <v>109004</v>
          </cell>
          <cell r="C257" t="str">
            <v>Asuransi</v>
          </cell>
          <cell r="D257" t="str">
            <v>Juli</v>
          </cell>
          <cell r="F257">
            <v>109004</v>
          </cell>
          <cell r="G257" t="str">
            <v>Juli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B258">
            <v>109004</v>
          </cell>
          <cell r="C258" t="str">
            <v>Asuransi</v>
          </cell>
          <cell r="D258" t="str">
            <v>Agustus</v>
          </cell>
          <cell r="F258">
            <v>109004</v>
          </cell>
          <cell r="G258" t="str">
            <v>Agustus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</row>
        <row r="259">
          <cell r="B259">
            <v>109004</v>
          </cell>
          <cell r="C259" t="str">
            <v>Asuransi</v>
          </cell>
          <cell r="D259" t="str">
            <v>September</v>
          </cell>
          <cell r="F259">
            <v>109004</v>
          </cell>
          <cell r="G259" t="str">
            <v>September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</row>
        <row r="260">
          <cell r="B260">
            <v>109004</v>
          </cell>
          <cell r="C260" t="str">
            <v>Asuransi</v>
          </cell>
          <cell r="D260" t="str">
            <v>Oktober</v>
          </cell>
          <cell r="F260">
            <v>109004</v>
          </cell>
          <cell r="G260" t="str">
            <v>Oktober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B261">
            <v>109004</v>
          </cell>
          <cell r="C261" t="str">
            <v>Asuransi</v>
          </cell>
          <cell r="D261" t="str">
            <v>November</v>
          </cell>
          <cell r="F261">
            <v>109004</v>
          </cell>
          <cell r="G261" t="str">
            <v>November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</row>
        <row r="262">
          <cell r="B262">
            <v>109004</v>
          </cell>
          <cell r="C262" t="str">
            <v>Asuransi</v>
          </cell>
          <cell r="D262" t="str">
            <v>Desember</v>
          </cell>
          <cell r="F262">
            <v>109004</v>
          </cell>
          <cell r="G262" t="str">
            <v>Desember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</row>
        <row r="263">
          <cell r="B263">
            <v>109001</v>
          </cell>
          <cell r="C263" t="str">
            <v>PPh pasal 21</v>
          </cell>
          <cell r="E263">
            <v>109.001</v>
          </cell>
          <cell r="F263">
            <v>109001</v>
          </cell>
          <cell r="G263" t="str">
            <v>PPh pasal 21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5739500</v>
          </cell>
          <cell r="S263">
            <v>5727500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21569175</v>
          </cell>
          <cell r="AA263">
            <v>0</v>
          </cell>
          <cell r="AB263">
            <v>27308675</v>
          </cell>
          <cell r="AC263">
            <v>5727500</v>
          </cell>
          <cell r="AD263">
            <v>21569175</v>
          </cell>
          <cell r="AE263">
            <v>0</v>
          </cell>
        </row>
        <row r="264">
          <cell r="B264">
            <v>109001</v>
          </cell>
          <cell r="C264" t="str">
            <v>PPh pasal 21</v>
          </cell>
          <cell r="D264" t="str">
            <v>Januari</v>
          </cell>
          <cell r="F264">
            <v>109001</v>
          </cell>
          <cell r="G264" t="str">
            <v>Januari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475000</v>
          </cell>
          <cell r="S264">
            <v>475000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313000</v>
          </cell>
          <cell r="AA264">
            <v>0</v>
          </cell>
          <cell r="AB264">
            <v>788000</v>
          </cell>
          <cell r="AC264">
            <v>475000</v>
          </cell>
          <cell r="AD264">
            <v>313000</v>
          </cell>
          <cell r="AE264">
            <v>0</v>
          </cell>
        </row>
        <row r="265">
          <cell r="B265">
            <v>109001</v>
          </cell>
          <cell r="C265" t="str">
            <v>PPh pasal 21</v>
          </cell>
          <cell r="D265" t="str">
            <v>Februari</v>
          </cell>
          <cell r="F265">
            <v>109001</v>
          </cell>
          <cell r="G265" t="str">
            <v>Februari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491500</v>
          </cell>
          <cell r="S265">
            <v>491500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475000</v>
          </cell>
          <cell r="AA265">
            <v>0</v>
          </cell>
          <cell r="AB265">
            <v>966500</v>
          </cell>
          <cell r="AC265">
            <v>491500</v>
          </cell>
          <cell r="AD265">
            <v>475000</v>
          </cell>
          <cell r="AE265">
            <v>0</v>
          </cell>
        </row>
        <row r="266">
          <cell r="B266">
            <v>109001</v>
          </cell>
          <cell r="C266" t="str">
            <v>PPh pasal 21</v>
          </cell>
          <cell r="D266" t="str">
            <v>Maret</v>
          </cell>
          <cell r="F266">
            <v>109001</v>
          </cell>
          <cell r="G266" t="str">
            <v>Maret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494500</v>
          </cell>
          <cell r="S266">
            <v>494500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1020930</v>
          </cell>
          <cell r="AA266">
            <v>0</v>
          </cell>
          <cell r="AB266">
            <v>1515430</v>
          </cell>
          <cell r="AC266">
            <v>494500</v>
          </cell>
          <cell r="AD266">
            <v>1020930</v>
          </cell>
          <cell r="AE266">
            <v>0</v>
          </cell>
        </row>
        <row r="267">
          <cell r="B267">
            <v>109001</v>
          </cell>
          <cell r="C267" t="str">
            <v>PPh pasal 21</v>
          </cell>
          <cell r="D267" t="str">
            <v>April</v>
          </cell>
          <cell r="F267">
            <v>109001</v>
          </cell>
          <cell r="G267" t="str">
            <v>April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487500</v>
          </cell>
          <cell r="S267">
            <v>487500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494500</v>
          </cell>
          <cell r="AA267">
            <v>0</v>
          </cell>
          <cell r="AB267">
            <v>982000</v>
          </cell>
          <cell r="AC267">
            <v>487500</v>
          </cell>
          <cell r="AD267">
            <v>494500</v>
          </cell>
          <cell r="AE267">
            <v>0</v>
          </cell>
        </row>
        <row r="268">
          <cell r="B268">
            <v>109001</v>
          </cell>
          <cell r="C268" t="str">
            <v>PPh pasal 21</v>
          </cell>
          <cell r="D268" t="str">
            <v>Mei</v>
          </cell>
          <cell r="F268">
            <v>109001</v>
          </cell>
          <cell r="G268" t="str">
            <v>Mei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482500</v>
          </cell>
          <cell r="S268">
            <v>482500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487500</v>
          </cell>
          <cell r="AA268">
            <v>0</v>
          </cell>
          <cell r="AB268">
            <v>970000</v>
          </cell>
          <cell r="AC268">
            <v>482500</v>
          </cell>
          <cell r="AD268">
            <v>487500</v>
          </cell>
          <cell r="AE268">
            <v>0</v>
          </cell>
        </row>
        <row r="269">
          <cell r="B269">
            <v>109001</v>
          </cell>
          <cell r="C269" t="str">
            <v>PPh pasal 21</v>
          </cell>
          <cell r="D269" t="str">
            <v>Juni</v>
          </cell>
          <cell r="F269">
            <v>109001</v>
          </cell>
          <cell r="G269" t="str">
            <v>Juni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465500</v>
          </cell>
          <cell r="S269">
            <v>465500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482500</v>
          </cell>
          <cell r="AA269">
            <v>0</v>
          </cell>
          <cell r="AB269">
            <v>948000</v>
          </cell>
          <cell r="AC269">
            <v>465500</v>
          </cell>
          <cell r="AD269">
            <v>482500</v>
          </cell>
          <cell r="AE269">
            <v>0</v>
          </cell>
        </row>
        <row r="270">
          <cell r="B270">
            <v>109001</v>
          </cell>
          <cell r="C270" t="str">
            <v>PPh pasal 21</v>
          </cell>
          <cell r="D270" t="str">
            <v>Juli</v>
          </cell>
          <cell r="F270">
            <v>109001</v>
          </cell>
          <cell r="G270" t="str">
            <v>Juli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469000</v>
          </cell>
          <cell r="S270">
            <v>469000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1018731</v>
          </cell>
          <cell r="AA270">
            <v>0</v>
          </cell>
          <cell r="AB270">
            <v>1487731</v>
          </cell>
          <cell r="AC270">
            <v>469000</v>
          </cell>
          <cell r="AD270">
            <v>1018731</v>
          </cell>
          <cell r="AE270">
            <v>0</v>
          </cell>
        </row>
        <row r="271">
          <cell r="B271">
            <v>109001</v>
          </cell>
          <cell r="C271" t="str">
            <v>PPh pasal 21</v>
          </cell>
          <cell r="D271" t="str">
            <v>Agustus</v>
          </cell>
          <cell r="F271">
            <v>109001</v>
          </cell>
          <cell r="G271" t="str">
            <v>Agustus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477500</v>
          </cell>
          <cell r="S271">
            <v>465500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515485</v>
          </cell>
          <cell r="AA271">
            <v>0</v>
          </cell>
          <cell r="AB271">
            <v>992985</v>
          </cell>
          <cell r="AC271">
            <v>465500</v>
          </cell>
          <cell r="AD271">
            <v>515485</v>
          </cell>
          <cell r="AE271">
            <v>0</v>
          </cell>
        </row>
        <row r="272">
          <cell r="B272">
            <v>109001</v>
          </cell>
          <cell r="C272" t="str">
            <v>PPh pasal 21</v>
          </cell>
          <cell r="D272" t="str">
            <v>September</v>
          </cell>
          <cell r="F272">
            <v>109001</v>
          </cell>
          <cell r="G272" t="str">
            <v>September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487500</v>
          </cell>
          <cell r="S272">
            <v>487500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15344029</v>
          </cell>
          <cell r="AA272">
            <v>0</v>
          </cell>
          <cell r="AB272">
            <v>15831529</v>
          </cell>
          <cell r="AC272">
            <v>487500</v>
          </cell>
          <cell r="AD272">
            <v>15344029</v>
          </cell>
          <cell r="AE272">
            <v>0</v>
          </cell>
        </row>
        <row r="273">
          <cell r="B273">
            <v>109001</v>
          </cell>
          <cell r="C273" t="str">
            <v>PPh pasal 21</v>
          </cell>
          <cell r="D273" t="str">
            <v>Oktober</v>
          </cell>
          <cell r="F273">
            <v>109001</v>
          </cell>
          <cell r="G273" t="str">
            <v>Oktober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451000</v>
          </cell>
          <cell r="S273">
            <v>451000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487500</v>
          </cell>
          <cell r="AA273">
            <v>0</v>
          </cell>
          <cell r="AB273">
            <v>938500</v>
          </cell>
          <cell r="AC273">
            <v>451000</v>
          </cell>
          <cell r="AD273">
            <v>487500</v>
          </cell>
          <cell r="AE273">
            <v>0</v>
          </cell>
        </row>
        <row r="274">
          <cell r="B274">
            <v>109001</v>
          </cell>
          <cell r="C274" t="str">
            <v>PPh pasal 21</v>
          </cell>
          <cell r="D274" t="str">
            <v>November</v>
          </cell>
          <cell r="F274">
            <v>109001</v>
          </cell>
          <cell r="G274" t="str">
            <v>November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479000</v>
          </cell>
          <cell r="S274">
            <v>479000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451000</v>
          </cell>
          <cell r="AA274">
            <v>0</v>
          </cell>
          <cell r="AB274">
            <v>930000</v>
          </cell>
          <cell r="AC274">
            <v>479000</v>
          </cell>
          <cell r="AD274">
            <v>451000</v>
          </cell>
          <cell r="AE274">
            <v>0</v>
          </cell>
        </row>
        <row r="275">
          <cell r="B275">
            <v>109001</v>
          </cell>
          <cell r="C275" t="str">
            <v>PPh pasal 21</v>
          </cell>
          <cell r="D275" t="str">
            <v>Desember</v>
          </cell>
          <cell r="F275">
            <v>109001</v>
          </cell>
          <cell r="G275" t="str">
            <v>Desember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479000</v>
          </cell>
          <cell r="S275">
            <v>479000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479000</v>
          </cell>
          <cell r="AA275">
            <v>0</v>
          </cell>
          <cell r="AB275">
            <v>958000</v>
          </cell>
          <cell r="AC275">
            <v>479000</v>
          </cell>
          <cell r="AD275">
            <v>479000</v>
          </cell>
          <cell r="AE275">
            <v>0</v>
          </cell>
        </row>
        <row r="276">
          <cell r="B276">
            <v>109002</v>
          </cell>
          <cell r="C276" t="str">
            <v>PPh Pasal 25</v>
          </cell>
          <cell r="E276">
            <v>109.002</v>
          </cell>
          <cell r="F276">
            <v>109002</v>
          </cell>
          <cell r="G276" t="str">
            <v>PPh Pasal 25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4961495</v>
          </cell>
          <cell r="AA276">
            <v>0</v>
          </cell>
          <cell r="AB276">
            <v>4961495</v>
          </cell>
          <cell r="AC276">
            <v>0</v>
          </cell>
          <cell r="AD276">
            <v>4961495</v>
          </cell>
          <cell r="AE276">
            <v>0</v>
          </cell>
        </row>
        <row r="277">
          <cell r="B277">
            <v>109002</v>
          </cell>
          <cell r="C277" t="str">
            <v>PPh Pasal 25</v>
          </cell>
          <cell r="D277" t="str">
            <v>Januari</v>
          </cell>
          <cell r="F277">
            <v>109002</v>
          </cell>
          <cell r="G277" t="str">
            <v>Januari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</row>
        <row r="278">
          <cell r="B278">
            <v>109002</v>
          </cell>
          <cell r="C278" t="str">
            <v>PPh Pasal 25</v>
          </cell>
          <cell r="D278" t="str">
            <v>Februari</v>
          </cell>
          <cell r="F278">
            <v>109002</v>
          </cell>
          <cell r="G278" t="str">
            <v>Februari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B279">
            <v>109002</v>
          </cell>
          <cell r="C279" t="str">
            <v>PPh Pasal 25</v>
          </cell>
          <cell r="D279" t="str">
            <v>Maret</v>
          </cell>
          <cell r="F279">
            <v>109002</v>
          </cell>
          <cell r="G279" t="str">
            <v>Maret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</row>
        <row r="280">
          <cell r="B280">
            <v>109002</v>
          </cell>
          <cell r="C280" t="str">
            <v>PPh Pasal 25</v>
          </cell>
          <cell r="D280" t="str">
            <v>April</v>
          </cell>
          <cell r="F280">
            <v>109002</v>
          </cell>
          <cell r="G280" t="str">
            <v>April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</row>
        <row r="281">
          <cell r="B281">
            <v>109002</v>
          </cell>
          <cell r="C281" t="str">
            <v>PPh Pasal 25</v>
          </cell>
          <cell r="D281" t="str">
            <v>Mei</v>
          </cell>
          <cell r="F281">
            <v>109002</v>
          </cell>
          <cell r="G281" t="str">
            <v>Mei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</row>
        <row r="282">
          <cell r="B282">
            <v>109002</v>
          </cell>
          <cell r="C282" t="str">
            <v>PPh Pasal 25</v>
          </cell>
          <cell r="D282" t="str">
            <v>Juni</v>
          </cell>
          <cell r="F282">
            <v>109002</v>
          </cell>
          <cell r="G282" t="str">
            <v>Juni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B283">
            <v>109002</v>
          </cell>
          <cell r="C283" t="str">
            <v>PPh Pasal 25</v>
          </cell>
          <cell r="D283" t="str">
            <v>Juli</v>
          </cell>
          <cell r="F283">
            <v>109002</v>
          </cell>
          <cell r="G283" t="str">
            <v>Juli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B284">
            <v>109002</v>
          </cell>
          <cell r="C284" t="str">
            <v>PPh Pasal 25</v>
          </cell>
          <cell r="D284" t="str">
            <v>Agustus</v>
          </cell>
          <cell r="F284">
            <v>109002</v>
          </cell>
          <cell r="G284" t="str">
            <v>Agustus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</row>
        <row r="285">
          <cell r="B285">
            <v>109002</v>
          </cell>
          <cell r="C285" t="str">
            <v>PPh Pasal 25</v>
          </cell>
          <cell r="D285" t="str">
            <v>September</v>
          </cell>
          <cell r="F285">
            <v>109002</v>
          </cell>
          <cell r="G285" t="str">
            <v>September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</row>
        <row r="286">
          <cell r="B286">
            <v>109002</v>
          </cell>
          <cell r="C286" t="str">
            <v>PPh Pasal 25</v>
          </cell>
          <cell r="D286" t="str">
            <v>Oktober</v>
          </cell>
          <cell r="F286">
            <v>109002</v>
          </cell>
          <cell r="G286" t="str">
            <v>Oktober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3846145</v>
          </cell>
          <cell r="AA286">
            <v>0</v>
          </cell>
          <cell r="AB286">
            <v>3846145</v>
          </cell>
          <cell r="AC286">
            <v>0</v>
          </cell>
          <cell r="AD286">
            <v>3846145</v>
          </cell>
          <cell r="AE286">
            <v>0</v>
          </cell>
        </row>
        <row r="287">
          <cell r="B287">
            <v>109002</v>
          </cell>
          <cell r="C287" t="str">
            <v>PPh Pasal 25</v>
          </cell>
          <cell r="D287" t="str">
            <v>November</v>
          </cell>
          <cell r="F287">
            <v>109002</v>
          </cell>
          <cell r="G287" t="str">
            <v>November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</row>
        <row r="288">
          <cell r="B288">
            <v>109002</v>
          </cell>
          <cell r="C288" t="str">
            <v>PPh Pasal 25</v>
          </cell>
          <cell r="D288" t="str">
            <v>Desember</v>
          </cell>
          <cell r="F288">
            <v>109002</v>
          </cell>
          <cell r="G288" t="str">
            <v>Desember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1115350</v>
          </cell>
          <cell r="AA288">
            <v>0</v>
          </cell>
          <cell r="AB288">
            <v>1115350</v>
          </cell>
          <cell r="AC288">
            <v>0</v>
          </cell>
          <cell r="AD288">
            <v>1115350</v>
          </cell>
          <cell r="AE288">
            <v>0</v>
          </cell>
        </row>
        <row r="289">
          <cell r="B289">
            <v>109003</v>
          </cell>
          <cell r="C289" t="str">
            <v>PPN</v>
          </cell>
          <cell r="E289">
            <v>109.003</v>
          </cell>
          <cell r="F289">
            <v>109003</v>
          </cell>
          <cell r="G289" t="str">
            <v>PPN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79200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8608876</v>
          </cell>
          <cell r="AA289">
            <v>0</v>
          </cell>
          <cell r="AB289">
            <v>8608876</v>
          </cell>
          <cell r="AC289">
            <v>79200</v>
          </cell>
          <cell r="AD289">
            <v>8608876</v>
          </cell>
          <cell r="AE289">
            <v>79200</v>
          </cell>
        </row>
        <row r="290">
          <cell r="B290">
            <v>109003</v>
          </cell>
          <cell r="C290" t="str">
            <v>PPN</v>
          </cell>
          <cell r="D290" t="str">
            <v>Januari</v>
          </cell>
          <cell r="F290">
            <v>109003</v>
          </cell>
          <cell r="G290" t="str">
            <v>Januari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</row>
        <row r="291">
          <cell r="B291">
            <v>109003</v>
          </cell>
          <cell r="C291" t="str">
            <v>PPN</v>
          </cell>
          <cell r="D291" t="str">
            <v>Februari</v>
          </cell>
          <cell r="F291">
            <v>109003</v>
          </cell>
          <cell r="G291" t="str">
            <v>Februari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890670</v>
          </cell>
          <cell r="AA291">
            <v>0</v>
          </cell>
          <cell r="AB291">
            <v>890670</v>
          </cell>
          <cell r="AC291">
            <v>0</v>
          </cell>
          <cell r="AD291">
            <v>890670</v>
          </cell>
          <cell r="AE291">
            <v>0</v>
          </cell>
        </row>
        <row r="292">
          <cell r="B292">
            <v>109003</v>
          </cell>
          <cell r="C292" t="str">
            <v>PPN</v>
          </cell>
          <cell r="D292" t="str">
            <v>Maret</v>
          </cell>
          <cell r="F292">
            <v>109003</v>
          </cell>
          <cell r="G292" t="str">
            <v>Maret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</row>
        <row r="293">
          <cell r="B293">
            <v>109003</v>
          </cell>
          <cell r="C293" t="str">
            <v>PPN</v>
          </cell>
          <cell r="D293" t="str">
            <v>April</v>
          </cell>
          <cell r="F293">
            <v>109003</v>
          </cell>
          <cell r="G293" t="str">
            <v>April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516710</v>
          </cell>
          <cell r="AA293">
            <v>0</v>
          </cell>
          <cell r="AB293">
            <v>516710</v>
          </cell>
          <cell r="AC293">
            <v>0</v>
          </cell>
          <cell r="AD293">
            <v>516710</v>
          </cell>
          <cell r="AE293">
            <v>0</v>
          </cell>
        </row>
        <row r="294">
          <cell r="B294">
            <v>109003</v>
          </cell>
          <cell r="C294" t="str">
            <v>PPN</v>
          </cell>
          <cell r="D294" t="str">
            <v>Mei</v>
          </cell>
          <cell r="F294">
            <v>109003</v>
          </cell>
          <cell r="G294" t="str">
            <v>Mei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79200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571396</v>
          </cell>
          <cell r="AA294">
            <v>0</v>
          </cell>
          <cell r="AB294">
            <v>571396</v>
          </cell>
          <cell r="AC294">
            <v>79200</v>
          </cell>
          <cell r="AD294">
            <v>571396</v>
          </cell>
          <cell r="AE294">
            <v>79200</v>
          </cell>
        </row>
        <row r="295">
          <cell r="B295">
            <v>109003</v>
          </cell>
          <cell r="C295" t="str">
            <v>PPN</v>
          </cell>
          <cell r="D295" t="str">
            <v>Juni</v>
          </cell>
          <cell r="F295">
            <v>109003</v>
          </cell>
          <cell r="G295" t="str">
            <v>Juni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686484</v>
          </cell>
          <cell r="AA295">
            <v>0</v>
          </cell>
          <cell r="AB295">
            <v>686484</v>
          </cell>
          <cell r="AC295">
            <v>0</v>
          </cell>
          <cell r="AD295">
            <v>686484</v>
          </cell>
          <cell r="AE295">
            <v>0</v>
          </cell>
        </row>
        <row r="296">
          <cell r="B296">
            <v>109003</v>
          </cell>
          <cell r="C296" t="str">
            <v>PPN</v>
          </cell>
          <cell r="D296" t="str">
            <v>Juli</v>
          </cell>
          <cell r="F296">
            <v>109003</v>
          </cell>
          <cell r="G296" t="str">
            <v>Juli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B297">
            <v>109003</v>
          </cell>
          <cell r="C297" t="str">
            <v>PPN</v>
          </cell>
          <cell r="D297" t="str">
            <v>Agustus</v>
          </cell>
          <cell r="F297">
            <v>109003</v>
          </cell>
          <cell r="G297" t="str">
            <v>Agustus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2992500</v>
          </cell>
          <cell r="AA297">
            <v>0</v>
          </cell>
          <cell r="AB297">
            <v>2992500</v>
          </cell>
          <cell r="AC297">
            <v>0</v>
          </cell>
          <cell r="AD297">
            <v>2992500</v>
          </cell>
          <cell r="AE297">
            <v>0</v>
          </cell>
        </row>
        <row r="298">
          <cell r="B298">
            <v>109003</v>
          </cell>
          <cell r="C298" t="str">
            <v>PPN</v>
          </cell>
          <cell r="D298" t="str">
            <v>September</v>
          </cell>
          <cell r="F298">
            <v>109003</v>
          </cell>
          <cell r="G298" t="str">
            <v>September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</row>
        <row r="299">
          <cell r="B299">
            <v>109003</v>
          </cell>
          <cell r="C299" t="str">
            <v>PPN</v>
          </cell>
          <cell r="D299" t="str">
            <v>Oktober</v>
          </cell>
          <cell r="F299">
            <v>109003</v>
          </cell>
          <cell r="G299" t="str">
            <v>Oktober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557519</v>
          </cell>
          <cell r="AA299">
            <v>0</v>
          </cell>
          <cell r="AB299">
            <v>557519</v>
          </cell>
          <cell r="AC299">
            <v>0</v>
          </cell>
          <cell r="AD299">
            <v>557519</v>
          </cell>
          <cell r="AE299">
            <v>0</v>
          </cell>
        </row>
        <row r="300">
          <cell r="B300">
            <v>109003</v>
          </cell>
          <cell r="C300" t="str">
            <v>PPN</v>
          </cell>
          <cell r="D300" t="str">
            <v>November</v>
          </cell>
          <cell r="F300">
            <v>109003</v>
          </cell>
          <cell r="G300" t="str">
            <v>November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1809921</v>
          </cell>
          <cell r="AA300">
            <v>0</v>
          </cell>
          <cell r="AB300">
            <v>1809921</v>
          </cell>
          <cell r="AC300">
            <v>0</v>
          </cell>
          <cell r="AD300">
            <v>1809921</v>
          </cell>
          <cell r="AE300">
            <v>0</v>
          </cell>
        </row>
        <row r="301">
          <cell r="B301">
            <v>109003</v>
          </cell>
          <cell r="C301" t="str">
            <v>PPN</v>
          </cell>
          <cell r="D301" t="str">
            <v>Desember</v>
          </cell>
          <cell r="F301">
            <v>109003</v>
          </cell>
          <cell r="G301" t="str">
            <v>Desember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583676</v>
          </cell>
          <cell r="AA301">
            <v>0</v>
          </cell>
          <cell r="AB301">
            <v>583676</v>
          </cell>
          <cell r="AC301">
            <v>0</v>
          </cell>
          <cell r="AD301">
            <v>583676</v>
          </cell>
          <cell r="AE301">
            <v>0</v>
          </cell>
        </row>
        <row r="303">
          <cell r="B303">
            <v>110000</v>
          </cell>
          <cell r="E303">
            <v>110</v>
          </cell>
          <cell r="F303">
            <v>110000</v>
          </cell>
          <cell r="G303" t="str">
            <v>Persediaan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B304">
            <v>110001</v>
          </cell>
          <cell r="C304" t="str">
            <v>Persediaan Barang Gsc</v>
          </cell>
          <cell r="E304">
            <v>110.001</v>
          </cell>
          <cell r="F304">
            <v>110001</v>
          </cell>
          <cell r="G304" t="str">
            <v>Persediaan Barang Gsc</v>
          </cell>
          <cell r="H304">
            <v>1089347518</v>
          </cell>
          <cell r="I304">
            <v>0</v>
          </cell>
          <cell r="J304">
            <v>0</v>
          </cell>
          <cell r="K304">
            <v>681786759</v>
          </cell>
          <cell r="L304">
            <v>2667538049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613677681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83209290</v>
          </cell>
          <cell r="AA304">
            <v>0</v>
          </cell>
          <cell r="AB304">
            <v>3840094857</v>
          </cell>
          <cell r="AC304">
            <v>1295464440</v>
          </cell>
          <cell r="AD304">
            <v>2750747339</v>
          </cell>
          <cell r="AE304">
            <v>1295464440</v>
          </cell>
        </row>
        <row r="305">
          <cell r="B305">
            <v>110001</v>
          </cell>
          <cell r="C305" t="str">
            <v>Persediaan Barang Gsc</v>
          </cell>
          <cell r="D305" t="str">
            <v>Januari</v>
          </cell>
          <cell r="F305">
            <v>110001</v>
          </cell>
          <cell r="G305" t="str">
            <v>Januari</v>
          </cell>
          <cell r="J305">
            <v>0</v>
          </cell>
          <cell r="K305">
            <v>37938185</v>
          </cell>
          <cell r="L305">
            <v>147887961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52830928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7015238</v>
          </cell>
          <cell r="AA305">
            <v>0</v>
          </cell>
          <cell r="AB305">
            <v>154903199</v>
          </cell>
          <cell r="AC305">
            <v>90769113</v>
          </cell>
          <cell r="AD305">
            <v>154903199</v>
          </cell>
          <cell r="AE305">
            <v>90769113</v>
          </cell>
        </row>
        <row r="306">
          <cell r="B306">
            <v>110001</v>
          </cell>
          <cell r="C306" t="str">
            <v>Persediaan Barang Gsc</v>
          </cell>
          <cell r="D306" t="str">
            <v>Februari</v>
          </cell>
          <cell r="F306">
            <v>110001</v>
          </cell>
          <cell r="G306" t="str">
            <v>Februari</v>
          </cell>
          <cell r="J306">
            <v>0</v>
          </cell>
          <cell r="K306">
            <v>44714021</v>
          </cell>
          <cell r="L306">
            <v>194802033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59307727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16597150</v>
          </cell>
          <cell r="AA306">
            <v>0</v>
          </cell>
          <cell r="AB306">
            <v>211399183</v>
          </cell>
          <cell r="AC306">
            <v>104021748</v>
          </cell>
          <cell r="AD306">
            <v>211399183</v>
          </cell>
          <cell r="AE306">
            <v>104021748</v>
          </cell>
        </row>
        <row r="307">
          <cell r="B307">
            <v>110001</v>
          </cell>
          <cell r="C307" t="str">
            <v>Persediaan Barang Gsc</v>
          </cell>
          <cell r="D307" t="str">
            <v>Maret</v>
          </cell>
          <cell r="F307">
            <v>110001</v>
          </cell>
          <cell r="G307" t="str">
            <v>Maret</v>
          </cell>
          <cell r="J307">
            <v>0</v>
          </cell>
          <cell r="K307">
            <v>99163269</v>
          </cell>
          <cell r="L307">
            <v>134415059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43906725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10236466</v>
          </cell>
          <cell r="AA307">
            <v>0</v>
          </cell>
          <cell r="AB307">
            <v>144651525</v>
          </cell>
          <cell r="AC307">
            <v>143069994</v>
          </cell>
          <cell r="AD307">
            <v>144651525</v>
          </cell>
          <cell r="AE307">
            <v>143069994</v>
          </cell>
        </row>
        <row r="308">
          <cell r="B308">
            <v>110001</v>
          </cell>
          <cell r="C308" t="str">
            <v>Persediaan Barang Gsc</v>
          </cell>
          <cell r="D308" t="str">
            <v>April</v>
          </cell>
          <cell r="F308">
            <v>110001</v>
          </cell>
          <cell r="G308" t="str">
            <v>April</v>
          </cell>
          <cell r="J308">
            <v>0</v>
          </cell>
          <cell r="K308">
            <v>17015695</v>
          </cell>
          <cell r="L308">
            <v>117704508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48469304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6947710</v>
          </cell>
          <cell r="AA308">
            <v>0</v>
          </cell>
          <cell r="AB308">
            <v>124652218</v>
          </cell>
          <cell r="AC308">
            <v>65484999</v>
          </cell>
          <cell r="AD308">
            <v>124652218</v>
          </cell>
          <cell r="AE308">
            <v>65484999</v>
          </cell>
        </row>
        <row r="309">
          <cell r="B309">
            <v>110001</v>
          </cell>
          <cell r="C309" t="str">
            <v>Persediaan Barang Gsc</v>
          </cell>
          <cell r="D309" t="str">
            <v>Mei</v>
          </cell>
          <cell r="F309">
            <v>110001</v>
          </cell>
          <cell r="G309" t="str">
            <v>Mei</v>
          </cell>
          <cell r="J309">
            <v>0</v>
          </cell>
          <cell r="K309">
            <v>70791719</v>
          </cell>
          <cell r="L309">
            <v>133153228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62404704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8908271</v>
          </cell>
          <cell r="AA309">
            <v>0</v>
          </cell>
          <cell r="AB309">
            <v>142061499</v>
          </cell>
          <cell r="AC309">
            <v>133196423</v>
          </cell>
          <cell r="AD309">
            <v>142061499</v>
          </cell>
          <cell r="AE309">
            <v>133196423</v>
          </cell>
        </row>
        <row r="310">
          <cell r="B310">
            <v>110001</v>
          </cell>
          <cell r="C310" t="str">
            <v>Persediaan Barang Gsc</v>
          </cell>
          <cell r="D310" t="str">
            <v>Juni</v>
          </cell>
          <cell r="F310">
            <v>110001</v>
          </cell>
          <cell r="G310" t="str">
            <v>Juni</v>
          </cell>
          <cell r="J310">
            <v>0</v>
          </cell>
          <cell r="K310">
            <v>31242696</v>
          </cell>
          <cell r="L310">
            <v>116852711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37217655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810000</v>
          </cell>
          <cell r="AA310">
            <v>0</v>
          </cell>
          <cell r="AB310">
            <v>117662711</v>
          </cell>
          <cell r="AC310">
            <v>68460351</v>
          </cell>
          <cell r="AD310">
            <v>117662711</v>
          </cell>
          <cell r="AE310">
            <v>68460351</v>
          </cell>
        </row>
        <row r="311">
          <cell r="B311">
            <v>110001</v>
          </cell>
          <cell r="C311" t="str">
            <v>Persediaan Barang Gsc</v>
          </cell>
          <cell r="D311" t="str">
            <v>Juli</v>
          </cell>
          <cell r="F311">
            <v>110001</v>
          </cell>
          <cell r="G311" t="str">
            <v>Juli</v>
          </cell>
          <cell r="J311">
            <v>0</v>
          </cell>
          <cell r="K311">
            <v>91095294</v>
          </cell>
          <cell r="L311">
            <v>127096710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47038531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8698495</v>
          </cell>
          <cell r="AA311">
            <v>0</v>
          </cell>
          <cell r="AB311">
            <v>135795205</v>
          </cell>
          <cell r="AC311">
            <v>138133825</v>
          </cell>
          <cell r="AD311">
            <v>135795205</v>
          </cell>
          <cell r="AE311">
            <v>138133825</v>
          </cell>
        </row>
        <row r="312">
          <cell r="B312">
            <v>110001</v>
          </cell>
          <cell r="C312" t="str">
            <v>Persediaan Barang Gsc</v>
          </cell>
          <cell r="D312" t="str">
            <v>Agustus</v>
          </cell>
          <cell r="F312">
            <v>110001</v>
          </cell>
          <cell r="G312" t="str">
            <v>Agustus</v>
          </cell>
          <cell r="J312">
            <v>0</v>
          </cell>
          <cell r="K312">
            <v>39662442</v>
          </cell>
          <cell r="L312">
            <v>127465395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110761219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8329810</v>
          </cell>
          <cell r="AA312">
            <v>0</v>
          </cell>
          <cell r="AB312">
            <v>135795205</v>
          </cell>
          <cell r="AC312">
            <v>150423661</v>
          </cell>
          <cell r="AD312">
            <v>135795205</v>
          </cell>
          <cell r="AE312">
            <v>150423661</v>
          </cell>
        </row>
        <row r="313">
          <cell r="B313">
            <v>110001</v>
          </cell>
          <cell r="C313" t="str">
            <v>Persediaan Barang Gsc</v>
          </cell>
          <cell r="D313" t="str">
            <v>September</v>
          </cell>
          <cell r="F313">
            <v>110001</v>
          </cell>
          <cell r="G313" t="str">
            <v>September</v>
          </cell>
          <cell r="J313">
            <v>0</v>
          </cell>
          <cell r="K313">
            <v>69394460</v>
          </cell>
          <cell r="L313">
            <v>106046561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34292317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11616150</v>
          </cell>
          <cell r="AA313">
            <v>0</v>
          </cell>
          <cell r="AB313">
            <v>117662711</v>
          </cell>
          <cell r="AC313">
            <v>103686777</v>
          </cell>
          <cell r="AD313">
            <v>117662711</v>
          </cell>
          <cell r="AE313">
            <v>103686777</v>
          </cell>
        </row>
        <row r="314">
          <cell r="B314">
            <v>110001</v>
          </cell>
          <cell r="C314" t="str">
            <v>Persediaan Barang Gsc</v>
          </cell>
          <cell r="D314" t="str">
            <v>Oktober</v>
          </cell>
          <cell r="F314">
            <v>110001</v>
          </cell>
          <cell r="G314" t="str">
            <v>Oktober</v>
          </cell>
          <cell r="J314">
            <v>0</v>
          </cell>
          <cell r="K314">
            <v>48447923</v>
          </cell>
          <cell r="L314">
            <v>157095094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38308463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250000</v>
          </cell>
          <cell r="AA314">
            <v>0</v>
          </cell>
          <cell r="AB314">
            <v>157345094</v>
          </cell>
          <cell r="AC314">
            <v>86756386</v>
          </cell>
          <cell r="AD314">
            <v>157345094</v>
          </cell>
          <cell r="AE314">
            <v>86756386</v>
          </cell>
        </row>
        <row r="315">
          <cell r="B315">
            <v>110001</v>
          </cell>
          <cell r="C315" t="str">
            <v>Persediaan Barang Gsc</v>
          </cell>
          <cell r="D315" t="str">
            <v>November</v>
          </cell>
          <cell r="F315">
            <v>110001</v>
          </cell>
          <cell r="G315" t="str">
            <v>November</v>
          </cell>
          <cell r="J315">
            <v>0</v>
          </cell>
          <cell r="K315">
            <v>84592194</v>
          </cell>
          <cell r="L315">
            <v>128883868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36958998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1535000</v>
          </cell>
          <cell r="AA315">
            <v>0</v>
          </cell>
          <cell r="AB315">
            <v>130418868</v>
          </cell>
          <cell r="AC315">
            <v>121551192</v>
          </cell>
          <cell r="AD315">
            <v>130418868</v>
          </cell>
          <cell r="AE315">
            <v>121551192</v>
          </cell>
        </row>
        <row r="316">
          <cell r="B316">
            <v>110001</v>
          </cell>
          <cell r="C316" t="str">
            <v>Persediaan Barang Gsc</v>
          </cell>
          <cell r="D316" t="str">
            <v>Desember</v>
          </cell>
          <cell r="F316">
            <v>110001</v>
          </cell>
          <cell r="G316" t="str">
            <v>Desember</v>
          </cell>
          <cell r="J316">
            <v>0</v>
          </cell>
          <cell r="K316">
            <v>47728861</v>
          </cell>
          <cell r="L316">
            <v>1176134921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42181110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2265000</v>
          </cell>
          <cell r="AA316">
            <v>0</v>
          </cell>
          <cell r="AB316">
            <v>1178399921</v>
          </cell>
          <cell r="AC316">
            <v>89909971</v>
          </cell>
          <cell r="AD316">
            <v>1178399921</v>
          </cell>
          <cell r="AE316">
            <v>89909971</v>
          </cell>
        </row>
        <row r="317">
          <cell r="B317">
            <v>110004</v>
          </cell>
          <cell r="C317" t="str">
            <v>Wip Gsc</v>
          </cell>
          <cell r="E317">
            <v>110.004</v>
          </cell>
          <cell r="F317">
            <v>110004</v>
          </cell>
          <cell r="G317" t="str">
            <v>Wip Gsc</v>
          </cell>
          <cell r="H317">
            <v>127811154</v>
          </cell>
          <cell r="I317">
            <v>0</v>
          </cell>
          <cell r="J317">
            <v>0</v>
          </cell>
          <cell r="K317">
            <v>201421625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238609069</v>
          </cell>
          <cell r="AA317">
            <v>0</v>
          </cell>
          <cell r="AB317">
            <v>366420223</v>
          </cell>
          <cell r="AC317">
            <v>201421625</v>
          </cell>
          <cell r="AD317">
            <v>238609069</v>
          </cell>
          <cell r="AE317">
            <v>201421625</v>
          </cell>
        </row>
        <row r="318">
          <cell r="B318">
            <v>110004</v>
          </cell>
          <cell r="C318" t="str">
            <v>Wip Gsc</v>
          </cell>
          <cell r="D318" t="str">
            <v>Januari</v>
          </cell>
          <cell r="F318">
            <v>110004</v>
          </cell>
          <cell r="G318" t="str">
            <v>Januari</v>
          </cell>
          <cell r="J318">
            <v>0</v>
          </cell>
          <cell r="K318">
            <v>19107275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13721375</v>
          </cell>
          <cell r="AA318">
            <v>0</v>
          </cell>
          <cell r="AB318">
            <v>13721375</v>
          </cell>
          <cell r="AC318">
            <v>19107275</v>
          </cell>
          <cell r="AD318">
            <v>13721375</v>
          </cell>
          <cell r="AE318">
            <v>19107275</v>
          </cell>
        </row>
        <row r="319">
          <cell r="B319">
            <v>110004</v>
          </cell>
          <cell r="C319" t="str">
            <v>Wip Gsc</v>
          </cell>
          <cell r="D319" t="str">
            <v>Februari</v>
          </cell>
          <cell r="F319">
            <v>110004</v>
          </cell>
          <cell r="G319" t="str">
            <v>Februari</v>
          </cell>
          <cell r="J319">
            <v>0</v>
          </cell>
          <cell r="K319">
            <v>7742275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15225375</v>
          </cell>
          <cell r="AA319">
            <v>0</v>
          </cell>
          <cell r="AB319">
            <v>15225375</v>
          </cell>
          <cell r="AC319">
            <v>7742275</v>
          </cell>
          <cell r="AD319">
            <v>15225375</v>
          </cell>
          <cell r="AE319">
            <v>7742275</v>
          </cell>
        </row>
        <row r="320">
          <cell r="B320">
            <v>110004</v>
          </cell>
          <cell r="C320" t="str">
            <v>Wip Gsc</v>
          </cell>
          <cell r="D320" t="str">
            <v>Maret</v>
          </cell>
          <cell r="F320">
            <v>110004</v>
          </cell>
          <cell r="G320" t="str">
            <v>Maret</v>
          </cell>
          <cell r="J320">
            <v>0</v>
          </cell>
          <cell r="K320">
            <v>30157125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25696719</v>
          </cell>
          <cell r="AA320">
            <v>0</v>
          </cell>
          <cell r="AB320">
            <v>25696719</v>
          </cell>
          <cell r="AC320">
            <v>30157125</v>
          </cell>
          <cell r="AD320">
            <v>25696719</v>
          </cell>
          <cell r="AE320">
            <v>30157125</v>
          </cell>
        </row>
        <row r="321">
          <cell r="B321">
            <v>110004</v>
          </cell>
          <cell r="C321" t="str">
            <v>Wip Gsc</v>
          </cell>
          <cell r="D321" t="str">
            <v>April</v>
          </cell>
          <cell r="F321">
            <v>110004</v>
          </cell>
          <cell r="G321" t="str">
            <v>April</v>
          </cell>
          <cell r="J321">
            <v>0</v>
          </cell>
          <cell r="K321">
            <v>12815425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18896500</v>
          </cell>
          <cell r="AA321">
            <v>0</v>
          </cell>
          <cell r="AB321">
            <v>18896500</v>
          </cell>
          <cell r="AC321">
            <v>12815425</v>
          </cell>
          <cell r="AD321">
            <v>18896500</v>
          </cell>
          <cell r="AE321">
            <v>12815425</v>
          </cell>
        </row>
        <row r="322">
          <cell r="B322">
            <v>110004</v>
          </cell>
          <cell r="C322" t="str">
            <v>Wip Gsc</v>
          </cell>
          <cell r="D322" t="str">
            <v>Mei</v>
          </cell>
          <cell r="F322">
            <v>110004</v>
          </cell>
          <cell r="G322" t="str">
            <v>Mei</v>
          </cell>
          <cell r="J322">
            <v>0</v>
          </cell>
          <cell r="K322">
            <v>12137000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28022250</v>
          </cell>
          <cell r="AA322">
            <v>0</v>
          </cell>
          <cell r="AB322">
            <v>28022250</v>
          </cell>
          <cell r="AC322">
            <v>12137000</v>
          </cell>
          <cell r="AD322">
            <v>28022250</v>
          </cell>
          <cell r="AE322">
            <v>12137000</v>
          </cell>
        </row>
        <row r="323">
          <cell r="B323">
            <v>110004</v>
          </cell>
          <cell r="C323" t="str">
            <v>Wip Gsc</v>
          </cell>
          <cell r="D323" t="str">
            <v>Juni</v>
          </cell>
          <cell r="F323">
            <v>110004</v>
          </cell>
          <cell r="G323" t="str">
            <v>Juni</v>
          </cell>
          <cell r="J323">
            <v>0</v>
          </cell>
          <cell r="K323">
            <v>12327825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16001700</v>
          </cell>
          <cell r="AA323">
            <v>0</v>
          </cell>
          <cell r="AB323">
            <v>16001700</v>
          </cell>
          <cell r="AC323">
            <v>12327825</v>
          </cell>
          <cell r="AD323">
            <v>16001700</v>
          </cell>
          <cell r="AE323">
            <v>12327825</v>
          </cell>
        </row>
        <row r="324">
          <cell r="B324">
            <v>110004</v>
          </cell>
          <cell r="C324" t="str">
            <v>Wip Gsc</v>
          </cell>
          <cell r="D324" t="str">
            <v>Juli</v>
          </cell>
          <cell r="F324">
            <v>110004</v>
          </cell>
          <cell r="G324" t="str">
            <v>Juli</v>
          </cell>
          <cell r="J324">
            <v>0</v>
          </cell>
          <cell r="K324">
            <v>17099000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17833250</v>
          </cell>
          <cell r="AA324">
            <v>0</v>
          </cell>
          <cell r="AB324">
            <v>17833250</v>
          </cell>
          <cell r="AC324">
            <v>17099000</v>
          </cell>
          <cell r="AD324">
            <v>17833250</v>
          </cell>
          <cell r="AE324">
            <v>17099000</v>
          </cell>
        </row>
        <row r="325">
          <cell r="B325">
            <v>110004</v>
          </cell>
          <cell r="C325" t="str">
            <v>Wip Gsc</v>
          </cell>
          <cell r="D325" t="str">
            <v>Agustus</v>
          </cell>
          <cell r="F325">
            <v>110004</v>
          </cell>
          <cell r="G325" t="str">
            <v>Agustus</v>
          </cell>
          <cell r="J325">
            <v>0</v>
          </cell>
          <cell r="K325">
            <v>10152750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24520500</v>
          </cell>
          <cell r="AA325">
            <v>0</v>
          </cell>
          <cell r="AB325">
            <v>24520500</v>
          </cell>
          <cell r="AC325">
            <v>10152750</v>
          </cell>
          <cell r="AD325">
            <v>24520500</v>
          </cell>
          <cell r="AE325">
            <v>10152750</v>
          </cell>
        </row>
        <row r="326">
          <cell r="B326">
            <v>110004</v>
          </cell>
          <cell r="C326" t="str">
            <v>Wip Gsc</v>
          </cell>
          <cell r="D326" t="str">
            <v>September</v>
          </cell>
          <cell r="F326">
            <v>110004</v>
          </cell>
          <cell r="G326" t="str">
            <v>September</v>
          </cell>
          <cell r="J326">
            <v>0</v>
          </cell>
          <cell r="K326">
            <v>20791750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20952000</v>
          </cell>
          <cell r="AA326">
            <v>0</v>
          </cell>
          <cell r="AB326">
            <v>20952000</v>
          </cell>
          <cell r="AC326">
            <v>20791750</v>
          </cell>
          <cell r="AD326">
            <v>20952000</v>
          </cell>
          <cell r="AE326">
            <v>20791750</v>
          </cell>
        </row>
        <row r="327">
          <cell r="B327">
            <v>110004</v>
          </cell>
          <cell r="C327" t="str">
            <v>Wip Gsc</v>
          </cell>
          <cell r="D327" t="str">
            <v>Oktober</v>
          </cell>
          <cell r="F327">
            <v>110004</v>
          </cell>
          <cell r="G327" t="str">
            <v>Oktober</v>
          </cell>
          <cell r="J327">
            <v>0</v>
          </cell>
          <cell r="K327">
            <v>19119700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13480400</v>
          </cell>
          <cell r="AA327">
            <v>0</v>
          </cell>
          <cell r="AB327">
            <v>13480400</v>
          </cell>
          <cell r="AC327">
            <v>19119700</v>
          </cell>
          <cell r="AD327">
            <v>13480400</v>
          </cell>
          <cell r="AE327">
            <v>19119700</v>
          </cell>
        </row>
        <row r="328">
          <cell r="B328">
            <v>110004</v>
          </cell>
          <cell r="C328" t="str">
            <v>Wip Gsc</v>
          </cell>
          <cell r="D328" t="str">
            <v>November</v>
          </cell>
          <cell r="F328">
            <v>110004</v>
          </cell>
          <cell r="G328" t="str">
            <v>November</v>
          </cell>
          <cell r="J328">
            <v>0</v>
          </cell>
          <cell r="K328">
            <v>24170500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26787000</v>
          </cell>
          <cell r="AA328">
            <v>0</v>
          </cell>
          <cell r="AB328">
            <v>26787000</v>
          </cell>
          <cell r="AC328">
            <v>24170500</v>
          </cell>
          <cell r="AD328">
            <v>26787000</v>
          </cell>
          <cell r="AE328">
            <v>24170500</v>
          </cell>
        </row>
        <row r="329">
          <cell r="B329">
            <v>110004</v>
          </cell>
          <cell r="C329" t="str">
            <v>Wip Gsc</v>
          </cell>
          <cell r="D329" t="str">
            <v>Desember</v>
          </cell>
          <cell r="F329">
            <v>110004</v>
          </cell>
          <cell r="G329" t="str">
            <v>Desember</v>
          </cell>
          <cell r="J329">
            <v>0</v>
          </cell>
          <cell r="K329">
            <v>15801000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17472000</v>
          </cell>
          <cell r="AA329">
            <v>0</v>
          </cell>
          <cell r="AB329">
            <v>17472000</v>
          </cell>
          <cell r="AC329">
            <v>15801000</v>
          </cell>
          <cell r="AD329">
            <v>17472000</v>
          </cell>
          <cell r="AE329">
            <v>15801000</v>
          </cell>
        </row>
        <row r="332">
          <cell r="B332">
            <v>150000</v>
          </cell>
          <cell r="E332">
            <v>150</v>
          </cell>
          <cell r="F332">
            <v>150000</v>
          </cell>
          <cell r="G332" t="str">
            <v>AKTIVA TETAP</v>
          </cell>
          <cell r="H332">
            <v>0</v>
          </cell>
          <cell r="I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B333">
            <v>150151</v>
          </cell>
          <cell r="C333" t="str">
            <v>Tanah</v>
          </cell>
          <cell r="E333">
            <v>150.15100000000001</v>
          </cell>
          <cell r="F333">
            <v>150151</v>
          </cell>
          <cell r="G333" t="str">
            <v>Tanah</v>
          </cell>
          <cell r="H333">
            <v>4975254868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4975254868</v>
          </cell>
          <cell r="AC333">
            <v>0</v>
          </cell>
          <cell r="AD333">
            <v>0</v>
          </cell>
          <cell r="AE333">
            <v>0</v>
          </cell>
        </row>
        <row r="334">
          <cell r="B334">
            <v>150151</v>
          </cell>
          <cell r="C334" t="str">
            <v>Tanah</v>
          </cell>
          <cell r="D334" t="str">
            <v>Januari</v>
          </cell>
          <cell r="F334">
            <v>150151</v>
          </cell>
          <cell r="G334" t="str">
            <v>Januari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</row>
        <row r="335">
          <cell r="B335">
            <v>150151</v>
          </cell>
          <cell r="C335" t="str">
            <v>Tanah</v>
          </cell>
          <cell r="D335" t="str">
            <v>Februari</v>
          </cell>
          <cell r="F335">
            <v>150151</v>
          </cell>
          <cell r="G335" t="str">
            <v>Februari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</row>
        <row r="336">
          <cell r="B336">
            <v>150151</v>
          </cell>
          <cell r="C336" t="str">
            <v>Tanah</v>
          </cell>
          <cell r="D336" t="str">
            <v>Maret</v>
          </cell>
          <cell r="F336">
            <v>150151</v>
          </cell>
          <cell r="G336" t="str">
            <v>Maret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B337">
            <v>150151</v>
          </cell>
          <cell r="C337" t="str">
            <v>Tanah</v>
          </cell>
          <cell r="D337" t="str">
            <v>April</v>
          </cell>
          <cell r="F337">
            <v>150151</v>
          </cell>
          <cell r="G337" t="str">
            <v>April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</row>
        <row r="338">
          <cell r="B338">
            <v>150151</v>
          </cell>
          <cell r="C338" t="str">
            <v>Tanah</v>
          </cell>
          <cell r="D338" t="str">
            <v>Mei</v>
          </cell>
          <cell r="F338">
            <v>150151</v>
          </cell>
          <cell r="G338" t="str">
            <v>Mei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</row>
        <row r="339">
          <cell r="B339">
            <v>150151</v>
          </cell>
          <cell r="C339" t="str">
            <v>Tanah</v>
          </cell>
          <cell r="D339" t="str">
            <v>Juni</v>
          </cell>
          <cell r="F339">
            <v>150151</v>
          </cell>
          <cell r="G339" t="str">
            <v>Juni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</row>
        <row r="340">
          <cell r="B340">
            <v>150151</v>
          </cell>
          <cell r="C340" t="str">
            <v>Tanah</v>
          </cell>
          <cell r="D340" t="str">
            <v>Juli</v>
          </cell>
          <cell r="F340">
            <v>150151</v>
          </cell>
          <cell r="G340" t="str">
            <v>Juli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</row>
        <row r="341">
          <cell r="B341">
            <v>150151</v>
          </cell>
          <cell r="C341" t="str">
            <v>Tanah</v>
          </cell>
          <cell r="D341" t="str">
            <v>Agustus</v>
          </cell>
          <cell r="F341">
            <v>150151</v>
          </cell>
          <cell r="G341" t="str">
            <v>Agustus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</row>
        <row r="342">
          <cell r="B342">
            <v>150151</v>
          </cell>
          <cell r="C342" t="str">
            <v>Tanah</v>
          </cell>
          <cell r="D342" t="str">
            <v>September</v>
          </cell>
          <cell r="F342">
            <v>150151</v>
          </cell>
          <cell r="G342" t="str">
            <v>September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</row>
        <row r="343">
          <cell r="B343">
            <v>150151</v>
          </cell>
          <cell r="C343" t="str">
            <v>Tanah</v>
          </cell>
          <cell r="D343" t="str">
            <v>Oktober</v>
          </cell>
          <cell r="F343">
            <v>150151</v>
          </cell>
          <cell r="G343" t="str">
            <v>Oktober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</row>
        <row r="344">
          <cell r="B344">
            <v>150151</v>
          </cell>
          <cell r="C344" t="str">
            <v>Tanah</v>
          </cell>
          <cell r="D344" t="str">
            <v>November</v>
          </cell>
          <cell r="F344">
            <v>150151</v>
          </cell>
          <cell r="G344" t="str">
            <v>November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</row>
        <row r="345">
          <cell r="B345">
            <v>150151</v>
          </cell>
          <cell r="C345" t="str">
            <v>Tanah</v>
          </cell>
          <cell r="D345" t="str">
            <v>Desember</v>
          </cell>
          <cell r="F345">
            <v>150151</v>
          </cell>
          <cell r="G345" t="str">
            <v>Desember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</row>
        <row r="347">
          <cell r="B347">
            <v>150152</v>
          </cell>
          <cell r="C347" t="str">
            <v>Bangunan</v>
          </cell>
          <cell r="E347">
            <v>150.15199999999999</v>
          </cell>
          <cell r="F347">
            <v>150152</v>
          </cell>
          <cell r="G347" t="str">
            <v>Bangunan</v>
          </cell>
          <cell r="H347">
            <v>2231331000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2231331000</v>
          </cell>
          <cell r="AC347">
            <v>0</v>
          </cell>
          <cell r="AD347">
            <v>0</v>
          </cell>
          <cell r="AE347">
            <v>0</v>
          </cell>
        </row>
        <row r="348">
          <cell r="B348">
            <v>150152</v>
          </cell>
          <cell r="C348" t="str">
            <v>Bangunan</v>
          </cell>
          <cell r="D348" t="str">
            <v>Januari</v>
          </cell>
          <cell r="F348">
            <v>150152</v>
          </cell>
          <cell r="G348" t="str">
            <v>Januari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</row>
        <row r="349">
          <cell r="B349">
            <v>150152</v>
          </cell>
          <cell r="C349" t="str">
            <v>Bangunan</v>
          </cell>
          <cell r="D349" t="str">
            <v>Februari</v>
          </cell>
          <cell r="F349">
            <v>150152</v>
          </cell>
          <cell r="G349" t="str">
            <v>Februari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</row>
        <row r="350">
          <cell r="B350">
            <v>150152</v>
          </cell>
          <cell r="C350" t="str">
            <v>Bangunan</v>
          </cell>
          <cell r="D350" t="str">
            <v>Maret</v>
          </cell>
          <cell r="F350">
            <v>150152</v>
          </cell>
          <cell r="G350" t="str">
            <v>Maret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</row>
        <row r="351">
          <cell r="B351">
            <v>150152</v>
          </cell>
          <cell r="C351" t="str">
            <v>Bangunan</v>
          </cell>
          <cell r="D351" t="str">
            <v>April</v>
          </cell>
          <cell r="F351">
            <v>150152</v>
          </cell>
          <cell r="G351" t="str">
            <v>April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</row>
        <row r="352">
          <cell r="B352">
            <v>150152</v>
          </cell>
          <cell r="C352" t="str">
            <v>Bangunan</v>
          </cell>
          <cell r="D352" t="str">
            <v>Mei</v>
          </cell>
          <cell r="F352">
            <v>150152</v>
          </cell>
          <cell r="G352" t="str">
            <v>Mei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</row>
        <row r="353">
          <cell r="B353">
            <v>150152</v>
          </cell>
          <cell r="C353" t="str">
            <v>Bangunan</v>
          </cell>
          <cell r="D353" t="str">
            <v>Juni</v>
          </cell>
          <cell r="F353">
            <v>150152</v>
          </cell>
          <cell r="G353" t="str">
            <v>Juni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</row>
        <row r="354">
          <cell r="B354">
            <v>150152</v>
          </cell>
          <cell r="C354" t="str">
            <v>Bangunan</v>
          </cell>
          <cell r="D354" t="str">
            <v>Juli</v>
          </cell>
          <cell r="F354">
            <v>150152</v>
          </cell>
          <cell r="G354" t="str">
            <v>Juli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</row>
        <row r="355">
          <cell r="B355">
            <v>150152</v>
          </cell>
          <cell r="C355" t="str">
            <v>Bangunan</v>
          </cell>
          <cell r="D355" t="str">
            <v>Agustus</v>
          </cell>
          <cell r="F355">
            <v>150152</v>
          </cell>
          <cell r="G355" t="str">
            <v>Agustus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</row>
        <row r="356">
          <cell r="B356">
            <v>150152</v>
          </cell>
          <cell r="C356" t="str">
            <v>Bangunan</v>
          </cell>
          <cell r="D356" t="str">
            <v>September</v>
          </cell>
          <cell r="F356">
            <v>150152</v>
          </cell>
          <cell r="G356" t="str">
            <v>September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</row>
        <row r="357">
          <cell r="B357">
            <v>150152</v>
          </cell>
          <cell r="C357" t="str">
            <v>Bangunan</v>
          </cell>
          <cell r="D357" t="str">
            <v>Oktober</v>
          </cell>
          <cell r="F357">
            <v>150152</v>
          </cell>
          <cell r="G357" t="str">
            <v>Oktober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</row>
        <row r="358">
          <cell r="B358">
            <v>150152</v>
          </cell>
          <cell r="C358" t="str">
            <v>Bangunan</v>
          </cell>
          <cell r="D358" t="str">
            <v>November</v>
          </cell>
          <cell r="F358">
            <v>150152</v>
          </cell>
          <cell r="G358" t="str">
            <v>November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</row>
        <row r="359">
          <cell r="B359">
            <v>150152</v>
          </cell>
          <cell r="C359" t="str">
            <v>Bangunan</v>
          </cell>
          <cell r="D359" t="str">
            <v>Desember</v>
          </cell>
          <cell r="F359">
            <v>150152</v>
          </cell>
          <cell r="G359" t="str">
            <v>Desember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</row>
        <row r="361">
          <cell r="B361">
            <v>150153</v>
          </cell>
          <cell r="C361" t="str">
            <v>Implasment</v>
          </cell>
          <cell r="E361">
            <v>150.15299999999999</v>
          </cell>
          <cell r="F361">
            <v>150153</v>
          </cell>
          <cell r="G361" t="str">
            <v>Implasment</v>
          </cell>
          <cell r="H361">
            <v>336100366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336100366</v>
          </cell>
          <cell r="AC361">
            <v>0</v>
          </cell>
          <cell r="AD361">
            <v>0</v>
          </cell>
          <cell r="AE361">
            <v>0</v>
          </cell>
        </row>
        <row r="362">
          <cell r="B362">
            <v>150153</v>
          </cell>
          <cell r="C362" t="str">
            <v>Implasment</v>
          </cell>
          <cell r="D362" t="str">
            <v>Januari</v>
          </cell>
          <cell r="F362">
            <v>150153</v>
          </cell>
          <cell r="G362" t="str">
            <v>Januari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</row>
        <row r="363">
          <cell r="B363">
            <v>150153</v>
          </cell>
          <cell r="C363" t="str">
            <v>Implasment</v>
          </cell>
          <cell r="D363" t="str">
            <v>Februari</v>
          </cell>
          <cell r="F363">
            <v>150153</v>
          </cell>
          <cell r="G363" t="str">
            <v>Februari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</row>
        <row r="364">
          <cell r="B364">
            <v>150153</v>
          </cell>
          <cell r="C364" t="str">
            <v>Implasment</v>
          </cell>
          <cell r="D364" t="str">
            <v>Maret</v>
          </cell>
          <cell r="F364">
            <v>150153</v>
          </cell>
          <cell r="G364" t="str">
            <v>Maret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</row>
        <row r="365">
          <cell r="B365">
            <v>150153</v>
          </cell>
          <cell r="C365" t="str">
            <v>Implasment</v>
          </cell>
          <cell r="D365" t="str">
            <v>April</v>
          </cell>
          <cell r="F365">
            <v>150153</v>
          </cell>
          <cell r="G365" t="str">
            <v>April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</row>
        <row r="366">
          <cell r="B366">
            <v>150153</v>
          </cell>
          <cell r="C366" t="str">
            <v>Implasment</v>
          </cell>
          <cell r="D366" t="str">
            <v>Mei</v>
          </cell>
          <cell r="F366">
            <v>150153</v>
          </cell>
          <cell r="G366" t="str">
            <v>Mei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</row>
        <row r="367">
          <cell r="B367">
            <v>150153</v>
          </cell>
          <cell r="C367" t="str">
            <v>Implasment</v>
          </cell>
          <cell r="D367" t="str">
            <v>Juni</v>
          </cell>
          <cell r="F367">
            <v>150153</v>
          </cell>
          <cell r="G367" t="str">
            <v>Juni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</row>
        <row r="368">
          <cell r="B368">
            <v>150153</v>
          </cell>
          <cell r="C368" t="str">
            <v>Implasment</v>
          </cell>
          <cell r="D368" t="str">
            <v>Juli</v>
          </cell>
          <cell r="F368">
            <v>150153</v>
          </cell>
          <cell r="G368" t="str">
            <v>Juli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</row>
        <row r="369">
          <cell r="B369">
            <v>150153</v>
          </cell>
          <cell r="C369" t="str">
            <v>Implasment</v>
          </cell>
          <cell r="D369" t="str">
            <v>Agustus</v>
          </cell>
          <cell r="F369">
            <v>150153</v>
          </cell>
          <cell r="G369" t="str">
            <v>Agustus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</row>
        <row r="370">
          <cell r="B370">
            <v>150153</v>
          </cell>
          <cell r="C370" t="str">
            <v>Implasment</v>
          </cell>
          <cell r="D370" t="str">
            <v>September</v>
          </cell>
          <cell r="F370">
            <v>150153</v>
          </cell>
          <cell r="G370" t="str">
            <v>September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</row>
        <row r="371">
          <cell r="B371">
            <v>150153</v>
          </cell>
          <cell r="C371" t="str">
            <v>Implasment</v>
          </cell>
          <cell r="D371" t="str">
            <v>Oktober</v>
          </cell>
          <cell r="F371">
            <v>150153</v>
          </cell>
          <cell r="G371" t="str">
            <v>Oktober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</row>
        <row r="372">
          <cell r="B372">
            <v>150153</v>
          </cell>
          <cell r="C372" t="str">
            <v>Implasment</v>
          </cell>
          <cell r="D372" t="str">
            <v>November</v>
          </cell>
          <cell r="F372">
            <v>150153</v>
          </cell>
          <cell r="G372" t="str">
            <v>November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</row>
        <row r="373">
          <cell r="B373">
            <v>150153</v>
          </cell>
          <cell r="C373" t="str">
            <v>Implasment</v>
          </cell>
          <cell r="D373" t="str">
            <v>Desember</v>
          </cell>
          <cell r="F373">
            <v>150153</v>
          </cell>
          <cell r="G373" t="str">
            <v>Desember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</row>
        <row r="375">
          <cell r="B375">
            <v>150154</v>
          </cell>
          <cell r="C375" t="str">
            <v>Peralatan Body Repair</v>
          </cell>
          <cell r="E375">
            <v>150.154</v>
          </cell>
          <cell r="F375">
            <v>150154</v>
          </cell>
          <cell r="G375" t="str">
            <v>Peralatan Body Repair</v>
          </cell>
          <cell r="H375">
            <v>13805015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9045850</v>
          </cell>
          <cell r="AA375">
            <v>0</v>
          </cell>
          <cell r="AB375">
            <v>22850865</v>
          </cell>
          <cell r="AC375">
            <v>0</v>
          </cell>
          <cell r="AD375">
            <v>9045850</v>
          </cell>
          <cell r="AE375">
            <v>0</v>
          </cell>
        </row>
        <row r="376">
          <cell r="B376">
            <v>150154</v>
          </cell>
          <cell r="C376" t="str">
            <v>Peralatan Body Repair</v>
          </cell>
          <cell r="D376" t="str">
            <v>Januari</v>
          </cell>
          <cell r="F376">
            <v>150154</v>
          </cell>
          <cell r="G376" t="str">
            <v>Januari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</row>
        <row r="377">
          <cell r="B377">
            <v>150154</v>
          </cell>
          <cell r="C377" t="str">
            <v>Peralatan Body Repair</v>
          </cell>
          <cell r="D377" t="str">
            <v>Februari</v>
          </cell>
          <cell r="F377">
            <v>150154</v>
          </cell>
          <cell r="G377" t="str">
            <v>Februari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</row>
        <row r="378">
          <cell r="B378">
            <v>150154</v>
          </cell>
          <cell r="C378" t="str">
            <v>Peralatan Body Repair</v>
          </cell>
          <cell r="D378" t="str">
            <v>Maret</v>
          </cell>
          <cell r="F378">
            <v>150154</v>
          </cell>
          <cell r="G378" t="str">
            <v>Maret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</row>
        <row r="379">
          <cell r="B379">
            <v>150154</v>
          </cell>
          <cell r="C379" t="str">
            <v>Peralatan Body Repair</v>
          </cell>
          <cell r="D379" t="str">
            <v>April</v>
          </cell>
          <cell r="F379">
            <v>150154</v>
          </cell>
          <cell r="G379" t="str">
            <v>April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6845850</v>
          </cell>
          <cell r="AA379">
            <v>0</v>
          </cell>
          <cell r="AB379">
            <v>6845850</v>
          </cell>
          <cell r="AC379">
            <v>0</v>
          </cell>
          <cell r="AD379">
            <v>6845850</v>
          </cell>
          <cell r="AE379">
            <v>0</v>
          </cell>
        </row>
        <row r="380">
          <cell r="B380">
            <v>150154</v>
          </cell>
          <cell r="C380" t="str">
            <v>Peralatan Body Repair</v>
          </cell>
          <cell r="D380" t="str">
            <v>Mei</v>
          </cell>
          <cell r="F380">
            <v>150154</v>
          </cell>
          <cell r="G380" t="str">
            <v>Mei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</row>
        <row r="381">
          <cell r="B381">
            <v>150154</v>
          </cell>
          <cell r="C381" t="str">
            <v>Peralatan Body Repair</v>
          </cell>
          <cell r="D381" t="str">
            <v>Juni</v>
          </cell>
          <cell r="F381">
            <v>150154</v>
          </cell>
          <cell r="G381" t="str">
            <v>Juni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</row>
        <row r="382">
          <cell r="B382">
            <v>150154</v>
          </cell>
          <cell r="C382" t="str">
            <v>Peralatan Body Repair</v>
          </cell>
          <cell r="D382" t="str">
            <v>Juli</v>
          </cell>
          <cell r="F382">
            <v>150154</v>
          </cell>
          <cell r="G382" t="str">
            <v>Juli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2200000</v>
          </cell>
          <cell r="AA382">
            <v>0</v>
          </cell>
          <cell r="AB382">
            <v>2200000</v>
          </cell>
          <cell r="AC382">
            <v>0</v>
          </cell>
          <cell r="AD382">
            <v>2200000</v>
          </cell>
          <cell r="AE382">
            <v>0</v>
          </cell>
        </row>
        <row r="383">
          <cell r="B383">
            <v>150154</v>
          </cell>
          <cell r="C383" t="str">
            <v>Peralatan Body Repair</v>
          </cell>
          <cell r="D383" t="str">
            <v>Agustus</v>
          </cell>
          <cell r="F383">
            <v>150154</v>
          </cell>
          <cell r="G383" t="str">
            <v>Agustus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</row>
        <row r="384">
          <cell r="B384">
            <v>150154</v>
          </cell>
          <cell r="C384" t="str">
            <v>Peralatan Body Repair</v>
          </cell>
          <cell r="D384" t="str">
            <v>September</v>
          </cell>
          <cell r="F384">
            <v>150154</v>
          </cell>
          <cell r="G384" t="str">
            <v>September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</row>
        <row r="385">
          <cell r="B385">
            <v>150154</v>
          </cell>
          <cell r="C385" t="str">
            <v>Peralatan Body Repair</v>
          </cell>
          <cell r="D385" t="str">
            <v>Oktober</v>
          </cell>
          <cell r="F385">
            <v>150154</v>
          </cell>
          <cell r="G385" t="str">
            <v>Oktober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</row>
        <row r="386">
          <cell r="B386">
            <v>150154</v>
          </cell>
          <cell r="C386" t="str">
            <v>Peralatan Body Repair</v>
          </cell>
          <cell r="D386" t="str">
            <v>November</v>
          </cell>
          <cell r="F386">
            <v>150154</v>
          </cell>
          <cell r="G386" t="str">
            <v>November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</row>
        <row r="387">
          <cell r="B387">
            <v>150154</v>
          </cell>
          <cell r="C387" t="str">
            <v>Peralatan Body Repair</v>
          </cell>
          <cell r="D387" t="str">
            <v>Desember</v>
          </cell>
          <cell r="F387">
            <v>150154</v>
          </cell>
          <cell r="G387" t="str">
            <v>Desember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</row>
        <row r="388">
          <cell r="B388">
            <v>150155</v>
          </cell>
          <cell r="C388" t="str">
            <v>Peralatan General Repair</v>
          </cell>
          <cell r="E388">
            <v>150.155</v>
          </cell>
          <cell r="F388">
            <v>150155</v>
          </cell>
          <cell r="G388" t="str">
            <v>Peralatan General Repair</v>
          </cell>
          <cell r="H388">
            <v>9769514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9769514</v>
          </cell>
          <cell r="AC388">
            <v>0</v>
          </cell>
          <cell r="AD388">
            <v>0</v>
          </cell>
          <cell r="AE388">
            <v>0</v>
          </cell>
        </row>
        <row r="389">
          <cell r="B389">
            <v>150155</v>
          </cell>
          <cell r="C389" t="str">
            <v>Peralatan General Repair</v>
          </cell>
          <cell r="D389" t="str">
            <v>Januari</v>
          </cell>
          <cell r="F389">
            <v>150155</v>
          </cell>
          <cell r="G389" t="str">
            <v>Januari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</row>
        <row r="390">
          <cell r="B390">
            <v>150155</v>
          </cell>
          <cell r="C390" t="str">
            <v>Peralatan General Repair</v>
          </cell>
          <cell r="D390" t="str">
            <v>Februari</v>
          </cell>
          <cell r="F390">
            <v>150155</v>
          </cell>
          <cell r="G390" t="str">
            <v>Februari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</row>
        <row r="391">
          <cell r="B391">
            <v>150155</v>
          </cell>
          <cell r="C391" t="str">
            <v>Peralatan General Repair</v>
          </cell>
          <cell r="D391" t="str">
            <v>Maret</v>
          </cell>
          <cell r="F391">
            <v>150155</v>
          </cell>
          <cell r="G391" t="str">
            <v>Maret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</row>
        <row r="392">
          <cell r="B392">
            <v>150155</v>
          </cell>
          <cell r="C392" t="str">
            <v>Peralatan General Repair</v>
          </cell>
          <cell r="D392" t="str">
            <v>April</v>
          </cell>
          <cell r="F392">
            <v>150155</v>
          </cell>
          <cell r="G392" t="str">
            <v>April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</row>
        <row r="393">
          <cell r="B393">
            <v>150155</v>
          </cell>
          <cell r="C393" t="str">
            <v>Peralatan General Repair</v>
          </cell>
          <cell r="D393" t="str">
            <v>Mei</v>
          </cell>
          <cell r="F393">
            <v>150155</v>
          </cell>
          <cell r="G393" t="str">
            <v>Mei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</row>
        <row r="394">
          <cell r="B394">
            <v>150155</v>
          </cell>
          <cell r="C394" t="str">
            <v>Peralatan General Repair</v>
          </cell>
          <cell r="D394" t="str">
            <v>Juni</v>
          </cell>
          <cell r="F394">
            <v>150155</v>
          </cell>
          <cell r="G394" t="str">
            <v>Juni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</row>
        <row r="395">
          <cell r="B395">
            <v>150155</v>
          </cell>
          <cell r="C395" t="str">
            <v>Peralatan General Repair</v>
          </cell>
          <cell r="D395" t="str">
            <v>Juli</v>
          </cell>
          <cell r="F395">
            <v>150155</v>
          </cell>
          <cell r="G395" t="str">
            <v>Juli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</row>
        <row r="396">
          <cell r="B396">
            <v>150155</v>
          </cell>
          <cell r="C396" t="str">
            <v>Peralatan General Repair</v>
          </cell>
          <cell r="D396" t="str">
            <v>Agustus</v>
          </cell>
          <cell r="F396">
            <v>150155</v>
          </cell>
          <cell r="G396" t="str">
            <v>Agustus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</row>
        <row r="397">
          <cell r="B397">
            <v>150155</v>
          </cell>
          <cell r="C397" t="str">
            <v>Peralatan General Repair</v>
          </cell>
          <cell r="D397" t="str">
            <v>September</v>
          </cell>
          <cell r="F397">
            <v>150155</v>
          </cell>
          <cell r="G397" t="str">
            <v>September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</row>
        <row r="398">
          <cell r="B398">
            <v>150155</v>
          </cell>
          <cell r="C398" t="str">
            <v>Peralatan General Repair</v>
          </cell>
          <cell r="D398" t="str">
            <v>Oktober</v>
          </cell>
          <cell r="F398">
            <v>150155</v>
          </cell>
          <cell r="G398" t="str">
            <v>Oktober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</row>
        <row r="399">
          <cell r="B399">
            <v>150155</v>
          </cell>
          <cell r="C399" t="str">
            <v>Peralatan General Repair</v>
          </cell>
          <cell r="D399" t="str">
            <v>November</v>
          </cell>
          <cell r="F399">
            <v>150155</v>
          </cell>
          <cell r="G399" t="str">
            <v>November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</row>
        <row r="400">
          <cell r="B400">
            <v>150155</v>
          </cell>
          <cell r="C400" t="str">
            <v>Peralatan General Repair</v>
          </cell>
          <cell r="D400" t="str">
            <v>Desember</v>
          </cell>
          <cell r="F400">
            <v>150155</v>
          </cell>
          <cell r="G400" t="str">
            <v>Desember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</row>
        <row r="401">
          <cell r="B401">
            <v>150156</v>
          </cell>
          <cell r="C401" t="str">
            <v>Peralatan Sporing</v>
          </cell>
          <cell r="E401">
            <v>150.15600000000001</v>
          </cell>
          <cell r="F401">
            <v>150156</v>
          </cell>
          <cell r="G401" t="str">
            <v>Peralatan Sporing</v>
          </cell>
          <cell r="H401">
            <v>119366297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21878800</v>
          </cell>
          <cell r="AA401">
            <v>0</v>
          </cell>
          <cell r="AB401">
            <v>141245097</v>
          </cell>
          <cell r="AC401">
            <v>0</v>
          </cell>
          <cell r="AD401">
            <v>21878800</v>
          </cell>
          <cell r="AE401">
            <v>0</v>
          </cell>
        </row>
        <row r="402">
          <cell r="B402">
            <v>150156</v>
          </cell>
          <cell r="C402" t="str">
            <v>Peralatan Sporing</v>
          </cell>
          <cell r="D402" t="str">
            <v>Januari</v>
          </cell>
          <cell r="F402">
            <v>150156</v>
          </cell>
          <cell r="G402" t="str">
            <v>Januari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</row>
        <row r="403">
          <cell r="B403">
            <v>150156</v>
          </cell>
          <cell r="C403" t="str">
            <v>Peralatan Sporing</v>
          </cell>
          <cell r="D403" t="str">
            <v>Februari</v>
          </cell>
          <cell r="F403">
            <v>150156</v>
          </cell>
          <cell r="G403" t="str">
            <v>Februari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13000000</v>
          </cell>
          <cell r="AA403">
            <v>0</v>
          </cell>
          <cell r="AB403">
            <v>13000000</v>
          </cell>
          <cell r="AC403">
            <v>0</v>
          </cell>
          <cell r="AD403">
            <v>13000000</v>
          </cell>
          <cell r="AE403">
            <v>0</v>
          </cell>
        </row>
        <row r="404">
          <cell r="B404">
            <v>150156</v>
          </cell>
          <cell r="C404" t="str">
            <v>Peralatan Sporing</v>
          </cell>
          <cell r="D404" t="str">
            <v>Maret</v>
          </cell>
          <cell r="F404">
            <v>150156</v>
          </cell>
          <cell r="G404" t="str">
            <v>Maret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8878800</v>
          </cell>
          <cell r="AA404">
            <v>0</v>
          </cell>
          <cell r="AB404">
            <v>8878800</v>
          </cell>
          <cell r="AC404">
            <v>0</v>
          </cell>
          <cell r="AD404">
            <v>8878800</v>
          </cell>
          <cell r="AE404">
            <v>0</v>
          </cell>
        </row>
        <row r="405">
          <cell r="B405">
            <v>150156</v>
          </cell>
          <cell r="C405" t="str">
            <v>Peralatan Sporing</v>
          </cell>
          <cell r="D405" t="str">
            <v>April</v>
          </cell>
          <cell r="F405">
            <v>150156</v>
          </cell>
          <cell r="G405" t="str">
            <v>April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</row>
        <row r="406">
          <cell r="B406">
            <v>150156</v>
          </cell>
          <cell r="C406" t="str">
            <v>Peralatan Sporing</v>
          </cell>
          <cell r="D406" t="str">
            <v>Mei</v>
          </cell>
          <cell r="F406">
            <v>150156</v>
          </cell>
          <cell r="G406" t="str">
            <v>Mei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B407">
            <v>150156</v>
          </cell>
          <cell r="C407" t="str">
            <v>Peralatan Sporing</v>
          </cell>
          <cell r="D407" t="str">
            <v>Juni</v>
          </cell>
          <cell r="F407">
            <v>150156</v>
          </cell>
          <cell r="G407" t="str">
            <v>Juni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B408">
            <v>150156</v>
          </cell>
          <cell r="C408" t="str">
            <v>Peralatan Sporing</v>
          </cell>
          <cell r="D408" t="str">
            <v>Juli</v>
          </cell>
          <cell r="F408">
            <v>150156</v>
          </cell>
          <cell r="G408" t="str">
            <v>Juli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B409">
            <v>150156</v>
          </cell>
          <cell r="C409" t="str">
            <v>Peralatan Sporing</v>
          </cell>
          <cell r="D409" t="str">
            <v>Agustus</v>
          </cell>
          <cell r="F409">
            <v>150156</v>
          </cell>
          <cell r="G409" t="str">
            <v>Agustus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B410">
            <v>150156</v>
          </cell>
          <cell r="C410" t="str">
            <v>Peralatan Sporing</v>
          </cell>
          <cell r="D410" t="str">
            <v>September</v>
          </cell>
          <cell r="F410">
            <v>150156</v>
          </cell>
          <cell r="G410" t="str">
            <v>September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B411">
            <v>150156</v>
          </cell>
          <cell r="C411" t="str">
            <v>Peralatan Sporing</v>
          </cell>
          <cell r="D411" t="str">
            <v>Oktober</v>
          </cell>
          <cell r="F411">
            <v>150156</v>
          </cell>
          <cell r="G411" t="str">
            <v>Oktober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B412">
            <v>150156</v>
          </cell>
          <cell r="C412" t="str">
            <v>Peralatan Sporing</v>
          </cell>
          <cell r="D412" t="str">
            <v>November</v>
          </cell>
          <cell r="F412">
            <v>150156</v>
          </cell>
          <cell r="G412" t="str">
            <v>November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B413">
            <v>150156</v>
          </cell>
          <cell r="C413" t="str">
            <v>Peralatan Sporing</v>
          </cell>
          <cell r="D413" t="str">
            <v>Desember</v>
          </cell>
          <cell r="F413">
            <v>150156</v>
          </cell>
          <cell r="G413" t="str">
            <v>Desember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B414">
            <v>150157</v>
          </cell>
          <cell r="C414" t="str">
            <v>Peralatan AC</v>
          </cell>
          <cell r="E414">
            <v>150.15700000000001</v>
          </cell>
          <cell r="F414">
            <v>150157</v>
          </cell>
          <cell r="G414" t="str">
            <v>Peralatan AC</v>
          </cell>
          <cell r="H414">
            <v>602037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602037</v>
          </cell>
          <cell r="AC414">
            <v>0</v>
          </cell>
          <cell r="AD414">
            <v>0</v>
          </cell>
          <cell r="AE414">
            <v>0</v>
          </cell>
        </row>
        <row r="415">
          <cell r="B415">
            <v>150157</v>
          </cell>
          <cell r="C415" t="str">
            <v>Peralatan AC</v>
          </cell>
          <cell r="D415" t="str">
            <v>Januari</v>
          </cell>
          <cell r="F415">
            <v>150157</v>
          </cell>
          <cell r="G415" t="str">
            <v>Januari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B416">
            <v>150157</v>
          </cell>
          <cell r="C416" t="str">
            <v>Peralatan AC</v>
          </cell>
          <cell r="D416" t="str">
            <v>Februari</v>
          </cell>
          <cell r="F416">
            <v>150157</v>
          </cell>
          <cell r="G416" t="str">
            <v>Februari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B417">
            <v>150157</v>
          </cell>
          <cell r="C417" t="str">
            <v>Peralatan AC</v>
          </cell>
          <cell r="D417" t="str">
            <v>Maret</v>
          </cell>
          <cell r="F417">
            <v>150157</v>
          </cell>
          <cell r="G417" t="str">
            <v>Maret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</row>
        <row r="418">
          <cell r="B418">
            <v>150157</v>
          </cell>
          <cell r="C418" t="str">
            <v>Peralatan AC</v>
          </cell>
          <cell r="D418" t="str">
            <v>April</v>
          </cell>
          <cell r="F418">
            <v>150157</v>
          </cell>
          <cell r="G418" t="str">
            <v>April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B419">
            <v>150157</v>
          </cell>
          <cell r="C419" t="str">
            <v>Peralatan AC</v>
          </cell>
          <cell r="D419" t="str">
            <v>Mei</v>
          </cell>
          <cell r="F419">
            <v>150157</v>
          </cell>
          <cell r="G419" t="str">
            <v>Mei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B420">
            <v>150157</v>
          </cell>
          <cell r="C420" t="str">
            <v>Peralatan AC</v>
          </cell>
          <cell r="D420" t="str">
            <v>Juni</v>
          </cell>
          <cell r="F420">
            <v>150157</v>
          </cell>
          <cell r="G420" t="str">
            <v>Juni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B421">
            <v>150157</v>
          </cell>
          <cell r="C421" t="str">
            <v>Peralatan AC</v>
          </cell>
          <cell r="D421" t="str">
            <v>Juli</v>
          </cell>
          <cell r="F421">
            <v>150157</v>
          </cell>
          <cell r="G421" t="str">
            <v>Juli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B422">
            <v>150157</v>
          </cell>
          <cell r="C422" t="str">
            <v>Peralatan AC</v>
          </cell>
          <cell r="D422" t="str">
            <v>Agustus</v>
          </cell>
          <cell r="F422">
            <v>150157</v>
          </cell>
          <cell r="G422" t="str">
            <v>Agustus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B423">
            <v>150157</v>
          </cell>
          <cell r="C423" t="str">
            <v>Peralatan AC</v>
          </cell>
          <cell r="D423" t="str">
            <v>September</v>
          </cell>
          <cell r="F423">
            <v>150157</v>
          </cell>
          <cell r="G423" t="str">
            <v>September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B424">
            <v>150157</v>
          </cell>
          <cell r="C424" t="str">
            <v>Peralatan AC</v>
          </cell>
          <cell r="D424" t="str">
            <v>Oktober</v>
          </cell>
          <cell r="F424">
            <v>150157</v>
          </cell>
          <cell r="G424" t="str">
            <v>Oktober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B425">
            <v>150157</v>
          </cell>
          <cell r="C425" t="str">
            <v>Peralatan AC</v>
          </cell>
          <cell r="D425" t="str">
            <v>November</v>
          </cell>
          <cell r="F425">
            <v>150157</v>
          </cell>
          <cell r="G425" t="str">
            <v>November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B426">
            <v>150157</v>
          </cell>
          <cell r="C426" t="str">
            <v>Peralatan AC</v>
          </cell>
          <cell r="D426" t="str">
            <v>Desember</v>
          </cell>
          <cell r="F426">
            <v>150157</v>
          </cell>
          <cell r="G426" t="str">
            <v>Desember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B427">
            <v>150158</v>
          </cell>
          <cell r="C427" t="str">
            <v>Peralatan Variasi</v>
          </cell>
          <cell r="E427">
            <v>150.15799999999999</v>
          </cell>
          <cell r="F427">
            <v>150158</v>
          </cell>
          <cell r="G427" t="str">
            <v>Peralatan Variasi</v>
          </cell>
          <cell r="H427">
            <v>553083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553083</v>
          </cell>
          <cell r="AC427">
            <v>0</v>
          </cell>
          <cell r="AD427">
            <v>0</v>
          </cell>
          <cell r="AE427">
            <v>0</v>
          </cell>
        </row>
        <row r="428">
          <cell r="B428">
            <v>150158</v>
          </cell>
          <cell r="C428" t="str">
            <v>Peralatan Variasi</v>
          </cell>
          <cell r="D428" t="str">
            <v>Januari</v>
          </cell>
          <cell r="F428">
            <v>150158</v>
          </cell>
          <cell r="G428" t="str">
            <v>Januari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B429">
            <v>150158</v>
          </cell>
          <cell r="C429" t="str">
            <v>Peralatan Variasi</v>
          </cell>
          <cell r="D429" t="str">
            <v>Februari</v>
          </cell>
          <cell r="F429">
            <v>150158</v>
          </cell>
          <cell r="G429" t="str">
            <v>Februari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</row>
        <row r="430">
          <cell r="B430">
            <v>150158</v>
          </cell>
          <cell r="C430" t="str">
            <v>Peralatan Variasi</v>
          </cell>
          <cell r="D430" t="str">
            <v>Maret</v>
          </cell>
          <cell r="F430">
            <v>150158</v>
          </cell>
          <cell r="G430" t="str">
            <v>Maret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B431">
            <v>150158</v>
          </cell>
          <cell r="C431" t="str">
            <v>Peralatan Variasi</v>
          </cell>
          <cell r="D431" t="str">
            <v>April</v>
          </cell>
          <cell r="F431">
            <v>150158</v>
          </cell>
          <cell r="G431" t="str">
            <v>April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B432">
            <v>150158</v>
          </cell>
          <cell r="C432" t="str">
            <v>Peralatan Variasi</v>
          </cell>
          <cell r="D432" t="str">
            <v>Mei</v>
          </cell>
          <cell r="F432">
            <v>150158</v>
          </cell>
          <cell r="G432" t="str">
            <v>Mei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B433">
            <v>150158</v>
          </cell>
          <cell r="C433" t="str">
            <v>Peralatan Variasi</v>
          </cell>
          <cell r="D433" t="str">
            <v>Juni</v>
          </cell>
          <cell r="F433">
            <v>150158</v>
          </cell>
          <cell r="G433" t="str">
            <v>Juni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B434">
            <v>150158</v>
          </cell>
          <cell r="C434" t="str">
            <v>Peralatan Variasi</v>
          </cell>
          <cell r="D434" t="str">
            <v>Juli</v>
          </cell>
          <cell r="F434">
            <v>150158</v>
          </cell>
          <cell r="G434" t="str">
            <v>Juli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B435">
            <v>150158</v>
          </cell>
          <cell r="C435" t="str">
            <v>Peralatan Variasi</v>
          </cell>
          <cell r="D435" t="str">
            <v>Agustus</v>
          </cell>
          <cell r="F435">
            <v>150158</v>
          </cell>
          <cell r="G435" t="str">
            <v>Agustus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B436">
            <v>150158</v>
          </cell>
          <cell r="C436" t="str">
            <v>Peralatan Variasi</v>
          </cell>
          <cell r="D436" t="str">
            <v>September</v>
          </cell>
          <cell r="F436">
            <v>150158</v>
          </cell>
          <cell r="G436" t="str">
            <v>September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B437">
            <v>150158</v>
          </cell>
          <cell r="C437" t="str">
            <v>Peralatan Variasi</v>
          </cell>
          <cell r="D437" t="str">
            <v>Oktober</v>
          </cell>
          <cell r="F437">
            <v>150158</v>
          </cell>
          <cell r="G437" t="str">
            <v>Oktober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B438">
            <v>150158</v>
          </cell>
          <cell r="C438" t="str">
            <v>Peralatan Variasi</v>
          </cell>
          <cell r="D438" t="str">
            <v>November</v>
          </cell>
          <cell r="F438">
            <v>150158</v>
          </cell>
          <cell r="G438" t="str">
            <v>November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B439">
            <v>150158</v>
          </cell>
          <cell r="C439" t="str">
            <v>Peralatan Variasi</v>
          </cell>
          <cell r="D439" t="str">
            <v>Desember</v>
          </cell>
          <cell r="F439">
            <v>150158</v>
          </cell>
          <cell r="G439" t="str">
            <v>Desember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B440">
            <v>150159</v>
          </cell>
          <cell r="C440" t="str">
            <v>Peralatan Ganti oli</v>
          </cell>
          <cell r="E440">
            <v>150.15899999999999</v>
          </cell>
          <cell r="F440">
            <v>150159</v>
          </cell>
          <cell r="G440" t="str">
            <v>Peralatan Ganti oli</v>
          </cell>
          <cell r="H440">
            <v>135000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135000</v>
          </cell>
          <cell r="AC440">
            <v>0</v>
          </cell>
          <cell r="AD440">
            <v>0</v>
          </cell>
          <cell r="AE440">
            <v>0</v>
          </cell>
        </row>
        <row r="441">
          <cell r="B441">
            <v>150159</v>
          </cell>
          <cell r="C441" t="str">
            <v>Peralatan Ganti oli</v>
          </cell>
          <cell r="D441" t="str">
            <v>Januari</v>
          </cell>
          <cell r="F441">
            <v>150159</v>
          </cell>
          <cell r="G441" t="str">
            <v>Januari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B442">
            <v>150159</v>
          </cell>
          <cell r="C442" t="str">
            <v>Peralatan Ganti oli</v>
          </cell>
          <cell r="D442" t="str">
            <v>Februari</v>
          </cell>
          <cell r="F442">
            <v>150159</v>
          </cell>
          <cell r="G442" t="str">
            <v>Februari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B443">
            <v>150159</v>
          </cell>
          <cell r="C443" t="str">
            <v>Peralatan Ganti oli</v>
          </cell>
          <cell r="D443" t="str">
            <v>Maret</v>
          </cell>
          <cell r="F443">
            <v>150159</v>
          </cell>
          <cell r="G443" t="str">
            <v>Maret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B444">
            <v>150159</v>
          </cell>
          <cell r="C444" t="str">
            <v>Peralatan Ganti oli</v>
          </cell>
          <cell r="D444" t="str">
            <v>April</v>
          </cell>
          <cell r="F444">
            <v>150159</v>
          </cell>
          <cell r="G444" t="str">
            <v>April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B445">
            <v>150159</v>
          </cell>
          <cell r="C445" t="str">
            <v>Peralatan Ganti oli</v>
          </cell>
          <cell r="D445" t="str">
            <v>Mei</v>
          </cell>
          <cell r="F445">
            <v>150159</v>
          </cell>
          <cell r="G445" t="str">
            <v>Mei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</row>
        <row r="446">
          <cell r="B446">
            <v>150159</v>
          </cell>
          <cell r="C446" t="str">
            <v>Peralatan Ganti oli</v>
          </cell>
          <cell r="D446" t="str">
            <v>Juni</v>
          </cell>
          <cell r="F446">
            <v>150159</v>
          </cell>
          <cell r="G446" t="str">
            <v>Juni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</row>
        <row r="447">
          <cell r="B447">
            <v>150159</v>
          </cell>
          <cell r="C447" t="str">
            <v>Peralatan Ganti oli</v>
          </cell>
          <cell r="D447" t="str">
            <v>Juli</v>
          </cell>
          <cell r="F447">
            <v>150159</v>
          </cell>
          <cell r="G447" t="str">
            <v>Juli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</row>
        <row r="448">
          <cell r="B448">
            <v>150159</v>
          </cell>
          <cell r="C448" t="str">
            <v>Peralatan Ganti oli</v>
          </cell>
          <cell r="D448" t="str">
            <v>Agustus</v>
          </cell>
          <cell r="F448">
            <v>150159</v>
          </cell>
          <cell r="G448" t="str">
            <v>Agustus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</row>
        <row r="449">
          <cell r="B449">
            <v>150159</v>
          </cell>
          <cell r="C449" t="str">
            <v>Peralatan Ganti oli</v>
          </cell>
          <cell r="D449" t="str">
            <v>September</v>
          </cell>
          <cell r="F449">
            <v>150159</v>
          </cell>
          <cell r="G449" t="str">
            <v>September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</row>
        <row r="450">
          <cell r="B450">
            <v>150159</v>
          </cell>
          <cell r="C450" t="str">
            <v>Peralatan Ganti oli</v>
          </cell>
          <cell r="D450" t="str">
            <v>Oktober</v>
          </cell>
          <cell r="F450">
            <v>150159</v>
          </cell>
          <cell r="G450" t="str">
            <v>Oktober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</row>
        <row r="451">
          <cell r="B451">
            <v>150159</v>
          </cell>
          <cell r="C451" t="str">
            <v>Peralatan Ganti oli</v>
          </cell>
          <cell r="D451" t="str">
            <v>November</v>
          </cell>
          <cell r="F451">
            <v>150159</v>
          </cell>
          <cell r="G451" t="str">
            <v>November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</row>
        <row r="452">
          <cell r="B452">
            <v>150159</v>
          </cell>
          <cell r="C452" t="str">
            <v>Peralatan Ganti oli</v>
          </cell>
          <cell r="D452" t="str">
            <v>Desember</v>
          </cell>
          <cell r="F452">
            <v>150159</v>
          </cell>
          <cell r="G452" t="str">
            <v>Desember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</row>
        <row r="453">
          <cell r="B453">
            <v>150160</v>
          </cell>
          <cell r="C453" t="str">
            <v>Peralatan Cucian</v>
          </cell>
          <cell r="E453">
            <v>150.16</v>
          </cell>
          <cell r="F453">
            <v>150160</v>
          </cell>
          <cell r="G453" t="str">
            <v>Peralatan Cucian</v>
          </cell>
          <cell r="H453">
            <v>4592500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4592500</v>
          </cell>
          <cell r="AC453">
            <v>0</v>
          </cell>
          <cell r="AD453">
            <v>0</v>
          </cell>
          <cell r="AE453">
            <v>0</v>
          </cell>
        </row>
        <row r="454">
          <cell r="B454">
            <v>150160</v>
          </cell>
          <cell r="C454" t="str">
            <v>Peralatan Cucian</v>
          </cell>
          <cell r="D454" t="str">
            <v>Januari</v>
          </cell>
          <cell r="F454">
            <v>150160</v>
          </cell>
          <cell r="G454" t="str">
            <v>Januari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</row>
        <row r="455">
          <cell r="B455">
            <v>150160</v>
          </cell>
          <cell r="C455" t="str">
            <v>Peralatan Cucian</v>
          </cell>
          <cell r="D455" t="str">
            <v>Februari</v>
          </cell>
          <cell r="F455">
            <v>150160</v>
          </cell>
          <cell r="G455" t="str">
            <v>Februari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</row>
        <row r="456">
          <cell r="B456">
            <v>150160</v>
          </cell>
          <cell r="C456" t="str">
            <v>Peralatan Cucian</v>
          </cell>
          <cell r="D456" t="str">
            <v>Maret</v>
          </cell>
          <cell r="F456">
            <v>150160</v>
          </cell>
          <cell r="G456" t="str">
            <v>Maret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</row>
        <row r="457">
          <cell r="B457">
            <v>150160</v>
          </cell>
          <cell r="C457" t="str">
            <v>Peralatan Cucian</v>
          </cell>
          <cell r="D457" t="str">
            <v>April</v>
          </cell>
          <cell r="F457">
            <v>150160</v>
          </cell>
          <cell r="G457" t="str">
            <v>April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</row>
        <row r="458">
          <cell r="B458">
            <v>150160</v>
          </cell>
          <cell r="C458" t="str">
            <v>Peralatan Cucian</v>
          </cell>
          <cell r="D458" t="str">
            <v>Mei</v>
          </cell>
          <cell r="F458">
            <v>150160</v>
          </cell>
          <cell r="G458" t="str">
            <v>Mei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</row>
        <row r="459">
          <cell r="B459">
            <v>150160</v>
          </cell>
          <cell r="C459" t="str">
            <v>Peralatan Cucian</v>
          </cell>
          <cell r="D459" t="str">
            <v>Juni</v>
          </cell>
          <cell r="F459">
            <v>150160</v>
          </cell>
          <cell r="G459" t="str">
            <v>Juni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</row>
        <row r="460">
          <cell r="B460">
            <v>150160</v>
          </cell>
          <cell r="C460" t="str">
            <v>Peralatan Cucian</v>
          </cell>
          <cell r="D460" t="str">
            <v>Juli</v>
          </cell>
          <cell r="F460">
            <v>150160</v>
          </cell>
          <cell r="G460" t="str">
            <v>Juli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</row>
        <row r="461">
          <cell r="B461">
            <v>150160</v>
          </cell>
          <cell r="C461" t="str">
            <v>Peralatan Cucian</v>
          </cell>
          <cell r="D461" t="str">
            <v>Agustus</v>
          </cell>
          <cell r="F461">
            <v>150160</v>
          </cell>
          <cell r="G461" t="str">
            <v>Agustus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</row>
        <row r="462">
          <cell r="B462">
            <v>150160</v>
          </cell>
          <cell r="C462" t="str">
            <v>Peralatan Cucian</v>
          </cell>
          <cell r="D462" t="str">
            <v>September</v>
          </cell>
          <cell r="F462">
            <v>150160</v>
          </cell>
          <cell r="G462" t="str">
            <v>September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</row>
        <row r="463">
          <cell r="B463">
            <v>150160</v>
          </cell>
          <cell r="C463" t="str">
            <v>Peralatan Cucian</v>
          </cell>
          <cell r="D463" t="str">
            <v>Oktober</v>
          </cell>
          <cell r="F463">
            <v>150160</v>
          </cell>
          <cell r="G463" t="str">
            <v>Oktober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</row>
        <row r="464">
          <cell r="B464">
            <v>150160</v>
          </cell>
          <cell r="C464" t="str">
            <v>Peralatan Cucian</v>
          </cell>
          <cell r="D464" t="str">
            <v>November</v>
          </cell>
          <cell r="F464">
            <v>150160</v>
          </cell>
          <cell r="G464" t="str">
            <v>November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</row>
        <row r="465">
          <cell r="B465">
            <v>150160</v>
          </cell>
          <cell r="C465" t="str">
            <v>Peralatan Cucian</v>
          </cell>
          <cell r="D465" t="str">
            <v>Desember</v>
          </cell>
          <cell r="F465">
            <v>150160</v>
          </cell>
          <cell r="G465" t="str">
            <v>Desember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</row>
        <row r="466">
          <cell r="B466">
            <v>150161</v>
          </cell>
          <cell r="C466" t="str">
            <v>Peralatan salon</v>
          </cell>
          <cell r="E466">
            <v>150.161</v>
          </cell>
          <cell r="F466">
            <v>150161</v>
          </cell>
          <cell r="G466" t="str">
            <v>Peralatan salon</v>
          </cell>
          <cell r="H466">
            <v>5170750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5170750</v>
          </cell>
          <cell r="AC466">
            <v>0</v>
          </cell>
          <cell r="AD466">
            <v>0</v>
          </cell>
          <cell r="AE466">
            <v>0</v>
          </cell>
        </row>
        <row r="467">
          <cell r="B467">
            <v>150161</v>
          </cell>
          <cell r="C467" t="str">
            <v>Peralatan salon</v>
          </cell>
          <cell r="D467" t="str">
            <v>Januari</v>
          </cell>
          <cell r="F467">
            <v>150161</v>
          </cell>
          <cell r="G467" t="str">
            <v>Januari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</row>
        <row r="468">
          <cell r="B468">
            <v>150161</v>
          </cell>
          <cell r="C468" t="str">
            <v>Peralatan salon</v>
          </cell>
          <cell r="D468" t="str">
            <v>Februari</v>
          </cell>
          <cell r="F468">
            <v>150161</v>
          </cell>
          <cell r="G468" t="str">
            <v>Februari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</row>
        <row r="469">
          <cell r="B469">
            <v>150161</v>
          </cell>
          <cell r="C469" t="str">
            <v>Peralatan salon</v>
          </cell>
          <cell r="D469" t="str">
            <v>Maret</v>
          </cell>
          <cell r="F469">
            <v>150161</v>
          </cell>
          <cell r="G469" t="str">
            <v>Maret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</row>
        <row r="470">
          <cell r="B470">
            <v>150161</v>
          </cell>
          <cell r="C470" t="str">
            <v>Peralatan salon</v>
          </cell>
          <cell r="D470" t="str">
            <v>April</v>
          </cell>
          <cell r="F470">
            <v>150161</v>
          </cell>
          <cell r="G470" t="str">
            <v>April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</row>
        <row r="471">
          <cell r="B471">
            <v>150161</v>
          </cell>
          <cell r="C471" t="str">
            <v>Peralatan salon</v>
          </cell>
          <cell r="D471" t="str">
            <v>Mei</v>
          </cell>
          <cell r="F471">
            <v>150161</v>
          </cell>
          <cell r="G471" t="str">
            <v>Mei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</row>
        <row r="472">
          <cell r="B472">
            <v>150161</v>
          </cell>
          <cell r="C472" t="str">
            <v>Peralatan salon</v>
          </cell>
          <cell r="D472" t="str">
            <v>Juni</v>
          </cell>
          <cell r="F472">
            <v>150161</v>
          </cell>
          <cell r="G472" t="str">
            <v>Juni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</row>
        <row r="473">
          <cell r="B473">
            <v>150161</v>
          </cell>
          <cell r="C473" t="str">
            <v>Peralatan salon</v>
          </cell>
          <cell r="D473" t="str">
            <v>Juli</v>
          </cell>
          <cell r="F473">
            <v>150161</v>
          </cell>
          <cell r="G473" t="str">
            <v>Juli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</row>
        <row r="474">
          <cell r="B474">
            <v>150161</v>
          </cell>
          <cell r="C474" t="str">
            <v>Peralatan salon</v>
          </cell>
          <cell r="D474" t="str">
            <v>Agustus</v>
          </cell>
          <cell r="F474">
            <v>150161</v>
          </cell>
          <cell r="G474" t="str">
            <v>Agustus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</row>
        <row r="475">
          <cell r="B475">
            <v>150161</v>
          </cell>
          <cell r="C475" t="str">
            <v>Peralatan salon</v>
          </cell>
          <cell r="D475" t="str">
            <v>September</v>
          </cell>
          <cell r="F475">
            <v>150161</v>
          </cell>
          <cell r="G475" t="str">
            <v>September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</row>
        <row r="476">
          <cell r="B476">
            <v>150161</v>
          </cell>
          <cell r="C476" t="str">
            <v>Peralatan salon</v>
          </cell>
          <cell r="D476" t="str">
            <v>Oktober</v>
          </cell>
          <cell r="F476">
            <v>150161</v>
          </cell>
          <cell r="G476" t="str">
            <v>Oktober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</row>
        <row r="477">
          <cell r="B477">
            <v>150161</v>
          </cell>
          <cell r="C477" t="str">
            <v>Peralatan salon</v>
          </cell>
          <cell r="D477" t="str">
            <v>November</v>
          </cell>
          <cell r="F477">
            <v>150161</v>
          </cell>
          <cell r="G477" t="str">
            <v>November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</row>
        <row r="478">
          <cell r="B478">
            <v>150161</v>
          </cell>
          <cell r="C478" t="str">
            <v>Peralatan salon</v>
          </cell>
          <cell r="D478" t="str">
            <v>Desember</v>
          </cell>
          <cell r="F478">
            <v>150161</v>
          </cell>
          <cell r="G478" t="str">
            <v>Desember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</row>
        <row r="479">
          <cell r="B479">
            <v>150162</v>
          </cell>
          <cell r="C479" t="str">
            <v>Peralatan Genset &amp; Kompresor</v>
          </cell>
          <cell r="E479">
            <v>150.16200000000001</v>
          </cell>
          <cell r="F479">
            <v>150162</v>
          </cell>
          <cell r="G479" t="str">
            <v>Peralatan Genset &amp; Kompresor</v>
          </cell>
          <cell r="H479">
            <v>413946368.47764397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413946368.47764397</v>
          </cell>
          <cell r="AC479">
            <v>0</v>
          </cell>
          <cell r="AD479">
            <v>0</v>
          </cell>
          <cell r="AE479">
            <v>0</v>
          </cell>
        </row>
        <row r="480">
          <cell r="B480">
            <v>150162</v>
          </cell>
          <cell r="C480" t="str">
            <v>Peralatan Genset &amp; Kompresor</v>
          </cell>
          <cell r="D480" t="str">
            <v>Januari</v>
          </cell>
          <cell r="F480">
            <v>150162</v>
          </cell>
          <cell r="G480" t="str">
            <v>Januari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</row>
        <row r="481">
          <cell r="B481">
            <v>150162</v>
          </cell>
          <cell r="C481" t="str">
            <v>Peralatan Genset &amp; Kompresor</v>
          </cell>
          <cell r="D481" t="str">
            <v>Februari</v>
          </cell>
          <cell r="F481">
            <v>150162</v>
          </cell>
          <cell r="G481" t="str">
            <v>Februari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</row>
        <row r="482">
          <cell r="B482">
            <v>150162</v>
          </cell>
          <cell r="C482" t="str">
            <v>Peralatan Genset &amp; Kompresor</v>
          </cell>
          <cell r="D482" t="str">
            <v>Maret</v>
          </cell>
          <cell r="F482">
            <v>150162</v>
          </cell>
          <cell r="G482" t="str">
            <v>Maret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</row>
        <row r="483">
          <cell r="B483">
            <v>150162</v>
          </cell>
          <cell r="C483" t="str">
            <v>Peralatan Genset &amp; Kompresor</v>
          </cell>
          <cell r="D483" t="str">
            <v>April</v>
          </cell>
          <cell r="F483">
            <v>150162</v>
          </cell>
          <cell r="G483" t="str">
            <v>April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</row>
        <row r="484">
          <cell r="B484">
            <v>150162</v>
          </cell>
          <cell r="C484" t="str">
            <v>Peralatan Genset &amp; Kompresor</v>
          </cell>
          <cell r="D484" t="str">
            <v>Mei</v>
          </cell>
          <cell r="F484">
            <v>150162</v>
          </cell>
          <cell r="G484" t="str">
            <v>Mei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</row>
        <row r="485">
          <cell r="B485">
            <v>150162</v>
          </cell>
          <cell r="C485" t="str">
            <v>Peralatan Genset &amp; Kompresor</v>
          </cell>
          <cell r="D485" t="str">
            <v>Juni</v>
          </cell>
          <cell r="F485">
            <v>150162</v>
          </cell>
          <cell r="G485" t="str">
            <v>Juni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</row>
        <row r="486">
          <cell r="B486">
            <v>150162</v>
          </cell>
          <cell r="C486" t="str">
            <v>Peralatan Genset &amp; Kompresor</v>
          </cell>
          <cell r="D486" t="str">
            <v>Juli</v>
          </cell>
          <cell r="F486">
            <v>150162</v>
          </cell>
          <cell r="G486" t="str">
            <v>Juli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</row>
        <row r="487">
          <cell r="B487">
            <v>150162</v>
          </cell>
          <cell r="C487" t="str">
            <v>Peralatan Genset &amp; Kompresor</v>
          </cell>
          <cell r="D487" t="str">
            <v>Agustus</v>
          </cell>
          <cell r="F487">
            <v>150162</v>
          </cell>
          <cell r="G487" t="str">
            <v>Agustus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</row>
        <row r="488">
          <cell r="B488">
            <v>150162</v>
          </cell>
          <cell r="C488" t="str">
            <v>Peralatan Genset &amp; Kompresor</v>
          </cell>
          <cell r="D488" t="str">
            <v>September</v>
          </cell>
          <cell r="F488">
            <v>150162</v>
          </cell>
          <cell r="G488" t="str">
            <v>September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</row>
        <row r="489">
          <cell r="B489">
            <v>150162</v>
          </cell>
          <cell r="C489" t="str">
            <v>Peralatan Genset &amp; Kompresor</v>
          </cell>
          <cell r="D489" t="str">
            <v>Oktober</v>
          </cell>
          <cell r="F489">
            <v>150162</v>
          </cell>
          <cell r="G489" t="str">
            <v>Oktober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</row>
        <row r="490">
          <cell r="B490">
            <v>150162</v>
          </cell>
          <cell r="C490" t="str">
            <v>Peralatan Genset &amp; Kompresor</v>
          </cell>
          <cell r="D490" t="str">
            <v>November</v>
          </cell>
          <cell r="F490">
            <v>150162</v>
          </cell>
          <cell r="G490" t="str">
            <v>November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</row>
        <row r="491">
          <cell r="B491">
            <v>150162</v>
          </cell>
          <cell r="C491" t="str">
            <v>Peralatan Genset &amp; Kompresor</v>
          </cell>
          <cell r="D491" t="str">
            <v>Desember</v>
          </cell>
          <cell r="F491">
            <v>150162</v>
          </cell>
          <cell r="G491" t="str">
            <v>Desember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</row>
        <row r="492">
          <cell r="B492">
            <v>150163</v>
          </cell>
          <cell r="C492" t="str">
            <v>Peralatan dan perlengkapan Kantor</v>
          </cell>
          <cell r="E492">
            <v>150.16300000000001</v>
          </cell>
          <cell r="F492">
            <v>150163</v>
          </cell>
          <cell r="G492" t="str">
            <v>Peralatan dan perlengkapan Kantor</v>
          </cell>
          <cell r="H492">
            <v>455187601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455187601</v>
          </cell>
          <cell r="AC492">
            <v>0</v>
          </cell>
          <cell r="AD492">
            <v>0</v>
          </cell>
          <cell r="AE492">
            <v>0</v>
          </cell>
        </row>
        <row r="493">
          <cell r="B493">
            <v>150163</v>
          </cell>
          <cell r="C493" t="str">
            <v>Peralatan dan perlengkapan Kantor</v>
          </cell>
          <cell r="D493" t="str">
            <v>Januari</v>
          </cell>
          <cell r="F493">
            <v>150163</v>
          </cell>
          <cell r="G493" t="str">
            <v>Januari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</row>
        <row r="494">
          <cell r="B494">
            <v>150163</v>
          </cell>
          <cell r="C494" t="str">
            <v>Peralatan dan perlengkapan Kantor</v>
          </cell>
          <cell r="D494" t="str">
            <v>Februari</v>
          </cell>
          <cell r="F494">
            <v>150163</v>
          </cell>
          <cell r="G494" t="str">
            <v>Februari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</row>
        <row r="495">
          <cell r="B495">
            <v>150163</v>
          </cell>
          <cell r="C495" t="str">
            <v>Peralatan dan perlengkapan Kantor</v>
          </cell>
          <cell r="D495" t="str">
            <v>Maret</v>
          </cell>
          <cell r="F495">
            <v>150163</v>
          </cell>
          <cell r="G495" t="str">
            <v>Maret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</row>
        <row r="496">
          <cell r="B496">
            <v>150163</v>
          </cell>
          <cell r="C496" t="str">
            <v>Peralatan dan perlengkapan Kantor</v>
          </cell>
          <cell r="D496" t="str">
            <v>April</v>
          </cell>
          <cell r="F496">
            <v>150163</v>
          </cell>
          <cell r="G496" t="str">
            <v>April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</row>
        <row r="497">
          <cell r="B497">
            <v>150163</v>
          </cell>
          <cell r="C497" t="str">
            <v>Peralatan dan perlengkapan Kantor</v>
          </cell>
          <cell r="D497" t="str">
            <v>Mei</v>
          </cell>
          <cell r="F497">
            <v>150163</v>
          </cell>
          <cell r="G497" t="str">
            <v>Mei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</row>
        <row r="498">
          <cell r="B498">
            <v>150163</v>
          </cell>
          <cell r="C498" t="str">
            <v>Peralatan dan perlengkapan Kantor</v>
          </cell>
          <cell r="D498" t="str">
            <v>Juni</v>
          </cell>
          <cell r="F498">
            <v>150163</v>
          </cell>
          <cell r="G498" t="str">
            <v>Juni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</row>
        <row r="499">
          <cell r="B499">
            <v>150163</v>
          </cell>
          <cell r="C499" t="str">
            <v>Peralatan dan perlengkapan Kantor</v>
          </cell>
          <cell r="D499" t="str">
            <v>Juli</v>
          </cell>
          <cell r="F499">
            <v>150163</v>
          </cell>
          <cell r="G499" t="str">
            <v>Juli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</row>
        <row r="500">
          <cell r="B500">
            <v>150163</v>
          </cell>
          <cell r="C500" t="str">
            <v>Peralatan dan perlengkapan Kantor</v>
          </cell>
          <cell r="D500" t="str">
            <v>Agustus</v>
          </cell>
          <cell r="F500">
            <v>150163</v>
          </cell>
          <cell r="G500" t="str">
            <v>Agustus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</row>
        <row r="501">
          <cell r="B501">
            <v>150163</v>
          </cell>
          <cell r="C501" t="str">
            <v>Peralatan dan perlengkapan Kantor</v>
          </cell>
          <cell r="D501" t="str">
            <v>September</v>
          </cell>
          <cell r="F501">
            <v>150163</v>
          </cell>
          <cell r="G501" t="str">
            <v>September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</row>
        <row r="502">
          <cell r="B502">
            <v>150163</v>
          </cell>
          <cell r="C502" t="str">
            <v>Peralatan dan perlengkapan Kantor</v>
          </cell>
          <cell r="D502" t="str">
            <v>Oktober</v>
          </cell>
          <cell r="F502">
            <v>150163</v>
          </cell>
          <cell r="G502" t="str">
            <v>Oktober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</row>
        <row r="503">
          <cell r="B503">
            <v>150163</v>
          </cell>
          <cell r="C503" t="str">
            <v>Peralatan dan perlengkapan Kantor</v>
          </cell>
          <cell r="D503" t="str">
            <v>November</v>
          </cell>
          <cell r="F503">
            <v>150163</v>
          </cell>
          <cell r="G503" t="str">
            <v>November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</row>
        <row r="504">
          <cell r="B504">
            <v>150163</v>
          </cell>
          <cell r="C504" t="str">
            <v>Peralatan dan perlengkapan Kantor</v>
          </cell>
          <cell r="D504" t="str">
            <v>Desember</v>
          </cell>
          <cell r="F504">
            <v>150163</v>
          </cell>
          <cell r="G504" t="str">
            <v>Desember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</row>
        <row r="505">
          <cell r="B505">
            <v>150164</v>
          </cell>
          <cell r="C505" t="str">
            <v>Kendaraan</v>
          </cell>
          <cell r="E505">
            <v>150.16399999999999</v>
          </cell>
          <cell r="F505">
            <v>150164</v>
          </cell>
          <cell r="G505" t="str">
            <v>Kendaraan</v>
          </cell>
          <cell r="H505">
            <v>254431500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7500000</v>
          </cell>
          <cell r="AA505">
            <v>0</v>
          </cell>
          <cell r="AB505">
            <v>261931500</v>
          </cell>
          <cell r="AC505">
            <v>0</v>
          </cell>
          <cell r="AD505">
            <v>7500000</v>
          </cell>
          <cell r="AE505">
            <v>0</v>
          </cell>
        </row>
        <row r="506">
          <cell r="B506">
            <v>150164</v>
          </cell>
          <cell r="C506" t="str">
            <v>Kendaraan</v>
          </cell>
          <cell r="D506" t="str">
            <v>Januari</v>
          </cell>
          <cell r="F506">
            <v>150164</v>
          </cell>
          <cell r="G506" t="str">
            <v>Januari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</row>
        <row r="507">
          <cell r="B507">
            <v>150164</v>
          </cell>
          <cell r="C507" t="str">
            <v>Kendaraan</v>
          </cell>
          <cell r="D507" t="str">
            <v>Februari</v>
          </cell>
          <cell r="F507">
            <v>150164</v>
          </cell>
          <cell r="G507" t="str">
            <v>Februari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3500000</v>
          </cell>
          <cell r="AA507">
            <v>0</v>
          </cell>
          <cell r="AB507">
            <v>3500000</v>
          </cell>
          <cell r="AC507">
            <v>0</v>
          </cell>
          <cell r="AD507">
            <v>3500000</v>
          </cell>
          <cell r="AE507">
            <v>0</v>
          </cell>
        </row>
        <row r="508">
          <cell r="B508">
            <v>150164</v>
          </cell>
          <cell r="C508" t="str">
            <v>Kendaraan</v>
          </cell>
          <cell r="D508" t="str">
            <v>Maret</v>
          </cell>
          <cell r="F508">
            <v>150164</v>
          </cell>
          <cell r="G508" t="str">
            <v>Maret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</row>
        <row r="509">
          <cell r="B509">
            <v>150164</v>
          </cell>
          <cell r="C509" t="str">
            <v>Kendaraan</v>
          </cell>
          <cell r="D509" t="str">
            <v>April</v>
          </cell>
          <cell r="F509">
            <v>150164</v>
          </cell>
          <cell r="G509" t="str">
            <v>April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</row>
        <row r="510">
          <cell r="B510">
            <v>150164</v>
          </cell>
          <cell r="C510" t="str">
            <v>Kendaraan</v>
          </cell>
          <cell r="D510" t="str">
            <v>Mei</v>
          </cell>
          <cell r="F510">
            <v>150164</v>
          </cell>
          <cell r="G510" t="str">
            <v>Mei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4000000</v>
          </cell>
          <cell r="AA510">
            <v>0</v>
          </cell>
          <cell r="AB510">
            <v>4000000</v>
          </cell>
          <cell r="AC510">
            <v>0</v>
          </cell>
          <cell r="AD510">
            <v>4000000</v>
          </cell>
          <cell r="AE510">
            <v>0</v>
          </cell>
        </row>
        <row r="511">
          <cell r="B511">
            <v>150164</v>
          </cell>
          <cell r="C511" t="str">
            <v>Kendaraan</v>
          </cell>
          <cell r="D511" t="str">
            <v>Juni</v>
          </cell>
          <cell r="F511">
            <v>150164</v>
          </cell>
          <cell r="G511" t="str">
            <v>Juni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</row>
        <row r="512">
          <cell r="B512">
            <v>150164</v>
          </cell>
          <cell r="C512" t="str">
            <v>Kendaraan</v>
          </cell>
          <cell r="D512" t="str">
            <v>Juli</v>
          </cell>
          <cell r="F512">
            <v>150164</v>
          </cell>
          <cell r="G512" t="str">
            <v>Juli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</row>
        <row r="513">
          <cell r="B513">
            <v>150164</v>
          </cell>
          <cell r="C513" t="str">
            <v>Kendaraan</v>
          </cell>
          <cell r="D513" t="str">
            <v>Agustus</v>
          </cell>
          <cell r="F513">
            <v>150164</v>
          </cell>
          <cell r="G513" t="str">
            <v>Agustus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</row>
        <row r="514">
          <cell r="B514">
            <v>150164</v>
          </cell>
          <cell r="C514" t="str">
            <v>Kendaraan</v>
          </cell>
          <cell r="D514" t="str">
            <v>September</v>
          </cell>
          <cell r="F514">
            <v>150164</v>
          </cell>
          <cell r="G514" t="str">
            <v>September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</row>
        <row r="515">
          <cell r="B515">
            <v>150164</v>
          </cell>
          <cell r="C515" t="str">
            <v>Kendaraan</v>
          </cell>
          <cell r="D515" t="str">
            <v>Oktober</v>
          </cell>
          <cell r="F515">
            <v>150164</v>
          </cell>
          <cell r="G515" t="str">
            <v>Oktober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</row>
        <row r="516">
          <cell r="B516">
            <v>150164</v>
          </cell>
          <cell r="C516" t="str">
            <v>Kendaraan</v>
          </cell>
          <cell r="D516" t="str">
            <v>November</v>
          </cell>
          <cell r="F516">
            <v>150164</v>
          </cell>
          <cell r="G516" t="str">
            <v>November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</row>
        <row r="517">
          <cell r="B517">
            <v>150164</v>
          </cell>
          <cell r="C517" t="str">
            <v>Kendaraan</v>
          </cell>
          <cell r="D517" t="str">
            <v>Desember</v>
          </cell>
          <cell r="F517">
            <v>150164</v>
          </cell>
          <cell r="G517" t="str">
            <v>Desember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</row>
        <row r="520">
          <cell r="B520">
            <v>180000</v>
          </cell>
          <cell r="C520" t="str">
            <v>Akumulasi Penyusutan</v>
          </cell>
          <cell r="E520">
            <v>180</v>
          </cell>
          <cell r="F520">
            <v>180000</v>
          </cell>
          <cell r="G520" t="str">
            <v>Akumulasi Penyusutan</v>
          </cell>
          <cell r="H520">
            <v>0</v>
          </cell>
          <cell r="I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</row>
        <row r="521">
          <cell r="B521">
            <v>180001</v>
          </cell>
          <cell r="C521" t="str">
            <v>Usaha Bangunan</v>
          </cell>
          <cell r="E521">
            <v>180.001</v>
          </cell>
          <cell r="F521">
            <v>180001</v>
          </cell>
          <cell r="G521" t="str">
            <v>Usaha Bangunan</v>
          </cell>
          <cell r="H521">
            <v>0</v>
          </cell>
          <cell r="I521">
            <v>16901666.66666666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16901666.66666666</v>
          </cell>
          <cell r="AD521">
            <v>0</v>
          </cell>
          <cell r="AE521">
            <v>0</v>
          </cell>
        </row>
        <row r="522">
          <cell r="B522">
            <v>180001</v>
          </cell>
          <cell r="C522" t="str">
            <v>Usaha Bangunan</v>
          </cell>
          <cell r="D522" t="str">
            <v>Januari</v>
          </cell>
          <cell r="F522">
            <v>180001</v>
          </cell>
          <cell r="G522" t="str">
            <v>Januari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</row>
        <row r="523">
          <cell r="B523">
            <v>180001</v>
          </cell>
          <cell r="C523" t="str">
            <v>Usaha Bangunan</v>
          </cell>
          <cell r="D523" t="str">
            <v>Februari</v>
          </cell>
          <cell r="F523">
            <v>180001</v>
          </cell>
          <cell r="G523" t="str">
            <v>Februari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</row>
        <row r="524">
          <cell r="B524">
            <v>180001</v>
          </cell>
          <cell r="C524" t="str">
            <v>Usaha Bangunan</v>
          </cell>
          <cell r="D524" t="str">
            <v>Maret</v>
          </cell>
          <cell r="F524">
            <v>180001</v>
          </cell>
          <cell r="G524" t="str">
            <v>Maret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</row>
        <row r="525">
          <cell r="B525">
            <v>180001</v>
          </cell>
          <cell r="C525" t="str">
            <v>Usaha Bangunan</v>
          </cell>
          <cell r="D525" t="str">
            <v>April</v>
          </cell>
          <cell r="F525">
            <v>180001</v>
          </cell>
          <cell r="G525" t="str">
            <v>April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</row>
        <row r="526">
          <cell r="B526">
            <v>180001</v>
          </cell>
          <cell r="C526" t="str">
            <v>Usaha Bangunan</v>
          </cell>
          <cell r="D526" t="str">
            <v>Mei</v>
          </cell>
          <cell r="F526">
            <v>180001</v>
          </cell>
          <cell r="G526" t="str">
            <v>Mei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</row>
        <row r="527">
          <cell r="B527">
            <v>180001</v>
          </cell>
          <cell r="C527" t="str">
            <v>Usaha Bangunan</v>
          </cell>
          <cell r="D527" t="str">
            <v>Juni</v>
          </cell>
          <cell r="F527">
            <v>180001</v>
          </cell>
          <cell r="G527" t="str">
            <v>Juni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</row>
        <row r="528">
          <cell r="B528">
            <v>180001</v>
          </cell>
          <cell r="C528" t="str">
            <v>Usaha Bangunan</v>
          </cell>
          <cell r="D528" t="str">
            <v>Juli</v>
          </cell>
          <cell r="F528">
            <v>180001</v>
          </cell>
          <cell r="G528" t="str">
            <v>Juli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</row>
        <row r="529">
          <cell r="B529">
            <v>180001</v>
          </cell>
          <cell r="C529" t="str">
            <v>Usaha Bangunan</v>
          </cell>
          <cell r="D529" t="str">
            <v>Agustus</v>
          </cell>
          <cell r="F529">
            <v>180001</v>
          </cell>
          <cell r="G529" t="str">
            <v>Agustus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</row>
        <row r="530">
          <cell r="B530">
            <v>180001</v>
          </cell>
          <cell r="C530" t="str">
            <v>Usaha Bangunan</v>
          </cell>
          <cell r="D530" t="str">
            <v>September</v>
          </cell>
          <cell r="F530">
            <v>180001</v>
          </cell>
          <cell r="G530" t="str">
            <v>September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</row>
        <row r="531">
          <cell r="B531">
            <v>180001</v>
          </cell>
          <cell r="C531" t="str">
            <v>Usaha Bangunan</v>
          </cell>
          <cell r="D531" t="str">
            <v>Oktober</v>
          </cell>
          <cell r="F531">
            <v>180001</v>
          </cell>
          <cell r="G531" t="str">
            <v>Oktober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</row>
        <row r="532">
          <cell r="B532">
            <v>180001</v>
          </cell>
          <cell r="C532" t="str">
            <v>Usaha Bangunan</v>
          </cell>
          <cell r="D532" t="str">
            <v>November</v>
          </cell>
          <cell r="F532">
            <v>180001</v>
          </cell>
          <cell r="G532" t="str">
            <v>November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</row>
        <row r="533">
          <cell r="B533">
            <v>180001</v>
          </cell>
          <cell r="C533" t="str">
            <v>Usaha Bangunan</v>
          </cell>
          <cell r="D533" t="str">
            <v>Desember</v>
          </cell>
          <cell r="F533">
            <v>180001</v>
          </cell>
          <cell r="G533" t="str">
            <v>Desember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</row>
        <row r="534">
          <cell r="B534">
            <v>180002</v>
          </cell>
          <cell r="C534" t="str">
            <v>Emplasment</v>
          </cell>
          <cell r="E534">
            <v>180.00200000000001</v>
          </cell>
          <cell r="F534">
            <v>180002</v>
          </cell>
          <cell r="G534" t="str">
            <v>Emplasment</v>
          </cell>
          <cell r="H534">
            <v>0</v>
          </cell>
          <cell r="I534">
            <v>2800836.3833333333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2800836.3833333333</v>
          </cell>
          <cell r="AD534">
            <v>0</v>
          </cell>
          <cell r="AE534">
            <v>0</v>
          </cell>
        </row>
        <row r="535">
          <cell r="B535">
            <v>180002</v>
          </cell>
          <cell r="C535" t="str">
            <v>Emplasment</v>
          </cell>
          <cell r="D535" t="str">
            <v>Januari</v>
          </cell>
          <cell r="F535">
            <v>180002</v>
          </cell>
          <cell r="G535" t="str">
            <v>Januari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</row>
        <row r="536">
          <cell r="B536">
            <v>180002</v>
          </cell>
          <cell r="C536" t="str">
            <v>Emplasment</v>
          </cell>
          <cell r="D536" t="str">
            <v>Februari</v>
          </cell>
          <cell r="F536">
            <v>180002</v>
          </cell>
          <cell r="G536" t="str">
            <v>Februari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</row>
        <row r="537">
          <cell r="B537">
            <v>180002</v>
          </cell>
          <cell r="C537" t="str">
            <v>Emplasment</v>
          </cell>
          <cell r="D537" t="str">
            <v>Maret</v>
          </cell>
          <cell r="F537">
            <v>180002</v>
          </cell>
          <cell r="G537" t="str">
            <v>Maret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</row>
        <row r="538">
          <cell r="B538">
            <v>180002</v>
          </cell>
          <cell r="C538" t="str">
            <v>Emplasment</v>
          </cell>
          <cell r="D538" t="str">
            <v>April</v>
          </cell>
          <cell r="F538">
            <v>180002</v>
          </cell>
          <cell r="G538" t="str">
            <v>April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</row>
        <row r="539">
          <cell r="B539">
            <v>180002</v>
          </cell>
          <cell r="C539" t="str">
            <v>Emplasment</v>
          </cell>
          <cell r="D539" t="str">
            <v>Mei</v>
          </cell>
          <cell r="F539">
            <v>180002</v>
          </cell>
          <cell r="G539" t="str">
            <v>Mei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</row>
        <row r="540">
          <cell r="B540">
            <v>180002</v>
          </cell>
          <cell r="C540" t="str">
            <v>Emplasment</v>
          </cell>
          <cell r="D540" t="str">
            <v>Juni</v>
          </cell>
          <cell r="F540">
            <v>180002</v>
          </cell>
          <cell r="G540" t="str">
            <v>Juni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</row>
        <row r="541">
          <cell r="B541">
            <v>180002</v>
          </cell>
          <cell r="C541" t="str">
            <v>Emplasment</v>
          </cell>
          <cell r="D541" t="str">
            <v>Juli</v>
          </cell>
          <cell r="F541">
            <v>180002</v>
          </cell>
          <cell r="G541" t="str">
            <v>Juli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</row>
        <row r="542">
          <cell r="B542">
            <v>180002</v>
          </cell>
          <cell r="C542" t="str">
            <v>Emplasment</v>
          </cell>
          <cell r="D542" t="str">
            <v>Agustus</v>
          </cell>
          <cell r="F542">
            <v>180002</v>
          </cell>
          <cell r="G542" t="str">
            <v>Agustus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</row>
        <row r="543">
          <cell r="B543">
            <v>180002</v>
          </cell>
          <cell r="C543" t="str">
            <v>Emplasment</v>
          </cell>
          <cell r="D543" t="str">
            <v>September</v>
          </cell>
          <cell r="F543">
            <v>180002</v>
          </cell>
          <cell r="G543" t="str">
            <v>September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</row>
        <row r="544">
          <cell r="B544">
            <v>180002</v>
          </cell>
          <cell r="C544" t="str">
            <v>Emplasment</v>
          </cell>
          <cell r="D544" t="str">
            <v>Oktober</v>
          </cell>
          <cell r="F544">
            <v>180002</v>
          </cell>
          <cell r="G544" t="str">
            <v>Oktober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</row>
        <row r="545">
          <cell r="B545">
            <v>180002</v>
          </cell>
          <cell r="C545" t="str">
            <v>Emplasment</v>
          </cell>
          <cell r="D545" t="str">
            <v>November</v>
          </cell>
          <cell r="F545">
            <v>180002</v>
          </cell>
          <cell r="G545" t="str">
            <v>November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</row>
        <row r="546">
          <cell r="B546">
            <v>180002</v>
          </cell>
          <cell r="C546" t="str">
            <v>Emplasment</v>
          </cell>
          <cell r="D546" t="str">
            <v>Desember</v>
          </cell>
          <cell r="F546">
            <v>180002</v>
          </cell>
          <cell r="G546" t="str">
            <v>Desember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</row>
        <row r="547">
          <cell r="B547">
            <v>180003</v>
          </cell>
          <cell r="C547" t="str">
            <v>Perlatan Bengkel</v>
          </cell>
          <cell r="E547">
            <v>180.00299999999999</v>
          </cell>
          <cell r="F547">
            <v>180003</v>
          </cell>
          <cell r="G547" t="str">
            <v>Perlatan Bengkel</v>
          </cell>
          <cell r="H547">
            <v>0</v>
          </cell>
          <cell r="I547">
            <v>81193814.72428067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500000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81693814.72428067</v>
          </cell>
          <cell r="AD547">
            <v>0</v>
          </cell>
          <cell r="AE547">
            <v>0</v>
          </cell>
        </row>
        <row r="548">
          <cell r="B548">
            <v>180003</v>
          </cell>
          <cell r="C548" t="str">
            <v>Perlatan Bengkel</v>
          </cell>
          <cell r="D548" t="str">
            <v>Januari</v>
          </cell>
          <cell r="F548">
            <v>180003</v>
          </cell>
          <cell r="G548" t="str">
            <v>Januari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</row>
        <row r="549">
          <cell r="B549">
            <v>180003</v>
          </cell>
          <cell r="C549" t="str">
            <v>Perlatan Bengkel</v>
          </cell>
          <cell r="D549" t="str">
            <v>Februari</v>
          </cell>
          <cell r="F549">
            <v>180003</v>
          </cell>
          <cell r="G549" t="str">
            <v>Februari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</row>
        <row r="550">
          <cell r="B550">
            <v>180003</v>
          </cell>
          <cell r="C550" t="str">
            <v>Perlatan Bengkel</v>
          </cell>
          <cell r="D550" t="str">
            <v>Maret</v>
          </cell>
          <cell r="F550">
            <v>180003</v>
          </cell>
          <cell r="G550" t="str">
            <v>Maret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</row>
        <row r="551">
          <cell r="B551">
            <v>180003</v>
          </cell>
          <cell r="C551" t="str">
            <v>Perlatan Bengkel</v>
          </cell>
          <cell r="D551" t="str">
            <v>April</v>
          </cell>
          <cell r="F551">
            <v>180003</v>
          </cell>
          <cell r="G551" t="str">
            <v>April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500000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500000</v>
          </cell>
          <cell r="AD551">
            <v>0</v>
          </cell>
          <cell r="AE551">
            <v>0</v>
          </cell>
        </row>
        <row r="552">
          <cell r="B552">
            <v>180003</v>
          </cell>
          <cell r="C552" t="str">
            <v>Perlatan Bengkel</v>
          </cell>
          <cell r="D552" t="str">
            <v>Mei</v>
          </cell>
          <cell r="F552">
            <v>180003</v>
          </cell>
          <cell r="G552" t="str">
            <v>Mei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</row>
        <row r="553">
          <cell r="B553">
            <v>180003</v>
          </cell>
          <cell r="C553" t="str">
            <v>Perlatan Bengkel</v>
          </cell>
          <cell r="D553" t="str">
            <v>Juni</v>
          </cell>
          <cell r="F553">
            <v>180003</v>
          </cell>
          <cell r="G553" t="str">
            <v>Juni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</row>
        <row r="554">
          <cell r="B554">
            <v>180003</v>
          </cell>
          <cell r="C554" t="str">
            <v>Perlatan Bengkel</v>
          </cell>
          <cell r="D554" t="str">
            <v>Juli</v>
          </cell>
          <cell r="F554">
            <v>180003</v>
          </cell>
          <cell r="G554" t="str">
            <v>Juli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</row>
        <row r="555">
          <cell r="B555">
            <v>180003</v>
          </cell>
          <cell r="C555" t="str">
            <v>Perlatan Bengkel</v>
          </cell>
          <cell r="D555" t="str">
            <v>Agustus</v>
          </cell>
          <cell r="F555">
            <v>180003</v>
          </cell>
          <cell r="G555" t="str">
            <v>Agustus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</row>
        <row r="556">
          <cell r="B556">
            <v>180003</v>
          </cell>
          <cell r="C556" t="str">
            <v>Perlatan Bengkel</v>
          </cell>
          <cell r="D556" t="str">
            <v>September</v>
          </cell>
          <cell r="F556">
            <v>180003</v>
          </cell>
          <cell r="G556" t="str">
            <v>September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</row>
        <row r="557">
          <cell r="B557">
            <v>180003</v>
          </cell>
          <cell r="C557" t="str">
            <v>Perlatan Bengkel</v>
          </cell>
          <cell r="D557" t="str">
            <v>Oktober</v>
          </cell>
          <cell r="F557">
            <v>180003</v>
          </cell>
          <cell r="G557" t="str">
            <v>Oktober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</row>
        <row r="558">
          <cell r="B558">
            <v>180003</v>
          </cell>
          <cell r="C558" t="str">
            <v>Perlatan Bengkel</v>
          </cell>
          <cell r="D558" t="str">
            <v>November</v>
          </cell>
          <cell r="F558">
            <v>180003</v>
          </cell>
          <cell r="G558" t="str">
            <v>November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</row>
        <row r="559">
          <cell r="B559">
            <v>180003</v>
          </cell>
          <cell r="C559" t="str">
            <v>Perlatan Bengkel</v>
          </cell>
          <cell r="D559" t="str">
            <v>Desember</v>
          </cell>
          <cell r="F559">
            <v>180003</v>
          </cell>
          <cell r="G559" t="str">
            <v>Desember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</row>
        <row r="560">
          <cell r="B560">
            <v>180004</v>
          </cell>
          <cell r="C560" t="str">
            <v>Perlatan Kantor</v>
          </cell>
          <cell r="E560">
            <v>180.00399999999999</v>
          </cell>
          <cell r="F560">
            <v>180004</v>
          </cell>
          <cell r="G560" t="str">
            <v>Perlatan Kantor</v>
          </cell>
          <cell r="H560">
            <v>0</v>
          </cell>
          <cell r="I560">
            <v>50284856.699999988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50284856.699999988</v>
          </cell>
          <cell r="AD560">
            <v>0</v>
          </cell>
          <cell r="AE560">
            <v>0</v>
          </cell>
        </row>
        <row r="561">
          <cell r="B561">
            <v>180004</v>
          </cell>
          <cell r="C561" t="str">
            <v>Perlatan Kantor</v>
          </cell>
          <cell r="D561" t="str">
            <v>Januari</v>
          </cell>
          <cell r="F561">
            <v>180004</v>
          </cell>
          <cell r="G561" t="str">
            <v>Januari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</row>
        <row r="562">
          <cell r="B562">
            <v>180004</v>
          </cell>
          <cell r="C562" t="str">
            <v>Perlatan Kantor</v>
          </cell>
          <cell r="D562" t="str">
            <v>Februari</v>
          </cell>
          <cell r="F562">
            <v>180004</v>
          </cell>
          <cell r="G562" t="str">
            <v>Februari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</row>
        <row r="563">
          <cell r="B563">
            <v>180004</v>
          </cell>
          <cell r="C563" t="str">
            <v>Perlatan Kantor</v>
          </cell>
          <cell r="D563" t="str">
            <v>Maret</v>
          </cell>
          <cell r="F563">
            <v>180004</v>
          </cell>
          <cell r="G563" t="str">
            <v>Maret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</row>
        <row r="564">
          <cell r="B564">
            <v>180004</v>
          </cell>
          <cell r="C564" t="str">
            <v>Perlatan Kantor</v>
          </cell>
          <cell r="D564" t="str">
            <v>April</v>
          </cell>
          <cell r="F564">
            <v>180004</v>
          </cell>
          <cell r="G564" t="str">
            <v>April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</row>
        <row r="565">
          <cell r="B565">
            <v>180004</v>
          </cell>
          <cell r="C565" t="str">
            <v>Perlatan Kantor</v>
          </cell>
          <cell r="D565" t="str">
            <v>Mei</v>
          </cell>
          <cell r="F565">
            <v>180004</v>
          </cell>
          <cell r="G565" t="str">
            <v>Mei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</row>
        <row r="566">
          <cell r="B566">
            <v>180004</v>
          </cell>
          <cell r="C566" t="str">
            <v>Perlatan Kantor</v>
          </cell>
          <cell r="D566" t="str">
            <v>Juni</v>
          </cell>
          <cell r="F566">
            <v>180004</v>
          </cell>
          <cell r="G566" t="str">
            <v>Juni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</row>
        <row r="567">
          <cell r="B567">
            <v>180004</v>
          </cell>
          <cell r="C567" t="str">
            <v>Perlatan Kantor</v>
          </cell>
          <cell r="D567" t="str">
            <v>Juli</v>
          </cell>
          <cell r="F567">
            <v>180004</v>
          </cell>
          <cell r="G567" t="str">
            <v>Juli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</row>
        <row r="568">
          <cell r="B568">
            <v>180004</v>
          </cell>
          <cell r="C568" t="str">
            <v>Perlatan Kantor</v>
          </cell>
          <cell r="D568" t="str">
            <v>Agustus</v>
          </cell>
          <cell r="F568">
            <v>180004</v>
          </cell>
          <cell r="G568" t="str">
            <v>Agustus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</row>
        <row r="569">
          <cell r="B569">
            <v>180004</v>
          </cell>
          <cell r="C569" t="str">
            <v>Perlatan Kantor</v>
          </cell>
          <cell r="D569" t="str">
            <v>September</v>
          </cell>
          <cell r="F569">
            <v>180004</v>
          </cell>
          <cell r="G569" t="str">
            <v>September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</row>
        <row r="570">
          <cell r="B570">
            <v>180004</v>
          </cell>
          <cell r="C570" t="str">
            <v>Perlatan Kantor</v>
          </cell>
          <cell r="D570" t="str">
            <v>Oktober</v>
          </cell>
          <cell r="F570">
            <v>180004</v>
          </cell>
          <cell r="G570" t="str">
            <v>Oktober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</row>
        <row r="571">
          <cell r="B571">
            <v>180004</v>
          </cell>
          <cell r="C571" t="str">
            <v>Perlatan Kantor</v>
          </cell>
          <cell r="D571" t="str">
            <v>November</v>
          </cell>
          <cell r="F571">
            <v>180004</v>
          </cell>
          <cell r="G571" t="str">
            <v>November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</row>
        <row r="572">
          <cell r="B572">
            <v>180004</v>
          </cell>
          <cell r="C572" t="str">
            <v>Perlatan Kantor</v>
          </cell>
          <cell r="D572" t="str">
            <v>Desember</v>
          </cell>
          <cell r="F572">
            <v>180004</v>
          </cell>
          <cell r="G572" t="str">
            <v>Desember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</row>
        <row r="573">
          <cell r="B573">
            <v>180005</v>
          </cell>
          <cell r="C573" t="str">
            <v>Kendaraan</v>
          </cell>
          <cell r="E573">
            <v>180.005</v>
          </cell>
          <cell r="F573">
            <v>180005</v>
          </cell>
          <cell r="G573" t="str">
            <v>Kendaraan</v>
          </cell>
          <cell r="H573">
            <v>0</v>
          </cell>
          <cell r="I573">
            <v>5328770.833333333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5328770.833333333</v>
          </cell>
          <cell r="AD573">
            <v>0</v>
          </cell>
          <cell r="AE573">
            <v>0</v>
          </cell>
        </row>
        <row r="574">
          <cell r="B574">
            <v>180005</v>
          </cell>
          <cell r="C574" t="str">
            <v>Kendaraan</v>
          </cell>
          <cell r="D574" t="str">
            <v>Januari</v>
          </cell>
          <cell r="F574">
            <v>180005</v>
          </cell>
          <cell r="G574" t="str">
            <v>Januari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</row>
        <row r="575">
          <cell r="B575">
            <v>180005</v>
          </cell>
          <cell r="C575" t="str">
            <v>Kendaraan</v>
          </cell>
          <cell r="D575" t="str">
            <v>Februari</v>
          </cell>
          <cell r="F575">
            <v>180005</v>
          </cell>
          <cell r="G575" t="str">
            <v>Februari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</row>
        <row r="576">
          <cell r="B576">
            <v>180005</v>
          </cell>
          <cell r="C576" t="str">
            <v>Kendaraan</v>
          </cell>
          <cell r="D576" t="str">
            <v>Maret</v>
          </cell>
          <cell r="F576">
            <v>180005</v>
          </cell>
          <cell r="G576" t="str">
            <v>Maret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</row>
        <row r="577">
          <cell r="B577">
            <v>180005</v>
          </cell>
          <cell r="C577" t="str">
            <v>Kendaraan</v>
          </cell>
          <cell r="D577" t="str">
            <v>April</v>
          </cell>
          <cell r="F577">
            <v>180005</v>
          </cell>
          <cell r="G577" t="str">
            <v>April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</row>
        <row r="578">
          <cell r="B578">
            <v>180005</v>
          </cell>
          <cell r="C578" t="str">
            <v>Kendaraan</v>
          </cell>
          <cell r="D578" t="str">
            <v>Mei</v>
          </cell>
          <cell r="F578">
            <v>180005</v>
          </cell>
          <cell r="G578" t="str">
            <v>Mei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</row>
        <row r="579">
          <cell r="B579">
            <v>180005</v>
          </cell>
          <cell r="C579" t="str">
            <v>Kendaraan</v>
          </cell>
          <cell r="D579" t="str">
            <v>Juni</v>
          </cell>
          <cell r="F579">
            <v>180005</v>
          </cell>
          <cell r="G579" t="str">
            <v>Juni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</row>
        <row r="580">
          <cell r="B580">
            <v>180005</v>
          </cell>
          <cell r="C580" t="str">
            <v>Kendaraan</v>
          </cell>
          <cell r="D580" t="str">
            <v>Juli</v>
          </cell>
          <cell r="F580">
            <v>180005</v>
          </cell>
          <cell r="G580" t="str">
            <v>Juli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</row>
        <row r="581">
          <cell r="B581">
            <v>180005</v>
          </cell>
          <cell r="C581" t="str">
            <v>Kendaraan</v>
          </cell>
          <cell r="D581" t="str">
            <v>Agustus</v>
          </cell>
          <cell r="F581">
            <v>180005</v>
          </cell>
          <cell r="G581" t="str">
            <v>Agustus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</row>
        <row r="582">
          <cell r="B582">
            <v>180005</v>
          </cell>
          <cell r="C582" t="str">
            <v>Kendaraan</v>
          </cell>
          <cell r="D582" t="str">
            <v>September</v>
          </cell>
          <cell r="F582">
            <v>180005</v>
          </cell>
          <cell r="G582" t="str">
            <v>September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</row>
        <row r="583">
          <cell r="B583">
            <v>180005</v>
          </cell>
          <cell r="C583" t="str">
            <v>Kendaraan</v>
          </cell>
          <cell r="D583" t="str">
            <v>Oktober</v>
          </cell>
          <cell r="F583">
            <v>180005</v>
          </cell>
          <cell r="G583" t="str">
            <v>Oktober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</row>
        <row r="584">
          <cell r="B584">
            <v>180005</v>
          </cell>
          <cell r="C584" t="str">
            <v>Kendaraan</v>
          </cell>
          <cell r="D584" t="str">
            <v>November</v>
          </cell>
          <cell r="F584">
            <v>180005</v>
          </cell>
          <cell r="G584" t="str">
            <v>November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</row>
        <row r="585">
          <cell r="B585">
            <v>180005</v>
          </cell>
          <cell r="C585" t="str">
            <v>Kendaraan</v>
          </cell>
          <cell r="D585" t="str">
            <v>Desember</v>
          </cell>
          <cell r="F585">
            <v>180005</v>
          </cell>
          <cell r="G585" t="str">
            <v>Desember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</row>
        <row r="588">
          <cell r="B588">
            <v>20100</v>
          </cell>
          <cell r="F588">
            <v>201000</v>
          </cell>
          <cell r="G588" t="str">
            <v>HUTANG JANGKA PENDEK</v>
          </cell>
          <cell r="H588">
            <v>0</v>
          </cell>
          <cell r="I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</row>
        <row r="589">
          <cell r="B589">
            <v>200001</v>
          </cell>
          <cell r="C589" t="str">
            <v>Hutang Supplier</v>
          </cell>
          <cell r="E589">
            <v>200.001</v>
          </cell>
          <cell r="F589">
            <v>200001</v>
          </cell>
          <cell r="G589" t="str">
            <v>Hutang Supplier</v>
          </cell>
          <cell r="H589">
            <v>0</v>
          </cell>
          <cell r="I589">
            <v>285405134</v>
          </cell>
          <cell r="J589">
            <v>0</v>
          </cell>
          <cell r="K589">
            <v>0</v>
          </cell>
          <cell r="L589">
            <v>0</v>
          </cell>
          <cell r="M589">
            <v>2413603527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1400000</v>
          </cell>
          <cell r="V589">
            <v>0</v>
          </cell>
          <cell r="W589">
            <v>0</v>
          </cell>
          <cell r="X589">
            <v>2122373566</v>
          </cell>
          <cell r="Y589">
            <v>0</v>
          </cell>
          <cell r="Z589">
            <v>488315418</v>
          </cell>
          <cell r="AA589">
            <v>0</v>
          </cell>
          <cell r="AB589">
            <v>2610688984</v>
          </cell>
          <cell r="AC589">
            <v>2700408661</v>
          </cell>
          <cell r="AD589">
            <v>2610688984</v>
          </cell>
          <cell r="AE589">
            <v>2415003527</v>
          </cell>
        </row>
        <row r="590">
          <cell r="B590">
            <v>200001</v>
          </cell>
          <cell r="C590" t="str">
            <v>Hutang Supplier</v>
          </cell>
          <cell r="D590" t="str">
            <v>Januari</v>
          </cell>
          <cell r="F590">
            <v>200001</v>
          </cell>
          <cell r="G590" t="str">
            <v>Januari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139184245</v>
          </cell>
          <cell r="Y590">
            <v>0</v>
          </cell>
          <cell r="Z590">
            <v>45342057</v>
          </cell>
          <cell r="AA590">
            <v>0</v>
          </cell>
          <cell r="AB590">
            <v>184526302</v>
          </cell>
          <cell r="AC590">
            <v>0</v>
          </cell>
          <cell r="AD590">
            <v>184526302</v>
          </cell>
          <cell r="AE590">
            <v>0</v>
          </cell>
        </row>
        <row r="591">
          <cell r="B591">
            <v>200001</v>
          </cell>
          <cell r="C591" t="str">
            <v>Hutang Supplier</v>
          </cell>
          <cell r="D591" t="str">
            <v>Februari</v>
          </cell>
          <cell r="F591">
            <v>200001</v>
          </cell>
          <cell r="G591" t="str">
            <v>Februari</v>
          </cell>
          <cell r="J591">
            <v>0</v>
          </cell>
          <cell r="K591">
            <v>0</v>
          </cell>
          <cell r="L591">
            <v>0</v>
          </cell>
          <cell r="M591">
            <v>194802033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195519610</v>
          </cell>
          <cell r="Y591">
            <v>0</v>
          </cell>
          <cell r="Z591">
            <v>39160504</v>
          </cell>
          <cell r="AA591">
            <v>0</v>
          </cell>
          <cell r="AB591">
            <v>234680114</v>
          </cell>
          <cell r="AC591">
            <v>194802033</v>
          </cell>
          <cell r="AD591">
            <v>234680114</v>
          </cell>
          <cell r="AE591">
            <v>194802033</v>
          </cell>
        </row>
        <row r="592">
          <cell r="B592">
            <v>200001</v>
          </cell>
          <cell r="C592" t="str">
            <v>Hutang Supplier</v>
          </cell>
          <cell r="D592" t="str">
            <v>Maret</v>
          </cell>
          <cell r="F592">
            <v>200001</v>
          </cell>
          <cell r="G592" t="str">
            <v>Maret</v>
          </cell>
          <cell r="J592">
            <v>0</v>
          </cell>
          <cell r="K592">
            <v>0</v>
          </cell>
          <cell r="L592">
            <v>0</v>
          </cell>
          <cell r="M592">
            <v>134415059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183754465</v>
          </cell>
          <cell r="Y592">
            <v>0</v>
          </cell>
          <cell r="Z592">
            <v>0</v>
          </cell>
          <cell r="AA592">
            <v>0</v>
          </cell>
          <cell r="AB592">
            <v>183754465</v>
          </cell>
          <cell r="AC592">
            <v>134415059</v>
          </cell>
          <cell r="AD592">
            <v>183754465</v>
          </cell>
          <cell r="AE592">
            <v>134415059</v>
          </cell>
        </row>
        <row r="593">
          <cell r="B593">
            <v>200001</v>
          </cell>
          <cell r="C593" t="str">
            <v>Hutang Supplier</v>
          </cell>
          <cell r="D593" t="str">
            <v>April</v>
          </cell>
          <cell r="F593">
            <v>200001</v>
          </cell>
          <cell r="G593" t="str">
            <v>April</v>
          </cell>
          <cell r="J593">
            <v>0</v>
          </cell>
          <cell r="K593">
            <v>0</v>
          </cell>
          <cell r="L593">
            <v>0</v>
          </cell>
          <cell r="M593">
            <v>117704508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190871345</v>
          </cell>
          <cell r="Y593">
            <v>0</v>
          </cell>
          <cell r="Z593">
            <v>38633204</v>
          </cell>
          <cell r="AA593">
            <v>0</v>
          </cell>
          <cell r="AB593">
            <v>229504549</v>
          </cell>
          <cell r="AC593">
            <v>117704508</v>
          </cell>
          <cell r="AD593">
            <v>229504549</v>
          </cell>
          <cell r="AE593">
            <v>117704508</v>
          </cell>
        </row>
        <row r="594">
          <cell r="B594">
            <v>200001</v>
          </cell>
          <cell r="C594" t="str">
            <v>Hutang Supplier</v>
          </cell>
          <cell r="D594" t="str">
            <v>Mei</v>
          </cell>
          <cell r="F594">
            <v>200001</v>
          </cell>
          <cell r="G594" t="str">
            <v>Mei</v>
          </cell>
          <cell r="J594">
            <v>0</v>
          </cell>
          <cell r="K594">
            <v>0</v>
          </cell>
          <cell r="L594">
            <v>0</v>
          </cell>
          <cell r="M594">
            <v>133153228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179329315</v>
          </cell>
          <cell r="Y594">
            <v>0</v>
          </cell>
          <cell r="Z594">
            <v>38756580</v>
          </cell>
          <cell r="AA594">
            <v>0</v>
          </cell>
          <cell r="AB594">
            <v>218085895</v>
          </cell>
          <cell r="AC594">
            <v>133153228</v>
          </cell>
          <cell r="AD594">
            <v>218085895</v>
          </cell>
          <cell r="AE594">
            <v>133153228</v>
          </cell>
        </row>
        <row r="595">
          <cell r="B595">
            <v>200001</v>
          </cell>
          <cell r="C595" t="str">
            <v>Hutang Supplier</v>
          </cell>
          <cell r="D595" t="str">
            <v>Juni</v>
          </cell>
          <cell r="F595">
            <v>200001</v>
          </cell>
          <cell r="G595" t="str">
            <v>Juni</v>
          </cell>
          <cell r="J595">
            <v>0</v>
          </cell>
          <cell r="K595">
            <v>0</v>
          </cell>
          <cell r="L595">
            <v>0</v>
          </cell>
          <cell r="M595">
            <v>116852711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165476104</v>
          </cell>
          <cell r="Y595">
            <v>0</v>
          </cell>
          <cell r="Z595">
            <v>46301262</v>
          </cell>
          <cell r="AA595">
            <v>0</v>
          </cell>
          <cell r="AB595">
            <v>211777366</v>
          </cell>
          <cell r="AC595">
            <v>116852711</v>
          </cell>
          <cell r="AD595">
            <v>211777366</v>
          </cell>
          <cell r="AE595">
            <v>116852711</v>
          </cell>
        </row>
        <row r="596">
          <cell r="B596">
            <v>200001</v>
          </cell>
          <cell r="C596" t="str">
            <v>Hutang Supplier</v>
          </cell>
          <cell r="D596" t="str">
            <v>Juli</v>
          </cell>
          <cell r="F596">
            <v>200001</v>
          </cell>
          <cell r="G596" t="str">
            <v>Juli</v>
          </cell>
          <cell r="J596">
            <v>0</v>
          </cell>
          <cell r="K596">
            <v>0</v>
          </cell>
          <cell r="L596">
            <v>0</v>
          </cell>
          <cell r="M596">
            <v>127096710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198152314</v>
          </cell>
          <cell r="Y596">
            <v>0</v>
          </cell>
          <cell r="Z596">
            <v>52953159</v>
          </cell>
          <cell r="AA596">
            <v>0</v>
          </cell>
          <cell r="AB596">
            <v>251105473</v>
          </cell>
          <cell r="AC596">
            <v>127096710</v>
          </cell>
          <cell r="AD596">
            <v>251105473</v>
          </cell>
          <cell r="AE596">
            <v>127096710</v>
          </cell>
        </row>
        <row r="597">
          <cell r="B597">
            <v>200001</v>
          </cell>
          <cell r="C597" t="str">
            <v>Hutang Supplier</v>
          </cell>
          <cell r="D597" t="str">
            <v>Agustus</v>
          </cell>
          <cell r="F597">
            <v>200001</v>
          </cell>
          <cell r="G597" t="str">
            <v>Agustus</v>
          </cell>
          <cell r="J597">
            <v>0</v>
          </cell>
          <cell r="K597">
            <v>0</v>
          </cell>
          <cell r="L597">
            <v>0</v>
          </cell>
          <cell r="M597">
            <v>127465395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159288736</v>
          </cell>
          <cell r="Y597">
            <v>0</v>
          </cell>
          <cell r="Z597">
            <v>60319804</v>
          </cell>
          <cell r="AA597">
            <v>0</v>
          </cell>
          <cell r="AB597">
            <v>219608540</v>
          </cell>
          <cell r="AC597">
            <v>127465395</v>
          </cell>
          <cell r="AD597">
            <v>219608540</v>
          </cell>
          <cell r="AE597">
            <v>127465395</v>
          </cell>
        </row>
        <row r="598">
          <cell r="B598">
            <v>200001</v>
          </cell>
          <cell r="C598" t="str">
            <v>Hutang Supplier</v>
          </cell>
          <cell r="D598" t="str">
            <v>September</v>
          </cell>
          <cell r="F598">
            <v>200001</v>
          </cell>
          <cell r="G598" t="str">
            <v>September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163165671</v>
          </cell>
          <cell r="Y598">
            <v>0</v>
          </cell>
          <cell r="Z598">
            <v>23604595</v>
          </cell>
          <cell r="AA598">
            <v>0</v>
          </cell>
          <cell r="AB598">
            <v>186770266</v>
          </cell>
          <cell r="AC598">
            <v>0</v>
          </cell>
          <cell r="AD598">
            <v>186770266</v>
          </cell>
          <cell r="AE598">
            <v>0</v>
          </cell>
        </row>
        <row r="599">
          <cell r="B599">
            <v>200001</v>
          </cell>
          <cell r="C599" t="str">
            <v>Hutang Supplier</v>
          </cell>
          <cell r="D599" t="str">
            <v>Oktober</v>
          </cell>
          <cell r="F599">
            <v>200001</v>
          </cell>
          <cell r="G599" t="str">
            <v>Oktober</v>
          </cell>
          <cell r="J599">
            <v>0</v>
          </cell>
          <cell r="K599">
            <v>0</v>
          </cell>
          <cell r="L599">
            <v>0</v>
          </cell>
          <cell r="M599">
            <v>157095094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231204695</v>
          </cell>
          <cell r="Y599">
            <v>0</v>
          </cell>
          <cell r="Z599">
            <v>46987154</v>
          </cell>
          <cell r="AA599">
            <v>0</v>
          </cell>
          <cell r="AB599">
            <v>278191849</v>
          </cell>
          <cell r="AC599">
            <v>157095094</v>
          </cell>
          <cell r="AD599">
            <v>278191849</v>
          </cell>
          <cell r="AE599">
            <v>157095094</v>
          </cell>
        </row>
        <row r="600">
          <cell r="B600">
            <v>200001</v>
          </cell>
          <cell r="C600" t="str">
            <v>Hutang Supplier</v>
          </cell>
          <cell r="D600" t="str">
            <v>November</v>
          </cell>
          <cell r="F600">
            <v>200001</v>
          </cell>
          <cell r="G600" t="str">
            <v>November</v>
          </cell>
          <cell r="J600">
            <v>0</v>
          </cell>
          <cell r="K600">
            <v>0</v>
          </cell>
          <cell r="L600">
            <v>0</v>
          </cell>
          <cell r="M600">
            <v>128883868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1400000</v>
          </cell>
          <cell r="V600">
            <v>0</v>
          </cell>
          <cell r="W600">
            <v>0</v>
          </cell>
          <cell r="X600">
            <v>141359510</v>
          </cell>
          <cell r="Y600">
            <v>0</v>
          </cell>
          <cell r="Z600">
            <v>35746873</v>
          </cell>
          <cell r="AA600">
            <v>0</v>
          </cell>
          <cell r="AB600">
            <v>177106383</v>
          </cell>
          <cell r="AC600">
            <v>130283868</v>
          </cell>
          <cell r="AD600">
            <v>177106383</v>
          </cell>
          <cell r="AE600">
            <v>130283868</v>
          </cell>
        </row>
        <row r="601">
          <cell r="B601">
            <v>200001</v>
          </cell>
          <cell r="C601" t="str">
            <v>Hutang Supplier</v>
          </cell>
          <cell r="D601" t="str">
            <v>Desember</v>
          </cell>
          <cell r="F601">
            <v>200001</v>
          </cell>
          <cell r="G601" t="str">
            <v>Desember</v>
          </cell>
          <cell r="J601">
            <v>0</v>
          </cell>
          <cell r="K601">
            <v>0</v>
          </cell>
          <cell r="L601">
            <v>0</v>
          </cell>
          <cell r="M601">
            <v>1176134921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175067556</v>
          </cell>
          <cell r="Y601">
            <v>0</v>
          </cell>
          <cell r="Z601">
            <v>60510226</v>
          </cell>
          <cell r="AA601">
            <v>0</v>
          </cell>
          <cell r="AB601">
            <v>235577782</v>
          </cell>
          <cell r="AC601">
            <v>1176134921</v>
          </cell>
          <cell r="AD601">
            <v>235577782</v>
          </cell>
          <cell r="AE601">
            <v>1176134921</v>
          </cell>
        </row>
        <row r="602">
          <cell r="B602">
            <v>201001</v>
          </cell>
          <cell r="C602" t="str">
            <v>Hutang Jangka Pendek</v>
          </cell>
          <cell r="E602">
            <v>201.001</v>
          </cell>
          <cell r="F602">
            <v>201001</v>
          </cell>
          <cell r="G602" t="str">
            <v>Hutang Jangka Pendek</v>
          </cell>
          <cell r="H602">
            <v>0</v>
          </cell>
          <cell r="I602">
            <v>285405134</v>
          </cell>
          <cell r="J602">
            <v>0</v>
          </cell>
          <cell r="K602">
            <v>0</v>
          </cell>
          <cell r="L602">
            <v>0</v>
          </cell>
          <cell r="M602">
            <v>253934522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39150550</v>
          </cell>
          <cell r="AA602">
            <v>0</v>
          </cell>
          <cell r="AB602">
            <v>39150550</v>
          </cell>
          <cell r="AC602">
            <v>539339656</v>
          </cell>
          <cell r="AD602">
            <v>39150550</v>
          </cell>
          <cell r="AE602">
            <v>253934522</v>
          </cell>
        </row>
        <row r="603">
          <cell r="B603">
            <v>201001</v>
          </cell>
          <cell r="C603" t="str">
            <v>Hutang Jangka Pendek</v>
          </cell>
          <cell r="D603" t="str">
            <v>Januari</v>
          </cell>
          <cell r="F603">
            <v>201001</v>
          </cell>
          <cell r="G603" t="str">
            <v>Januari</v>
          </cell>
          <cell r="J603">
            <v>0</v>
          </cell>
          <cell r="K603">
            <v>0</v>
          </cell>
          <cell r="L603">
            <v>0</v>
          </cell>
          <cell r="M603">
            <v>147887961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147887961</v>
          </cell>
          <cell r="AD603">
            <v>0</v>
          </cell>
          <cell r="AE603">
            <v>147887961</v>
          </cell>
        </row>
        <row r="604">
          <cell r="B604">
            <v>201001</v>
          </cell>
          <cell r="C604" t="str">
            <v>Hutang Jangka Pendek</v>
          </cell>
          <cell r="D604" t="str">
            <v>Februari</v>
          </cell>
          <cell r="F604">
            <v>201001</v>
          </cell>
          <cell r="G604" t="str">
            <v>Februari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</row>
        <row r="605">
          <cell r="B605">
            <v>201001</v>
          </cell>
          <cell r="C605" t="str">
            <v>Hutang Jangka Pendek</v>
          </cell>
          <cell r="D605" t="str">
            <v>Maret</v>
          </cell>
          <cell r="F605">
            <v>201001</v>
          </cell>
          <cell r="G605" t="str">
            <v>Maret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39150550</v>
          </cell>
          <cell r="AA605">
            <v>0</v>
          </cell>
          <cell r="AB605">
            <v>39150550</v>
          </cell>
          <cell r="AC605">
            <v>0</v>
          </cell>
          <cell r="AD605">
            <v>39150550</v>
          </cell>
          <cell r="AE605">
            <v>0</v>
          </cell>
        </row>
        <row r="606">
          <cell r="B606">
            <v>201001</v>
          </cell>
          <cell r="C606" t="str">
            <v>Hutang Jangka Pendek</v>
          </cell>
          <cell r="D606" t="str">
            <v>April</v>
          </cell>
          <cell r="F606">
            <v>201001</v>
          </cell>
          <cell r="G606" t="str">
            <v>April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</row>
        <row r="607">
          <cell r="B607">
            <v>201001</v>
          </cell>
          <cell r="C607" t="str">
            <v>Hutang Jangka Pendek</v>
          </cell>
          <cell r="D607" t="str">
            <v>Mei</v>
          </cell>
          <cell r="F607">
            <v>201001</v>
          </cell>
          <cell r="G607" t="str">
            <v>Mei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</row>
        <row r="608">
          <cell r="B608">
            <v>201001</v>
          </cell>
          <cell r="C608" t="str">
            <v>Hutang Jangka Pendek</v>
          </cell>
          <cell r="D608" t="str">
            <v>Juni</v>
          </cell>
          <cell r="F608">
            <v>201001</v>
          </cell>
          <cell r="G608" t="str">
            <v>Juni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</row>
        <row r="609">
          <cell r="B609">
            <v>201001</v>
          </cell>
          <cell r="C609" t="str">
            <v>Hutang Jangka Pendek</v>
          </cell>
          <cell r="D609" t="str">
            <v>Juli</v>
          </cell>
          <cell r="F609">
            <v>201001</v>
          </cell>
          <cell r="G609" t="str">
            <v>Juli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</row>
        <row r="610">
          <cell r="B610">
            <v>201001</v>
          </cell>
          <cell r="C610" t="str">
            <v>Hutang Jangka Pendek</v>
          </cell>
          <cell r="D610" t="str">
            <v>Agustus</v>
          </cell>
          <cell r="F610">
            <v>201001</v>
          </cell>
          <cell r="G610" t="str">
            <v>Agustus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</row>
        <row r="611">
          <cell r="B611">
            <v>201001</v>
          </cell>
          <cell r="C611" t="str">
            <v>Hutang Jangka Pendek</v>
          </cell>
          <cell r="D611" t="str">
            <v>September</v>
          </cell>
          <cell r="F611">
            <v>201001</v>
          </cell>
          <cell r="G611" t="str">
            <v>September</v>
          </cell>
          <cell r="J611">
            <v>0</v>
          </cell>
          <cell r="K611">
            <v>0</v>
          </cell>
          <cell r="L611">
            <v>0</v>
          </cell>
          <cell r="M611">
            <v>106046561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106046561</v>
          </cell>
          <cell r="AD611">
            <v>0</v>
          </cell>
          <cell r="AE611">
            <v>106046561</v>
          </cell>
        </row>
        <row r="612">
          <cell r="B612">
            <v>201001</v>
          </cell>
          <cell r="C612" t="str">
            <v>Hutang Jangka Pendek</v>
          </cell>
          <cell r="D612" t="str">
            <v>Oktober</v>
          </cell>
          <cell r="F612">
            <v>201001</v>
          </cell>
          <cell r="G612" t="str">
            <v>Oktober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</row>
        <row r="613">
          <cell r="B613">
            <v>201001</v>
          </cell>
          <cell r="C613" t="str">
            <v>Hutang Jangka Pendek</v>
          </cell>
          <cell r="D613" t="str">
            <v>November</v>
          </cell>
          <cell r="F613">
            <v>201001</v>
          </cell>
          <cell r="G613" t="str">
            <v>November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</row>
        <row r="614">
          <cell r="B614">
            <v>201001</v>
          </cell>
          <cell r="C614" t="str">
            <v>Hutang Jangka Pendek</v>
          </cell>
          <cell r="D614" t="str">
            <v>Desember</v>
          </cell>
          <cell r="F614">
            <v>201001</v>
          </cell>
          <cell r="G614" t="str">
            <v>Desember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</row>
        <row r="615">
          <cell r="B615">
            <v>203004</v>
          </cell>
          <cell r="C615" t="str">
            <v>Hutang On Risk</v>
          </cell>
          <cell r="E615">
            <v>203.00399999999999</v>
          </cell>
          <cell r="F615">
            <v>203004</v>
          </cell>
          <cell r="G615" t="str">
            <v>Hutang On Risk</v>
          </cell>
          <cell r="H615">
            <v>0</v>
          </cell>
          <cell r="I615">
            <v>13523180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120650000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200000</v>
          </cell>
          <cell r="AA615">
            <v>0</v>
          </cell>
          <cell r="AB615">
            <v>200000</v>
          </cell>
          <cell r="AC615">
            <v>134173180</v>
          </cell>
          <cell r="AD615">
            <v>200000</v>
          </cell>
          <cell r="AE615">
            <v>120650000</v>
          </cell>
        </row>
        <row r="616">
          <cell r="B616">
            <v>203004</v>
          </cell>
          <cell r="C616" t="str">
            <v>Hutang On Risk</v>
          </cell>
          <cell r="D616" t="str">
            <v>Januari</v>
          </cell>
          <cell r="F616">
            <v>203004</v>
          </cell>
          <cell r="G616" t="str">
            <v>Januari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6400000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6400000</v>
          </cell>
          <cell r="AD616">
            <v>0</v>
          </cell>
          <cell r="AE616">
            <v>6400000</v>
          </cell>
        </row>
        <row r="617">
          <cell r="B617">
            <v>203004</v>
          </cell>
          <cell r="C617" t="str">
            <v>Hutang On Risk</v>
          </cell>
          <cell r="D617" t="str">
            <v>Februari</v>
          </cell>
          <cell r="F617">
            <v>203004</v>
          </cell>
          <cell r="G617" t="str">
            <v>Februari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10800000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10800000</v>
          </cell>
          <cell r="AD617">
            <v>0</v>
          </cell>
          <cell r="AE617">
            <v>10800000</v>
          </cell>
        </row>
        <row r="618">
          <cell r="B618">
            <v>203004</v>
          </cell>
          <cell r="C618" t="str">
            <v>Hutang On Risk</v>
          </cell>
          <cell r="D618" t="str">
            <v>Maret</v>
          </cell>
          <cell r="F618">
            <v>203004</v>
          </cell>
          <cell r="G618" t="str">
            <v>Maret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10400000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10400000</v>
          </cell>
          <cell r="AD618">
            <v>0</v>
          </cell>
          <cell r="AE618">
            <v>10400000</v>
          </cell>
        </row>
        <row r="619">
          <cell r="B619">
            <v>203004</v>
          </cell>
          <cell r="C619" t="str">
            <v>Hutang On Risk</v>
          </cell>
          <cell r="D619" t="str">
            <v>April</v>
          </cell>
          <cell r="F619">
            <v>203004</v>
          </cell>
          <cell r="G619" t="str">
            <v>April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14600000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14600000</v>
          </cell>
          <cell r="AD619">
            <v>0</v>
          </cell>
          <cell r="AE619">
            <v>14600000</v>
          </cell>
        </row>
        <row r="620">
          <cell r="B620">
            <v>203004</v>
          </cell>
          <cell r="C620" t="str">
            <v>Hutang On Risk</v>
          </cell>
          <cell r="D620" t="str">
            <v>Mei</v>
          </cell>
          <cell r="F620">
            <v>203004</v>
          </cell>
          <cell r="G620" t="str">
            <v>Mei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12900000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12900000</v>
          </cell>
          <cell r="AD620">
            <v>0</v>
          </cell>
          <cell r="AE620">
            <v>12900000</v>
          </cell>
        </row>
        <row r="621">
          <cell r="B621">
            <v>203004</v>
          </cell>
          <cell r="C621" t="str">
            <v>Hutang On Risk</v>
          </cell>
          <cell r="D621" t="str">
            <v>Juni</v>
          </cell>
          <cell r="F621">
            <v>203004</v>
          </cell>
          <cell r="G621" t="str">
            <v>Juni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6600000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6600000</v>
          </cell>
          <cell r="AD621">
            <v>0</v>
          </cell>
          <cell r="AE621">
            <v>6600000</v>
          </cell>
        </row>
        <row r="622">
          <cell r="B622">
            <v>203004</v>
          </cell>
          <cell r="C622" t="str">
            <v>Hutang On Risk</v>
          </cell>
          <cell r="D622" t="str">
            <v>Juli</v>
          </cell>
          <cell r="F622">
            <v>203004</v>
          </cell>
          <cell r="G622" t="str">
            <v>Juli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10200000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10200000</v>
          </cell>
          <cell r="AD622">
            <v>0</v>
          </cell>
          <cell r="AE622">
            <v>10200000</v>
          </cell>
        </row>
        <row r="623">
          <cell r="B623">
            <v>203004</v>
          </cell>
          <cell r="C623" t="str">
            <v>Hutang On Risk</v>
          </cell>
          <cell r="D623" t="str">
            <v>Agustus</v>
          </cell>
          <cell r="F623">
            <v>203004</v>
          </cell>
          <cell r="G623" t="str">
            <v>Agustus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9200000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9200000</v>
          </cell>
          <cell r="AD623">
            <v>0</v>
          </cell>
          <cell r="AE623">
            <v>9200000</v>
          </cell>
        </row>
        <row r="624">
          <cell r="B624">
            <v>203004</v>
          </cell>
          <cell r="C624" t="str">
            <v>Hutang On Risk</v>
          </cell>
          <cell r="D624" t="str">
            <v>September</v>
          </cell>
          <cell r="F624">
            <v>203004</v>
          </cell>
          <cell r="G624" t="str">
            <v>September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10600000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10600000</v>
          </cell>
          <cell r="AD624">
            <v>0</v>
          </cell>
          <cell r="AE624">
            <v>10600000</v>
          </cell>
        </row>
        <row r="625">
          <cell r="B625">
            <v>203004</v>
          </cell>
          <cell r="C625" t="str">
            <v>Hutang On Risk</v>
          </cell>
          <cell r="D625" t="str">
            <v>Oktober</v>
          </cell>
          <cell r="F625">
            <v>203004</v>
          </cell>
          <cell r="G625" t="str">
            <v>Oktober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8150000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8150000</v>
          </cell>
          <cell r="AD625">
            <v>0</v>
          </cell>
          <cell r="AE625">
            <v>8150000</v>
          </cell>
        </row>
        <row r="626">
          <cell r="B626">
            <v>203004</v>
          </cell>
          <cell r="C626" t="str">
            <v>Hutang On Risk</v>
          </cell>
          <cell r="D626" t="str">
            <v>November</v>
          </cell>
          <cell r="F626">
            <v>203004</v>
          </cell>
          <cell r="G626" t="str">
            <v>November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9800000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200000</v>
          </cell>
          <cell r="AA626">
            <v>0</v>
          </cell>
          <cell r="AB626">
            <v>200000</v>
          </cell>
          <cell r="AC626">
            <v>9800000</v>
          </cell>
          <cell r="AD626">
            <v>200000</v>
          </cell>
          <cell r="AE626">
            <v>9800000</v>
          </cell>
        </row>
        <row r="627">
          <cell r="B627">
            <v>203004</v>
          </cell>
          <cell r="C627" t="str">
            <v>Hutang On Risk</v>
          </cell>
          <cell r="D627" t="str">
            <v>Desember</v>
          </cell>
          <cell r="F627">
            <v>203004</v>
          </cell>
          <cell r="G627" t="str">
            <v>Desember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11000000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11000000</v>
          </cell>
          <cell r="AD627">
            <v>0</v>
          </cell>
          <cell r="AE627">
            <v>11000000</v>
          </cell>
        </row>
        <row r="628">
          <cell r="B628">
            <v>203002</v>
          </cell>
          <cell r="C628" t="str">
            <v>Hutang Uang Muka</v>
          </cell>
          <cell r="E628">
            <v>203.00200000000001</v>
          </cell>
          <cell r="F628">
            <v>203002</v>
          </cell>
          <cell r="G628" t="str">
            <v>Hutang Uang Muka</v>
          </cell>
          <cell r="H628">
            <v>7805000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116928175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132230006</v>
          </cell>
          <cell r="AA628">
            <v>0</v>
          </cell>
          <cell r="AB628">
            <v>140035006</v>
          </cell>
          <cell r="AC628">
            <v>116928175</v>
          </cell>
          <cell r="AD628">
            <v>132230006</v>
          </cell>
          <cell r="AE628">
            <v>0</v>
          </cell>
        </row>
        <row r="629">
          <cell r="B629">
            <v>203002</v>
          </cell>
          <cell r="C629" t="str">
            <v>Hutang Uang Muka</v>
          </cell>
          <cell r="D629" t="str">
            <v>Januari</v>
          </cell>
          <cell r="F629">
            <v>203002</v>
          </cell>
          <cell r="G629" t="str">
            <v>Januari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7884700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9900700</v>
          </cell>
          <cell r="AA629">
            <v>0</v>
          </cell>
          <cell r="AB629">
            <v>9900700</v>
          </cell>
          <cell r="AC629">
            <v>7884700</v>
          </cell>
          <cell r="AD629">
            <v>9900700</v>
          </cell>
          <cell r="AE629">
            <v>0</v>
          </cell>
        </row>
        <row r="630">
          <cell r="B630">
            <v>203002</v>
          </cell>
          <cell r="C630" t="str">
            <v>Hutang Uang Muka</v>
          </cell>
          <cell r="D630" t="str">
            <v>Februari</v>
          </cell>
          <cell r="F630">
            <v>203002</v>
          </cell>
          <cell r="G630" t="str">
            <v>Februari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650000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10882656</v>
          </cell>
          <cell r="AA630">
            <v>0</v>
          </cell>
          <cell r="AB630">
            <v>10882656</v>
          </cell>
          <cell r="AC630">
            <v>650000</v>
          </cell>
          <cell r="AD630">
            <v>10882656</v>
          </cell>
          <cell r="AE630">
            <v>0</v>
          </cell>
        </row>
        <row r="631">
          <cell r="B631">
            <v>203002</v>
          </cell>
          <cell r="C631" t="str">
            <v>Hutang Uang Muka</v>
          </cell>
          <cell r="D631" t="str">
            <v>Maret</v>
          </cell>
          <cell r="F631">
            <v>203002</v>
          </cell>
          <cell r="G631" t="str">
            <v>Maret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8193025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8193025</v>
          </cell>
          <cell r="AA631">
            <v>0</v>
          </cell>
          <cell r="AB631">
            <v>8193025</v>
          </cell>
          <cell r="AC631">
            <v>8193025</v>
          </cell>
          <cell r="AD631">
            <v>8193025</v>
          </cell>
          <cell r="AE631">
            <v>0</v>
          </cell>
        </row>
        <row r="632">
          <cell r="B632">
            <v>203002</v>
          </cell>
          <cell r="C632" t="str">
            <v>Hutang Uang Muka</v>
          </cell>
          <cell r="D632" t="str">
            <v>April</v>
          </cell>
          <cell r="F632">
            <v>203002</v>
          </cell>
          <cell r="G632" t="str">
            <v>April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9573575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9573575</v>
          </cell>
          <cell r="AA632">
            <v>0</v>
          </cell>
          <cell r="AB632">
            <v>9573575</v>
          </cell>
          <cell r="AC632">
            <v>9573575</v>
          </cell>
          <cell r="AD632">
            <v>9573575</v>
          </cell>
          <cell r="AE632">
            <v>0</v>
          </cell>
        </row>
        <row r="633">
          <cell r="B633">
            <v>203002</v>
          </cell>
          <cell r="C633" t="str">
            <v>Hutang Uang Muka</v>
          </cell>
          <cell r="D633" t="str">
            <v>Mei</v>
          </cell>
          <cell r="F633">
            <v>203002</v>
          </cell>
          <cell r="G633" t="str">
            <v>Mei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11396900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11396900</v>
          </cell>
          <cell r="AA633">
            <v>0</v>
          </cell>
          <cell r="AB633">
            <v>11396900</v>
          </cell>
          <cell r="AC633">
            <v>11396900</v>
          </cell>
          <cell r="AD633">
            <v>11396900</v>
          </cell>
          <cell r="AE633">
            <v>0</v>
          </cell>
        </row>
        <row r="634">
          <cell r="B634">
            <v>203002</v>
          </cell>
          <cell r="C634" t="str">
            <v>Hutang Uang Muka</v>
          </cell>
          <cell r="D634" t="str">
            <v>Juni</v>
          </cell>
          <cell r="F634">
            <v>203002</v>
          </cell>
          <cell r="G634" t="str">
            <v>Juni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11381900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11381900</v>
          </cell>
          <cell r="AA634">
            <v>0</v>
          </cell>
          <cell r="AB634">
            <v>11381900</v>
          </cell>
          <cell r="AC634">
            <v>11381900</v>
          </cell>
          <cell r="AD634">
            <v>11381900</v>
          </cell>
          <cell r="AE634">
            <v>0</v>
          </cell>
        </row>
        <row r="635">
          <cell r="B635">
            <v>203002</v>
          </cell>
          <cell r="C635" t="str">
            <v>Hutang Uang Muka</v>
          </cell>
          <cell r="D635" t="str">
            <v>Juli</v>
          </cell>
          <cell r="F635">
            <v>203002</v>
          </cell>
          <cell r="G635" t="str">
            <v>Juli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11381900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11381900</v>
          </cell>
          <cell r="AA635">
            <v>0</v>
          </cell>
          <cell r="AB635">
            <v>11381900</v>
          </cell>
          <cell r="AC635">
            <v>11381900</v>
          </cell>
          <cell r="AD635">
            <v>11381900</v>
          </cell>
          <cell r="AE635">
            <v>0</v>
          </cell>
        </row>
        <row r="636">
          <cell r="B636">
            <v>203002</v>
          </cell>
          <cell r="C636" t="str">
            <v>Hutang Uang Muka</v>
          </cell>
          <cell r="D636" t="str">
            <v>Agustus</v>
          </cell>
          <cell r="F636">
            <v>203002</v>
          </cell>
          <cell r="G636" t="str">
            <v>Agustus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11381900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14435075</v>
          </cell>
          <cell r="AA636">
            <v>0</v>
          </cell>
          <cell r="AB636">
            <v>14435075</v>
          </cell>
          <cell r="AC636">
            <v>11381900</v>
          </cell>
          <cell r="AD636">
            <v>14435075</v>
          </cell>
          <cell r="AE636">
            <v>0</v>
          </cell>
        </row>
        <row r="637">
          <cell r="B637">
            <v>203002</v>
          </cell>
          <cell r="C637" t="str">
            <v>Hutang Uang Muka</v>
          </cell>
          <cell r="D637" t="str">
            <v>September</v>
          </cell>
          <cell r="F637">
            <v>203002</v>
          </cell>
          <cell r="G637" t="str">
            <v>September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11381900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11381900</v>
          </cell>
          <cell r="AA637">
            <v>0</v>
          </cell>
          <cell r="AB637">
            <v>11381900</v>
          </cell>
          <cell r="AC637">
            <v>11381900</v>
          </cell>
          <cell r="AD637">
            <v>11381900</v>
          </cell>
          <cell r="AE637">
            <v>0</v>
          </cell>
        </row>
        <row r="638">
          <cell r="B638">
            <v>203002</v>
          </cell>
          <cell r="C638" t="str">
            <v>Hutang Uang Muka</v>
          </cell>
          <cell r="D638" t="str">
            <v>Oktober</v>
          </cell>
          <cell r="F638">
            <v>203002</v>
          </cell>
          <cell r="G638" t="str">
            <v>Oktober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11381900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11381900</v>
          </cell>
          <cell r="AA638">
            <v>0</v>
          </cell>
          <cell r="AB638">
            <v>11381900</v>
          </cell>
          <cell r="AC638">
            <v>11381900</v>
          </cell>
          <cell r="AD638">
            <v>11381900</v>
          </cell>
          <cell r="AE638">
            <v>0</v>
          </cell>
        </row>
        <row r="639">
          <cell r="B639">
            <v>203002</v>
          </cell>
          <cell r="C639" t="str">
            <v>Hutang Uang Muka</v>
          </cell>
          <cell r="D639" t="str">
            <v>November</v>
          </cell>
          <cell r="F639">
            <v>203002</v>
          </cell>
          <cell r="G639" t="str">
            <v>November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11381900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11381900</v>
          </cell>
          <cell r="AA639">
            <v>0</v>
          </cell>
          <cell r="AB639">
            <v>11381900</v>
          </cell>
          <cell r="AC639">
            <v>11381900</v>
          </cell>
          <cell r="AD639">
            <v>11381900</v>
          </cell>
          <cell r="AE639">
            <v>0</v>
          </cell>
        </row>
        <row r="640">
          <cell r="B640">
            <v>203002</v>
          </cell>
          <cell r="C640" t="str">
            <v>Hutang Uang Muka</v>
          </cell>
          <cell r="D640" t="str">
            <v>Desember</v>
          </cell>
          <cell r="F640">
            <v>203002</v>
          </cell>
          <cell r="G640" t="str">
            <v>Desember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10938575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10938575</v>
          </cell>
          <cell r="AA640">
            <v>0</v>
          </cell>
          <cell r="AB640">
            <v>10938575</v>
          </cell>
          <cell r="AC640">
            <v>10938575</v>
          </cell>
          <cell r="AD640">
            <v>10938575</v>
          </cell>
          <cell r="AE640">
            <v>0</v>
          </cell>
        </row>
        <row r="641">
          <cell r="B641">
            <v>203003</v>
          </cell>
          <cell r="C641" t="str">
            <v>Biaya Dibayar di Muka</v>
          </cell>
          <cell r="E641">
            <v>203.00299999999999</v>
          </cell>
          <cell r="F641">
            <v>203003</v>
          </cell>
          <cell r="G641" t="str">
            <v>Biaya Dibayar di Muka</v>
          </cell>
          <cell r="H641">
            <v>0</v>
          </cell>
          <cell r="I641">
            <v>2770000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7234700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10004700</v>
          </cell>
          <cell r="AD641">
            <v>0</v>
          </cell>
          <cell r="AE641">
            <v>0</v>
          </cell>
        </row>
        <row r="642">
          <cell r="B642">
            <v>203003</v>
          </cell>
          <cell r="C642" t="str">
            <v>Biaya Dibayar di Muka</v>
          </cell>
          <cell r="D642" t="str">
            <v>Januari</v>
          </cell>
          <cell r="F642">
            <v>203003</v>
          </cell>
          <cell r="G642" t="str">
            <v>Januari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</row>
        <row r="643">
          <cell r="B643">
            <v>203003</v>
          </cell>
          <cell r="C643" t="str">
            <v>Biaya Dibayar di Muka</v>
          </cell>
          <cell r="D643" t="str">
            <v>Februari</v>
          </cell>
          <cell r="F643">
            <v>203003</v>
          </cell>
          <cell r="G643" t="str">
            <v>Februari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7234700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7234700</v>
          </cell>
          <cell r="AD643">
            <v>0</v>
          </cell>
          <cell r="AE643">
            <v>0</v>
          </cell>
        </row>
        <row r="644">
          <cell r="B644">
            <v>203003</v>
          </cell>
          <cell r="C644" t="str">
            <v>Biaya Dibayar di Muka</v>
          </cell>
          <cell r="D644" t="str">
            <v>Maret</v>
          </cell>
          <cell r="F644">
            <v>203003</v>
          </cell>
          <cell r="G644" t="str">
            <v>Maret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</row>
        <row r="645">
          <cell r="B645">
            <v>203003</v>
          </cell>
          <cell r="C645" t="str">
            <v>Biaya Dibayar di Muka</v>
          </cell>
          <cell r="D645" t="str">
            <v>April</v>
          </cell>
          <cell r="F645">
            <v>203003</v>
          </cell>
          <cell r="G645" t="str">
            <v>April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</row>
        <row r="646">
          <cell r="B646">
            <v>203003</v>
          </cell>
          <cell r="C646" t="str">
            <v>Biaya Dibayar di Muka</v>
          </cell>
          <cell r="D646" t="str">
            <v>Mei</v>
          </cell>
          <cell r="F646">
            <v>203003</v>
          </cell>
          <cell r="G646" t="str">
            <v>Mei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</row>
        <row r="647">
          <cell r="B647">
            <v>203003</v>
          </cell>
          <cell r="C647" t="str">
            <v>Biaya Dibayar di Muka</v>
          </cell>
          <cell r="D647" t="str">
            <v>Juni</v>
          </cell>
          <cell r="F647">
            <v>203003</v>
          </cell>
          <cell r="G647" t="str">
            <v>Juni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</row>
        <row r="648">
          <cell r="B648">
            <v>203003</v>
          </cell>
          <cell r="C648" t="str">
            <v>Biaya Dibayar di Muka</v>
          </cell>
          <cell r="D648" t="str">
            <v>Juli</v>
          </cell>
          <cell r="F648">
            <v>203003</v>
          </cell>
          <cell r="G648" t="str">
            <v>Juli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</row>
        <row r="649">
          <cell r="B649">
            <v>203003</v>
          </cell>
          <cell r="C649" t="str">
            <v>Biaya Dibayar di Muka</v>
          </cell>
          <cell r="D649" t="str">
            <v>Agustus</v>
          </cell>
          <cell r="F649">
            <v>203003</v>
          </cell>
          <cell r="G649" t="str">
            <v>Agustus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</row>
        <row r="650">
          <cell r="B650">
            <v>203003</v>
          </cell>
          <cell r="C650" t="str">
            <v>Biaya Dibayar di Muka</v>
          </cell>
          <cell r="D650" t="str">
            <v>September</v>
          </cell>
          <cell r="F650">
            <v>203003</v>
          </cell>
          <cell r="G650" t="str">
            <v>September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</row>
        <row r="651">
          <cell r="B651">
            <v>203003</v>
          </cell>
          <cell r="C651" t="str">
            <v>Biaya Dibayar di Muka</v>
          </cell>
          <cell r="D651" t="str">
            <v>Oktober</v>
          </cell>
          <cell r="F651">
            <v>203003</v>
          </cell>
          <cell r="G651" t="str">
            <v>Oktober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</row>
        <row r="652">
          <cell r="B652">
            <v>203003</v>
          </cell>
          <cell r="C652" t="str">
            <v>Biaya Dibayar di Muka</v>
          </cell>
          <cell r="D652" t="str">
            <v>November</v>
          </cell>
          <cell r="F652">
            <v>203003</v>
          </cell>
          <cell r="G652" t="str">
            <v>November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</row>
        <row r="653">
          <cell r="B653">
            <v>203003</v>
          </cell>
          <cell r="C653" t="str">
            <v>Biaya Dibayar di Muka</v>
          </cell>
          <cell r="D653" t="str">
            <v>Desember</v>
          </cell>
          <cell r="F653">
            <v>203003</v>
          </cell>
          <cell r="G653" t="str">
            <v>Desember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</row>
        <row r="654">
          <cell r="B654">
            <v>203005</v>
          </cell>
          <cell r="C654" t="str">
            <v>Biaya Yang Masih Harus Dibayar</v>
          </cell>
          <cell r="E654">
            <v>203.005</v>
          </cell>
          <cell r="F654">
            <v>203005</v>
          </cell>
          <cell r="G654" t="str">
            <v>Biaya Yang Masih Harus Dibayar</v>
          </cell>
          <cell r="H654">
            <v>0</v>
          </cell>
          <cell r="I654">
            <v>14854290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14854290</v>
          </cell>
          <cell r="AD654">
            <v>0</v>
          </cell>
          <cell r="AE654">
            <v>0</v>
          </cell>
        </row>
        <row r="655">
          <cell r="B655">
            <v>203005</v>
          </cell>
          <cell r="C655" t="str">
            <v>Biaya Yang Masih Harus Dibayar</v>
          </cell>
          <cell r="D655" t="str">
            <v>Januari</v>
          </cell>
          <cell r="F655">
            <v>203005</v>
          </cell>
          <cell r="G655" t="str">
            <v>Januari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</row>
        <row r="656">
          <cell r="B656">
            <v>203005</v>
          </cell>
          <cell r="C656" t="str">
            <v>Biaya Yang Masih Harus Dibayar</v>
          </cell>
          <cell r="D656" t="str">
            <v>Februari</v>
          </cell>
          <cell r="F656">
            <v>203005</v>
          </cell>
          <cell r="G656" t="str">
            <v>Februari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</row>
        <row r="657">
          <cell r="B657">
            <v>203005</v>
          </cell>
          <cell r="C657" t="str">
            <v>Biaya Yang Masih Harus Dibayar</v>
          </cell>
          <cell r="D657" t="str">
            <v>Maret</v>
          </cell>
          <cell r="F657">
            <v>203005</v>
          </cell>
          <cell r="G657" t="str">
            <v>Maret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</row>
        <row r="658">
          <cell r="B658">
            <v>203005</v>
          </cell>
          <cell r="C658" t="str">
            <v>Biaya Yang Masih Harus Dibayar</v>
          </cell>
          <cell r="D658" t="str">
            <v>April</v>
          </cell>
          <cell r="F658">
            <v>203005</v>
          </cell>
          <cell r="G658" t="str">
            <v>April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</row>
        <row r="659">
          <cell r="B659">
            <v>203005</v>
          </cell>
          <cell r="C659" t="str">
            <v>Biaya Yang Masih Harus Dibayar</v>
          </cell>
          <cell r="D659" t="str">
            <v>Mei</v>
          </cell>
          <cell r="F659">
            <v>203005</v>
          </cell>
          <cell r="G659" t="str">
            <v>Mei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</row>
        <row r="660">
          <cell r="B660">
            <v>203005</v>
          </cell>
          <cell r="C660" t="str">
            <v>Biaya Yang Masih Harus Dibayar</v>
          </cell>
          <cell r="D660" t="str">
            <v>Juni</v>
          </cell>
          <cell r="F660">
            <v>203005</v>
          </cell>
          <cell r="G660" t="str">
            <v>Juni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</row>
        <row r="661">
          <cell r="B661">
            <v>203005</v>
          </cell>
          <cell r="C661" t="str">
            <v>Biaya Yang Masih Harus Dibayar</v>
          </cell>
          <cell r="D661" t="str">
            <v>Juli</v>
          </cell>
          <cell r="F661">
            <v>203005</v>
          </cell>
          <cell r="G661" t="str">
            <v>Juli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</row>
        <row r="662">
          <cell r="B662">
            <v>203005</v>
          </cell>
          <cell r="C662" t="str">
            <v>Biaya Yang Masih Harus Dibayar</v>
          </cell>
          <cell r="D662" t="str">
            <v>Agustus</v>
          </cell>
          <cell r="F662">
            <v>203005</v>
          </cell>
          <cell r="G662" t="str">
            <v>Agustus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</row>
        <row r="663">
          <cell r="B663">
            <v>203005</v>
          </cell>
          <cell r="C663" t="str">
            <v>Biaya Yang Masih Harus Dibayar</v>
          </cell>
          <cell r="D663" t="str">
            <v>September</v>
          </cell>
          <cell r="F663">
            <v>203005</v>
          </cell>
          <cell r="G663" t="str">
            <v>September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</row>
        <row r="664">
          <cell r="B664">
            <v>203005</v>
          </cell>
          <cell r="C664" t="str">
            <v>Biaya Yang Masih Harus Dibayar</v>
          </cell>
          <cell r="D664" t="str">
            <v>Oktober</v>
          </cell>
          <cell r="F664">
            <v>203005</v>
          </cell>
          <cell r="G664" t="str">
            <v>Oktober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</row>
        <row r="665">
          <cell r="B665">
            <v>203005</v>
          </cell>
          <cell r="C665" t="str">
            <v>Biaya Yang Masih Harus Dibayar</v>
          </cell>
          <cell r="D665" t="str">
            <v>November</v>
          </cell>
          <cell r="F665">
            <v>203005</v>
          </cell>
          <cell r="G665" t="str">
            <v>November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</row>
        <row r="666">
          <cell r="B666">
            <v>203005</v>
          </cell>
          <cell r="C666" t="str">
            <v>Biaya Yang Masih Harus Dibayar</v>
          </cell>
          <cell r="D666" t="str">
            <v>Desember</v>
          </cell>
          <cell r="F666">
            <v>203005</v>
          </cell>
          <cell r="G666" t="str">
            <v>Desember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</row>
        <row r="667">
          <cell r="B667">
            <v>203006</v>
          </cell>
          <cell r="C667" t="str">
            <v>Lain-Lain</v>
          </cell>
          <cell r="E667">
            <v>203.006</v>
          </cell>
          <cell r="F667">
            <v>203006</v>
          </cell>
          <cell r="G667" t="str">
            <v>Lain-Lain</v>
          </cell>
          <cell r="H667">
            <v>3520000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3520000</v>
          </cell>
          <cell r="AC667">
            <v>0</v>
          </cell>
          <cell r="AD667">
            <v>0</v>
          </cell>
          <cell r="AE667">
            <v>0</v>
          </cell>
        </row>
        <row r="668">
          <cell r="B668">
            <v>203006</v>
          </cell>
          <cell r="C668" t="str">
            <v>Lain-Lain</v>
          </cell>
          <cell r="D668" t="str">
            <v>Januari</v>
          </cell>
          <cell r="F668">
            <v>203006</v>
          </cell>
          <cell r="G668" t="str">
            <v>Januari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</row>
        <row r="669">
          <cell r="B669">
            <v>203006</v>
          </cell>
          <cell r="C669" t="str">
            <v>Lain-Lain</v>
          </cell>
          <cell r="D669" t="str">
            <v>Februari</v>
          </cell>
          <cell r="F669">
            <v>203006</v>
          </cell>
          <cell r="G669" t="str">
            <v>Februari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</row>
        <row r="670">
          <cell r="B670">
            <v>203006</v>
          </cell>
          <cell r="C670" t="str">
            <v>Lain-Lain</v>
          </cell>
          <cell r="D670" t="str">
            <v>Maret</v>
          </cell>
          <cell r="F670">
            <v>203006</v>
          </cell>
          <cell r="G670" t="str">
            <v>Maret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</row>
        <row r="671">
          <cell r="B671">
            <v>203006</v>
          </cell>
          <cell r="C671" t="str">
            <v>Lain-Lain</v>
          </cell>
          <cell r="D671" t="str">
            <v>April</v>
          </cell>
          <cell r="F671">
            <v>203006</v>
          </cell>
          <cell r="G671" t="str">
            <v>April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</row>
        <row r="672">
          <cell r="B672">
            <v>203006</v>
          </cell>
          <cell r="C672" t="str">
            <v>Lain-Lain</v>
          </cell>
          <cell r="D672" t="str">
            <v>Mei</v>
          </cell>
          <cell r="F672">
            <v>203006</v>
          </cell>
          <cell r="G672" t="str">
            <v>Mei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</row>
        <row r="673">
          <cell r="B673">
            <v>203006</v>
          </cell>
          <cell r="C673" t="str">
            <v>Lain-Lain</v>
          </cell>
          <cell r="D673" t="str">
            <v>Juni</v>
          </cell>
          <cell r="F673">
            <v>203006</v>
          </cell>
          <cell r="G673" t="str">
            <v>Juni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</row>
        <row r="674">
          <cell r="B674">
            <v>203006</v>
          </cell>
          <cell r="C674" t="str">
            <v>Lain-Lain</v>
          </cell>
          <cell r="D674" t="str">
            <v>Juli</v>
          </cell>
          <cell r="F674">
            <v>203006</v>
          </cell>
          <cell r="G674" t="str">
            <v>Juli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</row>
        <row r="675">
          <cell r="B675">
            <v>203006</v>
          </cell>
          <cell r="C675" t="str">
            <v>Lain-Lain</v>
          </cell>
          <cell r="D675" t="str">
            <v>Agustus</v>
          </cell>
          <cell r="F675">
            <v>203006</v>
          </cell>
          <cell r="G675" t="str">
            <v>Agustus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</row>
        <row r="676">
          <cell r="B676">
            <v>203006</v>
          </cell>
          <cell r="C676" t="str">
            <v>Lain-Lain</v>
          </cell>
          <cell r="D676" t="str">
            <v>September</v>
          </cell>
          <cell r="F676">
            <v>203006</v>
          </cell>
          <cell r="G676" t="str">
            <v>September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</row>
        <row r="677">
          <cell r="B677">
            <v>203006</v>
          </cell>
          <cell r="C677" t="str">
            <v>Lain-Lain</v>
          </cell>
          <cell r="D677" t="str">
            <v>Oktober</v>
          </cell>
          <cell r="F677">
            <v>203006</v>
          </cell>
          <cell r="G677" t="str">
            <v>Oktober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</row>
        <row r="678">
          <cell r="B678">
            <v>203006</v>
          </cell>
          <cell r="C678" t="str">
            <v>Lain-Lain</v>
          </cell>
          <cell r="D678" t="str">
            <v>November</v>
          </cell>
          <cell r="F678">
            <v>203006</v>
          </cell>
          <cell r="G678" t="str">
            <v>November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</row>
        <row r="679">
          <cell r="B679">
            <v>203006</v>
          </cell>
          <cell r="C679" t="str">
            <v>Lain-Lain</v>
          </cell>
          <cell r="D679" t="str">
            <v>Desember</v>
          </cell>
          <cell r="F679">
            <v>203006</v>
          </cell>
          <cell r="G679" t="str">
            <v>Desember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</row>
        <row r="680">
          <cell r="B680">
            <v>203007</v>
          </cell>
          <cell r="C680" t="str">
            <v>Jamsostek</v>
          </cell>
          <cell r="E680">
            <v>203.00700000000001</v>
          </cell>
          <cell r="F680">
            <v>203007</v>
          </cell>
          <cell r="G680" t="str">
            <v>Jamsostek</v>
          </cell>
          <cell r="H680">
            <v>0</v>
          </cell>
          <cell r="I680">
            <v>1351808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12428985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82906469</v>
          </cell>
          <cell r="AA680">
            <v>0</v>
          </cell>
          <cell r="AB680">
            <v>82906469</v>
          </cell>
          <cell r="AC680">
            <v>13780793</v>
          </cell>
          <cell r="AD680">
            <v>82906469</v>
          </cell>
          <cell r="AE680">
            <v>0</v>
          </cell>
        </row>
        <row r="681">
          <cell r="B681">
            <v>203007</v>
          </cell>
          <cell r="C681" t="str">
            <v>Jamsostek</v>
          </cell>
          <cell r="D681" t="str">
            <v>Januari</v>
          </cell>
          <cell r="F681">
            <v>203007</v>
          </cell>
          <cell r="G681" t="str">
            <v>Januari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877450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4164892</v>
          </cell>
          <cell r="AA681">
            <v>0</v>
          </cell>
          <cell r="AB681">
            <v>4164892</v>
          </cell>
          <cell r="AC681">
            <v>877450</v>
          </cell>
          <cell r="AD681">
            <v>4164892</v>
          </cell>
          <cell r="AE681">
            <v>0</v>
          </cell>
        </row>
        <row r="682">
          <cell r="B682">
            <v>203007</v>
          </cell>
          <cell r="C682" t="str">
            <v>Jamsostek</v>
          </cell>
          <cell r="D682" t="str">
            <v>Februari</v>
          </cell>
          <cell r="F682">
            <v>203007</v>
          </cell>
          <cell r="G682" t="str">
            <v>Februari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1024500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4843365</v>
          </cell>
          <cell r="AA682">
            <v>0</v>
          </cell>
          <cell r="AB682">
            <v>4843365</v>
          </cell>
          <cell r="AC682">
            <v>1024500</v>
          </cell>
          <cell r="AD682">
            <v>4843365</v>
          </cell>
          <cell r="AE682">
            <v>0</v>
          </cell>
        </row>
        <row r="683">
          <cell r="B683">
            <v>203007</v>
          </cell>
          <cell r="C683" t="str">
            <v>Jamsostek</v>
          </cell>
          <cell r="D683" t="str">
            <v>Maret</v>
          </cell>
          <cell r="F683">
            <v>203007</v>
          </cell>
          <cell r="G683" t="str">
            <v>Maret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1024500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7508214</v>
          </cell>
          <cell r="AA683">
            <v>0</v>
          </cell>
          <cell r="AB683">
            <v>7508214</v>
          </cell>
          <cell r="AC683">
            <v>1024500</v>
          </cell>
          <cell r="AD683">
            <v>7508214</v>
          </cell>
          <cell r="AE683">
            <v>0</v>
          </cell>
        </row>
        <row r="684">
          <cell r="B684">
            <v>203007</v>
          </cell>
          <cell r="C684" t="str">
            <v>Jamsostek</v>
          </cell>
          <cell r="D684" t="str">
            <v>April</v>
          </cell>
          <cell r="F684">
            <v>203007</v>
          </cell>
          <cell r="G684" t="str">
            <v>April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1024500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7525574</v>
          </cell>
          <cell r="AA684">
            <v>0</v>
          </cell>
          <cell r="AB684">
            <v>7525574</v>
          </cell>
          <cell r="AC684">
            <v>1024500</v>
          </cell>
          <cell r="AD684">
            <v>7525574</v>
          </cell>
          <cell r="AE684">
            <v>0</v>
          </cell>
        </row>
        <row r="685">
          <cell r="B685">
            <v>203007</v>
          </cell>
          <cell r="C685" t="str">
            <v>Jamsostek</v>
          </cell>
          <cell r="D685" t="str">
            <v>Mei</v>
          </cell>
          <cell r="F685">
            <v>203007</v>
          </cell>
          <cell r="G685" t="str">
            <v>Mei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1024500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7508215</v>
          </cell>
          <cell r="AA685">
            <v>0</v>
          </cell>
          <cell r="AB685">
            <v>7508215</v>
          </cell>
          <cell r="AC685">
            <v>1024500</v>
          </cell>
          <cell r="AD685">
            <v>7508215</v>
          </cell>
          <cell r="AE685">
            <v>0</v>
          </cell>
        </row>
        <row r="686">
          <cell r="B686">
            <v>203007</v>
          </cell>
          <cell r="C686" t="str">
            <v>Jamsostek</v>
          </cell>
          <cell r="D686" t="str">
            <v>Juni</v>
          </cell>
          <cell r="F686">
            <v>203007</v>
          </cell>
          <cell r="G686" t="str">
            <v>Juni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1024500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7721995</v>
          </cell>
          <cell r="AA686">
            <v>0</v>
          </cell>
          <cell r="AB686">
            <v>7721995</v>
          </cell>
          <cell r="AC686">
            <v>1024500</v>
          </cell>
          <cell r="AD686">
            <v>7721995</v>
          </cell>
          <cell r="AE686">
            <v>0</v>
          </cell>
        </row>
        <row r="687">
          <cell r="B687">
            <v>203007</v>
          </cell>
          <cell r="C687" t="str">
            <v>Jamsostek</v>
          </cell>
          <cell r="D687" t="str">
            <v>Juli</v>
          </cell>
          <cell r="F687">
            <v>203007</v>
          </cell>
          <cell r="G687" t="str">
            <v>Juli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1024500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2776850</v>
          </cell>
          <cell r="AA687">
            <v>0</v>
          </cell>
          <cell r="AB687">
            <v>2776850</v>
          </cell>
          <cell r="AC687">
            <v>1024500</v>
          </cell>
          <cell r="AD687">
            <v>2776850</v>
          </cell>
          <cell r="AE687">
            <v>0</v>
          </cell>
        </row>
        <row r="688">
          <cell r="B688">
            <v>203007</v>
          </cell>
          <cell r="C688" t="str">
            <v>Jamsostek</v>
          </cell>
          <cell r="D688" t="str">
            <v>Agustus</v>
          </cell>
          <cell r="F688">
            <v>203007</v>
          </cell>
          <cell r="G688" t="str">
            <v>Agustus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1024500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9686730</v>
          </cell>
          <cell r="AA688">
            <v>0</v>
          </cell>
          <cell r="AB688">
            <v>9686730</v>
          </cell>
          <cell r="AC688">
            <v>1024500</v>
          </cell>
          <cell r="AD688">
            <v>9686730</v>
          </cell>
          <cell r="AE688">
            <v>0</v>
          </cell>
        </row>
        <row r="689">
          <cell r="B689">
            <v>203007</v>
          </cell>
          <cell r="C689" t="str">
            <v>Jamsostek</v>
          </cell>
          <cell r="D689" t="str">
            <v>September</v>
          </cell>
          <cell r="F689">
            <v>203007</v>
          </cell>
          <cell r="G689" t="str">
            <v>September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1335785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7835691</v>
          </cell>
          <cell r="AA689">
            <v>0</v>
          </cell>
          <cell r="AB689">
            <v>7835691</v>
          </cell>
          <cell r="AC689">
            <v>1335785</v>
          </cell>
          <cell r="AD689">
            <v>7835691</v>
          </cell>
          <cell r="AE689">
            <v>0</v>
          </cell>
        </row>
        <row r="690">
          <cell r="B690">
            <v>203007</v>
          </cell>
          <cell r="C690" t="str">
            <v>Jamsostek</v>
          </cell>
          <cell r="D690" t="str">
            <v>Oktober</v>
          </cell>
          <cell r="F690">
            <v>203007</v>
          </cell>
          <cell r="G690" t="str">
            <v>Oktober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1024500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7835691</v>
          </cell>
          <cell r="AA690">
            <v>0</v>
          </cell>
          <cell r="AB690">
            <v>7835691</v>
          </cell>
          <cell r="AC690">
            <v>1024500</v>
          </cell>
          <cell r="AD690">
            <v>7835691</v>
          </cell>
          <cell r="AE690">
            <v>0</v>
          </cell>
        </row>
        <row r="691">
          <cell r="B691">
            <v>203007</v>
          </cell>
          <cell r="C691" t="str">
            <v>Jamsostek</v>
          </cell>
          <cell r="D691" t="str">
            <v>November</v>
          </cell>
          <cell r="F691">
            <v>203007</v>
          </cell>
          <cell r="G691" t="str">
            <v>November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1024500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7835691</v>
          </cell>
          <cell r="AA691">
            <v>0</v>
          </cell>
          <cell r="AB691">
            <v>7835691</v>
          </cell>
          <cell r="AC691">
            <v>1024500</v>
          </cell>
          <cell r="AD691">
            <v>7835691</v>
          </cell>
          <cell r="AE691">
            <v>0</v>
          </cell>
        </row>
        <row r="692">
          <cell r="B692">
            <v>203007</v>
          </cell>
          <cell r="C692" t="str">
            <v>Jamsostek</v>
          </cell>
          <cell r="D692" t="str">
            <v>Desember</v>
          </cell>
          <cell r="F692">
            <v>203007</v>
          </cell>
          <cell r="G692" t="str">
            <v>Desember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995250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7663561</v>
          </cell>
          <cell r="AA692">
            <v>0</v>
          </cell>
          <cell r="AB692">
            <v>7663561</v>
          </cell>
          <cell r="AC692">
            <v>995250</v>
          </cell>
          <cell r="AD692">
            <v>7663561</v>
          </cell>
          <cell r="AE692">
            <v>0</v>
          </cell>
        </row>
        <row r="693">
          <cell r="B693">
            <v>190001</v>
          </cell>
          <cell r="C693" t="str">
            <v>Pendapatan Diterima Dimuka</v>
          </cell>
          <cell r="E693">
            <v>190.001</v>
          </cell>
          <cell r="F693">
            <v>190001</v>
          </cell>
          <cell r="G693" t="str">
            <v>Pendapatan Diterima Dimuka</v>
          </cell>
          <cell r="H693">
            <v>0</v>
          </cell>
          <cell r="I693">
            <v>35373641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406014850</v>
          </cell>
          <cell r="V693">
            <v>0</v>
          </cell>
          <cell r="W693">
            <v>1900001</v>
          </cell>
          <cell r="X693">
            <v>0</v>
          </cell>
          <cell r="Y693">
            <v>0</v>
          </cell>
          <cell r="Z693">
            <v>451826600</v>
          </cell>
          <cell r="AA693">
            <v>0</v>
          </cell>
          <cell r="AB693">
            <v>451826600</v>
          </cell>
          <cell r="AC693">
            <v>443288492</v>
          </cell>
          <cell r="AD693">
            <v>451826600</v>
          </cell>
          <cell r="AE693">
            <v>407914851</v>
          </cell>
        </row>
        <row r="694">
          <cell r="B694">
            <v>190001</v>
          </cell>
          <cell r="C694" t="str">
            <v>Pendapatan Diterima Dimuka</v>
          </cell>
          <cell r="D694" t="str">
            <v>Januari</v>
          </cell>
          <cell r="F694">
            <v>190001</v>
          </cell>
          <cell r="G694" t="str">
            <v>Januari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57276000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81698500</v>
          </cell>
          <cell r="AA694">
            <v>0</v>
          </cell>
          <cell r="AB694">
            <v>81698500</v>
          </cell>
          <cell r="AC694">
            <v>57276000</v>
          </cell>
          <cell r="AD694">
            <v>81698500</v>
          </cell>
          <cell r="AE694">
            <v>57276000</v>
          </cell>
        </row>
        <row r="695">
          <cell r="B695">
            <v>190001</v>
          </cell>
          <cell r="C695" t="str">
            <v>Pendapatan Diterima Dimuka</v>
          </cell>
          <cell r="D695" t="str">
            <v>Februari</v>
          </cell>
          <cell r="F695">
            <v>190001</v>
          </cell>
          <cell r="G695" t="str">
            <v>Februari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23523000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14862750</v>
          </cell>
          <cell r="AA695">
            <v>0</v>
          </cell>
          <cell r="AB695">
            <v>14862750</v>
          </cell>
          <cell r="AC695">
            <v>23523000</v>
          </cell>
          <cell r="AD695">
            <v>14862750</v>
          </cell>
          <cell r="AE695">
            <v>23523000</v>
          </cell>
        </row>
        <row r="696">
          <cell r="B696">
            <v>190001</v>
          </cell>
          <cell r="C696" t="str">
            <v>Pendapatan Diterima Dimuka</v>
          </cell>
          <cell r="D696" t="str">
            <v>Maret</v>
          </cell>
          <cell r="F696">
            <v>190001</v>
          </cell>
          <cell r="G696" t="str">
            <v>Maret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35002600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18992600</v>
          </cell>
          <cell r="AA696">
            <v>0</v>
          </cell>
          <cell r="AB696">
            <v>18992600</v>
          </cell>
          <cell r="AC696">
            <v>35002600</v>
          </cell>
          <cell r="AD696">
            <v>18992600</v>
          </cell>
          <cell r="AE696">
            <v>35002600</v>
          </cell>
        </row>
        <row r="697">
          <cell r="B697">
            <v>190001</v>
          </cell>
          <cell r="C697" t="str">
            <v>Pendapatan Diterima Dimuka</v>
          </cell>
          <cell r="D697" t="str">
            <v>April</v>
          </cell>
          <cell r="F697">
            <v>190001</v>
          </cell>
          <cell r="G697" t="str">
            <v>April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52997250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23358500</v>
          </cell>
          <cell r="AA697">
            <v>0</v>
          </cell>
          <cell r="AB697">
            <v>23358500</v>
          </cell>
          <cell r="AC697">
            <v>52997250</v>
          </cell>
          <cell r="AD697">
            <v>23358500</v>
          </cell>
          <cell r="AE697">
            <v>52997250</v>
          </cell>
        </row>
        <row r="698">
          <cell r="B698">
            <v>190001</v>
          </cell>
          <cell r="C698" t="str">
            <v>Pendapatan Diterima Dimuka</v>
          </cell>
          <cell r="D698" t="str">
            <v>Mei</v>
          </cell>
          <cell r="F698">
            <v>190001</v>
          </cell>
          <cell r="G698" t="str">
            <v>Mei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27986000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45563750</v>
          </cell>
          <cell r="AA698">
            <v>0</v>
          </cell>
          <cell r="AB698">
            <v>45563750</v>
          </cell>
          <cell r="AC698">
            <v>27986000</v>
          </cell>
          <cell r="AD698">
            <v>45563750</v>
          </cell>
          <cell r="AE698">
            <v>27986000</v>
          </cell>
        </row>
        <row r="699">
          <cell r="B699">
            <v>190001</v>
          </cell>
          <cell r="C699" t="str">
            <v>Pendapatan Diterima Dimuka</v>
          </cell>
          <cell r="D699" t="str">
            <v>Juni</v>
          </cell>
          <cell r="F699">
            <v>190001</v>
          </cell>
          <cell r="G699" t="str">
            <v>Juni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22469000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69262500</v>
          </cell>
          <cell r="AA699">
            <v>0</v>
          </cell>
          <cell r="AB699">
            <v>69262500</v>
          </cell>
          <cell r="AC699">
            <v>22469000</v>
          </cell>
          <cell r="AD699">
            <v>69262500</v>
          </cell>
          <cell r="AE699">
            <v>22469000</v>
          </cell>
        </row>
        <row r="700">
          <cell r="B700">
            <v>190001</v>
          </cell>
          <cell r="C700" t="str">
            <v>Pendapatan Diterima Dimuka</v>
          </cell>
          <cell r="D700" t="str">
            <v>Juli</v>
          </cell>
          <cell r="F700">
            <v>190001</v>
          </cell>
          <cell r="G700" t="str">
            <v>Juli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13323000</v>
          </cell>
          <cell r="V700">
            <v>0</v>
          </cell>
          <cell r="W700">
            <v>1000001</v>
          </cell>
          <cell r="X700">
            <v>0</v>
          </cell>
          <cell r="Y700">
            <v>0</v>
          </cell>
          <cell r="Z700">
            <v>17707000</v>
          </cell>
          <cell r="AA700">
            <v>0</v>
          </cell>
          <cell r="AB700">
            <v>17707000</v>
          </cell>
          <cell r="AC700">
            <v>14323001</v>
          </cell>
          <cell r="AD700">
            <v>17707000</v>
          </cell>
          <cell r="AE700">
            <v>14323001</v>
          </cell>
        </row>
        <row r="701">
          <cell r="B701">
            <v>190001</v>
          </cell>
          <cell r="C701" t="str">
            <v>Pendapatan Diterima Dimuka</v>
          </cell>
          <cell r="D701" t="str">
            <v>Agustus</v>
          </cell>
          <cell r="F701">
            <v>190001</v>
          </cell>
          <cell r="G701" t="str">
            <v>Agustus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60347000</v>
          </cell>
          <cell r="V701">
            <v>0</v>
          </cell>
          <cell r="W701">
            <v>900000</v>
          </cell>
          <cell r="X701">
            <v>0</v>
          </cell>
          <cell r="Y701">
            <v>0</v>
          </cell>
          <cell r="Z701">
            <v>60179000</v>
          </cell>
          <cell r="AA701">
            <v>0</v>
          </cell>
          <cell r="AB701">
            <v>60179000</v>
          </cell>
          <cell r="AC701">
            <v>61247000</v>
          </cell>
          <cell r="AD701">
            <v>60179000</v>
          </cell>
          <cell r="AE701">
            <v>61247000</v>
          </cell>
        </row>
        <row r="702">
          <cell r="B702">
            <v>190001</v>
          </cell>
          <cell r="C702" t="str">
            <v>Pendapatan Diterima Dimuka</v>
          </cell>
          <cell r="D702" t="str">
            <v>September</v>
          </cell>
          <cell r="F702">
            <v>190001</v>
          </cell>
          <cell r="G702" t="str">
            <v>September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14333000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10300000</v>
          </cell>
          <cell r="AA702">
            <v>0</v>
          </cell>
          <cell r="AB702">
            <v>10300000</v>
          </cell>
          <cell r="AC702">
            <v>14333000</v>
          </cell>
          <cell r="AD702">
            <v>10300000</v>
          </cell>
          <cell r="AE702">
            <v>14333000</v>
          </cell>
        </row>
        <row r="703">
          <cell r="B703">
            <v>190001</v>
          </cell>
          <cell r="C703" t="str">
            <v>Pendapatan Diterima Dimuka</v>
          </cell>
          <cell r="D703" t="str">
            <v>Oktober</v>
          </cell>
          <cell r="F703">
            <v>190001</v>
          </cell>
          <cell r="G703" t="str">
            <v>Oktober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60405000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36582000</v>
          </cell>
          <cell r="AA703">
            <v>0</v>
          </cell>
          <cell r="AB703">
            <v>36582000</v>
          </cell>
          <cell r="AC703">
            <v>60405000</v>
          </cell>
          <cell r="AD703">
            <v>36582000</v>
          </cell>
          <cell r="AE703">
            <v>60405000</v>
          </cell>
        </row>
        <row r="704">
          <cell r="B704">
            <v>190001</v>
          </cell>
          <cell r="C704" t="str">
            <v>Pendapatan Diterima Dimuka</v>
          </cell>
          <cell r="D704" t="str">
            <v>November</v>
          </cell>
          <cell r="F704">
            <v>190001</v>
          </cell>
          <cell r="G704" t="str">
            <v>November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11938000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41693000</v>
          </cell>
          <cell r="AA704">
            <v>0</v>
          </cell>
          <cell r="AB704">
            <v>41693000</v>
          </cell>
          <cell r="AC704">
            <v>11938000</v>
          </cell>
          <cell r="AD704">
            <v>41693000</v>
          </cell>
          <cell r="AE704">
            <v>11938000</v>
          </cell>
        </row>
        <row r="705">
          <cell r="B705">
            <v>190001</v>
          </cell>
          <cell r="C705" t="str">
            <v>Pendapatan Diterima Dimuka</v>
          </cell>
          <cell r="D705" t="str">
            <v>Desember</v>
          </cell>
          <cell r="F705">
            <v>190001</v>
          </cell>
          <cell r="G705" t="str">
            <v>Desember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26415000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31627000</v>
          </cell>
          <cell r="AA705">
            <v>0</v>
          </cell>
          <cell r="AB705">
            <v>31627000</v>
          </cell>
          <cell r="AC705">
            <v>26415000</v>
          </cell>
          <cell r="AD705">
            <v>31627000</v>
          </cell>
          <cell r="AE705">
            <v>26415000</v>
          </cell>
        </row>
        <row r="706">
          <cell r="B706">
            <v>203008</v>
          </cell>
          <cell r="C706" t="str">
            <v>Hutang Koperasi Gunung Madu</v>
          </cell>
          <cell r="E706">
            <v>203.00800000000001</v>
          </cell>
          <cell r="F706">
            <v>203008</v>
          </cell>
          <cell r="G706" t="str">
            <v>Hutang Koperasi Gunung Madu</v>
          </cell>
          <cell r="H706">
            <v>0</v>
          </cell>
          <cell r="I706">
            <v>788125275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400000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788525275</v>
          </cell>
          <cell r="AD706">
            <v>0</v>
          </cell>
          <cell r="AE706">
            <v>400000</v>
          </cell>
        </row>
        <row r="707">
          <cell r="B707">
            <v>203008</v>
          </cell>
          <cell r="C707" t="str">
            <v>Hutang Koperasi Gunung Madu</v>
          </cell>
          <cell r="D707" t="str">
            <v>Januari</v>
          </cell>
          <cell r="F707">
            <v>203008</v>
          </cell>
          <cell r="G707" t="str">
            <v>Januari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</row>
        <row r="708">
          <cell r="B708">
            <v>203008</v>
          </cell>
          <cell r="C708" t="str">
            <v>Hutang Koperasi Gunung Madu</v>
          </cell>
          <cell r="D708" t="str">
            <v>Februari</v>
          </cell>
          <cell r="F708">
            <v>203008</v>
          </cell>
          <cell r="G708" t="str">
            <v>Februari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</row>
        <row r="709">
          <cell r="B709">
            <v>203008</v>
          </cell>
          <cell r="C709" t="str">
            <v>Hutang Koperasi Gunung Madu</v>
          </cell>
          <cell r="D709" t="str">
            <v>Maret</v>
          </cell>
          <cell r="F709">
            <v>203008</v>
          </cell>
          <cell r="G709" t="str">
            <v>Maret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</row>
        <row r="710">
          <cell r="B710">
            <v>203008</v>
          </cell>
          <cell r="C710" t="str">
            <v>Hutang Koperasi Gunung Madu</v>
          </cell>
          <cell r="D710" t="str">
            <v>April</v>
          </cell>
          <cell r="F710">
            <v>203008</v>
          </cell>
          <cell r="G710" t="str">
            <v>April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</row>
        <row r="711">
          <cell r="B711">
            <v>203008</v>
          </cell>
          <cell r="C711" t="str">
            <v>Hutang Koperasi Gunung Madu</v>
          </cell>
          <cell r="D711" t="str">
            <v>Mei</v>
          </cell>
          <cell r="F711">
            <v>203008</v>
          </cell>
          <cell r="G711" t="str">
            <v>Mei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</row>
        <row r="712">
          <cell r="B712">
            <v>203008</v>
          </cell>
          <cell r="C712" t="str">
            <v>Hutang Koperasi Gunung Madu</v>
          </cell>
          <cell r="D712" t="str">
            <v>Juni</v>
          </cell>
          <cell r="F712">
            <v>203008</v>
          </cell>
          <cell r="G712" t="str">
            <v>Juni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</row>
        <row r="713">
          <cell r="B713">
            <v>203008</v>
          </cell>
          <cell r="C713" t="str">
            <v>Hutang Koperasi Gunung Madu</v>
          </cell>
          <cell r="D713" t="str">
            <v>Juli</v>
          </cell>
          <cell r="F713">
            <v>203008</v>
          </cell>
          <cell r="G713" t="str">
            <v>Juli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</row>
        <row r="714">
          <cell r="B714">
            <v>203008</v>
          </cell>
          <cell r="C714" t="str">
            <v>Hutang Koperasi Gunung Madu</v>
          </cell>
          <cell r="D714" t="str">
            <v>Agustus</v>
          </cell>
          <cell r="F714">
            <v>203008</v>
          </cell>
          <cell r="G714" t="str">
            <v>Agustus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</row>
        <row r="715">
          <cell r="B715">
            <v>203008</v>
          </cell>
          <cell r="C715" t="str">
            <v>Hutang Koperasi Gunung Madu</v>
          </cell>
          <cell r="D715" t="str">
            <v>September</v>
          </cell>
          <cell r="F715">
            <v>203008</v>
          </cell>
          <cell r="G715" t="str">
            <v>September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</row>
        <row r="716">
          <cell r="B716">
            <v>203008</v>
          </cell>
          <cell r="C716" t="str">
            <v>Hutang Koperasi Gunung Madu</v>
          </cell>
          <cell r="D716" t="str">
            <v>Oktober</v>
          </cell>
          <cell r="F716">
            <v>203008</v>
          </cell>
          <cell r="G716" t="str">
            <v>Oktober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400000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400000</v>
          </cell>
          <cell r="AD716">
            <v>0</v>
          </cell>
          <cell r="AE716">
            <v>400000</v>
          </cell>
        </row>
        <row r="717">
          <cell r="B717">
            <v>203008</v>
          </cell>
          <cell r="C717" t="str">
            <v>Hutang Koperasi Gunung Madu</v>
          </cell>
          <cell r="D717" t="str">
            <v>November</v>
          </cell>
          <cell r="F717">
            <v>203008</v>
          </cell>
          <cell r="G717" t="str">
            <v>November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</row>
        <row r="718">
          <cell r="B718">
            <v>203008</v>
          </cell>
          <cell r="C718" t="str">
            <v>Hutang Koperasi Gunung Madu</v>
          </cell>
          <cell r="D718" t="str">
            <v>Desember</v>
          </cell>
          <cell r="F718">
            <v>203008</v>
          </cell>
          <cell r="G718" t="str">
            <v>Desember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</row>
        <row r="719">
          <cell r="B719">
            <v>204001</v>
          </cell>
          <cell r="C719" t="str">
            <v>PPh 21</v>
          </cell>
          <cell r="E719">
            <v>204.001</v>
          </cell>
          <cell r="F719">
            <v>204001</v>
          </cell>
          <cell r="G719" t="str">
            <v>PPh 21</v>
          </cell>
          <cell r="H719">
            <v>0</v>
          </cell>
          <cell r="I719">
            <v>1877734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1877734</v>
          </cell>
          <cell r="AD719">
            <v>0</v>
          </cell>
          <cell r="AE719">
            <v>0</v>
          </cell>
        </row>
        <row r="720">
          <cell r="B720">
            <v>204001</v>
          </cell>
          <cell r="C720" t="str">
            <v>PPh 21</v>
          </cell>
          <cell r="D720" t="str">
            <v>Januari</v>
          </cell>
          <cell r="F720">
            <v>204001</v>
          </cell>
          <cell r="G720" t="str">
            <v>Januari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</row>
        <row r="721">
          <cell r="B721">
            <v>204001</v>
          </cell>
          <cell r="C721" t="str">
            <v>PPh 21</v>
          </cell>
          <cell r="D721" t="str">
            <v>Februari</v>
          </cell>
          <cell r="F721">
            <v>204001</v>
          </cell>
          <cell r="G721" t="str">
            <v>Februari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</row>
        <row r="722">
          <cell r="B722">
            <v>204001</v>
          </cell>
          <cell r="C722" t="str">
            <v>PPh 21</v>
          </cell>
          <cell r="D722" t="str">
            <v>Maret</v>
          </cell>
          <cell r="F722">
            <v>204001</v>
          </cell>
          <cell r="G722" t="str">
            <v>Maret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</row>
        <row r="723">
          <cell r="B723">
            <v>204001</v>
          </cell>
          <cell r="C723" t="str">
            <v>PPh 21</v>
          </cell>
          <cell r="D723" t="str">
            <v>April</v>
          </cell>
          <cell r="F723">
            <v>204001</v>
          </cell>
          <cell r="G723" t="str">
            <v>April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</row>
        <row r="724">
          <cell r="B724">
            <v>204001</v>
          </cell>
          <cell r="C724" t="str">
            <v>PPh 21</v>
          </cell>
          <cell r="D724" t="str">
            <v>Mei</v>
          </cell>
          <cell r="F724">
            <v>204001</v>
          </cell>
          <cell r="G724" t="str">
            <v>Mei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</row>
        <row r="725">
          <cell r="B725">
            <v>204001</v>
          </cell>
          <cell r="C725" t="str">
            <v>PPh 21</v>
          </cell>
          <cell r="D725" t="str">
            <v>Juni</v>
          </cell>
          <cell r="F725">
            <v>204001</v>
          </cell>
          <cell r="G725" t="str">
            <v>Juni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</row>
        <row r="726">
          <cell r="B726">
            <v>204001</v>
          </cell>
          <cell r="C726" t="str">
            <v>PPh 21</v>
          </cell>
          <cell r="D726" t="str">
            <v>Juli</v>
          </cell>
          <cell r="F726">
            <v>204001</v>
          </cell>
          <cell r="G726" t="str">
            <v>Juli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</row>
        <row r="727">
          <cell r="B727">
            <v>204001</v>
          </cell>
          <cell r="C727" t="str">
            <v>PPh 21</v>
          </cell>
          <cell r="D727" t="str">
            <v>Agustus</v>
          </cell>
          <cell r="F727">
            <v>204001</v>
          </cell>
          <cell r="G727" t="str">
            <v>Agustus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</row>
        <row r="728">
          <cell r="B728">
            <v>204001</v>
          </cell>
          <cell r="C728" t="str">
            <v>PPh 21</v>
          </cell>
          <cell r="D728" t="str">
            <v>September</v>
          </cell>
          <cell r="F728">
            <v>204001</v>
          </cell>
          <cell r="G728" t="str">
            <v>September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</row>
        <row r="729">
          <cell r="B729">
            <v>204001</v>
          </cell>
          <cell r="C729" t="str">
            <v>PPh 21</v>
          </cell>
          <cell r="D729" t="str">
            <v>Oktober</v>
          </cell>
          <cell r="F729">
            <v>204001</v>
          </cell>
          <cell r="G729" t="str">
            <v>Oktober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</row>
        <row r="730">
          <cell r="B730">
            <v>204001</v>
          </cell>
          <cell r="C730" t="str">
            <v>PPh 21</v>
          </cell>
          <cell r="D730" t="str">
            <v>November</v>
          </cell>
          <cell r="F730">
            <v>204001</v>
          </cell>
          <cell r="G730" t="str">
            <v>November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</row>
        <row r="731">
          <cell r="B731">
            <v>204001</v>
          </cell>
          <cell r="C731" t="str">
            <v>PPh 21</v>
          </cell>
          <cell r="D731" t="str">
            <v>Desember</v>
          </cell>
          <cell r="F731">
            <v>204001</v>
          </cell>
          <cell r="G731" t="str">
            <v>Desember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</row>
        <row r="732">
          <cell r="B732">
            <v>204004</v>
          </cell>
          <cell r="C732" t="str">
            <v>PPN</v>
          </cell>
          <cell r="E732">
            <v>204.00399999999999</v>
          </cell>
          <cell r="F732">
            <v>204004</v>
          </cell>
          <cell r="G732" t="str">
            <v>PPN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</row>
        <row r="733">
          <cell r="B733">
            <v>204004</v>
          </cell>
          <cell r="C733" t="str">
            <v>PPN</v>
          </cell>
          <cell r="D733" t="str">
            <v>Januari</v>
          </cell>
          <cell r="F733">
            <v>204004</v>
          </cell>
          <cell r="G733" t="str">
            <v>Januari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</row>
        <row r="734">
          <cell r="B734">
            <v>204004</v>
          </cell>
          <cell r="C734" t="str">
            <v>PPN</v>
          </cell>
          <cell r="D734" t="str">
            <v>Februari</v>
          </cell>
          <cell r="F734">
            <v>204004</v>
          </cell>
          <cell r="G734" t="str">
            <v>Februari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</row>
        <row r="735">
          <cell r="B735">
            <v>204004</v>
          </cell>
          <cell r="C735" t="str">
            <v>PPN</v>
          </cell>
          <cell r="D735" t="str">
            <v>Maret</v>
          </cell>
          <cell r="F735">
            <v>204004</v>
          </cell>
          <cell r="G735" t="str">
            <v>Maret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</row>
        <row r="736">
          <cell r="B736">
            <v>204004</v>
          </cell>
          <cell r="C736" t="str">
            <v>PPN</v>
          </cell>
          <cell r="D736" t="str">
            <v>April</v>
          </cell>
          <cell r="F736">
            <v>204004</v>
          </cell>
          <cell r="G736" t="str">
            <v>April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</row>
        <row r="737">
          <cell r="B737">
            <v>204004</v>
          </cell>
          <cell r="C737" t="str">
            <v>PPN</v>
          </cell>
          <cell r="D737" t="str">
            <v>Mei</v>
          </cell>
          <cell r="F737">
            <v>204004</v>
          </cell>
          <cell r="G737" t="str">
            <v>Mei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</row>
        <row r="738">
          <cell r="B738">
            <v>204004</v>
          </cell>
          <cell r="C738" t="str">
            <v>PPN</v>
          </cell>
          <cell r="D738" t="str">
            <v>Juni</v>
          </cell>
          <cell r="F738">
            <v>204004</v>
          </cell>
          <cell r="G738" t="str">
            <v>Juni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</row>
        <row r="739">
          <cell r="B739">
            <v>204004</v>
          </cell>
          <cell r="C739" t="str">
            <v>PPN</v>
          </cell>
          <cell r="D739" t="str">
            <v>Juli</v>
          </cell>
          <cell r="F739">
            <v>204004</v>
          </cell>
          <cell r="G739" t="str">
            <v>Juli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</row>
        <row r="740">
          <cell r="B740">
            <v>204004</v>
          </cell>
          <cell r="C740" t="str">
            <v>PPN</v>
          </cell>
          <cell r="D740" t="str">
            <v>Agustus</v>
          </cell>
          <cell r="F740">
            <v>204004</v>
          </cell>
          <cell r="G740" t="str">
            <v>Agustus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</row>
        <row r="741">
          <cell r="B741">
            <v>204004</v>
          </cell>
          <cell r="C741" t="str">
            <v>PPN</v>
          </cell>
          <cell r="D741" t="str">
            <v>September</v>
          </cell>
          <cell r="F741">
            <v>204004</v>
          </cell>
          <cell r="G741" t="str">
            <v>September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</row>
        <row r="742">
          <cell r="B742">
            <v>204004</v>
          </cell>
          <cell r="C742" t="str">
            <v>PPN</v>
          </cell>
          <cell r="D742" t="str">
            <v>Oktober</v>
          </cell>
          <cell r="F742">
            <v>204004</v>
          </cell>
          <cell r="G742" t="str">
            <v>Oktober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</row>
        <row r="743">
          <cell r="B743">
            <v>204004</v>
          </cell>
          <cell r="C743" t="str">
            <v>PPN</v>
          </cell>
          <cell r="D743" t="str">
            <v>November</v>
          </cell>
          <cell r="F743">
            <v>204004</v>
          </cell>
          <cell r="G743" t="str">
            <v>November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</row>
        <row r="744">
          <cell r="B744">
            <v>204004</v>
          </cell>
          <cell r="C744" t="str">
            <v>PPN</v>
          </cell>
          <cell r="D744" t="str">
            <v>Desember</v>
          </cell>
          <cell r="F744">
            <v>204004</v>
          </cell>
          <cell r="G744" t="str">
            <v>Desember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</row>
        <row r="746">
          <cell r="B746">
            <v>204004</v>
          </cell>
          <cell r="F746">
            <v>204004</v>
          </cell>
          <cell r="G746" t="str">
            <v>HUTANG JANGKA PANJANG</v>
          </cell>
          <cell r="H746">
            <v>0</v>
          </cell>
          <cell r="I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</row>
        <row r="747">
          <cell r="B747">
            <v>202001</v>
          </cell>
          <cell r="C747" t="str">
            <v>Hutang KGM</v>
          </cell>
          <cell r="E747">
            <v>202.001</v>
          </cell>
          <cell r="F747">
            <v>202001</v>
          </cell>
          <cell r="G747" t="str">
            <v>Hutang KGM</v>
          </cell>
          <cell r="H747">
            <v>0</v>
          </cell>
          <cell r="I747">
            <v>2655574687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2655574687</v>
          </cell>
          <cell r="AD747">
            <v>0</v>
          </cell>
          <cell r="AE747">
            <v>0</v>
          </cell>
        </row>
        <row r="748">
          <cell r="B748">
            <v>202001</v>
          </cell>
          <cell r="C748" t="str">
            <v>Hutang KGM</v>
          </cell>
          <cell r="D748" t="str">
            <v>Januari</v>
          </cell>
          <cell r="F748">
            <v>202001</v>
          </cell>
          <cell r="G748" t="str">
            <v>Januari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</row>
        <row r="749">
          <cell r="B749">
            <v>202001</v>
          </cell>
          <cell r="C749" t="str">
            <v>Hutang KGM</v>
          </cell>
          <cell r="D749" t="str">
            <v>Februari</v>
          </cell>
          <cell r="F749">
            <v>202001</v>
          </cell>
          <cell r="G749" t="str">
            <v>Februari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</row>
        <row r="750">
          <cell r="B750">
            <v>202001</v>
          </cell>
          <cell r="C750" t="str">
            <v>Hutang KGM</v>
          </cell>
          <cell r="D750" t="str">
            <v>Maret</v>
          </cell>
          <cell r="F750">
            <v>202001</v>
          </cell>
          <cell r="G750" t="str">
            <v>Maret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</row>
        <row r="751">
          <cell r="B751">
            <v>202001</v>
          </cell>
          <cell r="C751" t="str">
            <v>Hutang KGM</v>
          </cell>
          <cell r="D751" t="str">
            <v>April</v>
          </cell>
          <cell r="F751">
            <v>202001</v>
          </cell>
          <cell r="G751" t="str">
            <v>April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</row>
        <row r="752">
          <cell r="B752">
            <v>202001</v>
          </cell>
          <cell r="C752" t="str">
            <v>Hutang KGM</v>
          </cell>
          <cell r="D752" t="str">
            <v>Mei</v>
          </cell>
          <cell r="F752">
            <v>202001</v>
          </cell>
          <cell r="G752" t="str">
            <v>Mei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</row>
        <row r="753">
          <cell r="B753">
            <v>202001</v>
          </cell>
          <cell r="C753" t="str">
            <v>Hutang KGM</v>
          </cell>
          <cell r="D753" t="str">
            <v>Juni</v>
          </cell>
          <cell r="F753">
            <v>202001</v>
          </cell>
          <cell r="G753" t="str">
            <v>Juni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</row>
        <row r="754">
          <cell r="B754">
            <v>202001</v>
          </cell>
          <cell r="C754" t="str">
            <v>Hutang KGM</v>
          </cell>
          <cell r="D754" t="str">
            <v>Juli</v>
          </cell>
          <cell r="F754">
            <v>202001</v>
          </cell>
          <cell r="G754" t="str">
            <v>Juli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</row>
        <row r="755">
          <cell r="B755">
            <v>202001</v>
          </cell>
          <cell r="C755" t="str">
            <v>Hutang KGM</v>
          </cell>
          <cell r="D755" t="str">
            <v>Agustus</v>
          </cell>
          <cell r="F755">
            <v>202001</v>
          </cell>
          <cell r="G755" t="str">
            <v>Agustus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</row>
        <row r="756">
          <cell r="B756">
            <v>202001</v>
          </cell>
          <cell r="C756" t="str">
            <v>Hutang KGM</v>
          </cell>
          <cell r="D756" t="str">
            <v>September</v>
          </cell>
          <cell r="F756">
            <v>202001</v>
          </cell>
          <cell r="G756" t="str">
            <v>September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</row>
        <row r="757">
          <cell r="B757">
            <v>202001</v>
          </cell>
          <cell r="C757" t="str">
            <v>Hutang KGM</v>
          </cell>
          <cell r="D757" t="str">
            <v>Oktober</v>
          </cell>
          <cell r="F757">
            <v>202001</v>
          </cell>
          <cell r="G757" t="str">
            <v>Oktober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</row>
        <row r="758">
          <cell r="B758">
            <v>202001</v>
          </cell>
          <cell r="C758" t="str">
            <v>Hutang KGM</v>
          </cell>
          <cell r="D758" t="str">
            <v>November</v>
          </cell>
          <cell r="F758">
            <v>202001</v>
          </cell>
          <cell r="G758" t="str">
            <v>November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</row>
        <row r="759">
          <cell r="B759">
            <v>202001</v>
          </cell>
          <cell r="C759" t="str">
            <v>Hutang KGM</v>
          </cell>
          <cell r="D759" t="str">
            <v>Desember</v>
          </cell>
          <cell r="F759">
            <v>202001</v>
          </cell>
          <cell r="G759" t="str">
            <v>Desember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</row>
        <row r="761">
          <cell r="B761">
            <v>300000</v>
          </cell>
          <cell r="E761">
            <v>300</v>
          </cell>
          <cell r="F761">
            <v>300000</v>
          </cell>
          <cell r="G761" t="str">
            <v>Modal</v>
          </cell>
          <cell r="H761">
            <v>0</v>
          </cell>
          <cell r="I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</row>
        <row r="762">
          <cell r="B762">
            <v>300001</v>
          </cell>
          <cell r="C762" t="str">
            <v>Modal Saham</v>
          </cell>
          <cell r="E762">
            <v>300.00099999999998</v>
          </cell>
          <cell r="F762">
            <v>300001</v>
          </cell>
          <cell r="G762" t="str">
            <v>Modal Saham</v>
          </cell>
          <cell r="I762">
            <v>6125000000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6125000000</v>
          </cell>
          <cell r="AD762">
            <v>0</v>
          </cell>
          <cell r="AE762">
            <v>0</v>
          </cell>
        </row>
        <row r="763">
          <cell r="B763">
            <v>300001</v>
          </cell>
          <cell r="C763" t="str">
            <v>Modal Saham</v>
          </cell>
          <cell r="D763" t="str">
            <v>Januari</v>
          </cell>
          <cell r="F763">
            <v>300001</v>
          </cell>
          <cell r="G763" t="str">
            <v>Januari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</row>
        <row r="764">
          <cell r="B764">
            <v>300001</v>
          </cell>
          <cell r="C764" t="str">
            <v>Modal Saham</v>
          </cell>
          <cell r="D764" t="str">
            <v>Februari</v>
          </cell>
          <cell r="F764">
            <v>300001</v>
          </cell>
          <cell r="G764" t="str">
            <v>Februari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</row>
        <row r="765">
          <cell r="B765">
            <v>300001</v>
          </cell>
          <cell r="C765" t="str">
            <v>Modal Saham</v>
          </cell>
          <cell r="D765" t="str">
            <v>Maret</v>
          </cell>
          <cell r="F765">
            <v>300001</v>
          </cell>
          <cell r="G765" t="str">
            <v>Maret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</row>
        <row r="766">
          <cell r="B766">
            <v>300001</v>
          </cell>
          <cell r="C766" t="str">
            <v>Modal Saham</v>
          </cell>
          <cell r="D766" t="str">
            <v>April</v>
          </cell>
          <cell r="F766">
            <v>300001</v>
          </cell>
          <cell r="G766" t="str">
            <v>April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</row>
        <row r="767">
          <cell r="B767">
            <v>300001</v>
          </cell>
          <cell r="C767" t="str">
            <v>Modal Saham</v>
          </cell>
          <cell r="D767" t="str">
            <v>Mei</v>
          </cell>
          <cell r="F767">
            <v>300001</v>
          </cell>
          <cell r="G767" t="str">
            <v>Mei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</row>
        <row r="768">
          <cell r="B768">
            <v>300001</v>
          </cell>
          <cell r="C768" t="str">
            <v>Modal Saham</v>
          </cell>
          <cell r="D768" t="str">
            <v>Juni</v>
          </cell>
          <cell r="F768">
            <v>300001</v>
          </cell>
          <cell r="G768" t="str">
            <v>Juni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</row>
        <row r="769">
          <cell r="B769">
            <v>300001</v>
          </cell>
          <cell r="C769" t="str">
            <v>Modal Saham</v>
          </cell>
          <cell r="D769" t="str">
            <v>Juli</v>
          </cell>
          <cell r="F769">
            <v>300001</v>
          </cell>
          <cell r="G769" t="str">
            <v>Juli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</row>
        <row r="770">
          <cell r="B770">
            <v>300001</v>
          </cell>
          <cell r="C770" t="str">
            <v>Modal Saham</v>
          </cell>
          <cell r="D770" t="str">
            <v>Agustus</v>
          </cell>
          <cell r="F770">
            <v>300001</v>
          </cell>
          <cell r="G770" t="str">
            <v>Agustus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</row>
        <row r="771">
          <cell r="B771">
            <v>300001</v>
          </cell>
          <cell r="C771" t="str">
            <v>Modal Saham</v>
          </cell>
          <cell r="D771" t="str">
            <v>September</v>
          </cell>
          <cell r="F771">
            <v>300001</v>
          </cell>
          <cell r="G771" t="str">
            <v>September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</row>
        <row r="772">
          <cell r="B772">
            <v>300001</v>
          </cell>
          <cell r="C772" t="str">
            <v>Modal Saham</v>
          </cell>
          <cell r="D772" t="str">
            <v>Oktober</v>
          </cell>
          <cell r="F772">
            <v>300001</v>
          </cell>
          <cell r="G772" t="str">
            <v>Oktober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</row>
        <row r="773">
          <cell r="B773">
            <v>300001</v>
          </cell>
          <cell r="C773" t="str">
            <v>Modal Saham</v>
          </cell>
          <cell r="D773" t="str">
            <v>November</v>
          </cell>
          <cell r="F773">
            <v>300001</v>
          </cell>
          <cell r="G773" t="str">
            <v>November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</row>
        <row r="774">
          <cell r="B774">
            <v>300001</v>
          </cell>
          <cell r="C774" t="str">
            <v>Modal Saham</v>
          </cell>
          <cell r="D774" t="str">
            <v>Desember</v>
          </cell>
          <cell r="F774">
            <v>300001</v>
          </cell>
          <cell r="G774" t="str">
            <v>Desember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</row>
        <row r="775">
          <cell r="B775">
            <v>300002</v>
          </cell>
          <cell r="C775" t="str">
            <v>Tambahan Modal</v>
          </cell>
          <cell r="E775">
            <v>300.00200000000001</v>
          </cell>
          <cell r="F775">
            <v>300002</v>
          </cell>
          <cell r="G775" t="str">
            <v>Tambahan Modal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</row>
        <row r="776">
          <cell r="B776">
            <v>300002</v>
          </cell>
          <cell r="C776" t="str">
            <v>Tambahan Modal</v>
          </cell>
          <cell r="D776" t="str">
            <v>Januari</v>
          </cell>
          <cell r="F776">
            <v>300002</v>
          </cell>
          <cell r="G776" t="str">
            <v>Januari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</row>
        <row r="777">
          <cell r="B777">
            <v>300002</v>
          </cell>
          <cell r="C777" t="str">
            <v>Tambahan Modal</v>
          </cell>
          <cell r="D777" t="str">
            <v>Februari</v>
          </cell>
          <cell r="F777">
            <v>300002</v>
          </cell>
          <cell r="G777" t="str">
            <v>Februari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</row>
        <row r="778">
          <cell r="B778">
            <v>300002</v>
          </cell>
          <cell r="C778" t="str">
            <v>Tambahan Modal</v>
          </cell>
          <cell r="D778" t="str">
            <v>Maret</v>
          </cell>
          <cell r="F778">
            <v>300002</v>
          </cell>
          <cell r="G778" t="str">
            <v>Maret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</row>
        <row r="779">
          <cell r="B779">
            <v>300002</v>
          </cell>
          <cell r="C779" t="str">
            <v>Tambahan Modal</v>
          </cell>
          <cell r="D779" t="str">
            <v>April</v>
          </cell>
          <cell r="F779">
            <v>300002</v>
          </cell>
          <cell r="G779" t="str">
            <v>April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</row>
        <row r="780">
          <cell r="B780">
            <v>300002</v>
          </cell>
          <cell r="C780" t="str">
            <v>Tambahan Modal</v>
          </cell>
          <cell r="D780" t="str">
            <v>Mei</v>
          </cell>
          <cell r="F780">
            <v>300002</v>
          </cell>
          <cell r="G780" t="str">
            <v>Mei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</row>
        <row r="781">
          <cell r="B781">
            <v>300002</v>
          </cell>
          <cell r="C781" t="str">
            <v>Tambahan Modal</v>
          </cell>
          <cell r="D781" t="str">
            <v>Juni</v>
          </cell>
          <cell r="F781">
            <v>300002</v>
          </cell>
          <cell r="G781" t="str">
            <v>Juni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</row>
        <row r="782">
          <cell r="B782">
            <v>300002</v>
          </cell>
          <cell r="C782" t="str">
            <v>Tambahan Modal</v>
          </cell>
          <cell r="D782" t="str">
            <v>Juli</v>
          </cell>
          <cell r="F782">
            <v>300002</v>
          </cell>
          <cell r="G782" t="str">
            <v>Juli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</row>
        <row r="783">
          <cell r="B783">
            <v>300002</v>
          </cell>
          <cell r="C783" t="str">
            <v>Tambahan Modal</v>
          </cell>
          <cell r="D783" t="str">
            <v>Agustus</v>
          </cell>
          <cell r="F783">
            <v>300002</v>
          </cell>
          <cell r="G783" t="str">
            <v>Agustus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</row>
        <row r="784">
          <cell r="B784">
            <v>300002</v>
          </cell>
          <cell r="C784" t="str">
            <v>Tambahan Modal</v>
          </cell>
          <cell r="D784" t="str">
            <v>September</v>
          </cell>
          <cell r="F784">
            <v>300002</v>
          </cell>
          <cell r="G784" t="str">
            <v>September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</row>
        <row r="785">
          <cell r="B785">
            <v>300002</v>
          </cell>
          <cell r="C785" t="str">
            <v>Tambahan Modal</v>
          </cell>
          <cell r="D785" t="str">
            <v>Oktober</v>
          </cell>
          <cell r="F785">
            <v>300002</v>
          </cell>
          <cell r="G785" t="str">
            <v>Oktober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</row>
        <row r="786">
          <cell r="B786">
            <v>300002</v>
          </cell>
          <cell r="C786" t="str">
            <v>Tambahan Modal</v>
          </cell>
          <cell r="D786" t="str">
            <v>November</v>
          </cell>
          <cell r="F786">
            <v>300002</v>
          </cell>
          <cell r="G786" t="str">
            <v>November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</row>
        <row r="787">
          <cell r="B787">
            <v>300002</v>
          </cell>
          <cell r="C787" t="str">
            <v>Tambahan Modal</v>
          </cell>
          <cell r="D787" t="str">
            <v>Desember</v>
          </cell>
          <cell r="F787">
            <v>300002</v>
          </cell>
          <cell r="G787" t="str">
            <v>Desember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</row>
        <row r="788">
          <cell r="B788">
            <v>300003</v>
          </cell>
          <cell r="C788" t="str">
            <v>Surplus Revaluasi Aset Tetap</v>
          </cell>
          <cell r="E788">
            <v>300.00299999999999</v>
          </cell>
          <cell r="F788">
            <v>300003</v>
          </cell>
          <cell r="G788" t="str">
            <v>Surplus Revaluasi Aset Tetap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</row>
        <row r="789">
          <cell r="B789">
            <v>300003</v>
          </cell>
          <cell r="C789" t="str">
            <v>Surplus Revaluasi Aset Tetap</v>
          </cell>
          <cell r="D789" t="str">
            <v>Januari</v>
          </cell>
          <cell r="F789">
            <v>300003</v>
          </cell>
          <cell r="G789" t="str">
            <v>Januari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</row>
        <row r="790">
          <cell r="B790">
            <v>300003</v>
          </cell>
          <cell r="C790" t="str">
            <v>Surplus Revaluasi Aset Tetap</v>
          </cell>
          <cell r="D790" t="str">
            <v>Februari</v>
          </cell>
          <cell r="F790">
            <v>300003</v>
          </cell>
          <cell r="G790" t="str">
            <v>Februari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</row>
        <row r="791">
          <cell r="B791">
            <v>300003</v>
          </cell>
          <cell r="C791" t="str">
            <v>Surplus Revaluasi Aset Tetap</v>
          </cell>
          <cell r="D791" t="str">
            <v>Maret</v>
          </cell>
          <cell r="F791">
            <v>300003</v>
          </cell>
          <cell r="G791" t="str">
            <v>Maret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</row>
        <row r="792">
          <cell r="B792">
            <v>300003</v>
          </cell>
          <cell r="C792" t="str">
            <v>Surplus Revaluasi Aset Tetap</v>
          </cell>
          <cell r="D792" t="str">
            <v>April</v>
          </cell>
          <cell r="F792">
            <v>300003</v>
          </cell>
          <cell r="G792" t="str">
            <v>April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</row>
        <row r="793">
          <cell r="B793">
            <v>300003</v>
          </cell>
          <cell r="C793" t="str">
            <v>Surplus Revaluasi Aset Tetap</v>
          </cell>
          <cell r="D793" t="str">
            <v>Mei</v>
          </cell>
          <cell r="F793">
            <v>300003</v>
          </cell>
          <cell r="G793" t="str">
            <v>Mei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</row>
        <row r="794">
          <cell r="B794">
            <v>300003</v>
          </cell>
          <cell r="C794" t="str">
            <v>Surplus Revaluasi Aset Tetap</v>
          </cell>
          <cell r="D794" t="str">
            <v>Juni</v>
          </cell>
          <cell r="F794">
            <v>300003</v>
          </cell>
          <cell r="G794" t="str">
            <v>Juni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</row>
        <row r="795">
          <cell r="B795">
            <v>300003</v>
          </cell>
          <cell r="C795" t="str">
            <v>Surplus Revaluasi Aset Tetap</v>
          </cell>
          <cell r="D795" t="str">
            <v>Juli</v>
          </cell>
          <cell r="F795">
            <v>300003</v>
          </cell>
          <cell r="G795" t="str">
            <v>Juli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</row>
        <row r="796">
          <cell r="B796">
            <v>300003</v>
          </cell>
          <cell r="C796" t="str">
            <v>Surplus Revaluasi Aset Tetap</v>
          </cell>
          <cell r="D796" t="str">
            <v>Agustus</v>
          </cell>
          <cell r="F796">
            <v>300003</v>
          </cell>
          <cell r="G796" t="str">
            <v>Agustus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</row>
        <row r="797">
          <cell r="B797">
            <v>300003</v>
          </cell>
          <cell r="C797" t="str">
            <v>Surplus Revaluasi Aset Tetap</v>
          </cell>
          <cell r="D797" t="str">
            <v>September</v>
          </cell>
          <cell r="F797">
            <v>300003</v>
          </cell>
          <cell r="G797" t="str">
            <v>September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</row>
        <row r="798">
          <cell r="B798">
            <v>300003</v>
          </cell>
          <cell r="C798" t="str">
            <v>Surplus Revaluasi Aset Tetap</v>
          </cell>
          <cell r="D798" t="str">
            <v>Oktober</v>
          </cell>
          <cell r="F798">
            <v>300003</v>
          </cell>
          <cell r="G798" t="str">
            <v>Oktober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</row>
        <row r="799">
          <cell r="B799">
            <v>300003</v>
          </cell>
          <cell r="C799" t="str">
            <v>Surplus Revaluasi Aset Tetap</v>
          </cell>
          <cell r="D799" t="str">
            <v>November</v>
          </cell>
          <cell r="F799">
            <v>300003</v>
          </cell>
          <cell r="G799" t="str">
            <v>November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</row>
        <row r="800">
          <cell r="B800">
            <v>300003</v>
          </cell>
          <cell r="C800" t="str">
            <v>Surplus Revaluasi Aset Tetap</v>
          </cell>
          <cell r="D800" t="str">
            <v>Desember</v>
          </cell>
          <cell r="F800">
            <v>300003</v>
          </cell>
          <cell r="G800" t="str">
            <v>Desember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</row>
        <row r="801">
          <cell r="B801">
            <v>300004</v>
          </cell>
          <cell r="C801" t="str">
            <v>Laba Ditahan</v>
          </cell>
          <cell r="E801">
            <v>300.00400000000002</v>
          </cell>
          <cell r="F801">
            <v>300004</v>
          </cell>
          <cell r="G801" t="str">
            <v>Laba Ditahan</v>
          </cell>
          <cell r="H801">
            <v>0</v>
          </cell>
          <cell r="I801">
            <v>455439400.35027313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455439400.35027313</v>
          </cell>
          <cell r="AD801">
            <v>0</v>
          </cell>
          <cell r="AE801">
            <v>0</v>
          </cell>
        </row>
        <row r="802">
          <cell r="B802">
            <v>300004</v>
          </cell>
          <cell r="C802" t="str">
            <v>Laba Ditahan</v>
          </cell>
          <cell r="D802" t="str">
            <v>Januari</v>
          </cell>
          <cell r="F802">
            <v>300004</v>
          </cell>
          <cell r="G802" t="str">
            <v>Januari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</row>
        <row r="803">
          <cell r="B803">
            <v>300004</v>
          </cell>
          <cell r="C803" t="str">
            <v>Laba Ditahan</v>
          </cell>
          <cell r="D803" t="str">
            <v>Februari</v>
          </cell>
          <cell r="F803">
            <v>300004</v>
          </cell>
          <cell r="G803" t="str">
            <v>Februari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</row>
        <row r="804">
          <cell r="B804">
            <v>300004</v>
          </cell>
          <cell r="C804" t="str">
            <v>Laba Ditahan</v>
          </cell>
          <cell r="D804" t="str">
            <v>Maret</v>
          </cell>
          <cell r="F804">
            <v>300004</v>
          </cell>
          <cell r="G804" t="str">
            <v>Maret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</row>
        <row r="805">
          <cell r="B805">
            <v>300004</v>
          </cell>
          <cell r="C805" t="str">
            <v>Laba Ditahan</v>
          </cell>
          <cell r="D805" t="str">
            <v>April</v>
          </cell>
          <cell r="F805">
            <v>300004</v>
          </cell>
          <cell r="G805" t="str">
            <v>April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</row>
        <row r="806">
          <cell r="B806">
            <v>300004</v>
          </cell>
          <cell r="C806" t="str">
            <v>Laba Ditahan</v>
          </cell>
          <cell r="D806" t="str">
            <v>Mei</v>
          </cell>
          <cell r="F806">
            <v>300004</v>
          </cell>
          <cell r="G806" t="str">
            <v>Mei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</row>
        <row r="807">
          <cell r="B807">
            <v>300004</v>
          </cell>
          <cell r="C807" t="str">
            <v>Laba Ditahan</v>
          </cell>
          <cell r="D807" t="str">
            <v>Juni</v>
          </cell>
          <cell r="F807">
            <v>300004</v>
          </cell>
          <cell r="G807" t="str">
            <v>Juni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</row>
        <row r="808">
          <cell r="B808">
            <v>300004</v>
          </cell>
          <cell r="C808" t="str">
            <v>Laba Ditahan</v>
          </cell>
          <cell r="D808" t="str">
            <v>Juli</v>
          </cell>
          <cell r="F808">
            <v>300004</v>
          </cell>
          <cell r="G808" t="str">
            <v>Juli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</row>
        <row r="809">
          <cell r="B809">
            <v>300004</v>
          </cell>
          <cell r="C809" t="str">
            <v>Laba Ditahan</v>
          </cell>
          <cell r="D809" t="str">
            <v>Agustus</v>
          </cell>
          <cell r="F809">
            <v>300004</v>
          </cell>
          <cell r="G809" t="str">
            <v>Agustus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</row>
        <row r="810">
          <cell r="B810">
            <v>300004</v>
          </cell>
          <cell r="C810" t="str">
            <v>Laba Ditahan</v>
          </cell>
          <cell r="D810" t="str">
            <v>September</v>
          </cell>
          <cell r="F810">
            <v>300004</v>
          </cell>
          <cell r="G810" t="str">
            <v>September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</row>
        <row r="811">
          <cell r="B811">
            <v>300004</v>
          </cell>
          <cell r="C811" t="str">
            <v>Laba Ditahan</v>
          </cell>
          <cell r="D811" t="str">
            <v>Oktober</v>
          </cell>
          <cell r="F811">
            <v>300004</v>
          </cell>
          <cell r="G811" t="str">
            <v>Oktober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</row>
        <row r="812">
          <cell r="B812">
            <v>300004</v>
          </cell>
          <cell r="C812" t="str">
            <v>Laba Ditahan</v>
          </cell>
          <cell r="D812" t="str">
            <v>November</v>
          </cell>
          <cell r="F812">
            <v>300004</v>
          </cell>
          <cell r="G812" t="str">
            <v>November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</row>
        <row r="813">
          <cell r="B813">
            <v>300004</v>
          </cell>
          <cell r="C813" t="str">
            <v>Laba Ditahan</v>
          </cell>
          <cell r="D813" t="str">
            <v>Desember</v>
          </cell>
          <cell r="F813">
            <v>300004</v>
          </cell>
          <cell r="G813" t="str">
            <v>Desember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</row>
        <row r="815">
          <cell r="B815">
            <v>401000</v>
          </cell>
          <cell r="E815">
            <v>401</v>
          </cell>
          <cell r="F815">
            <v>401000</v>
          </cell>
          <cell r="G815" t="str">
            <v>PENDAPATAN USAHA</v>
          </cell>
          <cell r="H815">
            <v>0</v>
          </cell>
          <cell r="I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</row>
        <row r="816">
          <cell r="B816">
            <v>401001</v>
          </cell>
          <cell r="C816" t="str">
            <v>Penjualan Toko</v>
          </cell>
          <cell r="E816">
            <v>401.00099999999998</v>
          </cell>
          <cell r="F816">
            <v>401001</v>
          </cell>
          <cell r="G816" t="str">
            <v>Penjualan Toko</v>
          </cell>
          <cell r="H816">
            <v>0</v>
          </cell>
          <cell r="I816">
            <v>190038284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24254564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146018998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360311846</v>
          </cell>
          <cell r="AD816">
            <v>0</v>
          </cell>
          <cell r="AE816">
            <v>170273562</v>
          </cell>
        </row>
        <row r="817">
          <cell r="B817">
            <v>401001</v>
          </cell>
          <cell r="C817" t="str">
            <v>Penjualan Toko</v>
          </cell>
          <cell r="D817" t="str">
            <v>Januari</v>
          </cell>
          <cell r="F817">
            <v>401001</v>
          </cell>
          <cell r="G817" t="str">
            <v>Januari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18698000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18698000</v>
          </cell>
          <cell r="AD817">
            <v>0</v>
          </cell>
          <cell r="AE817">
            <v>18698000</v>
          </cell>
        </row>
        <row r="818">
          <cell r="B818">
            <v>401001</v>
          </cell>
          <cell r="C818" t="str">
            <v>Penjualan Toko</v>
          </cell>
          <cell r="D818" t="str">
            <v>Februari</v>
          </cell>
          <cell r="F818">
            <v>401001</v>
          </cell>
          <cell r="G818" t="str">
            <v>Februari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2125000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9785500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11910500</v>
          </cell>
          <cell r="AD818">
            <v>0</v>
          </cell>
          <cell r="AE818">
            <v>11910500</v>
          </cell>
        </row>
        <row r="819">
          <cell r="B819">
            <v>401001</v>
          </cell>
          <cell r="C819" t="str">
            <v>Penjualan Toko</v>
          </cell>
          <cell r="D819" t="str">
            <v>Maret</v>
          </cell>
          <cell r="F819">
            <v>401001</v>
          </cell>
          <cell r="G819" t="str">
            <v>Maret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1347696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11683498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13031194</v>
          </cell>
          <cell r="AD819">
            <v>0</v>
          </cell>
          <cell r="AE819">
            <v>13031194</v>
          </cell>
        </row>
        <row r="820">
          <cell r="B820">
            <v>401001</v>
          </cell>
          <cell r="C820" t="str">
            <v>Penjualan Toko</v>
          </cell>
          <cell r="D820" t="str">
            <v>April</v>
          </cell>
          <cell r="F820">
            <v>401001</v>
          </cell>
          <cell r="G820" t="str">
            <v>April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2835392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9549500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12384892</v>
          </cell>
          <cell r="AD820">
            <v>0</v>
          </cell>
          <cell r="AE820">
            <v>12384892</v>
          </cell>
        </row>
        <row r="821">
          <cell r="B821">
            <v>401001</v>
          </cell>
          <cell r="C821" t="str">
            <v>Penjualan Toko</v>
          </cell>
          <cell r="D821" t="str">
            <v>Mei</v>
          </cell>
          <cell r="F821">
            <v>401001</v>
          </cell>
          <cell r="G821" t="str">
            <v>Mei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565500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15904000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16469500</v>
          </cell>
          <cell r="AD821">
            <v>0</v>
          </cell>
          <cell r="AE821">
            <v>16469500</v>
          </cell>
        </row>
        <row r="822">
          <cell r="B822">
            <v>401001</v>
          </cell>
          <cell r="C822" t="str">
            <v>Penjualan Toko</v>
          </cell>
          <cell r="D822" t="str">
            <v>Juni</v>
          </cell>
          <cell r="F822">
            <v>401001</v>
          </cell>
          <cell r="G822" t="str">
            <v>Juni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12908500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12908500</v>
          </cell>
          <cell r="AD822">
            <v>0</v>
          </cell>
          <cell r="AE822">
            <v>12908500</v>
          </cell>
        </row>
        <row r="823">
          <cell r="B823">
            <v>401001</v>
          </cell>
          <cell r="C823" t="str">
            <v>Penjualan Toko</v>
          </cell>
          <cell r="D823" t="str">
            <v>Juli</v>
          </cell>
          <cell r="F823">
            <v>401001</v>
          </cell>
          <cell r="G823" t="str">
            <v>Juli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8390976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12936000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21326976</v>
          </cell>
          <cell r="AD823">
            <v>0</v>
          </cell>
          <cell r="AE823">
            <v>21326976</v>
          </cell>
        </row>
        <row r="824">
          <cell r="B824">
            <v>401001</v>
          </cell>
          <cell r="C824" t="str">
            <v>Penjualan Toko</v>
          </cell>
          <cell r="D824" t="str">
            <v>Agustus</v>
          </cell>
          <cell r="F824">
            <v>401001</v>
          </cell>
          <cell r="G824" t="str">
            <v>Agustus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8990000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12847500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21837500</v>
          </cell>
          <cell r="AD824">
            <v>0</v>
          </cell>
          <cell r="AE824">
            <v>21837500</v>
          </cell>
        </row>
        <row r="825">
          <cell r="B825">
            <v>401001</v>
          </cell>
          <cell r="C825" t="str">
            <v>Penjualan Toko</v>
          </cell>
          <cell r="D825" t="str">
            <v>September</v>
          </cell>
          <cell r="F825">
            <v>401001</v>
          </cell>
          <cell r="G825" t="str">
            <v>September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9681000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9681000</v>
          </cell>
          <cell r="AD825">
            <v>0</v>
          </cell>
          <cell r="AE825">
            <v>9681000</v>
          </cell>
        </row>
        <row r="826">
          <cell r="B826">
            <v>401001</v>
          </cell>
          <cell r="C826" t="str">
            <v>Penjualan Toko</v>
          </cell>
          <cell r="D826" t="str">
            <v>Oktober</v>
          </cell>
          <cell r="F826">
            <v>401001</v>
          </cell>
          <cell r="G826" t="str">
            <v>Oktober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10277500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10277500</v>
          </cell>
          <cell r="AD826">
            <v>0</v>
          </cell>
          <cell r="AE826">
            <v>10277500</v>
          </cell>
        </row>
        <row r="827">
          <cell r="B827">
            <v>401001</v>
          </cell>
          <cell r="C827" t="str">
            <v>Penjualan Toko</v>
          </cell>
          <cell r="D827" t="str">
            <v>November</v>
          </cell>
          <cell r="F827">
            <v>401001</v>
          </cell>
          <cell r="G827" t="str">
            <v>November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9061000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9061000</v>
          </cell>
          <cell r="AD827">
            <v>0</v>
          </cell>
          <cell r="AE827">
            <v>9061000</v>
          </cell>
        </row>
        <row r="828">
          <cell r="B828">
            <v>401001</v>
          </cell>
          <cell r="C828" t="str">
            <v>Penjualan Toko</v>
          </cell>
          <cell r="D828" t="str">
            <v>Desember</v>
          </cell>
          <cell r="F828">
            <v>401001</v>
          </cell>
          <cell r="G828" t="str">
            <v>Desember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12687000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12687000</v>
          </cell>
          <cell r="AD828">
            <v>0</v>
          </cell>
          <cell r="AE828">
            <v>12687000</v>
          </cell>
        </row>
        <row r="829">
          <cell r="B829">
            <v>401002</v>
          </cell>
          <cell r="C829" t="str">
            <v>Penjualan General repair</v>
          </cell>
          <cell r="E829">
            <v>401.00200000000001</v>
          </cell>
          <cell r="F829">
            <v>401002</v>
          </cell>
          <cell r="G829" t="str">
            <v>Penjualan General repair</v>
          </cell>
          <cell r="H829">
            <v>0</v>
          </cell>
          <cell r="I829">
            <v>1213290152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107133600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779269150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-2324750</v>
          </cell>
          <cell r="AB829">
            <v>0</v>
          </cell>
          <cell r="AC829">
            <v>2097368152</v>
          </cell>
          <cell r="AD829">
            <v>0</v>
          </cell>
          <cell r="AE829">
            <v>884078000</v>
          </cell>
        </row>
        <row r="830">
          <cell r="B830">
            <v>401002</v>
          </cell>
          <cell r="C830" t="str">
            <v>Penjualan General repair</v>
          </cell>
          <cell r="D830" t="str">
            <v>Januari</v>
          </cell>
          <cell r="F830">
            <v>401002</v>
          </cell>
          <cell r="G830" t="str">
            <v>Januari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4632000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59002000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63634000</v>
          </cell>
          <cell r="AD830">
            <v>0</v>
          </cell>
          <cell r="AE830">
            <v>63634000</v>
          </cell>
        </row>
        <row r="831">
          <cell r="B831">
            <v>401002</v>
          </cell>
          <cell r="C831" t="str">
            <v>Penjualan General repair</v>
          </cell>
          <cell r="D831" t="str">
            <v>Februari</v>
          </cell>
          <cell r="F831">
            <v>401002</v>
          </cell>
          <cell r="G831" t="str">
            <v>Februari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3297000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44352500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47649500</v>
          </cell>
          <cell r="AD831">
            <v>0</v>
          </cell>
          <cell r="AE831">
            <v>47649500</v>
          </cell>
        </row>
        <row r="832">
          <cell r="B832">
            <v>401002</v>
          </cell>
          <cell r="C832" t="str">
            <v>Penjualan General repair</v>
          </cell>
          <cell r="D832" t="str">
            <v>Maret</v>
          </cell>
          <cell r="F832">
            <v>401002</v>
          </cell>
          <cell r="G832" t="str">
            <v>Maret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6412500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50485000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56897500</v>
          </cell>
          <cell r="AD832">
            <v>0</v>
          </cell>
          <cell r="AE832">
            <v>56897500</v>
          </cell>
        </row>
        <row r="833">
          <cell r="B833">
            <v>401002</v>
          </cell>
          <cell r="C833" t="str">
            <v>Penjualan General repair</v>
          </cell>
          <cell r="D833" t="str">
            <v>April</v>
          </cell>
          <cell r="F833">
            <v>401002</v>
          </cell>
          <cell r="G833" t="str">
            <v>April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6213500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48293500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54507000</v>
          </cell>
          <cell r="AD833">
            <v>0</v>
          </cell>
          <cell r="AE833">
            <v>54507000</v>
          </cell>
        </row>
        <row r="834">
          <cell r="B834">
            <v>401002</v>
          </cell>
          <cell r="C834" t="str">
            <v>Penjualan General repair</v>
          </cell>
          <cell r="D834" t="str">
            <v>Mei</v>
          </cell>
          <cell r="F834">
            <v>401002</v>
          </cell>
          <cell r="G834" t="str">
            <v>Mei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35688500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64931150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100619650</v>
          </cell>
          <cell r="AD834">
            <v>0</v>
          </cell>
          <cell r="AE834">
            <v>100619650</v>
          </cell>
        </row>
        <row r="835">
          <cell r="B835">
            <v>401002</v>
          </cell>
          <cell r="C835" t="str">
            <v>Penjualan General repair</v>
          </cell>
          <cell r="D835" t="str">
            <v>Juni</v>
          </cell>
          <cell r="F835">
            <v>401002</v>
          </cell>
          <cell r="G835" t="str">
            <v>Juni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8434000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86944500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95378500</v>
          </cell>
          <cell r="AD835">
            <v>0</v>
          </cell>
          <cell r="AE835">
            <v>95378500</v>
          </cell>
        </row>
        <row r="836">
          <cell r="B836">
            <v>401002</v>
          </cell>
          <cell r="C836" t="str">
            <v>Penjualan General repair</v>
          </cell>
          <cell r="D836" t="str">
            <v>Juli</v>
          </cell>
          <cell r="F836">
            <v>401002</v>
          </cell>
          <cell r="G836" t="str">
            <v>Juli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9154500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66276000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75430500</v>
          </cell>
          <cell r="AD836">
            <v>0</v>
          </cell>
          <cell r="AE836">
            <v>75430500</v>
          </cell>
        </row>
        <row r="837">
          <cell r="B837">
            <v>401002</v>
          </cell>
          <cell r="C837" t="str">
            <v>Penjualan General repair</v>
          </cell>
          <cell r="D837" t="str">
            <v>Agustus</v>
          </cell>
          <cell r="F837">
            <v>401002</v>
          </cell>
          <cell r="G837" t="str">
            <v>Agustus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1279000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76681000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77960000</v>
          </cell>
          <cell r="AD837">
            <v>0</v>
          </cell>
          <cell r="AE837">
            <v>77960000</v>
          </cell>
        </row>
        <row r="838">
          <cell r="B838">
            <v>401002</v>
          </cell>
          <cell r="C838" t="str">
            <v>Penjualan General repair</v>
          </cell>
          <cell r="D838" t="str">
            <v>September</v>
          </cell>
          <cell r="F838">
            <v>401002</v>
          </cell>
          <cell r="G838" t="str">
            <v>September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3210500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78043500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-2324750</v>
          </cell>
          <cell r="AB838">
            <v>0</v>
          </cell>
          <cell r="AC838">
            <v>78929250</v>
          </cell>
          <cell r="AD838">
            <v>0</v>
          </cell>
          <cell r="AE838">
            <v>78929250</v>
          </cell>
        </row>
        <row r="839">
          <cell r="B839">
            <v>401002</v>
          </cell>
          <cell r="C839" t="str">
            <v>Penjualan General repair</v>
          </cell>
          <cell r="D839" t="str">
            <v>Oktober</v>
          </cell>
          <cell r="F839">
            <v>401002</v>
          </cell>
          <cell r="G839" t="str">
            <v>Oktober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7170500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69139500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76310000</v>
          </cell>
          <cell r="AD839">
            <v>0</v>
          </cell>
          <cell r="AE839">
            <v>76310000</v>
          </cell>
        </row>
        <row r="840">
          <cell r="B840">
            <v>401002</v>
          </cell>
          <cell r="C840" t="str">
            <v>Penjualan General repair</v>
          </cell>
          <cell r="D840" t="str">
            <v>November</v>
          </cell>
          <cell r="F840">
            <v>401002</v>
          </cell>
          <cell r="G840" t="str">
            <v>November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8545600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68648500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77194100</v>
          </cell>
          <cell r="AD840">
            <v>0</v>
          </cell>
          <cell r="AE840">
            <v>77194100</v>
          </cell>
        </row>
        <row r="841">
          <cell r="B841">
            <v>401002</v>
          </cell>
          <cell r="C841" t="str">
            <v>Penjualan General repair</v>
          </cell>
          <cell r="D841" t="str">
            <v>Desember</v>
          </cell>
          <cell r="F841">
            <v>401002</v>
          </cell>
          <cell r="G841" t="str">
            <v>Desember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13096000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66472000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79568000</v>
          </cell>
          <cell r="AD841">
            <v>0</v>
          </cell>
          <cell r="AE841">
            <v>79568000</v>
          </cell>
        </row>
        <row r="842">
          <cell r="B842">
            <v>401003</v>
          </cell>
          <cell r="C842" t="str">
            <v>Penjualan Body Repair</v>
          </cell>
          <cell r="E842">
            <v>401.00299999999999</v>
          </cell>
          <cell r="F842">
            <v>401003</v>
          </cell>
          <cell r="G842" t="str">
            <v>Penjualan Body Repair</v>
          </cell>
          <cell r="H842">
            <v>0</v>
          </cell>
          <cell r="I842">
            <v>643814728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644278896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112855500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1400949124</v>
          </cell>
          <cell r="AD842">
            <v>0</v>
          </cell>
          <cell r="AE842">
            <v>757134396</v>
          </cell>
        </row>
        <row r="843">
          <cell r="B843">
            <v>401003</v>
          </cell>
          <cell r="C843" t="str">
            <v>Penjualan Body Repair</v>
          </cell>
          <cell r="D843" t="str">
            <v>Januari</v>
          </cell>
          <cell r="F843">
            <v>401003</v>
          </cell>
          <cell r="G843" t="str">
            <v>Januari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48831415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14155000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62986415</v>
          </cell>
          <cell r="AD843">
            <v>0</v>
          </cell>
          <cell r="AE843">
            <v>62986415</v>
          </cell>
        </row>
        <row r="844">
          <cell r="B844">
            <v>401003</v>
          </cell>
          <cell r="C844" t="str">
            <v>Penjualan Body Repair</v>
          </cell>
          <cell r="D844" t="str">
            <v>Februari</v>
          </cell>
          <cell r="F844">
            <v>401003</v>
          </cell>
          <cell r="G844" t="str">
            <v>Februari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27180457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27180457</v>
          </cell>
          <cell r="AD844">
            <v>0</v>
          </cell>
          <cell r="AE844">
            <v>27180457</v>
          </cell>
        </row>
        <row r="845">
          <cell r="B845">
            <v>401003</v>
          </cell>
          <cell r="C845" t="str">
            <v>Penjualan Body Repair</v>
          </cell>
          <cell r="D845" t="str">
            <v>Maret</v>
          </cell>
          <cell r="F845">
            <v>401003</v>
          </cell>
          <cell r="G845" t="str">
            <v>Maret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86404245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1972000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88376245</v>
          </cell>
          <cell r="AD845">
            <v>0</v>
          </cell>
          <cell r="AE845">
            <v>88376245</v>
          </cell>
        </row>
        <row r="846">
          <cell r="B846">
            <v>401003</v>
          </cell>
          <cell r="C846" t="str">
            <v>Penjualan Body Repair</v>
          </cell>
          <cell r="D846" t="str">
            <v>April</v>
          </cell>
          <cell r="F846">
            <v>401003</v>
          </cell>
          <cell r="G846" t="str">
            <v>April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27881747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27881747</v>
          </cell>
          <cell r="AD846">
            <v>0</v>
          </cell>
          <cell r="AE846">
            <v>27881747</v>
          </cell>
        </row>
        <row r="847">
          <cell r="B847">
            <v>401003</v>
          </cell>
          <cell r="C847" t="str">
            <v>Penjualan Body Repair</v>
          </cell>
          <cell r="D847" t="str">
            <v>Mei</v>
          </cell>
          <cell r="F847">
            <v>401003</v>
          </cell>
          <cell r="G847" t="str">
            <v>Mei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82503038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6396000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88899038</v>
          </cell>
          <cell r="AD847">
            <v>0</v>
          </cell>
          <cell r="AE847">
            <v>88899038</v>
          </cell>
        </row>
        <row r="848">
          <cell r="B848">
            <v>401003</v>
          </cell>
          <cell r="C848" t="str">
            <v>Penjualan Body Repair</v>
          </cell>
          <cell r="D848" t="str">
            <v>Juni</v>
          </cell>
          <cell r="F848">
            <v>401003</v>
          </cell>
          <cell r="G848" t="str">
            <v>Juni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26837195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5280000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32117195</v>
          </cell>
          <cell r="AD848">
            <v>0</v>
          </cell>
          <cell r="AE848">
            <v>32117195</v>
          </cell>
        </row>
        <row r="849">
          <cell r="B849">
            <v>401003</v>
          </cell>
          <cell r="C849" t="str">
            <v>Penjualan Body Repair</v>
          </cell>
          <cell r="D849" t="str">
            <v>Juli</v>
          </cell>
          <cell r="F849">
            <v>401003</v>
          </cell>
          <cell r="G849" t="str">
            <v>Juli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55618137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10432000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66050137</v>
          </cell>
          <cell r="AD849">
            <v>0</v>
          </cell>
          <cell r="AE849">
            <v>66050137</v>
          </cell>
        </row>
        <row r="850">
          <cell r="B850">
            <v>401003</v>
          </cell>
          <cell r="C850" t="str">
            <v>Penjualan Body Repair</v>
          </cell>
          <cell r="D850" t="str">
            <v>Agustus</v>
          </cell>
          <cell r="F850">
            <v>401003</v>
          </cell>
          <cell r="G850" t="str">
            <v>Agustus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31146487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38321000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69467487</v>
          </cell>
          <cell r="AD850">
            <v>0</v>
          </cell>
          <cell r="AE850">
            <v>69467487</v>
          </cell>
        </row>
        <row r="851">
          <cell r="B851">
            <v>401003</v>
          </cell>
          <cell r="C851" t="str">
            <v>Penjualan Body Repair</v>
          </cell>
          <cell r="D851" t="str">
            <v>September</v>
          </cell>
          <cell r="F851">
            <v>401003</v>
          </cell>
          <cell r="G851" t="str">
            <v>September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78592185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6655000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85247185</v>
          </cell>
          <cell r="AD851">
            <v>0</v>
          </cell>
          <cell r="AE851">
            <v>85247185</v>
          </cell>
        </row>
        <row r="852">
          <cell r="B852">
            <v>401003</v>
          </cell>
          <cell r="C852" t="str">
            <v>Penjualan Body Repair</v>
          </cell>
          <cell r="D852" t="str">
            <v>Oktober</v>
          </cell>
          <cell r="F852">
            <v>401003</v>
          </cell>
          <cell r="G852" t="str">
            <v>Oktober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67218880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15155000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82373880</v>
          </cell>
          <cell r="AD852">
            <v>0</v>
          </cell>
          <cell r="AE852">
            <v>82373880</v>
          </cell>
        </row>
        <row r="853">
          <cell r="B853">
            <v>401003</v>
          </cell>
          <cell r="C853" t="str">
            <v>Penjualan Body Repair</v>
          </cell>
          <cell r="D853" t="str">
            <v>November</v>
          </cell>
          <cell r="F853">
            <v>401003</v>
          </cell>
          <cell r="G853" t="str">
            <v>November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81308300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5300000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86608300</v>
          </cell>
          <cell r="AD853">
            <v>0</v>
          </cell>
          <cell r="AE853">
            <v>86608300</v>
          </cell>
        </row>
        <row r="854">
          <cell r="B854">
            <v>401003</v>
          </cell>
          <cell r="C854" t="str">
            <v>Penjualan Body Repair</v>
          </cell>
          <cell r="D854" t="str">
            <v>Desember</v>
          </cell>
          <cell r="F854">
            <v>401003</v>
          </cell>
          <cell r="G854" t="str">
            <v>Desember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30756810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9189500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39946310</v>
          </cell>
          <cell r="AD854">
            <v>0</v>
          </cell>
          <cell r="AE854">
            <v>39946310</v>
          </cell>
        </row>
        <row r="855">
          <cell r="B855">
            <v>401004</v>
          </cell>
          <cell r="C855" t="str">
            <v xml:space="preserve">Penjualan Sporing </v>
          </cell>
          <cell r="E855">
            <v>401.00400000000002</v>
          </cell>
          <cell r="F855">
            <v>401004</v>
          </cell>
          <cell r="G855" t="str">
            <v xml:space="preserve">Penjualan Sporing </v>
          </cell>
          <cell r="H855">
            <v>0</v>
          </cell>
          <cell r="I855">
            <v>322131895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8145000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100681000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430957895</v>
          </cell>
          <cell r="AD855">
            <v>0</v>
          </cell>
          <cell r="AE855">
            <v>108826000</v>
          </cell>
        </row>
        <row r="856">
          <cell r="B856">
            <v>401004</v>
          </cell>
          <cell r="C856" t="str">
            <v xml:space="preserve">Penjualan Sporing </v>
          </cell>
          <cell r="D856" t="str">
            <v>Januari</v>
          </cell>
          <cell r="F856">
            <v>401004</v>
          </cell>
          <cell r="G856" t="str">
            <v>Januari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20319000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20319000</v>
          </cell>
          <cell r="AD856">
            <v>0</v>
          </cell>
          <cell r="AE856">
            <v>20319000</v>
          </cell>
        </row>
        <row r="857">
          <cell r="B857">
            <v>401004</v>
          </cell>
          <cell r="C857" t="str">
            <v xml:space="preserve">Penjualan Sporing </v>
          </cell>
          <cell r="D857" t="str">
            <v>Februari</v>
          </cell>
          <cell r="F857">
            <v>401004</v>
          </cell>
          <cell r="G857" t="str">
            <v>Februari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1365000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5579000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6944000</v>
          </cell>
          <cell r="AD857">
            <v>0</v>
          </cell>
          <cell r="AE857">
            <v>6944000</v>
          </cell>
        </row>
        <row r="858">
          <cell r="B858">
            <v>401004</v>
          </cell>
          <cell r="C858" t="str">
            <v xml:space="preserve">Penjualan Sporing </v>
          </cell>
          <cell r="D858" t="str">
            <v>Maret</v>
          </cell>
          <cell r="F858">
            <v>401004</v>
          </cell>
          <cell r="G858" t="str">
            <v>Maret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8820000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8820000</v>
          </cell>
          <cell r="AD858">
            <v>0</v>
          </cell>
          <cell r="AE858">
            <v>8820000</v>
          </cell>
        </row>
        <row r="859">
          <cell r="B859">
            <v>401004</v>
          </cell>
          <cell r="C859" t="str">
            <v xml:space="preserve">Penjualan Sporing </v>
          </cell>
          <cell r="D859" t="str">
            <v>April</v>
          </cell>
          <cell r="F859">
            <v>401004</v>
          </cell>
          <cell r="G859" t="str">
            <v>April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1642000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2881000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4523000</v>
          </cell>
          <cell r="AD859">
            <v>0</v>
          </cell>
          <cell r="AE859">
            <v>4523000</v>
          </cell>
        </row>
        <row r="860">
          <cell r="B860">
            <v>401004</v>
          </cell>
          <cell r="C860" t="str">
            <v xml:space="preserve">Penjualan Sporing </v>
          </cell>
          <cell r="D860" t="str">
            <v>Mei</v>
          </cell>
          <cell r="F860">
            <v>401004</v>
          </cell>
          <cell r="G860" t="str">
            <v>Mei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5000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3943000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3948000</v>
          </cell>
          <cell r="AD860">
            <v>0</v>
          </cell>
          <cell r="AE860">
            <v>3948000</v>
          </cell>
        </row>
        <row r="861">
          <cell r="B861">
            <v>401004</v>
          </cell>
          <cell r="C861" t="str">
            <v xml:space="preserve">Penjualan Sporing </v>
          </cell>
          <cell r="D861" t="str">
            <v>Juni</v>
          </cell>
          <cell r="F861">
            <v>401004</v>
          </cell>
          <cell r="G861" t="str">
            <v>Juni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1415000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1121000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2536000</v>
          </cell>
          <cell r="AD861">
            <v>0</v>
          </cell>
          <cell r="AE861">
            <v>2536000</v>
          </cell>
        </row>
        <row r="862">
          <cell r="B862">
            <v>401004</v>
          </cell>
          <cell r="C862" t="str">
            <v xml:space="preserve">Penjualan Sporing </v>
          </cell>
          <cell r="D862" t="str">
            <v>Juli</v>
          </cell>
          <cell r="F862">
            <v>401004</v>
          </cell>
          <cell r="G862" t="str">
            <v>Juli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868000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13992000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14860000</v>
          </cell>
          <cell r="AD862">
            <v>0</v>
          </cell>
          <cell r="AE862">
            <v>14860000</v>
          </cell>
        </row>
        <row r="863">
          <cell r="B863">
            <v>401004</v>
          </cell>
          <cell r="C863" t="str">
            <v xml:space="preserve">Penjualan Sporing </v>
          </cell>
          <cell r="D863" t="str">
            <v>Agustus</v>
          </cell>
          <cell r="F863">
            <v>401004</v>
          </cell>
          <cell r="G863" t="str">
            <v>Agustus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2850000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13834000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16684000</v>
          </cell>
          <cell r="AD863">
            <v>0</v>
          </cell>
          <cell r="AE863">
            <v>16684000</v>
          </cell>
        </row>
        <row r="864">
          <cell r="B864">
            <v>401004</v>
          </cell>
          <cell r="C864" t="str">
            <v xml:space="preserve">Penjualan Sporing </v>
          </cell>
          <cell r="D864" t="str">
            <v>September</v>
          </cell>
          <cell r="F864">
            <v>401004</v>
          </cell>
          <cell r="G864" t="str">
            <v>September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9162000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9162000</v>
          </cell>
          <cell r="AD864">
            <v>0</v>
          </cell>
          <cell r="AE864">
            <v>9162000</v>
          </cell>
        </row>
        <row r="865">
          <cell r="B865">
            <v>401004</v>
          </cell>
          <cell r="C865" t="str">
            <v xml:space="preserve">Penjualan Sporing </v>
          </cell>
          <cell r="D865" t="str">
            <v>Oktober</v>
          </cell>
          <cell r="F865">
            <v>401004</v>
          </cell>
          <cell r="G865" t="str">
            <v>Oktober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6383000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6383000</v>
          </cell>
          <cell r="AD865">
            <v>0</v>
          </cell>
          <cell r="AE865">
            <v>6383000</v>
          </cell>
        </row>
        <row r="866">
          <cell r="B866">
            <v>401004</v>
          </cell>
          <cell r="C866" t="str">
            <v xml:space="preserve">Penjualan Sporing </v>
          </cell>
          <cell r="D866" t="str">
            <v>November</v>
          </cell>
          <cell r="F866">
            <v>401004</v>
          </cell>
          <cell r="G866" t="str">
            <v>November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2298000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2298000</v>
          </cell>
          <cell r="AD866">
            <v>0</v>
          </cell>
          <cell r="AE866">
            <v>2298000</v>
          </cell>
        </row>
        <row r="867">
          <cell r="B867">
            <v>401004</v>
          </cell>
          <cell r="C867" t="str">
            <v xml:space="preserve">Penjualan Sporing </v>
          </cell>
          <cell r="D867" t="str">
            <v>Desember</v>
          </cell>
          <cell r="F867">
            <v>401004</v>
          </cell>
          <cell r="G867" t="str">
            <v>Desember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12349000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12349000</v>
          </cell>
          <cell r="AD867">
            <v>0</v>
          </cell>
          <cell r="AE867">
            <v>12349000</v>
          </cell>
        </row>
        <row r="868">
          <cell r="B868">
            <v>401005</v>
          </cell>
          <cell r="C868" t="str">
            <v>Penjualan AC</v>
          </cell>
          <cell r="E868">
            <v>401.005</v>
          </cell>
          <cell r="F868">
            <v>401005</v>
          </cell>
          <cell r="G868" t="str">
            <v>Penjualan AC</v>
          </cell>
          <cell r="H868">
            <v>0</v>
          </cell>
          <cell r="I868">
            <v>81015500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11256750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41402500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133674750</v>
          </cell>
          <cell r="AD868">
            <v>0</v>
          </cell>
          <cell r="AE868">
            <v>52659250</v>
          </cell>
        </row>
        <row r="869">
          <cell r="B869">
            <v>401005</v>
          </cell>
          <cell r="C869" t="str">
            <v>Penjualan AC</v>
          </cell>
          <cell r="D869" t="str">
            <v>Januari</v>
          </cell>
          <cell r="F869">
            <v>401005</v>
          </cell>
          <cell r="G869" t="str">
            <v>Januari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515500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4767500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5283000</v>
          </cell>
          <cell r="AD869">
            <v>0</v>
          </cell>
          <cell r="AE869">
            <v>5283000</v>
          </cell>
        </row>
        <row r="870">
          <cell r="B870">
            <v>401005</v>
          </cell>
          <cell r="C870" t="str">
            <v>Penjualan AC</v>
          </cell>
          <cell r="D870" t="str">
            <v>Februari</v>
          </cell>
          <cell r="F870">
            <v>401005</v>
          </cell>
          <cell r="G870" t="str">
            <v>Februari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2449000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2449000</v>
          </cell>
          <cell r="AD870">
            <v>0</v>
          </cell>
          <cell r="AE870">
            <v>2449000</v>
          </cell>
        </row>
        <row r="871">
          <cell r="B871">
            <v>401005</v>
          </cell>
          <cell r="C871" t="str">
            <v>Penjualan AC</v>
          </cell>
          <cell r="D871" t="str">
            <v>Maret</v>
          </cell>
          <cell r="F871">
            <v>401005</v>
          </cell>
          <cell r="G871" t="str">
            <v>Maret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1125500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2670000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3795500</v>
          </cell>
          <cell r="AD871">
            <v>0</v>
          </cell>
          <cell r="AE871">
            <v>3795500</v>
          </cell>
        </row>
        <row r="872">
          <cell r="B872">
            <v>401005</v>
          </cell>
          <cell r="C872" t="str">
            <v>Penjualan AC</v>
          </cell>
          <cell r="D872" t="str">
            <v>April</v>
          </cell>
          <cell r="F872">
            <v>401005</v>
          </cell>
          <cell r="G872" t="str">
            <v>April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480000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2933500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3413500</v>
          </cell>
          <cell r="AD872">
            <v>0</v>
          </cell>
          <cell r="AE872">
            <v>3413500</v>
          </cell>
        </row>
        <row r="873">
          <cell r="B873">
            <v>401005</v>
          </cell>
          <cell r="C873" t="str">
            <v>Penjualan AC</v>
          </cell>
          <cell r="D873" t="str">
            <v>Mei</v>
          </cell>
          <cell r="F873">
            <v>401005</v>
          </cell>
          <cell r="G873" t="str">
            <v>Mei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2432500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2167000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4599500</v>
          </cell>
          <cell r="AD873">
            <v>0</v>
          </cell>
          <cell r="AE873">
            <v>4599500</v>
          </cell>
        </row>
        <row r="874">
          <cell r="B874">
            <v>401005</v>
          </cell>
          <cell r="C874" t="str">
            <v>Penjualan AC</v>
          </cell>
          <cell r="D874" t="str">
            <v>Juni</v>
          </cell>
          <cell r="F874">
            <v>401005</v>
          </cell>
          <cell r="G874" t="str">
            <v>Juni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94000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5576500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5670500</v>
          </cell>
          <cell r="AD874">
            <v>0</v>
          </cell>
          <cell r="AE874">
            <v>5670500</v>
          </cell>
        </row>
        <row r="875">
          <cell r="B875">
            <v>401005</v>
          </cell>
          <cell r="C875" t="str">
            <v>Penjualan AC</v>
          </cell>
          <cell r="D875" t="str">
            <v>Juli</v>
          </cell>
          <cell r="F875">
            <v>401005</v>
          </cell>
          <cell r="G875" t="str">
            <v>Juli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713000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3138000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3851000</v>
          </cell>
          <cell r="AD875">
            <v>0</v>
          </cell>
          <cell r="AE875">
            <v>3851000</v>
          </cell>
        </row>
        <row r="876">
          <cell r="B876">
            <v>401005</v>
          </cell>
          <cell r="C876" t="str">
            <v>Penjualan AC</v>
          </cell>
          <cell r="D876" t="str">
            <v>Agustus</v>
          </cell>
          <cell r="F876">
            <v>401005</v>
          </cell>
          <cell r="G876" t="str">
            <v>Agustus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1159000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4415000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5574000</v>
          </cell>
          <cell r="AD876">
            <v>0</v>
          </cell>
          <cell r="AE876">
            <v>5574000</v>
          </cell>
        </row>
        <row r="877">
          <cell r="B877">
            <v>401005</v>
          </cell>
          <cell r="C877" t="str">
            <v>Penjualan AC</v>
          </cell>
          <cell r="D877" t="str">
            <v>September</v>
          </cell>
          <cell r="F877">
            <v>401005</v>
          </cell>
          <cell r="G877" t="str">
            <v>September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2427500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1063000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3490500</v>
          </cell>
          <cell r="AD877">
            <v>0</v>
          </cell>
          <cell r="AE877">
            <v>3490500</v>
          </cell>
        </row>
        <row r="878">
          <cell r="B878">
            <v>401005</v>
          </cell>
          <cell r="C878" t="str">
            <v>Penjualan AC</v>
          </cell>
          <cell r="D878" t="str">
            <v>Oktober</v>
          </cell>
          <cell r="F878">
            <v>401005</v>
          </cell>
          <cell r="G878" t="str">
            <v>Oktober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1600250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3341000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4941250</v>
          </cell>
          <cell r="AD878">
            <v>0</v>
          </cell>
          <cell r="AE878">
            <v>4941250</v>
          </cell>
        </row>
        <row r="879">
          <cell r="B879">
            <v>401005</v>
          </cell>
          <cell r="C879" t="str">
            <v>Penjualan AC</v>
          </cell>
          <cell r="D879" t="str">
            <v>November</v>
          </cell>
          <cell r="F879">
            <v>401005</v>
          </cell>
          <cell r="G879" t="str">
            <v>November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384500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5916500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6301000</v>
          </cell>
          <cell r="AD879">
            <v>0</v>
          </cell>
          <cell r="AE879">
            <v>6301000</v>
          </cell>
        </row>
        <row r="880">
          <cell r="B880">
            <v>401005</v>
          </cell>
          <cell r="C880" t="str">
            <v>Penjualan AC</v>
          </cell>
          <cell r="D880" t="str">
            <v>Desember</v>
          </cell>
          <cell r="F880">
            <v>401005</v>
          </cell>
          <cell r="G880" t="str">
            <v>Desember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325000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2965500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3290500</v>
          </cell>
          <cell r="AD880">
            <v>0</v>
          </cell>
          <cell r="AE880">
            <v>3290500</v>
          </cell>
        </row>
        <row r="881">
          <cell r="B881">
            <v>401006</v>
          </cell>
          <cell r="C881" t="str">
            <v>Penjualan Variasi</v>
          </cell>
          <cell r="E881">
            <v>401.00599999999997</v>
          </cell>
          <cell r="F881">
            <v>401006</v>
          </cell>
          <cell r="G881" t="str">
            <v>Penjualan Variasi</v>
          </cell>
          <cell r="H881">
            <v>0</v>
          </cell>
          <cell r="I881">
            <v>5643500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5643500</v>
          </cell>
          <cell r="AD881">
            <v>0</v>
          </cell>
          <cell r="AE881">
            <v>0</v>
          </cell>
        </row>
        <row r="882">
          <cell r="B882">
            <v>401006</v>
          </cell>
          <cell r="C882" t="str">
            <v>Penjualan Variasi</v>
          </cell>
          <cell r="D882" t="str">
            <v>Januari</v>
          </cell>
          <cell r="F882">
            <v>401006</v>
          </cell>
          <cell r="G882" t="str">
            <v>Januari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</row>
        <row r="883">
          <cell r="B883">
            <v>401006</v>
          </cell>
          <cell r="C883" t="str">
            <v>Penjualan Variasi</v>
          </cell>
          <cell r="D883" t="str">
            <v>Februari</v>
          </cell>
          <cell r="F883">
            <v>401006</v>
          </cell>
          <cell r="G883" t="str">
            <v>Februari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</row>
        <row r="884">
          <cell r="B884">
            <v>401006</v>
          </cell>
          <cell r="C884" t="str">
            <v>Penjualan Variasi</v>
          </cell>
          <cell r="D884" t="str">
            <v>Maret</v>
          </cell>
          <cell r="F884">
            <v>401006</v>
          </cell>
          <cell r="G884" t="str">
            <v>Maret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</row>
        <row r="885">
          <cell r="B885">
            <v>401006</v>
          </cell>
          <cell r="C885" t="str">
            <v>Penjualan Variasi</v>
          </cell>
          <cell r="D885" t="str">
            <v>April</v>
          </cell>
          <cell r="F885">
            <v>401006</v>
          </cell>
          <cell r="G885" t="str">
            <v>April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</row>
        <row r="886">
          <cell r="B886">
            <v>401006</v>
          </cell>
          <cell r="C886" t="str">
            <v>Penjualan Variasi</v>
          </cell>
          <cell r="D886" t="str">
            <v>Mei</v>
          </cell>
          <cell r="F886">
            <v>401006</v>
          </cell>
          <cell r="G886" t="str">
            <v>Mei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</row>
        <row r="887">
          <cell r="B887">
            <v>401006</v>
          </cell>
          <cell r="C887" t="str">
            <v>Penjualan Variasi</v>
          </cell>
          <cell r="D887" t="str">
            <v>Juni</v>
          </cell>
          <cell r="F887">
            <v>401006</v>
          </cell>
          <cell r="G887" t="str">
            <v>Juni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</row>
        <row r="888">
          <cell r="B888">
            <v>401006</v>
          </cell>
          <cell r="C888" t="str">
            <v>Penjualan Variasi</v>
          </cell>
          <cell r="D888" t="str">
            <v>Juli</v>
          </cell>
          <cell r="F888">
            <v>401006</v>
          </cell>
          <cell r="G888" t="str">
            <v>Juli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</row>
        <row r="889">
          <cell r="B889">
            <v>401006</v>
          </cell>
          <cell r="C889" t="str">
            <v>Penjualan Variasi</v>
          </cell>
          <cell r="D889" t="str">
            <v>Agustus</v>
          </cell>
          <cell r="F889">
            <v>401006</v>
          </cell>
          <cell r="G889" t="str">
            <v>Agustus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</row>
        <row r="890">
          <cell r="B890">
            <v>401006</v>
          </cell>
          <cell r="C890" t="str">
            <v>Penjualan Variasi</v>
          </cell>
          <cell r="D890" t="str">
            <v>September</v>
          </cell>
          <cell r="F890">
            <v>401006</v>
          </cell>
          <cell r="G890" t="str">
            <v>September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</row>
        <row r="891">
          <cell r="B891">
            <v>401006</v>
          </cell>
          <cell r="C891" t="str">
            <v>Penjualan Variasi</v>
          </cell>
          <cell r="D891" t="str">
            <v>Oktober</v>
          </cell>
          <cell r="F891">
            <v>401006</v>
          </cell>
          <cell r="G891" t="str">
            <v>Oktober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</row>
        <row r="892">
          <cell r="B892">
            <v>401006</v>
          </cell>
          <cell r="C892" t="str">
            <v>Penjualan Variasi</v>
          </cell>
          <cell r="D892" t="str">
            <v>November</v>
          </cell>
          <cell r="F892">
            <v>401006</v>
          </cell>
          <cell r="G892" t="str">
            <v>November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</row>
        <row r="893">
          <cell r="B893">
            <v>401006</v>
          </cell>
          <cell r="C893" t="str">
            <v>Penjualan Variasi</v>
          </cell>
          <cell r="D893" t="str">
            <v>Desember</v>
          </cell>
          <cell r="F893">
            <v>401006</v>
          </cell>
          <cell r="G893" t="str">
            <v>Desember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</row>
        <row r="894">
          <cell r="B894">
            <v>401007</v>
          </cell>
          <cell r="C894" t="str">
            <v>Penjualan Ganti Oli</v>
          </cell>
          <cell r="E894">
            <v>401.00700000000001</v>
          </cell>
          <cell r="F894">
            <v>401007</v>
          </cell>
          <cell r="G894" t="str">
            <v>Penjualan Ganti Oli</v>
          </cell>
          <cell r="H894">
            <v>0</v>
          </cell>
          <cell r="I894">
            <v>349678150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47120000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674431900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1071230050</v>
          </cell>
          <cell r="AD894">
            <v>0</v>
          </cell>
          <cell r="AE894">
            <v>721551900</v>
          </cell>
        </row>
        <row r="895">
          <cell r="B895">
            <v>401007</v>
          </cell>
          <cell r="C895" t="str">
            <v>Penjualan Ganti Oli</v>
          </cell>
          <cell r="D895" t="str">
            <v>Januari</v>
          </cell>
          <cell r="F895">
            <v>401007</v>
          </cell>
          <cell r="G895" t="str">
            <v>Januari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3840000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55731500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59571500</v>
          </cell>
          <cell r="AD895">
            <v>0</v>
          </cell>
          <cell r="AE895">
            <v>59571500</v>
          </cell>
        </row>
        <row r="896">
          <cell r="B896">
            <v>401007</v>
          </cell>
          <cell r="C896" t="str">
            <v>Penjualan Ganti Oli</v>
          </cell>
          <cell r="D896" t="str">
            <v>Februari</v>
          </cell>
          <cell r="F896">
            <v>401007</v>
          </cell>
          <cell r="G896" t="str">
            <v>Februari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3480000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45643500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49123500</v>
          </cell>
          <cell r="AD896">
            <v>0</v>
          </cell>
          <cell r="AE896">
            <v>49123500</v>
          </cell>
        </row>
        <row r="897">
          <cell r="B897">
            <v>401007</v>
          </cell>
          <cell r="C897" t="str">
            <v>Penjualan Ganti Oli</v>
          </cell>
          <cell r="D897" t="str">
            <v>Maret</v>
          </cell>
          <cell r="F897">
            <v>401007</v>
          </cell>
          <cell r="G897" t="str">
            <v>Maret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4863000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49024000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53887000</v>
          </cell>
          <cell r="AD897">
            <v>0</v>
          </cell>
          <cell r="AE897">
            <v>53887000</v>
          </cell>
        </row>
        <row r="898">
          <cell r="B898">
            <v>401007</v>
          </cell>
          <cell r="C898" t="str">
            <v>Penjualan Ganti Oli</v>
          </cell>
          <cell r="D898" t="str">
            <v>April</v>
          </cell>
          <cell r="F898">
            <v>401007</v>
          </cell>
          <cell r="G898" t="str">
            <v>April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4285000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46775000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51060000</v>
          </cell>
          <cell r="AD898">
            <v>0</v>
          </cell>
          <cell r="AE898">
            <v>51060000</v>
          </cell>
        </row>
        <row r="899">
          <cell r="B899">
            <v>401007</v>
          </cell>
          <cell r="C899" t="str">
            <v>Penjualan Ganti Oli</v>
          </cell>
          <cell r="D899" t="str">
            <v>Mei</v>
          </cell>
          <cell r="F899">
            <v>401007</v>
          </cell>
          <cell r="G899" t="str">
            <v>Mei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4931000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56209000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61140000</v>
          </cell>
          <cell r="AD899">
            <v>0</v>
          </cell>
          <cell r="AE899">
            <v>61140000</v>
          </cell>
        </row>
        <row r="900">
          <cell r="B900">
            <v>401007</v>
          </cell>
          <cell r="C900" t="str">
            <v>Penjualan Ganti Oli</v>
          </cell>
          <cell r="D900" t="str">
            <v>Juni</v>
          </cell>
          <cell r="F900">
            <v>401007</v>
          </cell>
          <cell r="G900" t="str">
            <v>Juni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2214000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64565500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66779500</v>
          </cell>
          <cell r="AD900">
            <v>0</v>
          </cell>
          <cell r="AE900">
            <v>66779500</v>
          </cell>
        </row>
        <row r="901">
          <cell r="B901">
            <v>401007</v>
          </cell>
          <cell r="C901" t="str">
            <v>Penjualan Ganti Oli</v>
          </cell>
          <cell r="D901" t="str">
            <v>Juli</v>
          </cell>
          <cell r="F901">
            <v>401007</v>
          </cell>
          <cell r="G901" t="str">
            <v>Juli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4395000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58846800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63241800</v>
          </cell>
          <cell r="AD901">
            <v>0</v>
          </cell>
          <cell r="AE901">
            <v>63241800</v>
          </cell>
        </row>
        <row r="902">
          <cell r="B902">
            <v>401007</v>
          </cell>
          <cell r="C902" t="str">
            <v>Penjualan Ganti Oli</v>
          </cell>
          <cell r="D902" t="str">
            <v>Agustus</v>
          </cell>
          <cell r="F902">
            <v>401007</v>
          </cell>
          <cell r="G902" t="str">
            <v>Agustus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2762000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62769000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65531000</v>
          </cell>
          <cell r="AD902">
            <v>0</v>
          </cell>
          <cell r="AE902">
            <v>65531000</v>
          </cell>
        </row>
        <row r="903">
          <cell r="B903">
            <v>401007</v>
          </cell>
          <cell r="C903" t="str">
            <v>Penjualan Ganti Oli</v>
          </cell>
          <cell r="D903" t="str">
            <v>September</v>
          </cell>
          <cell r="F903">
            <v>401007</v>
          </cell>
          <cell r="G903" t="str">
            <v>September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5585800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62656800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68242600</v>
          </cell>
          <cell r="AD903">
            <v>0</v>
          </cell>
          <cell r="AE903">
            <v>68242600</v>
          </cell>
        </row>
        <row r="904">
          <cell r="B904">
            <v>401007</v>
          </cell>
          <cell r="C904" t="str">
            <v>Penjualan Ganti Oli</v>
          </cell>
          <cell r="D904" t="str">
            <v>Oktober</v>
          </cell>
          <cell r="F904">
            <v>401007</v>
          </cell>
          <cell r="G904" t="str">
            <v>Oktober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3082000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63119000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66201000</v>
          </cell>
          <cell r="AD904">
            <v>0</v>
          </cell>
          <cell r="AE904">
            <v>66201000</v>
          </cell>
        </row>
        <row r="905">
          <cell r="B905">
            <v>401007</v>
          </cell>
          <cell r="C905" t="str">
            <v>Penjualan Ganti Oli</v>
          </cell>
          <cell r="D905" t="str">
            <v>November</v>
          </cell>
          <cell r="F905">
            <v>401007</v>
          </cell>
          <cell r="G905" t="str">
            <v>November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3420200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44748500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48168700</v>
          </cell>
          <cell r="AD905">
            <v>0</v>
          </cell>
          <cell r="AE905">
            <v>48168700</v>
          </cell>
        </row>
        <row r="906">
          <cell r="B906">
            <v>401007</v>
          </cell>
          <cell r="C906" t="str">
            <v>Penjualan Ganti Oli</v>
          </cell>
          <cell r="D906" t="str">
            <v>Desember</v>
          </cell>
          <cell r="F906">
            <v>401007</v>
          </cell>
          <cell r="G906" t="str">
            <v>Desember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4262000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64343300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68605300</v>
          </cell>
          <cell r="AD906">
            <v>0</v>
          </cell>
          <cell r="AE906">
            <v>68605300</v>
          </cell>
        </row>
        <row r="907">
          <cell r="B907">
            <v>401008</v>
          </cell>
          <cell r="C907" t="str">
            <v>Penjualan Cucian</v>
          </cell>
          <cell r="E907">
            <v>401.00799999999998</v>
          </cell>
          <cell r="F907">
            <v>401008</v>
          </cell>
          <cell r="G907" t="str">
            <v>Penjualan Cucian</v>
          </cell>
          <cell r="H907">
            <v>0</v>
          </cell>
          <cell r="I907">
            <v>949645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949645</v>
          </cell>
          <cell r="AD907">
            <v>0</v>
          </cell>
          <cell r="AE907">
            <v>0</v>
          </cell>
        </row>
        <row r="908">
          <cell r="B908">
            <v>401008</v>
          </cell>
          <cell r="C908" t="str">
            <v>Penjualan Cucian</v>
          </cell>
          <cell r="D908" t="str">
            <v>Januari</v>
          </cell>
          <cell r="F908">
            <v>401008</v>
          </cell>
          <cell r="G908" t="str">
            <v>Januari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</row>
        <row r="909">
          <cell r="B909">
            <v>401008</v>
          </cell>
          <cell r="C909" t="str">
            <v>Penjualan Cucian</v>
          </cell>
          <cell r="D909" t="str">
            <v>Februari</v>
          </cell>
          <cell r="F909">
            <v>401008</v>
          </cell>
          <cell r="G909" t="str">
            <v>Februari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</row>
        <row r="910">
          <cell r="B910">
            <v>401008</v>
          </cell>
          <cell r="C910" t="str">
            <v>Penjualan Cucian</v>
          </cell>
          <cell r="D910" t="str">
            <v>Maret</v>
          </cell>
          <cell r="F910">
            <v>401008</v>
          </cell>
          <cell r="G910" t="str">
            <v>Maret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</row>
        <row r="911">
          <cell r="B911">
            <v>401008</v>
          </cell>
          <cell r="C911" t="str">
            <v>Penjualan Cucian</v>
          </cell>
          <cell r="D911" t="str">
            <v>April</v>
          </cell>
          <cell r="F911">
            <v>401008</v>
          </cell>
          <cell r="G911" t="str">
            <v>April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</row>
        <row r="912">
          <cell r="B912">
            <v>401008</v>
          </cell>
          <cell r="C912" t="str">
            <v>Penjualan Cucian</v>
          </cell>
          <cell r="D912" t="str">
            <v>Mei</v>
          </cell>
          <cell r="F912">
            <v>401008</v>
          </cell>
          <cell r="G912" t="str">
            <v>Mei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</row>
        <row r="913">
          <cell r="B913">
            <v>401008</v>
          </cell>
          <cell r="C913" t="str">
            <v>Penjualan Cucian</v>
          </cell>
          <cell r="D913" t="str">
            <v>Juni</v>
          </cell>
          <cell r="F913">
            <v>401008</v>
          </cell>
          <cell r="G913" t="str">
            <v>Juni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</row>
        <row r="914">
          <cell r="B914">
            <v>401008</v>
          </cell>
          <cell r="C914" t="str">
            <v>Penjualan Cucian</v>
          </cell>
          <cell r="D914" t="str">
            <v>Juli</v>
          </cell>
          <cell r="F914">
            <v>401008</v>
          </cell>
          <cell r="G914" t="str">
            <v>Juli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</row>
        <row r="915">
          <cell r="B915">
            <v>401008</v>
          </cell>
          <cell r="C915" t="str">
            <v>Penjualan Cucian</v>
          </cell>
          <cell r="D915" t="str">
            <v>Agustus</v>
          </cell>
          <cell r="F915">
            <v>401008</v>
          </cell>
          <cell r="G915" t="str">
            <v>Agustus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</row>
        <row r="916">
          <cell r="B916">
            <v>401008</v>
          </cell>
          <cell r="C916" t="str">
            <v>Penjualan Cucian</v>
          </cell>
          <cell r="D916" t="str">
            <v>September</v>
          </cell>
          <cell r="F916">
            <v>401008</v>
          </cell>
          <cell r="G916" t="str">
            <v>September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</row>
        <row r="917">
          <cell r="B917">
            <v>401008</v>
          </cell>
          <cell r="C917" t="str">
            <v>Penjualan Cucian</v>
          </cell>
          <cell r="D917" t="str">
            <v>Oktober</v>
          </cell>
          <cell r="F917">
            <v>401008</v>
          </cell>
          <cell r="G917" t="str">
            <v>Oktober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</row>
        <row r="918">
          <cell r="B918">
            <v>401008</v>
          </cell>
          <cell r="C918" t="str">
            <v>Penjualan Cucian</v>
          </cell>
          <cell r="D918" t="str">
            <v>November</v>
          </cell>
          <cell r="F918">
            <v>401008</v>
          </cell>
          <cell r="G918" t="str">
            <v>November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</row>
        <row r="919">
          <cell r="B919">
            <v>401008</v>
          </cell>
          <cell r="C919" t="str">
            <v>Penjualan Cucian</v>
          </cell>
          <cell r="D919" t="str">
            <v>Desember</v>
          </cell>
          <cell r="F919">
            <v>401008</v>
          </cell>
          <cell r="G919" t="str">
            <v>Desember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</row>
        <row r="920">
          <cell r="B920">
            <v>401009</v>
          </cell>
          <cell r="C920" t="str">
            <v>Penjualan salon</v>
          </cell>
          <cell r="E920">
            <v>401.00900000000001</v>
          </cell>
          <cell r="F920">
            <v>401009</v>
          </cell>
          <cell r="G920" t="str">
            <v>Penjualan salon</v>
          </cell>
          <cell r="H920">
            <v>0</v>
          </cell>
          <cell r="I920">
            <v>47507413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2200000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24870504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74577917</v>
          </cell>
          <cell r="AD920">
            <v>0</v>
          </cell>
          <cell r="AE920">
            <v>27070504</v>
          </cell>
        </row>
        <row r="921">
          <cell r="B921">
            <v>401009</v>
          </cell>
          <cell r="C921" t="str">
            <v>Penjualan salon</v>
          </cell>
          <cell r="D921" t="str">
            <v>Januari</v>
          </cell>
          <cell r="F921">
            <v>401009</v>
          </cell>
          <cell r="G921" t="str">
            <v>Januari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145000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1816000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1961000</v>
          </cell>
          <cell r="AD921">
            <v>0</v>
          </cell>
          <cell r="AE921">
            <v>1961000</v>
          </cell>
        </row>
        <row r="922">
          <cell r="B922">
            <v>401009</v>
          </cell>
          <cell r="C922" t="str">
            <v>Penjualan salon</v>
          </cell>
          <cell r="D922" t="str">
            <v>Februari</v>
          </cell>
          <cell r="F922">
            <v>401009</v>
          </cell>
          <cell r="G922" t="str">
            <v>Februari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856000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856000</v>
          </cell>
          <cell r="AD922">
            <v>0</v>
          </cell>
          <cell r="AE922">
            <v>856000</v>
          </cell>
        </row>
        <row r="923">
          <cell r="B923">
            <v>401009</v>
          </cell>
          <cell r="C923" t="str">
            <v>Penjualan salon</v>
          </cell>
          <cell r="D923" t="str">
            <v>Maret</v>
          </cell>
          <cell r="F923">
            <v>401009</v>
          </cell>
          <cell r="G923" t="str">
            <v>Maret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8635100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8635100</v>
          </cell>
          <cell r="AD923">
            <v>0</v>
          </cell>
          <cell r="AE923">
            <v>8635100</v>
          </cell>
        </row>
        <row r="924">
          <cell r="B924">
            <v>401009</v>
          </cell>
          <cell r="C924" t="str">
            <v>Penjualan salon</v>
          </cell>
          <cell r="D924" t="str">
            <v>April</v>
          </cell>
          <cell r="F924">
            <v>401009</v>
          </cell>
          <cell r="G924" t="str">
            <v>April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200000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4241400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4441400</v>
          </cell>
          <cell r="AD924">
            <v>0</v>
          </cell>
          <cell r="AE924">
            <v>4441400</v>
          </cell>
        </row>
        <row r="925">
          <cell r="B925">
            <v>401009</v>
          </cell>
          <cell r="C925" t="str">
            <v>Penjualan salon</v>
          </cell>
          <cell r="D925" t="str">
            <v>Mei</v>
          </cell>
          <cell r="F925">
            <v>401009</v>
          </cell>
          <cell r="G925" t="str">
            <v>Mei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1201996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1201996</v>
          </cell>
          <cell r="AD925">
            <v>0</v>
          </cell>
          <cell r="AE925">
            <v>1201996</v>
          </cell>
        </row>
        <row r="926">
          <cell r="B926">
            <v>401009</v>
          </cell>
          <cell r="C926" t="str">
            <v>Penjualan salon</v>
          </cell>
          <cell r="D926" t="str">
            <v>Juni</v>
          </cell>
          <cell r="F926">
            <v>401009</v>
          </cell>
          <cell r="G926" t="str">
            <v>Juni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350000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350000</v>
          </cell>
          <cell r="AD926">
            <v>0</v>
          </cell>
          <cell r="AE926">
            <v>350000</v>
          </cell>
        </row>
        <row r="927">
          <cell r="B927">
            <v>401009</v>
          </cell>
          <cell r="C927" t="str">
            <v>Penjualan salon</v>
          </cell>
          <cell r="D927" t="str">
            <v>Juli</v>
          </cell>
          <cell r="F927">
            <v>401009</v>
          </cell>
          <cell r="G927" t="str">
            <v>Juli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1620000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3710008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5330008</v>
          </cell>
          <cell r="AD927">
            <v>0</v>
          </cell>
          <cell r="AE927">
            <v>5330008</v>
          </cell>
        </row>
        <row r="928">
          <cell r="B928">
            <v>401009</v>
          </cell>
          <cell r="C928" t="str">
            <v>Penjualan salon</v>
          </cell>
          <cell r="D928" t="str">
            <v>Agustus</v>
          </cell>
          <cell r="F928">
            <v>401009</v>
          </cell>
          <cell r="G928" t="str">
            <v>Agustus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235000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1340000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1575000</v>
          </cell>
          <cell r="AD928">
            <v>0</v>
          </cell>
          <cell r="AE928">
            <v>1575000</v>
          </cell>
        </row>
        <row r="929">
          <cell r="B929">
            <v>401009</v>
          </cell>
          <cell r="C929" t="str">
            <v>Penjualan salon</v>
          </cell>
          <cell r="D929" t="str">
            <v>September</v>
          </cell>
          <cell r="F929">
            <v>401009</v>
          </cell>
          <cell r="G929" t="str">
            <v>September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2460000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2460000</v>
          </cell>
          <cell r="AD929">
            <v>0</v>
          </cell>
          <cell r="AE929">
            <v>2460000</v>
          </cell>
        </row>
        <row r="930">
          <cell r="B930">
            <v>401009</v>
          </cell>
          <cell r="C930" t="str">
            <v>Penjualan salon</v>
          </cell>
          <cell r="D930" t="str">
            <v>Oktober</v>
          </cell>
          <cell r="F930">
            <v>401009</v>
          </cell>
          <cell r="G930" t="str">
            <v>Oktober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</row>
        <row r="931">
          <cell r="B931">
            <v>401009</v>
          </cell>
          <cell r="C931" t="str">
            <v>Penjualan salon</v>
          </cell>
          <cell r="D931" t="str">
            <v>November</v>
          </cell>
          <cell r="F931">
            <v>401009</v>
          </cell>
          <cell r="G931" t="str">
            <v>November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260000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260000</v>
          </cell>
          <cell r="AD931">
            <v>0</v>
          </cell>
          <cell r="AE931">
            <v>260000</v>
          </cell>
        </row>
        <row r="932">
          <cell r="B932">
            <v>401009</v>
          </cell>
          <cell r="C932" t="str">
            <v>Penjualan salon</v>
          </cell>
          <cell r="D932" t="str">
            <v>Desember</v>
          </cell>
          <cell r="F932">
            <v>401009</v>
          </cell>
          <cell r="G932" t="str">
            <v>Desember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</row>
        <row r="934">
          <cell r="B934">
            <v>402000</v>
          </cell>
          <cell r="E934">
            <v>402</v>
          </cell>
          <cell r="F934">
            <v>402000</v>
          </cell>
          <cell r="G934" t="str">
            <v>JASA BENGKEL</v>
          </cell>
          <cell r="H934">
            <v>0</v>
          </cell>
          <cell r="I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</row>
        <row r="935">
          <cell r="B935">
            <v>402001</v>
          </cell>
          <cell r="C935" t="str">
            <v>Pendapatan Jasa Toko</v>
          </cell>
          <cell r="E935">
            <v>402.00099999999998</v>
          </cell>
          <cell r="F935">
            <v>402001</v>
          </cell>
          <cell r="G935" t="str">
            <v>Pendapatan Jasa Toko</v>
          </cell>
          <cell r="H935">
            <v>0</v>
          </cell>
          <cell r="I935">
            <v>80000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80000</v>
          </cell>
          <cell r="AD935">
            <v>0</v>
          </cell>
          <cell r="AE935">
            <v>0</v>
          </cell>
        </row>
        <row r="936">
          <cell r="B936">
            <v>402001</v>
          </cell>
          <cell r="C936" t="str">
            <v>Pendapatan Jasa Toko</v>
          </cell>
          <cell r="D936" t="str">
            <v>Januari</v>
          </cell>
          <cell r="F936">
            <v>402001</v>
          </cell>
          <cell r="G936" t="str">
            <v>Januari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</row>
        <row r="937">
          <cell r="B937">
            <v>402001</v>
          </cell>
          <cell r="C937" t="str">
            <v>Pendapatan Jasa Toko</v>
          </cell>
          <cell r="D937" t="str">
            <v>Februari</v>
          </cell>
          <cell r="F937">
            <v>402001</v>
          </cell>
          <cell r="G937" t="str">
            <v>Februari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</row>
        <row r="938">
          <cell r="B938">
            <v>402001</v>
          </cell>
          <cell r="C938" t="str">
            <v>Pendapatan Jasa Toko</v>
          </cell>
          <cell r="D938" t="str">
            <v>Maret</v>
          </cell>
          <cell r="F938">
            <v>402001</v>
          </cell>
          <cell r="G938" t="str">
            <v>Maret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</row>
        <row r="939">
          <cell r="B939">
            <v>402001</v>
          </cell>
          <cell r="C939" t="str">
            <v>Pendapatan Jasa Toko</v>
          </cell>
          <cell r="D939" t="str">
            <v>April</v>
          </cell>
          <cell r="F939">
            <v>402001</v>
          </cell>
          <cell r="G939" t="str">
            <v>April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</row>
        <row r="940">
          <cell r="B940">
            <v>402001</v>
          </cell>
          <cell r="C940" t="str">
            <v>Pendapatan Jasa Toko</v>
          </cell>
          <cell r="D940" t="str">
            <v>Mei</v>
          </cell>
          <cell r="F940">
            <v>402001</v>
          </cell>
          <cell r="G940" t="str">
            <v>Mei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</row>
        <row r="941">
          <cell r="B941">
            <v>402001</v>
          </cell>
          <cell r="C941" t="str">
            <v>Pendapatan Jasa Toko</v>
          </cell>
          <cell r="D941" t="str">
            <v>Juni</v>
          </cell>
          <cell r="F941">
            <v>402001</v>
          </cell>
          <cell r="G941" t="str">
            <v>Juni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</row>
        <row r="942">
          <cell r="B942">
            <v>402001</v>
          </cell>
          <cell r="C942" t="str">
            <v>Pendapatan Jasa Toko</v>
          </cell>
          <cell r="D942" t="str">
            <v>Juli</v>
          </cell>
          <cell r="F942">
            <v>402001</v>
          </cell>
          <cell r="G942" t="str">
            <v>Juli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</row>
        <row r="943">
          <cell r="B943">
            <v>402001</v>
          </cell>
          <cell r="C943" t="str">
            <v>Pendapatan Jasa Toko</v>
          </cell>
          <cell r="D943" t="str">
            <v>Agustus</v>
          </cell>
          <cell r="F943">
            <v>402001</v>
          </cell>
          <cell r="G943" t="str">
            <v>Agustus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</row>
        <row r="944">
          <cell r="B944">
            <v>402001</v>
          </cell>
          <cell r="C944" t="str">
            <v>Pendapatan Jasa Toko</v>
          </cell>
          <cell r="D944" t="str">
            <v>September</v>
          </cell>
          <cell r="F944">
            <v>402001</v>
          </cell>
          <cell r="G944" t="str">
            <v>September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</row>
        <row r="945">
          <cell r="B945">
            <v>402001</v>
          </cell>
          <cell r="C945" t="str">
            <v>Pendapatan Jasa Toko</v>
          </cell>
          <cell r="D945" t="str">
            <v>Oktober</v>
          </cell>
          <cell r="F945">
            <v>402001</v>
          </cell>
          <cell r="G945" t="str">
            <v>Oktober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</row>
        <row r="946">
          <cell r="B946">
            <v>402001</v>
          </cell>
          <cell r="C946" t="str">
            <v>Pendapatan Jasa Toko</v>
          </cell>
          <cell r="D946" t="str">
            <v>November</v>
          </cell>
          <cell r="F946">
            <v>402001</v>
          </cell>
          <cell r="G946" t="str">
            <v>November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</row>
        <row r="947">
          <cell r="B947">
            <v>402001</v>
          </cell>
          <cell r="C947" t="str">
            <v>Pendapatan Jasa Toko</v>
          </cell>
          <cell r="D947" t="str">
            <v>Desember</v>
          </cell>
          <cell r="F947">
            <v>402001</v>
          </cell>
          <cell r="G947" t="str">
            <v>Desember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</row>
        <row r="948">
          <cell r="B948">
            <v>402002</v>
          </cell>
          <cell r="C948" t="str">
            <v>Pendapatan Jasa General repair</v>
          </cell>
          <cell r="E948">
            <v>402.00200000000001</v>
          </cell>
          <cell r="F948">
            <v>402002</v>
          </cell>
          <cell r="G948" t="str">
            <v>Pendapatan Jasa General repair</v>
          </cell>
          <cell r="H948">
            <v>0</v>
          </cell>
          <cell r="I948">
            <v>423538792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48287325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479981653</v>
          </cell>
          <cell r="V948">
            <v>0</v>
          </cell>
          <cell r="W948">
            <v>30000</v>
          </cell>
          <cell r="X948">
            <v>0</v>
          </cell>
          <cell r="Y948">
            <v>0</v>
          </cell>
          <cell r="Z948">
            <v>0</v>
          </cell>
          <cell r="AA948">
            <v>-5035222</v>
          </cell>
          <cell r="AB948">
            <v>0</v>
          </cell>
          <cell r="AC948">
            <v>946802548</v>
          </cell>
          <cell r="AD948">
            <v>0</v>
          </cell>
          <cell r="AE948">
            <v>523263756</v>
          </cell>
        </row>
        <row r="949">
          <cell r="B949">
            <v>402002</v>
          </cell>
          <cell r="C949" t="str">
            <v>Pendapatan Jasa General repair</v>
          </cell>
          <cell r="D949" t="str">
            <v>Januari</v>
          </cell>
          <cell r="F949">
            <v>402002</v>
          </cell>
          <cell r="G949" t="str">
            <v>Januari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6525000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39310000</v>
          </cell>
          <cell r="V949">
            <v>0</v>
          </cell>
          <cell r="W949">
            <v>30000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45865000</v>
          </cell>
          <cell r="AD949">
            <v>0</v>
          </cell>
          <cell r="AE949">
            <v>45865000</v>
          </cell>
        </row>
        <row r="950">
          <cell r="B950">
            <v>402002</v>
          </cell>
          <cell r="C950" t="str">
            <v>Pendapatan Jasa General repair</v>
          </cell>
          <cell r="D950" t="str">
            <v>Februari</v>
          </cell>
          <cell r="F950">
            <v>402002</v>
          </cell>
          <cell r="G950" t="str">
            <v>Februari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2195000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29734750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31929750</v>
          </cell>
          <cell r="AD950">
            <v>0</v>
          </cell>
          <cell r="AE950">
            <v>31929750</v>
          </cell>
        </row>
        <row r="951">
          <cell r="B951">
            <v>402002</v>
          </cell>
          <cell r="C951" t="str">
            <v>Pendapatan Jasa General repair</v>
          </cell>
          <cell r="D951" t="str">
            <v>Maret</v>
          </cell>
          <cell r="F951">
            <v>402002</v>
          </cell>
          <cell r="G951" t="str">
            <v>Maret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2735000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33221250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35956250</v>
          </cell>
          <cell r="AD951">
            <v>0</v>
          </cell>
          <cell r="AE951">
            <v>35956250</v>
          </cell>
        </row>
        <row r="952">
          <cell r="B952">
            <v>402002</v>
          </cell>
          <cell r="C952" t="str">
            <v>Pendapatan Jasa General repair</v>
          </cell>
          <cell r="D952" t="str">
            <v>April</v>
          </cell>
          <cell r="F952">
            <v>402002</v>
          </cell>
          <cell r="G952" t="str">
            <v>April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2050000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31802500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33852500</v>
          </cell>
          <cell r="AD952">
            <v>0</v>
          </cell>
          <cell r="AE952">
            <v>33852500</v>
          </cell>
        </row>
        <row r="953">
          <cell r="B953">
            <v>402002</v>
          </cell>
          <cell r="C953" t="str">
            <v>Pendapatan Jasa General repair</v>
          </cell>
          <cell r="D953" t="str">
            <v>Mei</v>
          </cell>
          <cell r="F953">
            <v>402002</v>
          </cell>
          <cell r="G953" t="str">
            <v>Mei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6500000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39282753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45782753</v>
          </cell>
          <cell r="AD953">
            <v>0</v>
          </cell>
          <cell r="AE953">
            <v>45782753</v>
          </cell>
        </row>
        <row r="954">
          <cell r="B954">
            <v>402002</v>
          </cell>
          <cell r="C954" t="str">
            <v>Pendapatan Jasa General repair</v>
          </cell>
          <cell r="D954" t="str">
            <v>Juni</v>
          </cell>
          <cell r="F954">
            <v>402002</v>
          </cell>
          <cell r="G954" t="str">
            <v>Juni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2467200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50131000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52598200</v>
          </cell>
          <cell r="AD954">
            <v>0</v>
          </cell>
          <cell r="AE954">
            <v>52598200</v>
          </cell>
        </row>
        <row r="955">
          <cell r="B955">
            <v>402002</v>
          </cell>
          <cell r="C955" t="str">
            <v>Pendapatan Jasa General repair</v>
          </cell>
          <cell r="D955" t="str">
            <v>Juli</v>
          </cell>
          <cell r="F955">
            <v>402002</v>
          </cell>
          <cell r="G955" t="str">
            <v>Juli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4810000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36873000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41683000</v>
          </cell>
          <cell r="AD955">
            <v>0</v>
          </cell>
          <cell r="AE955">
            <v>41683000</v>
          </cell>
        </row>
        <row r="956">
          <cell r="B956">
            <v>402002</v>
          </cell>
          <cell r="C956" t="str">
            <v>Pendapatan Jasa General repair</v>
          </cell>
          <cell r="D956" t="str">
            <v>Agustus</v>
          </cell>
          <cell r="F956">
            <v>402002</v>
          </cell>
          <cell r="G956" t="str">
            <v>Agustus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780000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44988250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45768250</v>
          </cell>
          <cell r="AD956">
            <v>0</v>
          </cell>
          <cell r="AE956">
            <v>45768250</v>
          </cell>
        </row>
        <row r="957">
          <cell r="B957">
            <v>402002</v>
          </cell>
          <cell r="C957" t="str">
            <v>Pendapatan Jasa General repair</v>
          </cell>
          <cell r="D957" t="str">
            <v>September</v>
          </cell>
          <cell r="F957">
            <v>402002</v>
          </cell>
          <cell r="G957" t="str">
            <v>September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3290000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52871500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56161500</v>
          </cell>
          <cell r="AD957">
            <v>0</v>
          </cell>
          <cell r="AE957">
            <v>56161500</v>
          </cell>
        </row>
        <row r="958">
          <cell r="B958">
            <v>402002</v>
          </cell>
          <cell r="C958" t="str">
            <v>Pendapatan Jasa General repair</v>
          </cell>
          <cell r="D958" t="str">
            <v>Oktober</v>
          </cell>
          <cell r="F958">
            <v>402002</v>
          </cell>
          <cell r="G958" t="str">
            <v>Oktober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1781125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42774250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44555375</v>
          </cell>
          <cell r="AD958">
            <v>0</v>
          </cell>
          <cell r="AE958">
            <v>44555375</v>
          </cell>
        </row>
        <row r="959">
          <cell r="B959">
            <v>402002</v>
          </cell>
          <cell r="C959" t="str">
            <v>Pendapatan Jasa General repair</v>
          </cell>
          <cell r="D959" t="str">
            <v>November</v>
          </cell>
          <cell r="F959">
            <v>402002</v>
          </cell>
          <cell r="G959" t="str">
            <v>November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3919000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35668000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39587000</v>
          </cell>
          <cell r="AD959">
            <v>0</v>
          </cell>
          <cell r="AE959">
            <v>39587000</v>
          </cell>
        </row>
        <row r="960">
          <cell r="B960">
            <v>402002</v>
          </cell>
          <cell r="C960" t="str">
            <v>Pendapatan Jasa General repair</v>
          </cell>
          <cell r="D960" t="str">
            <v>Desember</v>
          </cell>
          <cell r="F960">
            <v>402002</v>
          </cell>
          <cell r="G960" t="str">
            <v>Desember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11235000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43324400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-5035222</v>
          </cell>
          <cell r="AB960">
            <v>0</v>
          </cell>
          <cell r="AC960">
            <v>49524178</v>
          </cell>
          <cell r="AD960">
            <v>0</v>
          </cell>
          <cell r="AE960">
            <v>49524178</v>
          </cell>
        </row>
        <row r="961">
          <cell r="B961">
            <v>402003</v>
          </cell>
          <cell r="C961" t="str">
            <v>Pendapatan Jasa Body Repair</v>
          </cell>
          <cell r="E961">
            <v>402.00299999999999</v>
          </cell>
          <cell r="F961">
            <v>402003</v>
          </cell>
          <cell r="G961" t="str">
            <v>Pendapatan Jasa Body Repair</v>
          </cell>
          <cell r="H961">
            <v>0</v>
          </cell>
          <cell r="I961">
            <v>781661663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638646799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279113500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-200000</v>
          </cell>
          <cell r="AB961">
            <v>0</v>
          </cell>
          <cell r="AC961">
            <v>1699221962</v>
          </cell>
          <cell r="AD961">
            <v>0</v>
          </cell>
          <cell r="AE961">
            <v>917560299</v>
          </cell>
        </row>
        <row r="962">
          <cell r="B962">
            <v>402003</v>
          </cell>
          <cell r="C962" t="str">
            <v>Pendapatan Jasa Body Repair</v>
          </cell>
          <cell r="D962" t="str">
            <v>Januari</v>
          </cell>
          <cell r="F962">
            <v>402003</v>
          </cell>
          <cell r="G962" t="str">
            <v>Januari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55873345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29497000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85370345</v>
          </cell>
          <cell r="AD962">
            <v>0</v>
          </cell>
          <cell r="AE962">
            <v>85370345</v>
          </cell>
        </row>
        <row r="963">
          <cell r="B963">
            <v>402003</v>
          </cell>
          <cell r="C963" t="str">
            <v>Pendapatan Jasa Body Repair</v>
          </cell>
          <cell r="D963" t="str">
            <v>Februari</v>
          </cell>
          <cell r="F963">
            <v>402003</v>
          </cell>
          <cell r="G963" t="str">
            <v>Februari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45881300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17590000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63471300</v>
          </cell>
          <cell r="AD963">
            <v>0</v>
          </cell>
          <cell r="AE963">
            <v>63471300</v>
          </cell>
        </row>
        <row r="964">
          <cell r="B964">
            <v>402003</v>
          </cell>
          <cell r="C964" t="str">
            <v>Pendapatan Jasa Body Repair</v>
          </cell>
          <cell r="D964" t="str">
            <v>Maret</v>
          </cell>
          <cell r="F964">
            <v>402003</v>
          </cell>
          <cell r="G964" t="str">
            <v>Maret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93610775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15730000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109340775</v>
          </cell>
          <cell r="AD964">
            <v>0</v>
          </cell>
          <cell r="AE964">
            <v>109340775</v>
          </cell>
        </row>
        <row r="965">
          <cell r="B965">
            <v>402003</v>
          </cell>
          <cell r="C965" t="str">
            <v>Pendapatan Jasa Body Repair</v>
          </cell>
          <cell r="D965" t="str">
            <v>April</v>
          </cell>
          <cell r="F965">
            <v>402003</v>
          </cell>
          <cell r="G965" t="str">
            <v>April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32085850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12035000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44120850</v>
          </cell>
          <cell r="AD965">
            <v>0</v>
          </cell>
          <cell r="AE965">
            <v>44120850</v>
          </cell>
        </row>
        <row r="966">
          <cell r="B966">
            <v>402003</v>
          </cell>
          <cell r="C966" t="str">
            <v>Pendapatan Jasa Body Repair</v>
          </cell>
          <cell r="D966" t="str">
            <v>Mei</v>
          </cell>
          <cell r="F966">
            <v>402003</v>
          </cell>
          <cell r="G966" t="str">
            <v>Mei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73491975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15690000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89181975</v>
          </cell>
          <cell r="AD966">
            <v>0</v>
          </cell>
          <cell r="AE966">
            <v>89181975</v>
          </cell>
        </row>
        <row r="967">
          <cell r="B967">
            <v>402003</v>
          </cell>
          <cell r="C967" t="str">
            <v>Pendapatan Jasa Body Repair</v>
          </cell>
          <cell r="D967" t="str">
            <v>Juni</v>
          </cell>
          <cell r="F967">
            <v>402003</v>
          </cell>
          <cell r="G967" t="str">
            <v>Juni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33911125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24935000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58846125</v>
          </cell>
          <cell r="AD967">
            <v>0</v>
          </cell>
          <cell r="AE967">
            <v>58846125</v>
          </cell>
        </row>
        <row r="968">
          <cell r="B968">
            <v>402003</v>
          </cell>
          <cell r="C968" t="str">
            <v>Pendapatan Jasa Body Repair</v>
          </cell>
          <cell r="D968" t="str">
            <v>Juli</v>
          </cell>
          <cell r="F968">
            <v>402003</v>
          </cell>
          <cell r="G968" t="str">
            <v>Juli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71003150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17533000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88536150</v>
          </cell>
          <cell r="AD968">
            <v>0</v>
          </cell>
          <cell r="AE968">
            <v>88536150</v>
          </cell>
        </row>
        <row r="969">
          <cell r="B969">
            <v>402003</v>
          </cell>
          <cell r="C969" t="str">
            <v>Pendapatan Jasa Body Repair</v>
          </cell>
          <cell r="D969" t="str">
            <v>Agustus</v>
          </cell>
          <cell r="F969">
            <v>402003</v>
          </cell>
          <cell r="G969" t="str">
            <v>Agustus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35923300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30746000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66669300</v>
          </cell>
          <cell r="AD969">
            <v>0</v>
          </cell>
          <cell r="AE969">
            <v>66669300</v>
          </cell>
        </row>
        <row r="970">
          <cell r="B970">
            <v>402003</v>
          </cell>
          <cell r="C970" t="str">
            <v>Pendapatan Jasa Body Repair</v>
          </cell>
          <cell r="D970" t="str">
            <v>September</v>
          </cell>
          <cell r="F970">
            <v>402003</v>
          </cell>
          <cell r="G970" t="str">
            <v>September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63139129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28579000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91718129</v>
          </cell>
          <cell r="AD970">
            <v>0</v>
          </cell>
          <cell r="AE970">
            <v>91718129</v>
          </cell>
        </row>
        <row r="971">
          <cell r="B971">
            <v>402003</v>
          </cell>
          <cell r="C971" t="str">
            <v>Pendapatan Jasa Body Repair</v>
          </cell>
          <cell r="D971" t="str">
            <v>Oktober</v>
          </cell>
          <cell r="F971">
            <v>402003</v>
          </cell>
          <cell r="G971" t="str">
            <v>Oktober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29970750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15467000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45437750</v>
          </cell>
          <cell r="AD971">
            <v>0</v>
          </cell>
          <cell r="AE971">
            <v>45437750</v>
          </cell>
        </row>
        <row r="972">
          <cell r="B972">
            <v>402003</v>
          </cell>
          <cell r="C972" t="str">
            <v>Pendapatan Jasa Body Repair</v>
          </cell>
          <cell r="D972" t="str">
            <v>November</v>
          </cell>
          <cell r="F972">
            <v>402003</v>
          </cell>
          <cell r="G972" t="str">
            <v>November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58963600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35720000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-200000</v>
          </cell>
          <cell r="AB972">
            <v>0</v>
          </cell>
          <cell r="AC972">
            <v>94483600</v>
          </cell>
          <cell r="AD972">
            <v>0</v>
          </cell>
          <cell r="AE972">
            <v>94483600</v>
          </cell>
        </row>
        <row r="973">
          <cell r="B973">
            <v>402003</v>
          </cell>
          <cell r="C973" t="str">
            <v>Pendapatan Jasa Body Repair</v>
          </cell>
          <cell r="D973" t="str">
            <v>Desember</v>
          </cell>
          <cell r="F973">
            <v>402003</v>
          </cell>
          <cell r="G973" t="str">
            <v>Desember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44792500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35591500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80384000</v>
          </cell>
          <cell r="AD973">
            <v>0</v>
          </cell>
          <cell r="AE973">
            <v>80384000</v>
          </cell>
        </row>
        <row r="974">
          <cell r="B974">
            <v>402004</v>
          </cell>
          <cell r="C974" t="str">
            <v xml:space="preserve">Pendapatan Jasa Sporing </v>
          </cell>
          <cell r="E974">
            <v>402.00400000000002</v>
          </cell>
          <cell r="F974">
            <v>402004</v>
          </cell>
          <cell r="G974" t="str">
            <v xml:space="preserve">Pendapatan Jasa Sporing </v>
          </cell>
          <cell r="H974">
            <v>0</v>
          </cell>
          <cell r="I974">
            <v>134448048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2604000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77404000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214456048</v>
          </cell>
          <cell r="AD974">
            <v>0</v>
          </cell>
          <cell r="AE974">
            <v>80008000</v>
          </cell>
        </row>
        <row r="975">
          <cell r="B975">
            <v>402004</v>
          </cell>
          <cell r="C975" t="str">
            <v xml:space="preserve">Pendapatan Jasa Sporing </v>
          </cell>
          <cell r="D975" t="str">
            <v>Januari</v>
          </cell>
          <cell r="F975">
            <v>402004</v>
          </cell>
          <cell r="G975" t="str">
            <v>Januari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140000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8618000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8758000</v>
          </cell>
          <cell r="AD975">
            <v>0</v>
          </cell>
          <cell r="AE975">
            <v>8758000</v>
          </cell>
        </row>
        <row r="976">
          <cell r="B976">
            <v>402004</v>
          </cell>
          <cell r="C976" t="str">
            <v xml:space="preserve">Pendapatan Jasa Sporing </v>
          </cell>
          <cell r="D976" t="str">
            <v>Februari</v>
          </cell>
          <cell r="F976">
            <v>402004</v>
          </cell>
          <cell r="G976" t="str">
            <v>Februari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180000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6335000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6515000</v>
          </cell>
          <cell r="AD976">
            <v>0</v>
          </cell>
          <cell r="AE976">
            <v>6515000</v>
          </cell>
        </row>
        <row r="977">
          <cell r="B977">
            <v>402004</v>
          </cell>
          <cell r="C977" t="str">
            <v xml:space="preserve">Pendapatan Jasa Sporing </v>
          </cell>
          <cell r="D977" t="str">
            <v>Maret</v>
          </cell>
          <cell r="F977">
            <v>402004</v>
          </cell>
          <cell r="G977" t="str">
            <v>Maret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20000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6050000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6070000</v>
          </cell>
          <cell r="AD977">
            <v>0</v>
          </cell>
          <cell r="AE977">
            <v>6070000</v>
          </cell>
        </row>
        <row r="978">
          <cell r="B978">
            <v>402004</v>
          </cell>
          <cell r="C978" t="str">
            <v xml:space="preserve">Pendapatan Jasa Sporing </v>
          </cell>
          <cell r="D978" t="str">
            <v>April</v>
          </cell>
          <cell r="F978">
            <v>402004</v>
          </cell>
          <cell r="G978" t="str">
            <v>April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300000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5325000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5625000</v>
          </cell>
          <cell r="AD978">
            <v>0</v>
          </cell>
          <cell r="AE978">
            <v>5625000</v>
          </cell>
        </row>
        <row r="979">
          <cell r="B979">
            <v>402004</v>
          </cell>
          <cell r="C979" t="str">
            <v xml:space="preserve">Pendapatan Jasa Sporing </v>
          </cell>
          <cell r="D979" t="str">
            <v>Mei</v>
          </cell>
          <cell r="F979">
            <v>402004</v>
          </cell>
          <cell r="G979" t="str">
            <v>Mei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300000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4690000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4990000</v>
          </cell>
          <cell r="AD979">
            <v>0</v>
          </cell>
          <cell r="AE979">
            <v>4990000</v>
          </cell>
        </row>
        <row r="980">
          <cell r="B980">
            <v>402004</v>
          </cell>
          <cell r="C980" t="str">
            <v xml:space="preserve">Pendapatan Jasa Sporing </v>
          </cell>
          <cell r="D980" t="str">
            <v>Juni</v>
          </cell>
          <cell r="F980">
            <v>402004</v>
          </cell>
          <cell r="G980" t="str">
            <v>Juni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215000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5790000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6005000</v>
          </cell>
          <cell r="AD980">
            <v>0</v>
          </cell>
          <cell r="AE980">
            <v>6005000</v>
          </cell>
        </row>
        <row r="981">
          <cell r="B981">
            <v>402004</v>
          </cell>
          <cell r="C981" t="str">
            <v xml:space="preserve">Pendapatan Jasa Sporing </v>
          </cell>
          <cell r="D981" t="str">
            <v>Juli</v>
          </cell>
          <cell r="F981">
            <v>402004</v>
          </cell>
          <cell r="G981" t="str">
            <v>Juli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20000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6915000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6935000</v>
          </cell>
          <cell r="AD981">
            <v>0</v>
          </cell>
          <cell r="AE981">
            <v>6935000</v>
          </cell>
        </row>
        <row r="982">
          <cell r="B982">
            <v>402004</v>
          </cell>
          <cell r="C982" t="str">
            <v xml:space="preserve">Pendapatan Jasa Sporing </v>
          </cell>
          <cell r="D982" t="str">
            <v>Agustus</v>
          </cell>
          <cell r="F982">
            <v>402004</v>
          </cell>
          <cell r="G982" t="str">
            <v>Agustus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60000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6600000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6660000</v>
          </cell>
          <cell r="AD982">
            <v>0</v>
          </cell>
          <cell r="AE982">
            <v>6660000</v>
          </cell>
        </row>
        <row r="983">
          <cell r="B983">
            <v>402004</v>
          </cell>
          <cell r="C983" t="str">
            <v xml:space="preserve">Pendapatan Jasa Sporing </v>
          </cell>
          <cell r="D983" t="str">
            <v>September</v>
          </cell>
          <cell r="F983">
            <v>402004</v>
          </cell>
          <cell r="G983" t="str">
            <v>September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310000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5555000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5865000</v>
          </cell>
          <cell r="AD983">
            <v>0</v>
          </cell>
          <cell r="AE983">
            <v>5865000</v>
          </cell>
        </row>
        <row r="984">
          <cell r="B984">
            <v>402004</v>
          </cell>
          <cell r="C984" t="str">
            <v xml:space="preserve">Pendapatan Jasa Sporing </v>
          </cell>
          <cell r="D984" t="str">
            <v>Oktober</v>
          </cell>
          <cell r="F984">
            <v>402004</v>
          </cell>
          <cell r="G984" t="str">
            <v>Oktober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215000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5775000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5990000</v>
          </cell>
          <cell r="AD984">
            <v>0</v>
          </cell>
          <cell r="AE984">
            <v>5990000</v>
          </cell>
        </row>
        <row r="985">
          <cell r="B985">
            <v>402004</v>
          </cell>
          <cell r="C985" t="str">
            <v xml:space="preserve">Pendapatan Jasa Sporing </v>
          </cell>
          <cell r="D985" t="str">
            <v>November</v>
          </cell>
          <cell r="F985">
            <v>402004</v>
          </cell>
          <cell r="G985" t="str">
            <v>November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704000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6875000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7579000</v>
          </cell>
          <cell r="AD985">
            <v>0</v>
          </cell>
          <cell r="AE985">
            <v>7579000</v>
          </cell>
        </row>
        <row r="986">
          <cell r="B986">
            <v>402004</v>
          </cell>
          <cell r="C986" t="str">
            <v xml:space="preserve">Pendapatan Jasa Sporing </v>
          </cell>
          <cell r="D986" t="str">
            <v>Desember</v>
          </cell>
          <cell r="F986">
            <v>402004</v>
          </cell>
          <cell r="G986" t="str">
            <v>Desember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140000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8876000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9016000</v>
          </cell>
          <cell r="AD986">
            <v>0</v>
          </cell>
          <cell r="AE986">
            <v>9016000</v>
          </cell>
        </row>
        <row r="987">
          <cell r="B987">
            <v>402005</v>
          </cell>
          <cell r="C987" t="str">
            <v>Pendapatan Jasa AC</v>
          </cell>
          <cell r="E987">
            <v>402.005</v>
          </cell>
          <cell r="F987">
            <v>402005</v>
          </cell>
          <cell r="G987" t="str">
            <v>Pendapatan Jasa AC</v>
          </cell>
          <cell r="H987">
            <v>0</v>
          </cell>
          <cell r="I987">
            <v>42201000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5451000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21104500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68756500</v>
          </cell>
          <cell r="AD987">
            <v>0</v>
          </cell>
          <cell r="AE987">
            <v>26555500</v>
          </cell>
        </row>
        <row r="988">
          <cell r="B988">
            <v>402005</v>
          </cell>
          <cell r="C988" t="str">
            <v>Pendapatan Jasa AC</v>
          </cell>
          <cell r="D988" t="str">
            <v>Januari</v>
          </cell>
          <cell r="F988">
            <v>402005</v>
          </cell>
          <cell r="G988" t="str">
            <v>Januari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270000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2100000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2370000</v>
          </cell>
          <cell r="AD988">
            <v>0</v>
          </cell>
          <cell r="AE988">
            <v>2370000</v>
          </cell>
        </row>
        <row r="989">
          <cell r="B989">
            <v>402005</v>
          </cell>
          <cell r="C989" t="str">
            <v>Pendapatan Jasa AC</v>
          </cell>
          <cell r="D989" t="str">
            <v>Februari</v>
          </cell>
          <cell r="F989">
            <v>402005</v>
          </cell>
          <cell r="G989" t="str">
            <v>Februari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1020000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1020000</v>
          </cell>
          <cell r="AD989">
            <v>0</v>
          </cell>
          <cell r="AE989">
            <v>1020000</v>
          </cell>
        </row>
        <row r="990">
          <cell r="B990">
            <v>402005</v>
          </cell>
          <cell r="C990" t="str">
            <v>Pendapatan Jasa AC</v>
          </cell>
          <cell r="D990" t="str">
            <v>Maret</v>
          </cell>
          <cell r="F990">
            <v>402005</v>
          </cell>
          <cell r="G990" t="str">
            <v>Maret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385000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1735000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2120000</v>
          </cell>
          <cell r="AD990">
            <v>0</v>
          </cell>
          <cell r="AE990">
            <v>2120000</v>
          </cell>
        </row>
        <row r="991">
          <cell r="B991">
            <v>402005</v>
          </cell>
          <cell r="C991" t="str">
            <v>Pendapatan Jasa AC</v>
          </cell>
          <cell r="D991" t="str">
            <v>April</v>
          </cell>
          <cell r="F991">
            <v>402005</v>
          </cell>
          <cell r="G991" t="str">
            <v>April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475000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1885000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2360000</v>
          </cell>
          <cell r="AD991">
            <v>0</v>
          </cell>
          <cell r="AE991">
            <v>2360000</v>
          </cell>
        </row>
        <row r="992">
          <cell r="B992">
            <v>402005</v>
          </cell>
          <cell r="C992" t="str">
            <v>Pendapatan Jasa AC</v>
          </cell>
          <cell r="D992" t="str">
            <v>Mei</v>
          </cell>
          <cell r="F992">
            <v>402005</v>
          </cell>
          <cell r="G992" t="str">
            <v>Mei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1395000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1500000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2895000</v>
          </cell>
          <cell r="AD992">
            <v>0</v>
          </cell>
          <cell r="AE992">
            <v>2895000</v>
          </cell>
        </row>
        <row r="993">
          <cell r="B993">
            <v>402005</v>
          </cell>
          <cell r="C993" t="str">
            <v>Pendapatan Jasa AC</v>
          </cell>
          <cell r="D993" t="str">
            <v>Juni</v>
          </cell>
          <cell r="F993">
            <v>402005</v>
          </cell>
          <cell r="G993" t="str">
            <v>Juni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150000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2475000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2625000</v>
          </cell>
          <cell r="AD993">
            <v>0</v>
          </cell>
          <cell r="AE993">
            <v>2625000</v>
          </cell>
        </row>
        <row r="994">
          <cell r="B994">
            <v>402005</v>
          </cell>
          <cell r="C994" t="str">
            <v>Pendapatan Jasa AC</v>
          </cell>
          <cell r="D994" t="str">
            <v>Juli</v>
          </cell>
          <cell r="F994">
            <v>402005</v>
          </cell>
          <cell r="G994" t="str">
            <v>Juli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225000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2235000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2460000</v>
          </cell>
          <cell r="AD994">
            <v>0</v>
          </cell>
          <cell r="AE994">
            <v>2460000</v>
          </cell>
        </row>
        <row r="995">
          <cell r="B995">
            <v>402005</v>
          </cell>
          <cell r="C995" t="str">
            <v>Pendapatan Jasa AC</v>
          </cell>
          <cell r="D995" t="str">
            <v>Agustus</v>
          </cell>
          <cell r="F995">
            <v>402005</v>
          </cell>
          <cell r="G995" t="str">
            <v>Agustus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740000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2100000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2840000</v>
          </cell>
          <cell r="AD995">
            <v>0</v>
          </cell>
          <cell r="AE995">
            <v>2840000</v>
          </cell>
        </row>
        <row r="996">
          <cell r="B996">
            <v>402005</v>
          </cell>
          <cell r="C996" t="str">
            <v>Pendapatan Jasa AC</v>
          </cell>
          <cell r="D996" t="str">
            <v>September</v>
          </cell>
          <cell r="F996">
            <v>402005</v>
          </cell>
          <cell r="G996" t="str">
            <v>September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746000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1270000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2016000</v>
          </cell>
          <cell r="AD996">
            <v>0</v>
          </cell>
          <cell r="AE996">
            <v>2016000</v>
          </cell>
        </row>
        <row r="997">
          <cell r="B997">
            <v>402005</v>
          </cell>
          <cell r="C997" t="str">
            <v>Pendapatan Jasa AC</v>
          </cell>
          <cell r="D997" t="str">
            <v>Oktober</v>
          </cell>
          <cell r="F997">
            <v>402005</v>
          </cell>
          <cell r="G997" t="str">
            <v>Oktober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385000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1880000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2265000</v>
          </cell>
          <cell r="AD997">
            <v>0</v>
          </cell>
          <cell r="AE997">
            <v>2265000</v>
          </cell>
        </row>
        <row r="998">
          <cell r="B998">
            <v>402005</v>
          </cell>
          <cell r="C998" t="str">
            <v>Pendapatan Jasa AC</v>
          </cell>
          <cell r="D998" t="str">
            <v>November</v>
          </cell>
          <cell r="F998">
            <v>402005</v>
          </cell>
          <cell r="G998" t="str">
            <v>November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460000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1697000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2157000</v>
          </cell>
          <cell r="AD998">
            <v>0</v>
          </cell>
          <cell r="AE998">
            <v>2157000</v>
          </cell>
        </row>
        <row r="999">
          <cell r="B999">
            <v>402005</v>
          </cell>
          <cell r="C999" t="str">
            <v>Pendapatan Jasa AC</v>
          </cell>
          <cell r="D999" t="str">
            <v>Desember</v>
          </cell>
          <cell r="F999">
            <v>402005</v>
          </cell>
          <cell r="G999" t="str">
            <v>Desember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220000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1207500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1427500</v>
          </cell>
          <cell r="AD999">
            <v>0</v>
          </cell>
          <cell r="AE999">
            <v>1427500</v>
          </cell>
        </row>
        <row r="1000">
          <cell r="B1000">
            <v>402006</v>
          </cell>
          <cell r="C1000" t="str">
            <v>Pendapatan Jasa Variasi</v>
          </cell>
          <cell r="E1000">
            <v>402.00599999999997</v>
          </cell>
          <cell r="F1000">
            <v>402006</v>
          </cell>
          <cell r="G1000" t="str">
            <v>Pendapatan Jasa Variasi</v>
          </cell>
          <cell r="H1000">
            <v>0</v>
          </cell>
          <cell r="I1000">
            <v>362000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362000</v>
          </cell>
          <cell r="AD1000">
            <v>0</v>
          </cell>
          <cell r="AE1000">
            <v>0</v>
          </cell>
        </row>
        <row r="1001">
          <cell r="B1001">
            <v>402006</v>
          </cell>
          <cell r="C1001" t="str">
            <v>Pendapatan Jasa Variasi</v>
          </cell>
          <cell r="D1001" t="str">
            <v>Januari</v>
          </cell>
          <cell r="F1001">
            <v>402006</v>
          </cell>
          <cell r="G1001" t="str">
            <v>Januari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</row>
        <row r="1002">
          <cell r="B1002">
            <v>402006</v>
          </cell>
          <cell r="C1002" t="str">
            <v>Pendapatan Jasa Variasi</v>
          </cell>
          <cell r="D1002" t="str">
            <v>Februari</v>
          </cell>
          <cell r="F1002">
            <v>402006</v>
          </cell>
          <cell r="G1002" t="str">
            <v>Februari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</row>
        <row r="1003">
          <cell r="B1003">
            <v>402006</v>
          </cell>
          <cell r="C1003" t="str">
            <v>Pendapatan Jasa Variasi</v>
          </cell>
          <cell r="D1003" t="str">
            <v>Maret</v>
          </cell>
          <cell r="F1003">
            <v>402006</v>
          </cell>
          <cell r="G1003" t="str">
            <v>Maret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</row>
        <row r="1004">
          <cell r="B1004">
            <v>402006</v>
          </cell>
          <cell r="C1004" t="str">
            <v>Pendapatan Jasa Variasi</v>
          </cell>
          <cell r="D1004" t="str">
            <v>April</v>
          </cell>
          <cell r="F1004">
            <v>402006</v>
          </cell>
          <cell r="G1004" t="str">
            <v>April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</row>
        <row r="1005">
          <cell r="B1005">
            <v>402006</v>
          </cell>
          <cell r="C1005" t="str">
            <v>Pendapatan Jasa Variasi</v>
          </cell>
          <cell r="D1005" t="str">
            <v>Mei</v>
          </cell>
          <cell r="F1005">
            <v>402006</v>
          </cell>
          <cell r="G1005" t="str">
            <v>Mei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</row>
        <row r="1006">
          <cell r="B1006">
            <v>402006</v>
          </cell>
          <cell r="C1006" t="str">
            <v>Pendapatan Jasa Variasi</v>
          </cell>
          <cell r="D1006" t="str">
            <v>Juni</v>
          </cell>
          <cell r="F1006">
            <v>402006</v>
          </cell>
          <cell r="G1006" t="str">
            <v>Juni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</row>
        <row r="1007">
          <cell r="B1007">
            <v>402006</v>
          </cell>
          <cell r="C1007" t="str">
            <v>Pendapatan Jasa Variasi</v>
          </cell>
          <cell r="D1007" t="str">
            <v>Juli</v>
          </cell>
          <cell r="F1007">
            <v>402006</v>
          </cell>
          <cell r="G1007" t="str">
            <v>Juli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</row>
        <row r="1008">
          <cell r="B1008">
            <v>402006</v>
          </cell>
          <cell r="C1008" t="str">
            <v>Pendapatan Jasa Variasi</v>
          </cell>
          <cell r="D1008" t="str">
            <v>Agustus</v>
          </cell>
          <cell r="F1008">
            <v>402006</v>
          </cell>
          <cell r="G1008" t="str">
            <v>Agustus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</row>
        <row r="1009">
          <cell r="B1009">
            <v>402006</v>
          </cell>
          <cell r="C1009" t="str">
            <v>Pendapatan Jasa Variasi</v>
          </cell>
          <cell r="D1009" t="str">
            <v>September</v>
          </cell>
          <cell r="F1009">
            <v>402006</v>
          </cell>
          <cell r="G1009" t="str">
            <v>September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</row>
        <row r="1010">
          <cell r="B1010">
            <v>402006</v>
          </cell>
          <cell r="C1010" t="str">
            <v>Pendapatan Jasa Variasi</v>
          </cell>
          <cell r="D1010" t="str">
            <v>Oktober</v>
          </cell>
          <cell r="F1010">
            <v>402006</v>
          </cell>
          <cell r="G1010" t="str">
            <v>Oktober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</row>
        <row r="1011">
          <cell r="B1011">
            <v>402006</v>
          </cell>
          <cell r="C1011" t="str">
            <v>Pendapatan Jasa Variasi</v>
          </cell>
          <cell r="D1011" t="str">
            <v>November</v>
          </cell>
          <cell r="F1011">
            <v>402006</v>
          </cell>
          <cell r="G1011" t="str">
            <v>November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</row>
        <row r="1012">
          <cell r="B1012">
            <v>402006</v>
          </cell>
          <cell r="C1012" t="str">
            <v>Pendapatan Jasa Variasi</v>
          </cell>
          <cell r="D1012" t="str">
            <v>Desember</v>
          </cell>
          <cell r="F1012">
            <v>402006</v>
          </cell>
          <cell r="G1012" t="str">
            <v>Desember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</row>
        <row r="1013">
          <cell r="B1013">
            <v>402007</v>
          </cell>
          <cell r="C1013" t="str">
            <v>Pendapatan Jasa Ganti Oli</v>
          </cell>
          <cell r="E1013">
            <v>402.00700000000001</v>
          </cell>
          <cell r="F1013">
            <v>402007</v>
          </cell>
          <cell r="G1013" t="str">
            <v>Pendapatan Jasa Ganti Oli</v>
          </cell>
          <cell r="H1013">
            <v>0</v>
          </cell>
          <cell r="I1013">
            <v>18507000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5521000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38199500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62227500</v>
          </cell>
          <cell r="AD1013">
            <v>0</v>
          </cell>
          <cell r="AE1013">
            <v>43720500</v>
          </cell>
        </row>
        <row r="1014">
          <cell r="B1014">
            <v>402007</v>
          </cell>
          <cell r="C1014" t="str">
            <v>Pendapatan Jasa Ganti Oli</v>
          </cell>
          <cell r="D1014" t="str">
            <v>Januari</v>
          </cell>
          <cell r="F1014">
            <v>402007</v>
          </cell>
          <cell r="G1014" t="str">
            <v>Januari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185000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3983000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4168000</v>
          </cell>
          <cell r="AD1014">
            <v>0</v>
          </cell>
          <cell r="AE1014">
            <v>4168000</v>
          </cell>
        </row>
        <row r="1015">
          <cell r="B1015">
            <v>402007</v>
          </cell>
          <cell r="C1015" t="str">
            <v>Pendapatan Jasa Ganti Oli</v>
          </cell>
          <cell r="D1015" t="str">
            <v>Februari</v>
          </cell>
          <cell r="F1015">
            <v>402007</v>
          </cell>
          <cell r="G1015" t="str">
            <v>Februari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1957000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2466000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4423000</v>
          </cell>
          <cell r="AD1015">
            <v>0</v>
          </cell>
          <cell r="AE1015">
            <v>4423000</v>
          </cell>
        </row>
        <row r="1016">
          <cell r="B1016">
            <v>402007</v>
          </cell>
          <cell r="C1016" t="str">
            <v>Pendapatan Jasa Ganti Oli</v>
          </cell>
          <cell r="D1016" t="str">
            <v>Maret</v>
          </cell>
          <cell r="F1016">
            <v>402007</v>
          </cell>
          <cell r="G1016" t="str">
            <v>Maret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475000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2005000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2480000</v>
          </cell>
          <cell r="AD1016">
            <v>0</v>
          </cell>
          <cell r="AE1016">
            <v>2480000</v>
          </cell>
        </row>
        <row r="1017">
          <cell r="B1017">
            <v>402007</v>
          </cell>
          <cell r="C1017" t="str">
            <v>Pendapatan Jasa Ganti Oli</v>
          </cell>
          <cell r="D1017" t="str">
            <v>April</v>
          </cell>
          <cell r="F1017">
            <v>402007</v>
          </cell>
          <cell r="G1017" t="str">
            <v>April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220000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3725000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3945000</v>
          </cell>
          <cell r="AD1017">
            <v>0</v>
          </cell>
          <cell r="AE1017">
            <v>3945000</v>
          </cell>
        </row>
        <row r="1018">
          <cell r="B1018">
            <v>402007</v>
          </cell>
          <cell r="C1018" t="str">
            <v>Pendapatan Jasa Ganti Oli</v>
          </cell>
          <cell r="D1018" t="str">
            <v>Mei</v>
          </cell>
          <cell r="F1018">
            <v>402007</v>
          </cell>
          <cell r="G1018" t="str">
            <v>Mei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476000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2650000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3126000</v>
          </cell>
          <cell r="AD1018">
            <v>0</v>
          </cell>
          <cell r="AE1018">
            <v>3126000</v>
          </cell>
        </row>
        <row r="1019">
          <cell r="B1019">
            <v>402007</v>
          </cell>
          <cell r="C1019" t="str">
            <v>Pendapatan Jasa Ganti Oli</v>
          </cell>
          <cell r="D1019" t="str">
            <v>Juni</v>
          </cell>
          <cell r="F1019">
            <v>402007</v>
          </cell>
          <cell r="G1019" t="str">
            <v>Juni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800000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3742500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4542500</v>
          </cell>
          <cell r="AD1019">
            <v>0</v>
          </cell>
          <cell r="AE1019">
            <v>4542500</v>
          </cell>
        </row>
        <row r="1020">
          <cell r="B1020">
            <v>402007</v>
          </cell>
          <cell r="C1020" t="str">
            <v>Pendapatan Jasa Ganti Oli</v>
          </cell>
          <cell r="D1020" t="str">
            <v>Juli</v>
          </cell>
          <cell r="F1020">
            <v>402007</v>
          </cell>
          <cell r="G1020" t="str">
            <v>Juli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295000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3287000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3582000</v>
          </cell>
          <cell r="AD1020">
            <v>0</v>
          </cell>
          <cell r="AE1020">
            <v>3582000</v>
          </cell>
        </row>
        <row r="1021">
          <cell r="B1021">
            <v>402007</v>
          </cell>
          <cell r="C1021" t="str">
            <v>Pendapatan Jasa Ganti Oli</v>
          </cell>
          <cell r="D1021" t="str">
            <v>Agustus</v>
          </cell>
          <cell r="F1021">
            <v>402007</v>
          </cell>
          <cell r="G1021" t="str">
            <v>Agustus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135000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3809500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3944500</v>
          </cell>
          <cell r="AD1021">
            <v>0</v>
          </cell>
          <cell r="AE1021">
            <v>3944500</v>
          </cell>
        </row>
        <row r="1022">
          <cell r="B1022">
            <v>402007</v>
          </cell>
          <cell r="C1022" t="str">
            <v>Pendapatan Jasa Ganti Oli</v>
          </cell>
          <cell r="D1022" t="str">
            <v>September</v>
          </cell>
          <cell r="F1022">
            <v>402007</v>
          </cell>
          <cell r="G1022" t="str">
            <v>September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240000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2705000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2945000</v>
          </cell>
          <cell r="AD1022">
            <v>0</v>
          </cell>
          <cell r="AE1022">
            <v>2945000</v>
          </cell>
        </row>
        <row r="1023">
          <cell r="B1023">
            <v>402007</v>
          </cell>
          <cell r="C1023" t="str">
            <v>Pendapatan Jasa Ganti Oli</v>
          </cell>
          <cell r="D1023" t="str">
            <v>Oktober</v>
          </cell>
          <cell r="F1023">
            <v>402007</v>
          </cell>
          <cell r="G1023" t="str">
            <v>Oktober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150000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3795000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3945000</v>
          </cell>
          <cell r="AD1023">
            <v>0</v>
          </cell>
          <cell r="AE1023">
            <v>3945000</v>
          </cell>
        </row>
        <row r="1024">
          <cell r="B1024">
            <v>402007</v>
          </cell>
          <cell r="C1024" t="str">
            <v>Pendapatan Jasa Ganti Oli</v>
          </cell>
          <cell r="D1024" t="str">
            <v>November</v>
          </cell>
          <cell r="F1024">
            <v>402007</v>
          </cell>
          <cell r="G1024" t="str">
            <v>November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288000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2967500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3255500</v>
          </cell>
          <cell r="AD1024">
            <v>0</v>
          </cell>
          <cell r="AE1024">
            <v>3255500</v>
          </cell>
        </row>
        <row r="1025">
          <cell r="B1025">
            <v>402007</v>
          </cell>
          <cell r="C1025" t="str">
            <v>Pendapatan Jasa Ganti Oli</v>
          </cell>
          <cell r="D1025" t="str">
            <v>Desember</v>
          </cell>
          <cell r="F1025">
            <v>402007</v>
          </cell>
          <cell r="G1025" t="str">
            <v>Desember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300000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3064000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3364000</v>
          </cell>
          <cell r="AD1025">
            <v>0</v>
          </cell>
          <cell r="AE1025">
            <v>3364000</v>
          </cell>
        </row>
        <row r="1026">
          <cell r="B1026">
            <v>402008</v>
          </cell>
          <cell r="C1026" t="str">
            <v>Pendapatan Jasa Cucian</v>
          </cell>
          <cell r="E1026">
            <v>402.00799999999998</v>
          </cell>
          <cell r="F1026">
            <v>402008</v>
          </cell>
          <cell r="G1026" t="str">
            <v>Pendapatan Jasa Cucian</v>
          </cell>
          <cell r="H1026">
            <v>0</v>
          </cell>
          <cell r="I1026">
            <v>122764000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360000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144715000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267839000</v>
          </cell>
          <cell r="AD1026">
            <v>0</v>
          </cell>
          <cell r="AE1026">
            <v>145075000</v>
          </cell>
        </row>
        <row r="1027">
          <cell r="B1027">
            <v>402008</v>
          </cell>
          <cell r="C1027" t="str">
            <v>Pendapatan Jasa Cucian</v>
          </cell>
          <cell r="D1027" t="str">
            <v>Januari</v>
          </cell>
          <cell r="F1027">
            <v>402008</v>
          </cell>
          <cell r="G1027" t="str">
            <v>Januari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60000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13215000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13275000</v>
          </cell>
          <cell r="AD1027">
            <v>0</v>
          </cell>
          <cell r="AE1027">
            <v>13275000</v>
          </cell>
        </row>
        <row r="1028">
          <cell r="B1028">
            <v>402008</v>
          </cell>
          <cell r="C1028" t="str">
            <v>Pendapatan Jasa Cucian</v>
          </cell>
          <cell r="D1028" t="str">
            <v>Februari</v>
          </cell>
          <cell r="F1028">
            <v>402008</v>
          </cell>
          <cell r="G1028" t="str">
            <v>Februari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30000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9910000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9940000</v>
          </cell>
          <cell r="AD1028">
            <v>0</v>
          </cell>
          <cell r="AE1028">
            <v>9940000</v>
          </cell>
        </row>
        <row r="1029">
          <cell r="B1029">
            <v>402008</v>
          </cell>
          <cell r="C1029" t="str">
            <v>Pendapatan Jasa Cucian</v>
          </cell>
          <cell r="D1029" t="str">
            <v>Maret</v>
          </cell>
          <cell r="F1029">
            <v>402008</v>
          </cell>
          <cell r="G1029" t="str">
            <v>Maret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30000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10785000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10815000</v>
          </cell>
          <cell r="AD1029">
            <v>0</v>
          </cell>
          <cell r="AE1029">
            <v>10815000</v>
          </cell>
        </row>
        <row r="1030">
          <cell r="B1030">
            <v>402008</v>
          </cell>
          <cell r="C1030" t="str">
            <v>Pendapatan Jasa Cucian</v>
          </cell>
          <cell r="D1030" t="str">
            <v>April</v>
          </cell>
          <cell r="F1030">
            <v>402008</v>
          </cell>
          <cell r="G1030" t="str">
            <v>April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30000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13200000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13230000</v>
          </cell>
          <cell r="AD1030">
            <v>0</v>
          </cell>
          <cell r="AE1030">
            <v>13230000</v>
          </cell>
        </row>
        <row r="1031">
          <cell r="B1031">
            <v>402008</v>
          </cell>
          <cell r="C1031" t="str">
            <v>Pendapatan Jasa Cucian</v>
          </cell>
          <cell r="D1031" t="str">
            <v>Mei</v>
          </cell>
          <cell r="F1031">
            <v>402008</v>
          </cell>
          <cell r="G1031" t="str">
            <v>Mei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12935000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12935000</v>
          </cell>
          <cell r="AD1031">
            <v>0</v>
          </cell>
          <cell r="AE1031">
            <v>12935000</v>
          </cell>
        </row>
        <row r="1032">
          <cell r="B1032">
            <v>402008</v>
          </cell>
          <cell r="C1032" t="str">
            <v>Pendapatan Jasa Cucian</v>
          </cell>
          <cell r="D1032" t="str">
            <v>Juni</v>
          </cell>
          <cell r="F1032">
            <v>402008</v>
          </cell>
          <cell r="G1032" t="str">
            <v>Juni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30000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13155000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13185000</v>
          </cell>
          <cell r="AD1032">
            <v>0</v>
          </cell>
          <cell r="AE1032">
            <v>13185000</v>
          </cell>
        </row>
        <row r="1033">
          <cell r="B1033">
            <v>402008</v>
          </cell>
          <cell r="C1033" t="str">
            <v>Pendapatan Jasa Cucian</v>
          </cell>
          <cell r="D1033" t="str">
            <v>Juli</v>
          </cell>
          <cell r="F1033">
            <v>402008</v>
          </cell>
          <cell r="G1033" t="str">
            <v>Juli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30000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11295000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11325000</v>
          </cell>
          <cell r="AD1033">
            <v>0</v>
          </cell>
          <cell r="AE1033">
            <v>11325000</v>
          </cell>
        </row>
        <row r="1034">
          <cell r="B1034">
            <v>402008</v>
          </cell>
          <cell r="C1034" t="str">
            <v>Pendapatan Jasa Cucian</v>
          </cell>
          <cell r="D1034" t="str">
            <v>Agustus</v>
          </cell>
          <cell r="F1034">
            <v>402008</v>
          </cell>
          <cell r="G1034" t="str">
            <v>Agustus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13335000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13335000</v>
          </cell>
          <cell r="AD1034">
            <v>0</v>
          </cell>
          <cell r="AE1034">
            <v>13335000</v>
          </cell>
        </row>
        <row r="1035">
          <cell r="B1035">
            <v>402008</v>
          </cell>
          <cell r="C1035" t="str">
            <v>Pendapatan Jasa Cucian</v>
          </cell>
          <cell r="D1035" t="str">
            <v>September</v>
          </cell>
          <cell r="F1035">
            <v>402008</v>
          </cell>
          <cell r="G1035" t="str">
            <v>September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10390000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10390000</v>
          </cell>
          <cell r="AD1035">
            <v>0</v>
          </cell>
          <cell r="AE1035">
            <v>10390000</v>
          </cell>
        </row>
        <row r="1036">
          <cell r="B1036">
            <v>402008</v>
          </cell>
          <cell r="C1036" t="str">
            <v>Pendapatan Jasa Cucian</v>
          </cell>
          <cell r="D1036" t="str">
            <v>Oktober</v>
          </cell>
          <cell r="F1036">
            <v>402008</v>
          </cell>
          <cell r="G1036" t="str">
            <v>Oktober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60000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11850000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11910000</v>
          </cell>
          <cell r="AD1036">
            <v>0</v>
          </cell>
          <cell r="AE1036">
            <v>11910000</v>
          </cell>
        </row>
        <row r="1037">
          <cell r="B1037">
            <v>402008</v>
          </cell>
          <cell r="C1037" t="str">
            <v>Pendapatan Jasa Cucian</v>
          </cell>
          <cell r="D1037" t="str">
            <v>November</v>
          </cell>
          <cell r="F1037">
            <v>402008</v>
          </cell>
          <cell r="G1037" t="str">
            <v>November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90000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11190000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11280000</v>
          </cell>
          <cell r="AD1037">
            <v>0</v>
          </cell>
          <cell r="AE1037">
            <v>11280000</v>
          </cell>
        </row>
        <row r="1038">
          <cell r="B1038">
            <v>402008</v>
          </cell>
          <cell r="C1038" t="str">
            <v>Pendapatan Jasa Cucian</v>
          </cell>
          <cell r="D1038" t="str">
            <v>Desember</v>
          </cell>
          <cell r="F1038">
            <v>402008</v>
          </cell>
          <cell r="G1038" t="str">
            <v>Desember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13455000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13455000</v>
          </cell>
          <cell r="AD1038">
            <v>0</v>
          </cell>
          <cell r="AE1038">
            <v>13455000</v>
          </cell>
        </row>
        <row r="1039">
          <cell r="B1039">
            <v>402009</v>
          </cell>
          <cell r="C1039" t="str">
            <v>Pendapatan Jasa Salon</v>
          </cell>
          <cell r="E1039">
            <v>402.00900000000001</v>
          </cell>
          <cell r="F1039">
            <v>402009</v>
          </cell>
          <cell r="G1039" t="str">
            <v>Pendapatan Jasa Salon</v>
          </cell>
          <cell r="H1039">
            <v>0</v>
          </cell>
          <cell r="I1039">
            <v>22302500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820000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26890004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50012504</v>
          </cell>
          <cell r="AD1039">
            <v>0</v>
          </cell>
          <cell r="AE1039">
            <v>27710004</v>
          </cell>
        </row>
        <row r="1040">
          <cell r="B1040">
            <v>402009</v>
          </cell>
          <cell r="C1040" t="str">
            <v>Pendapatan Jasa Salon</v>
          </cell>
          <cell r="D1040" t="str">
            <v>Januari</v>
          </cell>
          <cell r="F1040">
            <v>402009</v>
          </cell>
          <cell r="G1040" t="str">
            <v>Januari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350000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3142000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3492000</v>
          </cell>
          <cell r="AD1040">
            <v>0</v>
          </cell>
          <cell r="AE1040">
            <v>3492000</v>
          </cell>
        </row>
        <row r="1041">
          <cell r="B1041">
            <v>402009</v>
          </cell>
          <cell r="C1041" t="str">
            <v>Pendapatan Jasa Salon</v>
          </cell>
          <cell r="D1041" t="str">
            <v>Februari</v>
          </cell>
          <cell r="F1041">
            <v>402009</v>
          </cell>
          <cell r="G1041" t="str">
            <v>Februari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3280000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3280000</v>
          </cell>
          <cell r="AD1041">
            <v>0</v>
          </cell>
          <cell r="AE1041">
            <v>3280000</v>
          </cell>
        </row>
        <row r="1042">
          <cell r="B1042">
            <v>402009</v>
          </cell>
          <cell r="C1042" t="str">
            <v>Pendapatan Jasa Salon</v>
          </cell>
          <cell r="D1042" t="str">
            <v>Maret</v>
          </cell>
          <cell r="F1042">
            <v>402009</v>
          </cell>
          <cell r="G1042" t="str">
            <v>Maret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2541000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2541000</v>
          </cell>
          <cell r="AD1042">
            <v>0</v>
          </cell>
          <cell r="AE1042">
            <v>2541000</v>
          </cell>
        </row>
        <row r="1043">
          <cell r="B1043">
            <v>402009</v>
          </cell>
          <cell r="C1043" t="str">
            <v>Pendapatan Jasa Salon</v>
          </cell>
          <cell r="D1043" t="str">
            <v>April</v>
          </cell>
          <cell r="F1043">
            <v>402009</v>
          </cell>
          <cell r="G1043" t="str">
            <v>April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45000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1332000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1377000</v>
          </cell>
          <cell r="AD1043">
            <v>0</v>
          </cell>
          <cell r="AE1043">
            <v>1377000</v>
          </cell>
        </row>
        <row r="1044">
          <cell r="B1044">
            <v>402009</v>
          </cell>
          <cell r="C1044" t="str">
            <v>Pendapatan Jasa Salon</v>
          </cell>
          <cell r="D1044" t="str">
            <v>Mei</v>
          </cell>
          <cell r="F1044">
            <v>402009</v>
          </cell>
          <cell r="G1044" t="str">
            <v>Mei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100000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1875004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1975004</v>
          </cell>
          <cell r="AD1044">
            <v>0</v>
          </cell>
          <cell r="AE1044">
            <v>1975004</v>
          </cell>
        </row>
        <row r="1045">
          <cell r="B1045">
            <v>402009</v>
          </cell>
          <cell r="C1045" t="str">
            <v>Pendapatan Jasa Salon</v>
          </cell>
          <cell r="D1045" t="str">
            <v>Juni</v>
          </cell>
          <cell r="F1045">
            <v>402009</v>
          </cell>
          <cell r="G1045" t="str">
            <v>Juni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2450000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2450000</v>
          </cell>
          <cell r="AD1045">
            <v>0</v>
          </cell>
          <cell r="AE1045">
            <v>2450000</v>
          </cell>
        </row>
        <row r="1046">
          <cell r="B1046">
            <v>402009</v>
          </cell>
          <cell r="C1046" t="str">
            <v>Pendapatan Jasa Salon</v>
          </cell>
          <cell r="D1046" t="str">
            <v>Juli</v>
          </cell>
          <cell r="F1046">
            <v>402009</v>
          </cell>
          <cell r="G1046" t="str">
            <v>Juli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4000000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4000000</v>
          </cell>
          <cell r="AD1046">
            <v>0</v>
          </cell>
          <cell r="AE1046">
            <v>4000000</v>
          </cell>
        </row>
        <row r="1047">
          <cell r="B1047">
            <v>402009</v>
          </cell>
          <cell r="C1047" t="str">
            <v>Pendapatan Jasa Salon</v>
          </cell>
          <cell r="D1047" t="str">
            <v>Agustus</v>
          </cell>
          <cell r="F1047">
            <v>402009</v>
          </cell>
          <cell r="G1047" t="str">
            <v>Agustus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25000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2530000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2555000</v>
          </cell>
          <cell r="AD1047">
            <v>0</v>
          </cell>
          <cell r="AE1047">
            <v>2555000</v>
          </cell>
        </row>
        <row r="1048">
          <cell r="B1048">
            <v>402009</v>
          </cell>
          <cell r="C1048" t="str">
            <v>Pendapatan Jasa Salon</v>
          </cell>
          <cell r="D1048" t="str">
            <v>September</v>
          </cell>
          <cell r="F1048">
            <v>402009</v>
          </cell>
          <cell r="G1048" t="str">
            <v>September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300000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1790000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2090000</v>
          </cell>
          <cell r="AD1048">
            <v>0</v>
          </cell>
          <cell r="AE1048">
            <v>2090000</v>
          </cell>
        </row>
        <row r="1049">
          <cell r="B1049">
            <v>402009</v>
          </cell>
          <cell r="C1049" t="str">
            <v>Pendapatan Jasa Salon</v>
          </cell>
          <cell r="D1049" t="str">
            <v>Oktober</v>
          </cell>
          <cell r="F1049">
            <v>402009</v>
          </cell>
          <cell r="G1049" t="str">
            <v>Oktober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2300000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2300000</v>
          </cell>
          <cell r="AD1049">
            <v>0</v>
          </cell>
          <cell r="AE1049">
            <v>2300000</v>
          </cell>
        </row>
        <row r="1050">
          <cell r="B1050">
            <v>402009</v>
          </cell>
          <cell r="C1050" t="str">
            <v>Pendapatan Jasa Salon</v>
          </cell>
          <cell r="D1050" t="str">
            <v>November</v>
          </cell>
          <cell r="F1050">
            <v>402009</v>
          </cell>
          <cell r="G1050" t="str">
            <v>November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1650000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1650000</v>
          </cell>
          <cell r="AD1050">
            <v>0</v>
          </cell>
          <cell r="AE1050">
            <v>1650000</v>
          </cell>
        </row>
        <row r="1051">
          <cell r="B1051">
            <v>402009</v>
          </cell>
          <cell r="C1051" t="str">
            <v>Pendapatan Jasa Salon</v>
          </cell>
          <cell r="D1051" t="str">
            <v>Desember</v>
          </cell>
          <cell r="F1051">
            <v>402009</v>
          </cell>
          <cell r="G1051" t="str">
            <v>Desember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</row>
        <row r="1052">
          <cell r="B1052">
            <v>402009</v>
          </cell>
          <cell r="F1052">
            <v>402009</v>
          </cell>
          <cell r="H1052">
            <v>0</v>
          </cell>
          <cell r="I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</row>
        <row r="1053">
          <cell r="B1053">
            <v>450000</v>
          </cell>
          <cell r="E1053">
            <v>450</v>
          </cell>
          <cell r="F1053">
            <v>450000</v>
          </cell>
          <cell r="G1053" t="str">
            <v>RETUR &amp; POTONGAN PENJUALAN</v>
          </cell>
          <cell r="H1053">
            <v>0</v>
          </cell>
          <cell r="I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</row>
        <row r="1054">
          <cell r="B1054">
            <v>450001</v>
          </cell>
          <cell r="C1054" t="str">
            <v>Retur &amp; Potongan Toko</v>
          </cell>
          <cell r="E1054">
            <v>450.00099999999998</v>
          </cell>
          <cell r="F1054">
            <v>450001</v>
          </cell>
          <cell r="G1054" t="str">
            <v>Retur &amp; Potongan Toko</v>
          </cell>
          <cell r="H1054">
            <v>1980000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575000</v>
          </cell>
          <cell r="AA1054">
            <v>0</v>
          </cell>
          <cell r="AB1054">
            <v>2555000</v>
          </cell>
          <cell r="AC1054">
            <v>0</v>
          </cell>
          <cell r="AD1054">
            <v>575000</v>
          </cell>
          <cell r="AE1054">
            <v>0</v>
          </cell>
        </row>
        <row r="1055">
          <cell r="B1055">
            <v>450001</v>
          </cell>
          <cell r="C1055" t="str">
            <v>Retur &amp; Potongan Toko</v>
          </cell>
          <cell r="D1055" t="str">
            <v>Januari</v>
          </cell>
          <cell r="F1055">
            <v>450001</v>
          </cell>
          <cell r="G1055" t="str">
            <v>Januari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80000</v>
          </cell>
          <cell r="AA1055">
            <v>0</v>
          </cell>
          <cell r="AB1055">
            <v>80000</v>
          </cell>
          <cell r="AC1055">
            <v>0</v>
          </cell>
          <cell r="AD1055">
            <v>80000</v>
          </cell>
          <cell r="AE1055">
            <v>0</v>
          </cell>
        </row>
        <row r="1056">
          <cell r="B1056">
            <v>450001</v>
          </cell>
          <cell r="C1056" t="str">
            <v>Retur &amp; Potongan Toko</v>
          </cell>
          <cell r="D1056" t="str">
            <v>Februari</v>
          </cell>
          <cell r="F1056">
            <v>450001</v>
          </cell>
          <cell r="G1056" t="str">
            <v>Februari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</row>
        <row r="1057">
          <cell r="B1057">
            <v>450001</v>
          </cell>
          <cell r="C1057" t="str">
            <v>Retur &amp; Potongan Toko</v>
          </cell>
          <cell r="D1057" t="str">
            <v>Maret</v>
          </cell>
          <cell r="F1057">
            <v>450001</v>
          </cell>
          <cell r="G1057" t="str">
            <v>Maret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</row>
        <row r="1058">
          <cell r="B1058">
            <v>450001</v>
          </cell>
          <cell r="C1058" t="str">
            <v>Retur &amp; Potongan Toko</v>
          </cell>
          <cell r="D1058" t="str">
            <v>April</v>
          </cell>
          <cell r="F1058">
            <v>450001</v>
          </cell>
          <cell r="G1058" t="str">
            <v>April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</row>
        <row r="1059">
          <cell r="B1059">
            <v>450001</v>
          </cell>
          <cell r="C1059" t="str">
            <v>Retur &amp; Potongan Toko</v>
          </cell>
          <cell r="D1059" t="str">
            <v>Mei</v>
          </cell>
          <cell r="F1059">
            <v>450001</v>
          </cell>
          <cell r="G1059" t="str">
            <v>Mei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145000</v>
          </cell>
          <cell r="AA1059">
            <v>0</v>
          </cell>
          <cell r="AB1059">
            <v>145000</v>
          </cell>
          <cell r="AC1059">
            <v>0</v>
          </cell>
          <cell r="AD1059">
            <v>145000</v>
          </cell>
          <cell r="AE1059">
            <v>0</v>
          </cell>
        </row>
        <row r="1060">
          <cell r="B1060">
            <v>450001</v>
          </cell>
          <cell r="C1060" t="str">
            <v>Retur &amp; Potongan Toko</v>
          </cell>
          <cell r="D1060" t="str">
            <v>Juni</v>
          </cell>
          <cell r="F1060">
            <v>450001</v>
          </cell>
          <cell r="G1060" t="str">
            <v>Juni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</row>
        <row r="1061">
          <cell r="B1061">
            <v>450001</v>
          </cell>
          <cell r="C1061" t="str">
            <v>Retur &amp; Potongan Toko</v>
          </cell>
          <cell r="D1061" t="str">
            <v>Juli</v>
          </cell>
          <cell r="F1061">
            <v>450001</v>
          </cell>
          <cell r="G1061" t="str">
            <v>Juli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</row>
        <row r="1062">
          <cell r="B1062">
            <v>450001</v>
          </cell>
          <cell r="C1062" t="str">
            <v>Retur &amp; Potongan Toko</v>
          </cell>
          <cell r="D1062" t="str">
            <v>Agustus</v>
          </cell>
          <cell r="F1062">
            <v>450001</v>
          </cell>
          <cell r="G1062" t="str">
            <v>Agustus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</row>
        <row r="1063">
          <cell r="B1063">
            <v>450001</v>
          </cell>
          <cell r="C1063" t="str">
            <v>Retur &amp; Potongan Toko</v>
          </cell>
          <cell r="D1063" t="str">
            <v>September</v>
          </cell>
          <cell r="F1063">
            <v>450001</v>
          </cell>
          <cell r="G1063" t="str">
            <v>September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350000</v>
          </cell>
          <cell r="AA1063">
            <v>0</v>
          </cell>
          <cell r="AB1063">
            <v>350000</v>
          </cell>
          <cell r="AC1063">
            <v>0</v>
          </cell>
          <cell r="AD1063">
            <v>350000</v>
          </cell>
          <cell r="AE1063">
            <v>0</v>
          </cell>
        </row>
        <row r="1064">
          <cell r="B1064">
            <v>450001</v>
          </cell>
          <cell r="C1064" t="str">
            <v>Retur &amp; Potongan Toko</v>
          </cell>
          <cell r="D1064" t="str">
            <v>Oktober</v>
          </cell>
          <cell r="F1064">
            <v>450001</v>
          </cell>
          <cell r="G1064" t="str">
            <v>Oktober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</row>
        <row r="1065">
          <cell r="B1065">
            <v>450001</v>
          </cell>
          <cell r="C1065" t="str">
            <v>Retur &amp; Potongan Toko</v>
          </cell>
          <cell r="D1065" t="str">
            <v>November</v>
          </cell>
          <cell r="F1065">
            <v>450001</v>
          </cell>
          <cell r="G1065" t="str">
            <v>November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</row>
        <row r="1066">
          <cell r="B1066">
            <v>450001</v>
          </cell>
          <cell r="C1066" t="str">
            <v>Retur &amp; Potongan Toko</v>
          </cell>
          <cell r="D1066" t="str">
            <v>Desember</v>
          </cell>
          <cell r="F1066">
            <v>450001</v>
          </cell>
          <cell r="G1066" t="str">
            <v>Desember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</row>
        <row r="1067">
          <cell r="B1067">
            <v>450002</v>
          </cell>
          <cell r="C1067" t="str">
            <v>Retur &amp; Potongan General Repair</v>
          </cell>
          <cell r="E1067">
            <v>450.00200000000001</v>
          </cell>
          <cell r="F1067">
            <v>450002</v>
          </cell>
          <cell r="G1067" t="str">
            <v>Retur &amp; Potongan General Repair</v>
          </cell>
          <cell r="H1067">
            <v>1831000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270000</v>
          </cell>
          <cell r="AA1067">
            <v>0</v>
          </cell>
          <cell r="AB1067">
            <v>2101000</v>
          </cell>
          <cell r="AC1067">
            <v>0</v>
          </cell>
          <cell r="AD1067">
            <v>270000</v>
          </cell>
          <cell r="AE1067">
            <v>0</v>
          </cell>
        </row>
        <row r="1068">
          <cell r="B1068">
            <v>450002</v>
          </cell>
          <cell r="C1068" t="str">
            <v>Retur &amp; Potongan General Repair</v>
          </cell>
          <cell r="D1068" t="str">
            <v>Januari</v>
          </cell>
          <cell r="F1068">
            <v>450002</v>
          </cell>
          <cell r="G1068" t="str">
            <v>Januari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</row>
        <row r="1069">
          <cell r="B1069">
            <v>450002</v>
          </cell>
          <cell r="C1069" t="str">
            <v>Retur &amp; Potongan General Repair</v>
          </cell>
          <cell r="D1069" t="str">
            <v>Februari</v>
          </cell>
          <cell r="F1069">
            <v>450002</v>
          </cell>
          <cell r="G1069" t="str">
            <v>Februari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</row>
        <row r="1070">
          <cell r="B1070">
            <v>450002</v>
          </cell>
          <cell r="C1070" t="str">
            <v>Retur &amp; Potongan General Repair</v>
          </cell>
          <cell r="D1070" t="str">
            <v>Maret</v>
          </cell>
          <cell r="F1070">
            <v>450002</v>
          </cell>
          <cell r="G1070" t="str">
            <v>Maret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</row>
        <row r="1071">
          <cell r="B1071">
            <v>450002</v>
          </cell>
          <cell r="C1071" t="str">
            <v>Retur &amp; Potongan General Repair</v>
          </cell>
          <cell r="D1071" t="str">
            <v>April</v>
          </cell>
          <cell r="F1071">
            <v>450002</v>
          </cell>
          <cell r="G1071" t="str">
            <v>April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</row>
        <row r="1072">
          <cell r="B1072">
            <v>450002</v>
          </cell>
          <cell r="C1072" t="str">
            <v>Retur &amp; Potongan General Repair</v>
          </cell>
          <cell r="D1072" t="str">
            <v>Mei</v>
          </cell>
          <cell r="F1072">
            <v>450002</v>
          </cell>
          <cell r="G1072" t="str">
            <v>Mei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</row>
        <row r="1073">
          <cell r="B1073">
            <v>450002</v>
          </cell>
          <cell r="C1073" t="str">
            <v>Retur &amp; Potongan General Repair</v>
          </cell>
          <cell r="D1073" t="str">
            <v>Juni</v>
          </cell>
          <cell r="F1073">
            <v>450002</v>
          </cell>
          <cell r="G1073" t="str">
            <v>Juni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</row>
        <row r="1074">
          <cell r="B1074">
            <v>450002</v>
          </cell>
          <cell r="C1074" t="str">
            <v>Retur &amp; Potongan General Repair</v>
          </cell>
          <cell r="D1074" t="str">
            <v>Juli</v>
          </cell>
          <cell r="F1074">
            <v>450002</v>
          </cell>
          <cell r="G1074" t="str">
            <v>Juli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</row>
        <row r="1075">
          <cell r="B1075">
            <v>450002</v>
          </cell>
          <cell r="C1075" t="str">
            <v>Retur &amp; Potongan General Repair</v>
          </cell>
          <cell r="D1075" t="str">
            <v>Agustus</v>
          </cell>
          <cell r="F1075">
            <v>450002</v>
          </cell>
          <cell r="G1075" t="str">
            <v>Agustus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</row>
        <row r="1076">
          <cell r="B1076">
            <v>450002</v>
          </cell>
          <cell r="C1076" t="str">
            <v>Retur &amp; Potongan General Repair</v>
          </cell>
          <cell r="D1076" t="str">
            <v>September</v>
          </cell>
          <cell r="F1076">
            <v>450002</v>
          </cell>
          <cell r="G1076" t="str">
            <v>September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</row>
        <row r="1077">
          <cell r="B1077">
            <v>450002</v>
          </cell>
          <cell r="C1077" t="str">
            <v>Retur &amp; Potongan General Repair</v>
          </cell>
          <cell r="D1077" t="str">
            <v>Oktober</v>
          </cell>
          <cell r="F1077">
            <v>450002</v>
          </cell>
          <cell r="G1077" t="str">
            <v>Oktober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250000</v>
          </cell>
          <cell r="AA1077">
            <v>0</v>
          </cell>
          <cell r="AB1077">
            <v>250000</v>
          </cell>
          <cell r="AC1077">
            <v>0</v>
          </cell>
          <cell r="AD1077">
            <v>250000</v>
          </cell>
          <cell r="AE1077">
            <v>0</v>
          </cell>
        </row>
        <row r="1078">
          <cell r="B1078">
            <v>450002</v>
          </cell>
          <cell r="C1078" t="str">
            <v>Retur &amp; Potongan General Repair</v>
          </cell>
          <cell r="D1078" t="str">
            <v>November</v>
          </cell>
          <cell r="F1078">
            <v>450002</v>
          </cell>
          <cell r="G1078" t="str">
            <v>November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20000</v>
          </cell>
          <cell r="AA1078">
            <v>0</v>
          </cell>
          <cell r="AB1078">
            <v>20000</v>
          </cell>
          <cell r="AC1078">
            <v>0</v>
          </cell>
          <cell r="AD1078">
            <v>20000</v>
          </cell>
          <cell r="AE1078">
            <v>0</v>
          </cell>
        </row>
        <row r="1079">
          <cell r="B1079">
            <v>450002</v>
          </cell>
          <cell r="C1079" t="str">
            <v>Retur &amp; Potongan General Repair</v>
          </cell>
          <cell r="D1079" t="str">
            <v>Desember</v>
          </cell>
          <cell r="F1079">
            <v>450002</v>
          </cell>
          <cell r="G1079" t="str">
            <v>Desember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</row>
        <row r="1080">
          <cell r="B1080">
            <v>450003</v>
          </cell>
          <cell r="C1080" t="str">
            <v>Retur &amp; Potongan Body Repair</v>
          </cell>
          <cell r="E1080">
            <v>450.00299999999999</v>
          </cell>
          <cell r="F1080">
            <v>450003</v>
          </cell>
          <cell r="G1080" t="str">
            <v>Retur &amp; Potongan Body Repair</v>
          </cell>
          <cell r="H1080">
            <v>1350000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1350000</v>
          </cell>
          <cell r="AC1080">
            <v>0</v>
          </cell>
          <cell r="AD1080">
            <v>0</v>
          </cell>
          <cell r="AE1080">
            <v>0</v>
          </cell>
        </row>
        <row r="1081">
          <cell r="B1081">
            <v>450003</v>
          </cell>
          <cell r="C1081" t="str">
            <v>Retur &amp; Potongan Body Repair</v>
          </cell>
          <cell r="D1081" t="str">
            <v>Januari</v>
          </cell>
          <cell r="F1081">
            <v>450003</v>
          </cell>
          <cell r="G1081" t="str">
            <v>Januari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</row>
        <row r="1082">
          <cell r="B1082">
            <v>450003</v>
          </cell>
          <cell r="C1082" t="str">
            <v>Retur &amp; Potongan Body Repair</v>
          </cell>
          <cell r="D1082" t="str">
            <v>Februari</v>
          </cell>
          <cell r="F1082">
            <v>450003</v>
          </cell>
          <cell r="G1082" t="str">
            <v>Februari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</row>
        <row r="1083">
          <cell r="B1083">
            <v>450003</v>
          </cell>
          <cell r="C1083" t="str">
            <v>Retur &amp; Potongan Body Repair</v>
          </cell>
          <cell r="D1083" t="str">
            <v>Maret</v>
          </cell>
          <cell r="F1083">
            <v>450003</v>
          </cell>
          <cell r="G1083" t="str">
            <v>Maret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</row>
        <row r="1084">
          <cell r="B1084">
            <v>450003</v>
          </cell>
          <cell r="C1084" t="str">
            <v>Retur &amp; Potongan Body Repair</v>
          </cell>
          <cell r="D1084" t="str">
            <v>April</v>
          </cell>
          <cell r="F1084">
            <v>450003</v>
          </cell>
          <cell r="G1084" t="str">
            <v>April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</row>
        <row r="1085">
          <cell r="B1085">
            <v>450003</v>
          </cell>
          <cell r="C1085" t="str">
            <v>Retur &amp; Potongan Body Repair</v>
          </cell>
          <cell r="D1085" t="str">
            <v>Mei</v>
          </cell>
          <cell r="F1085">
            <v>450003</v>
          </cell>
          <cell r="G1085" t="str">
            <v>Mei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</row>
        <row r="1086">
          <cell r="B1086">
            <v>450003</v>
          </cell>
          <cell r="C1086" t="str">
            <v>Retur &amp; Potongan Body Repair</v>
          </cell>
          <cell r="D1086" t="str">
            <v>Juni</v>
          </cell>
          <cell r="F1086">
            <v>450003</v>
          </cell>
          <cell r="G1086" t="str">
            <v>Juni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</row>
        <row r="1087">
          <cell r="B1087">
            <v>450003</v>
          </cell>
          <cell r="C1087" t="str">
            <v>Retur &amp; Potongan Body Repair</v>
          </cell>
          <cell r="D1087" t="str">
            <v>Juli</v>
          </cell>
          <cell r="F1087">
            <v>450003</v>
          </cell>
          <cell r="G1087" t="str">
            <v>Juli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</row>
        <row r="1088">
          <cell r="B1088">
            <v>450003</v>
          </cell>
          <cell r="C1088" t="str">
            <v>Retur &amp; Potongan Body Repair</v>
          </cell>
          <cell r="D1088" t="str">
            <v>Agustus</v>
          </cell>
          <cell r="F1088">
            <v>450003</v>
          </cell>
          <cell r="G1088" t="str">
            <v>Agustus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</row>
        <row r="1089">
          <cell r="B1089">
            <v>450003</v>
          </cell>
          <cell r="C1089" t="str">
            <v>Retur &amp; Potongan Body Repair</v>
          </cell>
          <cell r="D1089" t="str">
            <v>September</v>
          </cell>
          <cell r="F1089">
            <v>450003</v>
          </cell>
          <cell r="G1089" t="str">
            <v>September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</row>
        <row r="1090">
          <cell r="B1090">
            <v>450003</v>
          </cell>
          <cell r="C1090" t="str">
            <v>Retur &amp; Potongan Body Repair</v>
          </cell>
          <cell r="D1090" t="str">
            <v>Oktober</v>
          </cell>
          <cell r="F1090">
            <v>450003</v>
          </cell>
          <cell r="G1090" t="str">
            <v>Oktober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</row>
        <row r="1091">
          <cell r="B1091">
            <v>450003</v>
          </cell>
          <cell r="C1091" t="str">
            <v>Retur &amp; Potongan Body Repair</v>
          </cell>
          <cell r="D1091" t="str">
            <v>November</v>
          </cell>
          <cell r="F1091">
            <v>450003</v>
          </cell>
          <cell r="G1091" t="str">
            <v>November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</row>
        <row r="1092">
          <cell r="B1092">
            <v>450003</v>
          </cell>
          <cell r="C1092" t="str">
            <v>Retur &amp; Potongan Body Repair</v>
          </cell>
          <cell r="D1092" t="str">
            <v>Desember</v>
          </cell>
          <cell r="F1092">
            <v>450003</v>
          </cell>
          <cell r="G1092" t="str">
            <v>Desember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</row>
        <row r="1093">
          <cell r="B1093">
            <v>450004</v>
          </cell>
          <cell r="C1093" t="str">
            <v>Retur &amp; Potongan Spooring</v>
          </cell>
          <cell r="E1093">
            <v>450.00400000000002</v>
          </cell>
          <cell r="F1093">
            <v>450004</v>
          </cell>
          <cell r="G1093" t="str">
            <v>Retur &amp; Potongan Spooring</v>
          </cell>
          <cell r="H1093">
            <v>15000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15000</v>
          </cell>
          <cell r="AC1093">
            <v>0</v>
          </cell>
          <cell r="AD1093">
            <v>0</v>
          </cell>
          <cell r="AE1093">
            <v>0</v>
          </cell>
        </row>
        <row r="1094">
          <cell r="B1094">
            <v>450004</v>
          </cell>
          <cell r="C1094" t="str">
            <v>Retur &amp; Potongan Spooring</v>
          </cell>
          <cell r="D1094" t="str">
            <v>Januari</v>
          </cell>
          <cell r="F1094">
            <v>450004</v>
          </cell>
          <cell r="G1094" t="str">
            <v>Januari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</row>
        <row r="1095">
          <cell r="B1095">
            <v>450004</v>
          </cell>
          <cell r="C1095" t="str">
            <v>Retur &amp; Potongan Spooring</v>
          </cell>
          <cell r="D1095" t="str">
            <v>Februari</v>
          </cell>
          <cell r="F1095">
            <v>450004</v>
          </cell>
          <cell r="G1095" t="str">
            <v>Februari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</row>
        <row r="1096">
          <cell r="B1096">
            <v>450004</v>
          </cell>
          <cell r="C1096" t="str">
            <v>Retur &amp; Potongan Spooring</v>
          </cell>
          <cell r="D1096" t="str">
            <v>Maret</v>
          </cell>
          <cell r="F1096">
            <v>450004</v>
          </cell>
          <cell r="G1096" t="str">
            <v>Maret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</row>
        <row r="1097">
          <cell r="B1097">
            <v>450004</v>
          </cell>
          <cell r="C1097" t="str">
            <v>Retur &amp; Potongan Spooring</v>
          </cell>
          <cell r="D1097" t="str">
            <v>April</v>
          </cell>
          <cell r="F1097">
            <v>450004</v>
          </cell>
          <cell r="G1097" t="str">
            <v>April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</row>
        <row r="1098">
          <cell r="B1098">
            <v>450004</v>
          </cell>
          <cell r="C1098" t="str">
            <v>Retur &amp; Potongan Spooring</v>
          </cell>
          <cell r="D1098" t="str">
            <v>Mei</v>
          </cell>
          <cell r="F1098">
            <v>450004</v>
          </cell>
          <cell r="G1098" t="str">
            <v>Mei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</row>
        <row r="1099">
          <cell r="B1099">
            <v>450004</v>
          </cell>
          <cell r="C1099" t="str">
            <v>Retur &amp; Potongan Spooring</v>
          </cell>
          <cell r="D1099" t="str">
            <v>Juni</v>
          </cell>
          <cell r="F1099">
            <v>450004</v>
          </cell>
          <cell r="G1099" t="str">
            <v>Juni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</row>
        <row r="1100">
          <cell r="B1100">
            <v>450004</v>
          </cell>
          <cell r="C1100" t="str">
            <v>Retur &amp; Potongan Spooring</v>
          </cell>
          <cell r="D1100" t="str">
            <v>Juli</v>
          </cell>
          <cell r="F1100">
            <v>450004</v>
          </cell>
          <cell r="G1100" t="str">
            <v>Juli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</row>
        <row r="1101">
          <cell r="B1101">
            <v>450004</v>
          </cell>
          <cell r="C1101" t="str">
            <v>Retur &amp; Potongan Spooring</v>
          </cell>
          <cell r="D1101" t="str">
            <v>Agustus</v>
          </cell>
          <cell r="F1101">
            <v>450004</v>
          </cell>
          <cell r="G1101" t="str">
            <v>Agustus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</row>
        <row r="1102">
          <cell r="B1102">
            <v>450004</v>
          </cell>
          <cell r="C1102" t="str">
            <v>Retur &amp; Potongan Spooring</v>
          </cell>
          <cell r="D1102" t="str">
            <v>September</v>
          </cell>
          <cell r="F1102">
            <v>450004</v>
          </cell>
          <cell r="G1102" t="str">
            <v>September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</row>
        <row r="1103">
          <cell r="B1103">
            <v>450004</v>
          </cell>
          <cell r="C1103" t="str">
            <v>Retur &amp; Potongan Spooring</v>
          </cell>
          <cell r="D1103" t="str">
            <v>Oktober</v>
          </cell>
          <cell r="F1103">
            <v>450004</v>
          </cell>
          <cell r="G1103" t="str">
            <v>Oktober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</row>
        <row r="1104">
          <cell r="B1104">
            <v>450004</v>
          </cell>
          <cell r="C1104" t="str">
            <v>Retur &amp; Potongan Spooring</v>
          </cell>
          <cell r="D1104" t="str">
            <v>November</v>
          </cell>
          <cell r="F1104">
            <v>450004</v>
          </cell>
          <cell r="G1104" t="str">
            <v>November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</row>
        <row r="1105">
          <cell r="B1105">
            <v>450004</v>
          </cell>
          <cell r="C1105" t="str">
            <v>Retur &amp; Potongan Spooring</v>
          </cell>
          <cell r="D1105" t="str">
            <v>Desember</v>
          </cell>
          <cell r="F1105">
            <v>450004</v>
          </cell>
          <cell r="G1105" t="str">
            <v>Desember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</row>
        <row r="1106">
          <cell r="B1106">
            <v>450005</v>
          </cell>
          <cell r="C1106" t="str">
            <v>Retur &amp; Potongan AC</v>
          </cell>
          <cell r="E1106">
            <v>450.005</v>
          </cell>
          <cell r="F1106">
            <v>450005</v>
          </cell>
          <cell r="G1106" t="str">
            <v>Retur &amp; Potongan AC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</row>
        <row r="1107">
          <cell r="B1107">
            <v>450005</v>
          </cell>
          <cell r="C1107" t="str">
            <v>Retur &amp; Potongan AC</v>
          </cell>
          <cell r="D1107" t="str">
            <v>Januari</v>
          </cell>
          <cell r="F1107">
            <v>450005</v>
          </cell>
          <cell r="G1107" t="str">
            <v>Januari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</row>
        <row r="1108">
          <cell r="B1108">
            <v>450005</v>
          </cell>
          <cell r="C1108" t="str">
            <v>Retur &amp; Potongan AC</v>
          </cell>
          <cell r="D1108" t="str">
            <v>Februari</v>
          </cell>
          <cell r="F1108">
            <v>450005</v>
          </cell>
          <cell r="G1108" t="str">
            <v>Februari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</row>
        <row r="1109">
          <cell r="B1109">
            <v>450005</v>
          </cell>
          <cell r="C1109" t="str">
            <v>Retur &amp; Potongan AC</v>
          </cell>
          <cell r="D1109" t="str">
            <v>Maret</v>
          </cell>
          <cell r="F1109">
            <v>450005</v>
          </cell>
          <cell r="G1109" t="str">
            <v>Maret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</row>
        <row r="1110">
          <cell r="B1110">
            <v>450005</v>
          </cell>
          <cell r="C1110" t="str">
            <v>Retur &amp; Potongan AC</v>
          </cell>
          <cell r="D1110" t="str">
            <v>April</v>
          </cell>
          <cell r="F1110">
            <v>450005</v>
          </cell>
          <cell r="G1110" t="str">
            <v>April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</row>
        <row r="1111">
          <cell r="B1111">
            <v>450005</v>
          </cell>
          <cell r="C1111" t="str">
            <v>Retur &amp; Potongan AC</v>
          </cell>
          <cell r="D1111" t="str">
            <v>Mei</v>
          </cell>
          <cell r="F1111">
            <v>450005</v>
          </cell>
          <cell r="G1111" t="str">
            <v>Mei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</row>
        <row r="1112">
          <cell r="B1112">
            <v>450005</v>
          </cell>
          <cell r="C1112" t="str">
            <v>Retur &amp; Potongan AC</v>
          </cell>
          <cell r="D1112" t="str">
            <v>Juni</v>
          </cell>
          <cell r="F1112">
            <v>450005</v>
          </cell>
          <cell r="G1112" t="str">
            <v>Juni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</row>
        <row r="1113">
          <cell r="B1113">
            <v>450005</v>
          </cell>
          <cell r="C1113" t="str">
            <v>Retur &amp; Potongan AC</v>
          </cell>
          <cell r="D1113" t="str">
            <v>Juli</v>
          </cell>
          <cell r="F1113">
            <v>450005</v>
          </cell>
          <cell r="G1113" t="str">
            <v>Juli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</row>
        <row r="1114">
          <cell r="B1114">
            <v>450005</v>
          </cell>
          <cell r="C1114" t="str">
            <v>Retur &amp; Potongan AC</v>
          </cell>
          <cell r="D1114" t="str">
            <v>Agustus</v>
          </cell>
          <cell r="F1114">
            <v>450005</v>
          </cell>
          <cell r="G1114" t="str">
            <v>Agustus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</row>
        <row r="1115">
          <cell r="B1115">
            <v>450005</v>
          </cell>
          <cell r="C1115" t="str">
            <v>Retur &amp; Potongan AC</v>
          </cell>
          <cell r="D1115" t="str">
            <v>September</v>
          </cell>
          <cell r="F1115">
            <v>450005</v>
          </cell>
          <cell r="G1115" t="str">
            <v>September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</row>
        <row r="1116">
          <cell r="B1116">
            <v>450005</v>
          </cell>
          <cell r="C1116" t="str">
            <v>Retur &amp; Potongan AC</v>
          </cell>
          <cell r="D1116" t="str">
            <v>Oktober</v>
          </cell>
          <cell r="F1116">
            <v>450005</v>
          </cell>
          <cell r="G1116" t="str">
            <v>Oktober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</row>
        <row r="1117">
          <cell r="B1117">
            <v>450005</v>
          </cell>
          <cell r="C1117" t="str">
            <v>Retur &amp; Potongan AC</v>
          </cell>
          <cell r="D1117" t="str">
            <v>November</v>
          </cell>
          <cell r="F1117">
            <v>450005</v>
          </cell>
          <cell r="G1117" t="str">
            <v>November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</row>
        <row r="1118">
          <cell r="B1118">
            <v>450005</v>
          </cell>
          <cell r="C1118" t="str">
            <v>Retur &amp; Potongan AC</v>
          </cell>
          <cell r="D1118" t="str">
            <v>Desember</v>
          </cell>
          <cell r="F1118">
            <v>450005</v>
          </cell>
          <cell r="G1118" t="str">
            <v>Desember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</row>
        <row r="1119">
          <cell r="B1119">
            <v>450006</v>
          </cell>
          <cell r="C1119" t="str">
            <v>Retur &amp; Potongan Variasi</v>
          </cell>
          <cell r="E1119">
            <v>450.00599999999997</v>
          </cell>
          <cell r="F1119">
            <v>450006</v>
          </cell>
          <cell r="G1119" t="str">
            <v>Retur &amp; Potongan Variasi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</row>
        <row r="1120">
          <cell r="B1120">
            <v>450006</v>
          </cell>
          <cell r="C1120" t="str">
            <v>Retur &amp; Potongan Variasi</v>
          </cell>
          <cell r="D1120" t="str">
            <v>Januari</v>
          </cell>
          <cell r="F1120">
            <v>450006</v>
          </cell>
          <cell r="G1120" t="str">
            <v>Januari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</row>
        <row r="1121">
          <cell r="B1121">
            <v>450006</v>
          </cell>
          <cell r="C1121" t="str">
            <v>Retur &amp; Potongan Variasi</v>
          </cell>
          <cell r="D1121" t="str">
            <v>Februari</v>
          </cell>
          <cell r="F1121">
            <v>450006</v>
          </cell>
          <cell r="G1121" t="str">
            <v>Februari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</row>
        <row r="1122">
          <cell r="B1122">
            <v>450006</v>
          </cell>
          <cell r="C1122" t="str">
            <v>Retur &amp; Potongan Variasi</v>
          </cell>
          <cell r="D1122" t="str">
            <v>Maret</v>
          </cell>
          <cell r="F1122">
            <v>450006</v>
          </cell>
          <cell r="G1122" t="str">
            <v>Maret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</row>
        <row r="1123">
          <cell r="B1123">
            <v>450006</v>
          </cell>
          <cell r="C1123" t="str">
            <v>Retur &amp; Potongan Variasi</v>
          </cell>
          <cell r="D1123" t="str">
            <v>April</v>
          </cell>
          <cell r="F1123">
            <v>450006</v>
          </cell>
          <cell r="G1123" t="str">
            <v>April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</row>
        <row r="1124">
          <cell r="B1124">
            <v>450006</v>
          </cell>
          <cell r="C1124" t="str">
            <v>Retur &amp; Potongan Variasi</v>
          </cell>
          <cell r="D1124" t="str">
            <v>Mei</v>
          </cell>
          <cell r="F1124">
            <v>450006</v>
          </cell>
          <cell r="G1124" t="str">
            <v>Mei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</row>
        <row r="1125">
          <cell r="B1125">
            <v>450006</v>
          </cell>
          <cell r="C1125" t="str">
            <v>Retur &amp; Potongan Variasi</v>
          </cell>
          <cell r="D1125" t="str">
            <v>Juni</v>
          </cell>
          <cell r="F1125">
            <v>450006</v>
          </cell>
          <cell r="G1125" t="str">
            <v>Juni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</row>
        <row r="1126">
          <cell r="B1126">
            <v>450006</v>
          </cell>
          <cell r="C1126" t="str">
            <v>Retur &amp; Potongan Variasi</v>
          </cell>
          <cell r="D1126" t="str">
            <v>Juli</v>
          </cell>
          <cell r="F1126">
            <v>450006</v>
          </cell>
          <cell r="G1126" t="str">
            <v>Juli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</row>
        <row r="1127">
          <cell r="B1127">
            <v>450006</v>
          </cell>
          <cell r="C1127" t="str">
            <v>Retur &amp; Potongan Variasi</v>
          </cell>
          <cell r="D1127" t="str">
            <v>Agustus</v>
          </cell>
          <cell r="F1127">
            <v>450006</v>
          </cell>
          <cell r="G1127" t="str">
            <v>Agustus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</row>
        <row r="1128">
          <cell r="B1128">
            <v>450006</v>
          </cell>
          <cell r="C1128" t="str">
            <v>Retur &amp; Potongan Variasi</v>
          </cell>
          <cell r="D1128" t="str">
            <v>September</v>
          </cell>
          <cell r="F1128">
            <v>450006</v>
          </cell>
          <cell r="G1128" t="str">
            <v>September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</row>
        <row r="1129">
          <cell r="B1129">
            <v>450006</v>
          </cell>
          <cell r="C1129" t="str">
            <v>Retur &amp; Potongan Variasi</v>
          </cell>
          <cell r="D1129" t="str">
            <v>Oktober</v>
          </cell>
          <cell r="F1129">
            <v>450006</v>
          </cell>
          <cell r="G1129" t="str">
            <v>Oktober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</row>
        <row r="1130">
          <cell r="B1130">
            <v>450006</v>
          </cell>
          <cell r="C1130" t="str">
            <v>Retur &amp; Potongan Variasi</v>
          </cell>
          <cell r="D1130" t="str">
            <v>November</v>
          </cell>
          <cell r="F1130">
            <v>450006</v>
          </cell>
          <cell r="G1130" t="str">
            <v>November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</row>
        <row r="1131">
          <cell r="B1131">
            <v>450006</v>
          </cell>
          <cell r="C1131" t="str">
            <v>Retur &amp; Potongan Variasi</v>
          </cell>
          <cell r="D1131" t="str">
            <v>Desember</v>
          </cell>
          <cell r="F1131">
            <v>450006</v>
          </cell>
          <cell r="G1131" t="str">
            <v>Desember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</row>
        <row r="1132">
          <cell r="B1132">
            <v>450007</v>
          </cell>
          <cell r="C1132" t="str">
            <v>Retur &amp; Potongan Ganti Oli</v>
          </cell>
          <cell r="E1132">
            <v>450.00700000000001</v>
          </cell>
          <cell r="F1132">
            <v>450007</v>
          </cell>
          <cell r="G1132" t="str">
            <v>Retur &amp; Potongan Ganti Oli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</row>
        <row r="1133">
          <cell r="B1133">
            <v>450007</v>
          </cell>
          <cell r="C1133" t="str">
            <v>Retur &amp; Potongan Ganti Oli</v>
          </cell>
          <cell r="D1133" t="str">
            <v>Januari</v>
          </cell>
          <cell r="F1133">
            <v>450007</v>
          </cell>
          <cell r="G1133" t="str">
            <v>Januari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</row>
        <row r="1134">
          <cell r="B1134">
            <v>450007</v>
          </cell>
          <cell r="C1134" t="str">
            <v>Retur &amp; Potongan Ganti Oli</v>
          </cell>
          <cell r="D1134" t="str">
            <v>Februari</v>
          </cell>
          <cell r="F1134">
            <v>450007</v>
          </cell>
          <cell r="G1134" t="str">
            <v>Februari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</row>
        <row r="1135">
          <cell r="B1135">
            <v>450007</v>
          </cell>
          <cell r="C1135" t="str">
            <v>Retur &amp; Potongan Ganti Oli</v>
          </cell>
          <cell r="D1135" t="str">
            <v>Maret</v>
          </cell>
          <cell r="F1135">
            <v>450007</v>
          </cell>
          <cell r="G1135" t="str">
            <v>Maret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</row>
        <row r="1136">
          <cell r="B1136">
            <v>450007</v>
          </cell>
          <cell r="C1136" t="str">
            <v>Retur &amp; Potongan Ganti Oli</v>
          </cell>
          <cell r="D1136" t="str">
            <v>April</v>
          </cell>
          <cell r="F1136">
            <v>450007</v>
          </cell>
          <cell r="G1136" t="str">
            <v>April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</row>
        <row r="1137">
          <cell r="B1137">
            <v>450007</v>
          </cell>
          <cell r="C1137" t="str">
            <v>Retur &amp; Potongan Ganti Oli</v>
          </cell>
          <cell r="D1137" t="str">
            <v>Mei</v>
          </cell>
          <cell r="F1137">
            <v>450007</v>
          </cell>
          <cell r="G1137" t="str">
            <v>Mei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</row>
        <row r="1138">
          <cell r="B1138">
            <v>450007</v>
          </cell>
          <cell r="C1138" t="str">
            <v>Retur &amp; Potongan Ganti Oli</v>
          </cell>
          <cell r="D1138" t="str">
            <v>Juni</v>
          </cell>
          <cell r="F1138">
            <v>450007</v>
          </cell>
          <cell r="G1138" t="str">
            <v>Juni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</row>
        <row r="1139">
          <cell r="B1139">
            <v>450007</v>
          </cell>
          <cell r="C1139" t="str">
            <v>Retur &amp; Potongan Ganti Oli</v>
          </cell>
          <cell r="D1139" t="str">
            <v>Juli</v>
          </cell>
          <cell r="F1139">
            <v>450007</v>
          </cell>
          <cell r="G1139" t="str">
            <v>Juli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</row>
        <row r="1140">
          <cell r="B1140">
            <v>450007</v>
          </cell>
          <cell r="C1140" t="str">
            <v>Retur &amp; Potongan Ganti Oli</v>
          </cell>
          <cell r="D1140" t="str">
            <v>Agustus</v>
          </cell>
          <cell r="F1140">
            <v>450007</v>
          </cell>
          <cell r="G1140" t="str">
            <v>Agustus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</row>
        <row r="1141">
          <cell r="B1141">
            <v>450007</v>
          </cell>
          <cell r="C1141" t="str">
            <v>Retur &amp; Potongan Ganti Oli</v>
          </cell>
          <cell r="D1141" t="str">
            <v>September</v>
          </cell>
          <cell r="F1141">
            <v>450007</v>
          </cell>
          <cell r="G1141" t="str">
            <v>September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</row>
        <row r="1142">
          <cell r="B1142">
            <v>450007</v>
          </cell>
          <cell r="C1142" t="str">
            <v>Retur &amp; Potongan Ganti Oli</v>
          </cell>
          <cell r="D1142" t="str">
            <v>Oktober</v>
          </cell>
          <cell r="F1142">
            <v>450007</v>
          </cell>
          <cell r="G1142" t="str">
            <v>Oktober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</row>
        <row r="1143">
          <cell r="B1143">
            <v>450007</v>
          </cell>
          <cell r="C1143" t="str">
            <v>Retur &amp; Potongan Ganti Oli</v>
          </cell>
          <cell r="D1143" t="str">
            <v>November</v>
          </cell>
          <cell r="F1143">
            <v>450007</v>
          </cell>
          <cell r="G1143" t="str">
            <v>November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</row>
        <row r="1144">
          <cell r="B1144">
            <v>450007</v>
          </cell>
          <cell r="C1144" t="str">
            <v>Retur &amp; Potongan Ganti Oli</v>
          </cell>
          <cell r="D1144" t="str">
            <v>Desember</v>
          </cell>
          <cell r="F1144">
            <v>450007</v>
          </cell>
          <cell r="G1144" t="str">
            <v>Desember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</row>
        <row r="1145">
          <cell r="B1145">
            <v>450008</v>
          </cell>
          <cell r="C1145" t="str">
            <v>Retur &amp; Potongan Cucian</v>
          </cell>
          <cell r="E1145">
            <v>450.00799999999998</v>
          </cell>
          <cell r="F1145">
            <v>450008</v>
          </cell>
          <cell r="G1145" t="str">
            <v>Retur &amp; Potongan Cucian</v>
          </cell>
          <cell r="H1145">
            <v>300000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30000</v>
          </cell>
          <cell r="AA1145">
            <v>0</v>
          </cell>
          <cell r="AB1145">
            <v>330000</v>
          </cell>
          <cell r="AC1145">
            <v>0</v>
          </cell>
          <cell r="AD1145">
            <v>30000</v>
          </cell>
          <cell r="AE1145">
            <v>0</v>
          </cell>
        </row>
        <row r="1146">
          <cell r="B1146">
            <v>450008</v>
          </cell>
          <cell r="C1146" t="str">
            <v>Retur &amp; Potongan Cucian</v>
          </cell>
          <cell r="D1146" t="str">
            <v>Januari</v>
          </cell>
          <cell r="F1146">
            <v>450008</v>
          </cell>
          <cell r="G1146" t="str">
            <v>Januari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</row>
        <row r="1147">
          <cell r="B1147">
            <v>450008</v>
          </cell>
          <cell r="C1147" t="str">
            <v>Retur &amp; Potongan Cucian</v>
          </cell>
          <cell r="D1147" t="str">
            <v>Februari</v>
          </cell>
          <cell r="F1147">
            <v>450008</v>
          </cell>
          <cell r="G1147" t="str">
            <v>Februari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</row>
        <row r="1148">
          <cell r="B1148">
            <v>450008</v>
          </cell>
          <cell r="C1148" t="str">
            <v>Retur &amp; Potongan Cucian</v>
          </cell>
          <cell r="D1148" t="str">
            <v>Maret</v>
          </cell>
          <cell r="F1148">
            <v>450008</v>
          </cell>
          <cell r="G1148" t="str">
            <v>Maret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</row>
        <row r="1149">
          <cell r="B1149">
            <v>450008</v>
          </cell>
          <cell r="C1149" t="str">
            <v>Retur &amp; Potongan Cucian</v>
          </cell>
          <cell r="D1149" t="str">
            <v>April</v>
          </cell>
          <cell r="F1149">
            <v>450008</v>
          </cell>
          <cell r="G1149" t="str">
            <v>April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</row>
        <row r="1150">
          <cell r="B1150">
            <v>450008</v>
          </cell>
          <cell r="C1150" t="str">
            <v>Retur &amp; Potongan Cucian</v>
          </cell>
          <cell r="D1150" t="str">
            <v>Mei</v>
          </cell>
          <cell r="F1150">
            <v>450008</v>
          </cell>
          <cell r="G1150" t="str">
            <v>Mei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</row>
        <row r="1151">
          <cell r="B1151">
            <v>450008</v>
          </cell>
          <cell r="C1151" t="str">
            <v>Retur &amp; Potongan Cucian</v>
          </cell>
          <cell r="D1151" t="str">
            <v>Juni</v>
          </cell>
          <cell r="F1151">
            <v>450008</v>
          </cell>
          <cell r="G1151" t="str">
            <v>Juni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30000</v>
          </cell>
          <cell r="AA1151">
            <v>0</v>
          </cell>
          <cell r="AB1151">
            <v>30000</v>
          </cell>
          <cell r="AC1151">
            <v>0</v>
          </cell>
          <cell r="AD1151">
            <v>30000</v>
          </cell>
          <cell r="AE1151">
            <v>0</v>
          </cell>
        </row>
        <row r="1152">
          <cell r="B1152">
            <v>450008</v>
          </cell>
          <cell r="C1152" t="str">
            <v>Retur &amp; Potongan Cucian</v>
          </cell>
          <cell r="D1152" t="str">
            <v>Juli</v>
          </cell>
          <cell r="F1152">
            <v>450008</v>
          </cell>
          <cell r="G1152" t="str">
            <v>Juli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</row>
        <row r="1153">
          <cell r="B1153">
            <v>450008</v>
          </cell>
          <cell r="C1153" t="str">
            <v>Retur &amp; Potongan Cucian</v>
          </cell>
          <cell r="D1153" t="str">
            <v>Agustus</v>
          </cell>
          <cell r="F1153">
            <v>450008</v>
          </cell>
          <cell r="G1153" t="str">
            <v>Agustus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</row>
        <row r="1154">
          <cell r="B1154">
            <v>450008</v>
          </cell>
          <cell r="C1154" t="str">
            <v>Retur &amp; Potongan Cucian</v>
          </cell>
          <cell r="D1154" t="str">
            <v>September</v>
          </cell>
          <cell r="F1154">
            <v>450008</v>
          </cell>
          <cell r="G1154" t="str">
            <v>September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</row>
        <row r="1155">
          <cell r="B1155">
            <v>450008</v>
          </cell>
          <cell r="C1155" t="str">
            <v>Retur &amp; Potongan Cucian</v>
          </cell>
          <cell r="D1155" t="str">
            <v>Oktober</v>
          </cell>
          <cell r="F1155">
            <v>450008</v>
          </cell>
          <cell r="G1155" t="str">
            <v>Oktober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</row>
        <row r="1156">
          <cell r="B1156">
            <v>450008</v>
          </cell>
          <cell r="C1156" t="str">
            <v>Retur &amp; Potongan Cucian</v>
          </cell>
          <cell r="D1156" t="str">
            <v>November</v>
          </cell>
          <cell r="F1156">
            <v>450008</v>
          </cell>
          <cell r="G1156" t="str">
            <v>November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</row>
        <row r="1157">
          <cell r="B1157">
            <v>450008</v>
          </cell>
          <cell r="C1157" t="str">
            <v>Retur &amp; Potongan Cucian</v>
          </cell>
          <cell r="D1157" t="str">
            <v>Desember</v>
          </cell>
          <cell r="F1157">
            <v>450008</v>
          </cell>
          <cell r="G1157" t="str">
            <v>Desember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</row>
        <row r="1158">
          <cell r="B1158">
            <v>450009</v>
          </cell>
          <cell r="C1158" t="str">
            <v>Retur &amp; Potongan Salon</v>
          </cell>
          <cell r="E1158">
            <v>450.00900000000001</v>
          </cell>
          <cell r="F1158">
            <v>450009</v>
          </cell>
          <cell r="G1158" t="str">
            <v>Retur &amp; Potongan Salon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</row>
        <row r="1159">
          <cell r="B1159">
            <v>450009</v>
          </cell>
          <cell r="C1159" t="str">
            <v>Retur &amp; Potongan Salon</v>
          </cell>
          <cell r="D1159" t="str">
            <v>Januari</v>
          </cell>
          <cell r="F1159">
            <v>450009</v>
          </cell>
          <cell r="G1159" t="str">
            <v>Januari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</row>
        <row r="1160">
          <cell r="B1160">
            <v>450009</v>
          </cell>
          <cell r="C1160" t="str">
            <v>Retur &amp; Potongan Salon</v>
          </cell>
          <cell r="D1160" t="str">
            <v>Februari</v>
          </cell>
          <cell r="F1160">
            <v>450009</v>
          </cell>
          <cell r="G1160" t="str">
            <v>Februari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</row>
        <row r="1161">
          <cell r="B1161">
            <v>450009</v>
          </cell>
          <cell r="C1161" t="str">
            <v>Retur &amp; Potongan Salon</v>
          </cell>
          <cell r="D1161" t="str">
            <v>Maret</v>
          </cell>
          <cell r="F1161">
            <v>450009</v>
          </cell>
          <cell r="G1161" t="str">
            <v>Maret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</row>
        <row r="1162">
          <cell r="B1162">
            <v>450009</v>
          </cell>
          <cell r="C1162" t="str">
            <v>Retur &amp; Potongan Salon</v>
          </cell>
          <cell r="D1162" t="str">
            <v>April</v>
          </cell>
          <cell r="F1162">
            <v>450009</v>
          </cell>
          <cell r="G1162" t="str">
            <v>April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</row>
        <row r="1163">
          <cell r="B1163">
            <v>450009</v>
          </cell>
          <cell r="C1163" t="str">
            <v>Retur &amp; Potongan Salon</v>
          </cell>
          <cell r="D1163" t="str">
            <v>Mei</v>
          </cell>
          <cell r="F1163">
            <v>450009</v>
          </cell>
          <cell r="G1163" t="str">
            <v>Mei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</row>
        <row r="1164">
          <cell r="B1164">
            <v>450009</v>
          </cell>
          <cell r="C1164" t="str">
            <v>Retur &amp; Potongan Salon</v>
          </cell>
          <cell r="D1164" t="str">
            <v>Juni</v>
          </cell>
          <cell r="F1164">
            <v>450009</v>
          </cell>
          <cell r="G1164" t="str">
            <v>Juni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</row>
        <row r="1165">
          <cell r="B1165">
            <v>450009</v>
          </cell>
          <cell r="C1165" t="str">
            <v>Retur &amp; Potongan Salon</v>
          </cell>
          <cell r="D1165" t="str">
            <v>Juli</v>
          </cell>
          <cell r="F1165">
            <v>450009</v>
          </cell>
          <cell r="G1165" t="str">
            <v>Juli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</row>
        <row r="1166">
          <cell r="B1166">
            <v>450009</v>
          </cell>
          <cell r="C1166" t="str">
            <v>Retur &amp; Potongan Salon</v>
          </cell>
          <cell r="D1166" t="str">
            <v>Agustus</v>
          </cell>
          <cell r="F1166">
            <v>450009</v>
          </cell>
          <cell r="G1166" t="str">
            <v>Agustus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</row>
        <row r="1167">
          <cell r="B1167">
            <v>450009</v>
          </cell>
          <cell r="C1167" t="str">
            <v>Retur &amp; Potongan Salon</v>
          </cell>
          <cell r="D1167" t="str">
            <v>September</v>
          </cell>
          <cell r="F1167">
            <v>450009</v>
          </cell>
          <cell r="G1167" t="str">
            <v>September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</row>
        <row r="1168">
          <cell r="B1168">
            <v>450009</v>
          </cell>
          <cell r="C1168" t="str">
            <v>Retur &amp; Potongan Salon</v>
          </cell>
          <cell r="D1168" t="str">
            <v>Oktober</v>
          </cell>
          <cell r="F1168">
            <v>450009</v>
          </cell>
          <cell r="G1168" t="str">
            <v>Oktober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</row>
        <row r="1169">
          <cell r="B1169">
            <v>450009</v>
          </cell>
          <cell r="C1169" t="str">
            <v>Retur &amp; Potongan Salon</v>
          </cell>
          <cell r="D1169" t="str">
            <v>November</v>
          </cell>
          <cell r="F1169">
            <v>450009</v>
          </cell>
          <cell r="G1169" t="str">
            <v>November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</row>
        <row r="1170">
          <cell r="B1170">
            <v>450009</v>
          </cell>
          <cell r="C1170" t="str">
            <v>Retur &amp; Potongan Salon</v>
          </cell>
          <cell r="D1170" t="str">
            <v>Desember</v>
          </cell>
          <cell r="F1170">
            <v>450009</v>
          </cell>
          <cell r="G1170" t="str">
            <v>Desember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</row>
        <row r="1171">
          <cell r="B1171">
            <v>450009</v>
          </cell>
          <cell r="F1171">
            <v>450009</v>
          </cell>
          <cell r="H1171">
            <v>0</v>
          </cell>
          <cell r="I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</row>
        <row r="1172">
          <cell r="B1172">
            <v>500000</v>
          </cell>
          <cell r="E1172">
            <v>500</v>
          </cell>
          <cell r="F1172">
            <v>500000</v>
          </cell>
          <cell r="G1172" t="str">
            <v>HPP</v>
          </cell>
          <cell r="H1172">
            <v>0</v>
          </cell>
          <cell r="I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</row>
        <row r="1173">
          <cell r="B1173">
            <v>500001</v>
          </cell>
          <cell r="C1173" t="str">
            <v>HPP Unit.Toko</v>
          </cell>
          <cell r="E1173">
            <v>500.00099999999998</v>
          </cell>
          <cell r="F1173">
            <v>500001</v>
          </cell>
          <cell r="G1173" t="str">
            <v>HPP Unit.Toko</v>
          </cell>
          <cell r="H1173">
            <v>166752507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166752507</v>
          </cell>
          <cell r="AC1173">
            <v>0</v>
          </cell>
          <cell r="AD1173">
            <v>0</v>
          </cell>
          <cell r="AE1173">
            <v>0</v>
          </cell>
        </row>
        <row r="1174">
          <cell r="B1174">
            <v>500001</v>
          </cell>
          <cell r="C1174" t="str">
            <v>HPP Unit.Toko</v>
          </cell>
          <cell r="D1174" t="str">
            <v>Januari</v>
          </cell>
          <cell r="F1174">
            <v>500001</v>
          </cell>
          <cell r="G1174" t="str">
            <v>Januari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</row>
        <row r="1175">
          <cell r="B1175">
            <v>500001</v>
          </cell>
          <cell r="C1175" t="str">
            <v>HPP Unit.Toko</v>
          </cell>
          <cell r="D1175" t="str">
            <v>Februari</v>
          </cell>
          <cell r="F1175">
            <v>500001</v>
          </cell>
          <cell r="G1175" t="str">
            <v>Februari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</row>
        <row r="1176">
          <cell r="B1176">
            <v>500001</v>
          </cell>
          <cell r="C1176" t="str">
            <v>HPP Unit.Toko</v>
          </cell>
          <cell r="D1176" t="str">
            <v>Maret</v>
          </cell>
          <cell r="F1176">
            <v>500001</v>
          </cell>
          <cell r="G1176" t="str">
            <v>Maret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</row>
        <row r="1177">
          <cell r="B1177">
            <v>500001</v>
          </cell>
          <cell r="C1177" t="str">
            <v>HPP Unit.Toko</v>
          </cell>
          <cell r="D1177" t="str">
            <v>April</v>
          </cell>
          <cell r="F1177">
            <v>500001</v>
          </cell>
          <cell r="G1177" t="str">
            <v>April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</row>
        <row r="1178">
          <cell r="B1178">
            <v>500001</v>
          </cell>
          <cell r="C1178" t="str">
            <v>HPP Unit.Toko</v>
          </cell>
          <cell r="D1178" t="str">
            <v>Mei</v>
          </cell>
          <cell r="F1178">
            <v>500001</v>
          </cell>
          <cell r="G1178" t="str">
            <v>Mei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</row>
        <row r="1179">
          <cell r="B1179">
            <v>500001</v>
          </cell>
          <cell r="C1179" t="str">
            <v>HPP Unit.Toko</v>
          </cell>
          <cell r="D1179" t="str">
            <v>Juni</v>
          </cell>
          <cell r="F1179">
            <v>500001</v>
          </cell>
          <cell r="G1179" t="str">
            <v>Juni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</row>
        <row r="1180">
          <cell r="B1180">
            <v>500001</v>
          </cell>
          <cell r="C1180" t="str">
            <v>HPP Unit.Toko</v>
          </cell>
          <cell r="D1180" t="str">
            <v>Juli</v>
          </cell>
          <cell r="F1180">
            <v>500001</v>
          </cell>
          <cell r="G1180" t="str">
            <v>Juli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</row>
        <row r="1181">
          <cell r="B1181">
            <v>500001</v>
          </cell>
          <cell r="C1181" t="str">
            <v>HPP Unit.Toko</v>
          </cell>
          <cell r="D1181" t="str">
            <v>Agustus</v>
          </cell>
          <cell r="F1181">
            <v>500001</v>
          </cell>
          <cell r="G1181" t="str">
            <v>Agustus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</row>
        <row r="1182">
          <cell r="B1182">
            <v>500001</v>
          </cell>
          <cell r="C1182" t="str">
            <v>HPP Unit.Toko</v>
          </cell>
          <cell r="D1182" t="str">
            <v>September</v>
          </cell>
          <cell r="F1182">
            <v>500001</v>
          </cell>
          <cell r="G1182" t="str">
            <v>September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</row>
        <row r="1183">
          <cell r="B1183">
            <v>500001</v>
          </cell>
          <cell r="C1183" t="str">
            <v>HPP Unit.Toko</v>
          </cell>
          <cell r="D1183" t="str">
            <v>Oktober</v>
          </cell>
          <cell r="F1183">
            <v>500001</v>
          </cell>
          <cell r="G1183" t="str">
            <v>Oktober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</row>
        <row r="1184">
          <cell r="B1184">
            <v>500001</v>
          </cell>
          <cell r="C1184" t="str">
            <v>HPP Unit.Toko</v>
          </cell>
          <cell r="D1184" t="str">
            <v>November</v>
          </cell>
          <cell r="F1184">
            <v>500001</v>
          </cell>
          <cell r="G1184" t="str">
            <v>November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</row>
        <row r="1185">
          <cell r="B1185">
            <v>500001</v>
          </cell>
          <cell r="C1185" t="str">
            <v>HPP Unit.Toko</v>
          </cell>
          <cell r="D1185" t="str">
            <v>Desember</v>
          </cell>
          <cell r="F1185">
            <v>500001</v>
          </cell>
          <cell r="G1185" t="str">
            <v>Desember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</row>
        <row r="1186">
          <cell r="B1186">
            <v>500002</v>
          </cell>
          <cell r="C1186" t="str">
            <v>HPP Unit.General Repair</v>
          </cell>
          <cell r="E1186">
            <v>500.00200000000001</v>
          </cell>
          <cell r="F1186">
            <v>500002</v>
          </cell>
          <cell r="G1186" t="str">
            <v>HPP Unit.General Repair</v>
          </cell>
          <cell r="H1186">
            <v>872600887.52235603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872600887.52235603</v>
          </cell>
          <cell r="AC1186">
            <v>0</v>
          </cell>
          <cell r="AD1186">
            <v>0</v>
          </cell>
          <cell r="AE1186">
            <v>0</v>
          </cell>
        </row>
        <row r="1187">
          <cell r="B1187">
            <v>500002</v>
          </cell>
          <cell r="C1187" t="str">
            <v>HPP Unit.General Repair</v>
          </cell>
          <cell r="D1187" t="str">
            <v>Januari</v>
          </cell>
          <cell r="F1187">
            <v>500002</v>
          </cell>
          <cell r="G1187" t="str">
            <v>Januari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</row>
        <row r="1188">
          <cell r="B1188">
            <v>500002</v>
          </cell>
          <cell r="C1188" t="str">
            <v>HPP Unit.General Repair</v>
          </cell>
          <cell r="D1188" t="str">
            <v>Februari</v>
          </cell>
          <cell r="F1188">
            <v>500002</v>
          </cell>
          <cell r="G1188" t="str">
            <v>Februari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</row>
        <row r="1189">
          <cell r="B1189">
            <v>500002</v>
          </cell>
          <cell r="C1189" t="str">
            <v>HPP Unit.General Repair</v>
          </cell>
          <cell r="D1189" t="str">
            <v>Maret</v>
          </cell>
          <cell r="F1189">
            <v>500002</v>
          </cell>
          <cell r="G1189" t="str">
            <v>Maret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</row>
        <row r="1190">
          <cell r="B1190">
            <v>500002</v>
          </cell>
          <cell r="C1190" t="str">
            <v>HPP Unit.General Repair</v>
          </cell>
          <cell r="D1190" t="str">
            <v>April</v>
          </cell>
          <cell r="F1190">
            <v>500002</v>
          </cell>
          <cell r="G1190" t="str">
            <v>April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</row>
        <row r="1191">
          <cell r="B1191">
            <v>500002</v>
          </cell>
          <cell r="C1191" t="str">
            <v>HPP Unit.General Repair</v>
          </cell>
          <cell r="D1191" t="str">
            <v>Mei</v>
          </cell>
          <cell r="F1191">
            <v>500002</v>
          </cell>
          <cell r="G1191" t="str">
            <v>Mei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</row>
        <row r="1192">
          <cell r="B1192">
            <v>500002</v>
          </cell>
          <cell r="C1192" t="str">
            <v>HPP Unit.General Repair</v>
          </cell>
          <cell r="D1192" t="str">
            <v>Juni</v>
          </cell>
          <cell r="F1192">
            <v>500002</v>
          </cell>
          <cell r="G1192" t="str">
            <v>Juni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</row>
        <row r="1193">
          <cell r="B1193">
            <v>500002</v>
          </cell>
          <cell r="C1193" t="str">
            <v>HPP Unit.General Repair</v>
          </cell>
          <cell r="D1193" t="str">
            <v>Juli</v>
          </cell>
          <cell r="F1193">
            <v>500002</v>
          </cell>
          <cell r="G1193" t="str">
            <v>Juli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</row>
        <row r="1194">
          <cell r="B1194">
            <v>500002</v>
          </cell>
          <cell r="C1194" t="str">
            <v>HPP Unit.General Repair</v>
          </cell>
          <cell r="D1194" t="str">
            <v>Agustus</v>
          </cell>
          <cell r="F1194">
            <v>500002</v>
          </cell>
          <cell r="G1194" t="str">
            <v>Agustus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</row>
        <row r="1195">
          <cell r="B1195">
            <v>500002</v>
          </cell>
          <cell r="C1195" t="str">
            <v>HPP Unit.General Repair</v>
          </cell>
          <cell r="D1195" t="str">
            <v>September</v>
          </cell>
          <cell r="F1195">
            <v>500002</v>
          </cell>
          <cell r="G1195" t="str">
            <v>September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</row>
        <row r="1196">
          <cell r="B1196">
            <v>500002</v>
          </cell>
          <cell r="C1196" t="str">
            <v>HPP Unit.General Repair</v>
          </cell>
          <cell r="D1196" t="str">
            <v>Oktober</v>
          </cell>
          <cell r="F1196">
            <v>500002</v>
          </cell>
          <cell r="G1196" t="str">
            <v>Oktober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</row>
        <row r="1197">
          <cell r="B1197">
            <v>500002</v>
          </cell>
          <cell r="C1197" t="str">
            <v>HPP Unit.General Repair</v>
          </cell>
          <cell r="D1197" t="str">
            <v>November</v>
          </cell>
          <cell r="F1197">
            <v>500002</v>
          </cell>
          <cell r="G1197" t="str">
            <v>November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</row>
        <row r="1198">
          <cell r="B1198">
            <v>500002</v>
          </cell>
          <cell r="C1198" t="str">
            <v>HPP Unit.General Repair</v>
          </cell>
          <cell r="D1198" t="str">
            <v>Desember</v>
          </cell>
          <cell r="F1198">
            <v>500002</v>
          </cell>
          <cell r="G1198" t="str">
            <v>Desember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</row>
        <row r="1199">
          <cell r="B1199">
            <v>500003</v>
          </cell>
          <cell r="C1199" t="str">
            <v>HPP Unit.Body Repair</v>
          </cell>
          <cell r="E1199">
            <v>500.00299999999999</v>
          </cell>
          <cell r="F1199">
            <v>500003</v>
          </cell>
          <cell r="G1199" t="str">
            <v>HPP Unit.Body Repair</v>
          </cell>
          <cell r="H1199">
            <v>499816738</v>
          </cell>
          <cell r="I1199">
            <v>0</v>
          </cell>
          <cell r="J1199">
            <v>883208384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1383025122</v>
          </cell>
          <cell r="AC1199">
            <v>0</v>
          </cell>
          <cell r="AD1199">
            <v>883208384</v>
          </cell>
          <cell r="AE1199">
            <v>0</v>
          </cell>
        </row>
        <row r="1200">
          <cell r="B1200">
            <v>500003</v>
          </cell>
          <cell r="C1200" t="str">
            <v>HPP Unit.Body Repair</v>
          </cell>
          <cell r="D1200" t="str">
            <v>Januari</v>
          </cell>
          <cell r="F1200">
            <v>500003</v>
          </cell>
          <cell r="G1200" t="str">
            <v>Januari</v>
          </cell>
          <cell r="J1200">
            <v>57045460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57045460</v>
          </cell>
          <cell r="AC1200">
            <v>0</v>
          </cell>
          <cell r="AD1200">
            <v>57045460</v>
          </cell>
          <cell r="AE1200">
            <v>0</v>
          </cell>
        </row>
        <row r="1201">
          <cell r="B1201">
            <v>500003</v>
          </cell>
          <cell r="C1201" t="str">
            <v>HPP Unit.Body Repair</v>
          </cell>
          <cell r="D1201" t="str">
            <v>Februari</v>
          </cell>
          <cell r="F1201">
            <v>500003</v>
          </cell>
          <cell r="G1201" t="str">
            <v>Februari</v>
          </cell>
          <cell r="J1201">
            <v>52456296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52456296</v>
          </cell>
          <cell r="AC1201">
            <v>0</v>
          </cell>
          <cell r="AD1201">
            <v>52456296</v>
          </cell>
          <cell r="AE1201">
            <v>0</v>
          </cell>
        </row>
        <row r="1202">
          <cell r="B1202">
            <v>500003</v>
          </cell>
          <cell r="C1202" t="str">
            <v>HPP Unit.Body Repair</v>
          </cell>
          <cell r="D1202" t="str">
            <v>Maret</v>
          </cell>
          <cell r="F1202">
            <v>500003</v>
          </cell>
          <cell r="G1202" t="str">
            <v>Maret</v>
          </cell>
          <cell r="J1202">
            <v>129320394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129320394</v>
          </cell>
          <cell r="AC1202">
            <v>0</v>
          </cell>
          <cell r="AD1202">
            <v>129320394</v>
          </cell>
          <cell r="AE1202">
            <v>0</v>
          </cell>
        </row>
        <row r="1203">
          <cell r="B1203">
            <v>500003</v>
          </cell>
          <cell r="C1203" t="str">
            <v>HPP Unit.Body Repair</v>
          </cell>
          <cell r="D1203" t="str">
            <v>April</v>
          </cell>
          <cell r="F1203">
            <v>500003</v>
          </cell>
          <cell r="G1203" t="str">
            <v>April</v>
          </cell>
          <cell r="J1203">
            <v>29831120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29831120</v>
          </cell>
          <cell r="AC1203">
            <v>0</v>
          </cell>
          <cell r="AD1203">
            <v>29831120</v>
          </cell>
          <cell r="AE1203">
            <v>0</v>
          </cell>
        </row>
        <row r="1204">
          <cell r="B1204">
            <v>500003</v>
          </cell>
          <cell r="C1204" t="str">
            <v>HPP Unit.Body Repair</v>
          </cell>
          <cell r="D1204" t="str">
            <v>Mei</v>
          </cell>
          <cell r="F1204">
            <v>500003</v>
          </cell>
          <cell r="G1204" t="str">
            <v>Mei</v>
          </cell>
          <cell r="J1204">
            <v>82928719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82928719</v>
          </cell>
          <cell r="AC1204">
            <v>0</v>
          </cell>
          <cell r="AD1204">
            <v>82928719</v>
          </cell>
          <cell r="AE1204">
            <v>0</v>
          </cell>
        </row>
        <row r="1205">
          <cell r="B1205">
            <v>500003</v>
          </cell>
          <cell r="C1205" t="str">
            <v>HPP Unit.Body Repair</v>
          </cell>
          <cell r="D1205" t="str">
            <v>Juni</v>
          </cell>
          <cell r="F1205">
            <v>500003</v>
          </cell>
          <cell r="G1205" t="str">
            <v>Juni</v>
          </cell>
          <cell r="J1205">
            <v>43570521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43570521</v>
          </cell>
          <cell r="AC1205">
            <v>0</v>
          </cell>
          <cell r="AD1205">
            <v>43570521</v>
          </cell>
          <cell r="AE1205">
            <v>0</v>
          </cell>
        </row>
        <row r="1206">
          <cell r="B1206">
            <v>500003</v>
          </cell>
          <cell r="C1206" t="str">
            <v>HPP Unit.Body Repair</v>
          </cell>
          <cell r="D1206" t="str">
            <v>Juli</v>
          </cell>
          <cell r="F1206">
            <v>500003</v>
          </cell>
          <cell r="G1206" t="str">
            <v>Juli</v>
          </cell>
          <cell r="J1206">
            <v>108194294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108194294</v>
          </cell>
          <cell r="AC1206">
            <v>0</v>
          </cell>
          <cell r="AD1206">
            <v>108194294</v>
          </cell>
          <cell r="AE1206">
            <v>0</v>
          </cell>
        </row>
        <row r="1207">
          <cell r="B1207">
            <v>500003</v>
          </cell>
          <cell r="C1207" t="str">
            <v>HPP Unit.Body Repair</v>
          </cell>
          <cell r="D1207" t="str">
            <v>Agustus</v>
          </cell>
          <cell r="F1207">
            <v>500003</v>
          </cell>
          <cell r="G1207" t="str">
            <v>Agustus</v>
          </cell>
          <cell r="J1207">
            <v>49815192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49815192</v>
          </cell>
          <cell r="AC1207">
            <v>0</v>
          </cell>
          <cell r="AD1207">
            <v>49815192</v>
          </cell>
          <cell r="AE1207">
            <v>0</v>
          </cell>
        </row>
        <row r="1208">
          <cell r="B1208">
            <v>500003</v>
          </cell>
          <cell r="C1208" t="str">
            <v>HPP Unit.Body Repair</v>
          </cell>
          <cell r="D1208" t="str">
            <v>September</v>
          </cell>
          <cell r="F1208">
            <v>500003</v>
          </cell>
          <cell r="G1208" t="str">
            <v>September</v>
          </cell>
          <cell r="J1208">
            <v>90186210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90186210</v>
          </cell>
          <cell r="AC1208">
            <v>0</v>
          </cell>
          <cell r="AD1208">
            <v>90186210</v>
          </cell>
          <cell r="AE1208">
            <v>0</v>
          </cell>
        </row>
        <row r="1209">
          <cell r="B1209">
            <v>500003</v>
          </cell>
          <cell r="C1209" t="str">
            <v>HPP Unit.Body Repair</v>
          </cell>
          <cell r="D1209" t="str">
            <v>Oktober</v>
          </cell>
          <cell r="F1209">
            <v>500003</v>
          </cell>
          <cell r="G1209" t="str">
            <v>Oktober</v>
          </cell>
          <cell r="J1209">
            <v>67567623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67567623</v>
          </cell>
          <cell r="AC1209">
            <v>0</v>
          </cell>
          <cell r="AD1209">
            <v>67567623</v>
          </cell>
          <cell r="AE1209">
            <v>0</v>
          </cell>
        </row>
        <row r="1210">
          <cell r="B1210">
            <v>500003</v>
          </cell>
          <cell r="C1210" t="str">
            <v>HPP Unit.Body Repair</v>
          </cell>
          <cell r="D1210" t="str">
            <v>November</v>
          </cell>
          <cell r="F1210">
            <v>500003</v>
          </cell>
          <cell r="G1210" t="str">
            <v>November</v>
          </cell>
          <cell r="J1210">
            <v>108762694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108762694</v>
          </cell>
          <cell r="AC1210">
            <v>0</v>
          </cell>
          <cell r="AD1210">
            <v>108762694</v>
          </cell>
          <cell r="AE1210">
            <v>0</v>
          </cell>
        </row>
        <row r="1211">
          <cell r="B1211">
            <v>500003</v>
          </cell>
          <cell r="C1211" t="str">
            <v>HPP Unit.Body Repair</v>
          </cell>
          <cell r="D1211" t="str">
            <v>Desember</v>
          </cell>
          <cell r="F1211">
            <v>500003</v>
          </cell>
          <cell r="G1211" t="str">
            <v>Desember</v>
          </cell>
          <cell r="J1211">
            <v>63529861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63529861</v>
          </cell>
          <cell r="AC1211">
            <v>0</v>
          </cell>
          <cell r="AD1211">
            <v>63529861</v>
          </cell>
          <cell r="AE1211">
            <v>0</v>
          </cell>
        </row>
        <row r="1212">
          <cell r="B1212">
            <v>500004</v>
          </cell>
          <cell r="C1212" t="str">
            <v>HPP Unit.Sporing Balancing</v>
          </cell>
          <cell r="E1212">
            <v>500.00400000000002</v>
          </cell>
          <cell r="F1212">
            <v>500004</v>
          </cell>
          <cell r="G1212" t="str">
            <v>HPP Unit.Sporing Balancing</v>
          </cell>
          <cell r="H1212">
            <v>334562840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334562840</v>
          </cell>
          <cell r="AC1212">
            <v>0</v>
          </cell>
          <cell r="AD1212">
            <v>0</v>
          </cell>
          <cell r="AE1212">
            <v>0</v>
          </cell>
        </row>
        <row r="1213">
          <cell r="B1213">
            <v>500004</v>
          </cell>
          <cell r="C1213" t="str">
            <v>HPP Unit.Sporing Balancing</v>
          </cell>
          <cell r="D1213" t="str">
            <v>Januari</v>
          </cell>
          <cell r="F1213">
            <v>500004</v>
          </cell>
          <cell r="G1213" t="str">
            <v>Januari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</row>
        <row r="1214">
          <cell r="B1214">
            <v>500004</v>
          </cell>
          <cell r="C1214" t="str">
            <v>HPP Unit.Sporing Balancing</v>
          </cell>
          <cell r="D1214" t="str">
            <v>Februari</v>
          </cell>
          <cell r="F1214">
            <v>500004</v>
          </cell>
          <cell r="G1214" t="str">
            <v>Februari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</row>
        <row r="1215">
          <cell r="B1215">
            <v>500004</v>
          </cell>
          <cell r="C1215" t="str">
            <v>HPP Unit.Sporing Balancing</v>
          </cell>
          <cell r="D1215" t="str">
            <v>Maret</v>
          </cell>
          <cell r="F1215">
            <v>500004</v>
          </cell>
          <cell r="G1215" t="str">
            <v>Maret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</row>
        <row r="1216">
          <cell r="B1216">
            <v>500004</v>
          </cell>
          <cell r="C1216" t="str">
            <v>HPP Unit.Sporing Balancing</v>
          </cell>
          <cell r="D1216" t="str">
            <v>April</v>
          </cell>
          <cell r="F1216">
            <v>500004</v>
          </cell>
          <cell r="G1216" t="str">
            <v>April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</row>
        <row r="1217">
          <cell r="B1217">
            <v>500004</v>
          </cell>
          <cell r="C1217" t="str">
            <v>HPP Unit.Sporing Balancing</v>
          </cell>
          <cell r="D1217" t="str">
            <v>Mei</v>
          </cell>
          <cell r="F1217">
            <v>500004</v>
          </cell>
          <cell r="G1217" t="str">
            <v>Mei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</row>
        <row r="1218">
          <cell r="B1218">
            <v>500004</v>
          </cell>
          <cell r="C1218" t="str">
            <v>HPP Unit.Sporing Balancing</v>
          </cell>
          <cell r="D1218" t="str">
            <v>Juni</v>
          </cell>
          <cell r="F1218">
            <v>500004</v>
          </cell>
          <cell r="G1218" t="str">
            <v>Juni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</row>
        <row r="1219">
          <cell r="B1219">
            <v>500004</v>
          </cell>
          <cell r="C1219" t="str">
            <v>HPP Unit.Sporing Balancing</v>
          </cell>
          <cell r="D1219" t="str">
            <v>Juli</v>
          </cell>
          <cell r="F1219">
            <v>500004</v>
          </cell>
          <cell r="G1219" t="str">
            <v>Juli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</row>
        <row r="1220">
          <cell r="B1220">
            <v>500004</v>
          </cell>
          <cell r="C1220" t="str">
            <v>HPP Unit.Sporing Balancing</v>
          </cell>
          <cell r="D1220" t="str">
            <v>Agustus</v>
          </cell>
          <cell r="F1220">
            <v>500004</v>
          </cell>
          <cell r="G1220" t="str">
            <v>Agustus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</row>
        <row r="1221">
          <cell r="B1221">
            <v>500004</v>
          </cell>
          <cell r="C1221" t="str">
            <v>HPP Unit.Sporing Balancing</v>
          </cell>
          <cell r="D1221" t="str">
            <v>September</v>
          </cell>
          <cell r="F1221">
            <v>500004</v>
          </cell>
          <cell r="G1221" t="str">
            <v>September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</row>
        <row r="1222">
          <cell r="B1222">
            <v>500004</v>
          </cell>
          <cell r="C1222" t="str">
            <v>HPP Unit.Sporing Balancing</v>
          </cell>
          <cell r="D1222" t="str">
            <v>Oktober</v>
          </cell>
          <cell r="F1222">
            <v>500004</v>
          </cell>
          <cell r="G1222" t="str">
            <v>Oktober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</row>
        <row r="1223">
          <cell r="B1223">
            <v>500004</v>
          </cell>
          <cell r="C1223" t="str">
            <v>HPP Unit.Sporing Balancing</v>
          </cell>
          <cell r="D1223" t="str">
            <v>November</v>
          </cell>
          <cell r="F1223">
            <v>500004</v>
          </cell>
          <cell r="G1223" t="str">
            <v>November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</row>
        <row r="1224">
          <cell r="B1224">
            <v>500004</v>
          </cell>
          <cell r="C1224" t="str">
            <v>HPP Unit.Sporing Balancing</v>
          </cell>
          <cell r="D1224" t="str">
            <v>Desember</v>
          </cell>
          <cell r="F1224">
            <v>500004</v>
          </cell>
          <cell r="G1224" t="str">
            <v>Desember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</row>
        <row r="1225">
          <cell r="B1225">
            <v>500005</v>
          </cell>
          <cell r="C1225" t="str">
            <v>HPP Unit.Ac</v>
          </cell>
          <cell r="E1225">
            <v>500.005</v>
          </cell>
          <cell r="F1225">
            <v>500005</v>
          </cell>
          <cell r="G1225" t="str">
            <v>HPP Unit.Ac</v>
          </cell>
          <cell r="H1225">
            <v>72416160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72416160</v>
          </cell>
          <cell r="AC1225">
            <v>0</v>
          </cell>
          <cell r="AD1225">
            <v>0</v>
          </cell>
          <cell r="AE1225">
            <v>0</v>
          </cell>
        </row>
        <row r="1226">
          <cell r="B1226">
            <v>500005</v>
          </cell>
          <cell r="C1226" t="str">
            <v>HPP Unit.Ac</v>
          </cell>
          <cell r="D1226" t="str">
            <v>Januari</v>
          </cell>
          <cell r="F1226">
            <v>500005</v>
          </cell>
          <cell r="G1226" t="str">
            <v>Januari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</row>
        <row r="1227">
          <cell r="B1227">
            <v>500005</v>
          </cell>
          <cell r="C1227" t="str">
            <v>HPP Unit.Ac</v>
          </cell>
          <cell r="D1227" t="str">
            <v>Februari</v>
          </cell>
          <cell r="F1227">
            <v>500005</v>
          </cell>
          <cell r="G1227" t="str">
            <v>Februari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</row>
        <row r="1228">
          <cell r="B1228">
            <v>500005</v>
          </cell>
          <cell r="C1228" t="str">
            <v>HPP Unit.Ac</v>
          </cell>
          <cell r="D1228" t="str">
            <v>Maret</v>
          </cell>
          <cell r="F1228">
            <v>500005</v>
          </cell>
          <cell r="G1228" t="str">
            <v>Maret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</row>
        <row r="1229">
          <cell r="B1229">
            <v>500005</v>
          </cell>
          <cell r="C1229" t="str">
            <v>HPP Unit.Ac</v>
          </cell>
          <cell r="D1229" t="str">
            <v>April</v>
          </cell>
          <cell r="F1229">
            <v>500005</v>
          </cell>
          <cell r="G1229" t="str">
            <v>April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</row>
        <row r="1230">
          <cell r="B1230">
            <v>500005</v>
          </cell>
          <cell r="C1230" t="str">
            <v>HPP Unit.Ac</v>
          </cell>
          <cell r="D1230" t="str">
            <v>Mei</v>
          </cell>
          <cell r="F1230">
            <v>500005</v>
          </cell>
          <cell r="G1230" t="str">
            <v>Mei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</row>
        <row r="1231">
          <cell r="B1231">
            <v>500005</v>
          </cell>
          <cell r="C1231" t="str">
            <v>HPP Unit.Ac</v>
          </cell>
          <cell r="D1231" t="str">
            <v>Juni</v>
          </cell>
          <cell r="F1231">
            <v>500005</v>
          </cell>
          <cell r="G1231" t="str">
            <v>Juni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</row>
        <row r="1232">
          <cell r="B1232">
            <v>500005</v>
          </cell>
          <cell r="C1232" t="str">
            <v>HPP Unit.Ac</v>
          </cell>
          <cell r="D1232" t="str">
            <v>Juli</v>
          </cell>
          <cell r="F1232">
            <v>500005</v>
          </cell>
          <cell r="G1232" t="str">
            <v>Juli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</row>
        <row r="1233">
          <cell r="B1233">
            <v>500005</v>
          </cell>
          <cell r="C1233" t="str">
            <v>HPP Unit.Ac</v>
          </cell>
          <cell r="D1233" t="str">
            <v>Agustus</v>
          </cell>
          <cell r="F1233">
            <v>500005</v>
          </cell>
          <cell r="G1233" t="str">
            <v>Agustus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</row>
        <row r="1234">
          <cell r="B1234">
            <v>500005</v>
          </cell>
          <cell r="C1234" t="str">
            <v>HPP Unit.Ac</v>
          </cell>
          <cell r="D1234" t="str">
            <v>September</v>
          </cell>
          <cell r="F1234">
            <v>500005</v>
          </cell>
          <cell r="G1234" t="str">
            <v>September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</row>
        <row r="1235">
          <cell r="B1235">
            <v>500005</v>
          </cell>
          <cell r="C1235" t="str">
            <v>HPP Unit.Ac</v>
          </cell>
          <cell r="D1235" t="str">
            <v>Oktober</v>
          </cell>
          <cell r="F1235">
            <v>500005</v>
          </cell>
          <cell r="G1235" t="str">
            <v>Oktober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</row>
        <row r="1236">
          <cell r="B1236">
            <v>500005</v>
          </cell>
          <cell r="C1236" t="str">
            <v>HPP Unit.Ac</v>
          </cell>
          <cell r="D1236" t="str">
            <v>November</v>
          </cell>
          <cell r="F1236">
            <v>500005</v>
          </cell>
          <cell r="G1236" t="str">
            <v>November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</row>
        <row r="1237">
          <cell r="B1237">
            <v>500005</v>
          </cell>
          <cell r="C1237" t="str">
            <v>HPP Unit.Ac</v>
          </cell>
          <cell r="D1237" t="str">
            <v>Desember</v>
          </cell>
          <cell r="F1237">
            <v>500005</v>
          </cell>
          <cell r="G1237" t="str">
            <v>Desember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</row>
        <row r="1238">
          <cell r="B1238">
            <v>500006</v>
          </cell>
          <cell r="C1238" t="str">
            <v>HPP Unit.Variasi</v>
          </cell>
          <cell r="E1238">
            <v>500.00599999999997</v>
          </cell>
          <cell r="F1238">
            <v>500006</v>
          </cell>
          <cell r="G1238" t="str">
            <v>HPP Unit.Variasi</v>
          </cell>
          <cell r="H1238">
            <v>2231356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2231356</v>
          </cell>
          <cell r="AC1238">
            <v>0</v>
          </cell>
          <cell r="AD1238">
            <v>0</v>
          </cell>
          <cell r="AE1238">
            <v>0</v>
          </cell>
        </row>
        <row r="1239">
          <cell r="B1239">
            <v>500006</v>
          </cell>
          <cell r="C1239" t="str">
            <v>HPP Unit.Variasi</v>
          </cell>
          <cell r="D1239" t="str">
            <v>Januari</v>
          </cell>
          <cell r="F1239">
            <v>500006</v>
          </cell>
          <cell r="G1239" t="str">
            <v>Januari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</row>
        <row r="1240">
          <cell r="B1240">
            <v>500006</v>
          </cell>
          <cell r="C1240" t="str">
            <v>HPP Unit.Variasi</v>
          </cell>
          <cell r="D1240" t="str">
            <v>Februari</v>
          </cell>
          <cell r="F1240">
            <v>500006</v>
          </cell>
          <cell r="G1240" t="str">
            <v>Februari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</row>
        <row r="1241">
          <cell r="B1241">
            <v>500006</v>
          </cell>
          <cell r="C1241" t="str">
            <v>HPP Unit.Variasi</v>
          </cell>
          <cell r="D1241" t="str">
            <v>Maret</v>
          </cell>
          <cell r="F1241">
            <v>500006</v>
          </cell>
          <cell r="G1241" t="str">
            <v>Maret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</row>
        <row r="1242">
          <cell r="B1242">
            <v>500006</v>
          </cell>
          <cell r="C1242" t="str">
            <v>HPP Unit.Variasi</v>
          </cell>
          <cell r="D1242" t="str">
            <v>April</v>
          </cell>
          <cell r="F1242">
            <v>500006</v>
          </cell>
          <cell r="G1242" t="str">
            <v>April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</row>
        <row r="1243">
          <cell r="B1243">
            <v>500006</v>
          </cell>
          <cell r="C1243" t="str">
            <v>HPP Unit.Variasi</v>
          </cell>
          <cell r="D1243" t="str">
            <v>Mei</v>
          </cell>
          <cell r="F1243">
            <v>500006</v>
          </cell>
          <cell r="G1243" t="str">
            <v>Mei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</row>
        <row r="1244">
          <cell r="B1244">
            <v>500006</v>
          </cell>
          <cell r="C1244" t="str">
            <v>HPP Unit.Variasi</v>
          </cell>
          <cell r="D1244" t="str">
            <v>Juni</v>
          </cell>
          <cell r="F1244">
            <v>500006</v>
          </cell>
          <cell r="G1244" t="str">
            <v>Juni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</row>
        <row r="1245">
          <cell r="B1245">
            <v>500006</v>
          </cell>
          <cell r="C1245" t="str">
            <v>HPP Unit.Variasi</v>
          </cell>
          <cell r="D1245" t="str">
            <v>Juli</v>
          </cell>
          <cell r="F1245">
            <v>500006</v>
          </cell>
          <cell r="G1245" t="str">
            <v>Juli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</row>
        <row r="1246">
          <cell r="B1246">
            <v>500006</v>
          </cell>
          <cell r="C1246" t="str">
            <v>HPP Unit.Variasi</v>
          </cell>
          <cell r="D1246" t="str">
            <v>Agustus</v>
          </cell>
          <cell r="F1246">
            <v>500006</v>
          </cell>
          <cell r="G1246" t="str">
            <v>Agustus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</row>
        <row r="1247">
          <cell r="B1247">
            <v>500006</v>
          </cell>
          <cell r="C1247" t="str">
            <v>HPP Unit.Variasi</v>
          </cell>
          <cell r="D1247" t="str">
            <v>September</v>
          </cell>
          <cell r="F1247">
            <v>500006</v>
          </cell>
          <cell r="G1247" t="str">
            <v>September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</row>
        <row r="1248">
          <cell r="B1248">
            <v>500006</v>
          </cell>
          <cell r="C1248" t="str">
            <v>HPP Unit.Variasi</v>
          </cell>
          <cell r="D1248" t="str">
            <v>Oktober</v>
          </cell>
          <cell r="F1248">
            <v>500006</v>
          </cell>
          <cell r="G1248" t="str">
            <v>Oktober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</row>
        <row r="1249">
          <cell r="B1249">
            <v>500006</v>
          </cell>
          <cell r="C1249" t="str">
            <v>HPP Unit.Variasi</v>
          </cell>
          <cell r="D1249" t="str">
            <v>November</v>
          </cell>
          <cell r="F1249">
            <v>500006</v>
          </cell>
          <cell r="G1249" t="str">
            <v>November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</row>
        <row r="1250">
          <cell r="B1250">
            <v>500006</v>
          </cell>
          <cell r="C1250" t="str">
            <v>HPP Unit.Variasi</v>
          </cell>
          <cell r="D1250" t="str">
            <v>Desember</v>
          </cell>
          <cell r="F1250">
            <v>500006</v>
          </cell>
          <cell r="G1250" t="str">
            <v>Desember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</row>
        <row r="1251">
          <cell r="B1251">
            <v>500007</v>
          </cell>
          <cell r="C1251" t="str">
            <v>HPP Unit.Ganti Oli</v>
          </cell>
          <cell r="E1251">
            <v>500.00700000000001</v>
          </cell>
          <cell r="F1251">
            <v>500007</v>
          </cell>
          <cell r="G1251" t="str">
            <v>HPP Unit.Ganti Oli</v>
          </cell>
          <cell r="H1251">
            <v>268708465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268708465</v>
          </cell>
          <cell r="AC1251">
            <v>0</v>
          </cell>
          <cell r="AD1251">
            <v>0</v>
          </cell>
          <cell r="AE1251">
            <v>0</v>
          </cell>
        </row>
        <row r="1252">
          <cell r="B1252">
            <v>500007</v>
          </cell>
          <cell r="C1252" t="str">
            <v>HPP Unit.Ganti Oli</v>
          </cell>
          <cell r="D1252" t="str">
            <v>Januari</v>
          </cell>
          <cell r="F1252">
            <v>500007</v>
          </cell>
          <cell r="G1252" t="str">
            <v>Januari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</row>
        <row r="1253">
          <cell r="B1253">
            <v>500007</v>
          </cell>
          <cell r="C1253" t="str">
            <v>HPP Unit.Ganti Oli</v>
          </cell>
          <cell r="D1253" t="str">
            <v>Februari</v>
          </cell>
          <cell r="F1253">
            <v>500007</v>
          </cell>
          <cell r="G1253" t="str">
            <v>Februari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</row>
        <row r="1254">
          <cell r="B1254">
            <v>500007</v>
          </cell>
          <cell r="C1254" t="str">
            <v>HPP Unit.Ganti Oli</v>
          </cell>
          <cell r="D1254" t="str">
            <v>Maret</v>
          </cell>
          <cell r="F1254">
            <v>500007</v>
          </cell>
          <cell r="G1254" t="str">
            <v>Maret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</row>
        <row r="1255">
          <cell r="B1255">
            <v>500007</v>
          </cell>
          <cell r="C1255" t="str">
            <v>HPP Unit.Ganti Oli</v>
          </cell>
          <cell r="D1255" t="str">
            <v>April</v>
          </cell>
          <cell r="F1255">
            <v>500007</v>
          </cell>
          <cell r="G1255" t="str">
            <v>April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</row>
        <row r="1256">
          <cell r="B1256">
            <v>500007</v>
          </cell>
          <cell r="C1256" t="str">
            <v>HPP Unit.Ganti Oli</v>
          </cell>
          <cell r="D1256" t="str">
            <v>Mei</v>
          </cell>
          <cell r="F1256">
            <v>500007</v>
          </cell>
          <cell r="G1256" t="str">
            <v>Mei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</row>
        <row r="1257">
          <cell r="B1257">
            <v>500007</v>
          </cell>
          <cell r="C1257" t="str">
            <v>HPP Unit.Ganti Oli</v>
          </cell>
          <cell r="D1257" t="str">
            <v>Juni</v>
          </cell>
          <cell r="F1257">
            <v>500007</v>
          </cell>
          <cell r="G1257" t="str">
            <v>Juni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</row>
        <row r="1258">
          <cell r="B1258">
            <v>500007</v>
          </cell>
          <cell r="C1258" t="str">
            <v>HPP Unit.Ganti Oli</v>
          </cell>
          <cell r="D1258" t="str">
            <v>Juli</v>
          </cell>
          <cell r="F1258">
            <v>500007</v>
          </cell>
          <cell r="G1258" t="str">
            <v>Juli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0</v>
          </cell>
          <cell r="AE1258">
            <v>0</v>
          </cell>
        </row>
        <row r="1259">
          <cell r="B1259">
            <v>500007</v>
          </cell>
          <cell r="C1259" t="str">
            <v>HPP Unit.Ganti Oli</v>
          </cell>
          <cell r="D1259" t="str">
            <v>Agustus</v>
          </cell>
          <cell r="F1259">
            <v>500007</v>
          </cell>
          <cell r="G1259" t="str">
            <v>Agustus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</row>
        <row r="1260">
          <cell r="B1260">
            <v>500007</v>
          </cell>
          <cell r="C1260" t="str">
            <v>HPP Unit.Ganti Oli</v>
          </cell>
          <cell r="D1260" t="str">
            <v>September</v>
          </cell>
          <cell r="F1260">
            <v>500007</v>
          </cell>
          <cell r="G1260" t="str">
            <v>September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</row>
        <row r="1261">
          <cell r="B1261">
            <v>500007</v>
          </cell>
          <cell r="C1261" t="str">
            <v>HPP Unit.Ganti Oli</v>
          </cell>
          <cell r="D1261" t="str">
            <v>Oktober</v>
          </cell>
          <cell r="F1261">
            <v>500007</v>
          </cell>
          <cell r="G1261" t="str">
            <v>Oktober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0</v>
          </cell>
          <cell r="AE1261">
            <v>0</v>
          </cell>
        </row>
        <row r="1262">
          <cell r="B1262">
            <v>500007</v>
          </cell>
          <cell r="C1262" t="str">
            <v>HPP Unit.Ganti Oli</v>
          </cell>
          <cell r="D1262" t="str">
            <v>November</v>
          </cell>
          <cell r="F1262">
            <v>500007</v>
          </cell>
          <cell r="G1262" t="str">
            <v>November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0</v>
          </cell>
          <cell r="AE1262">
            <v>0</v>
          </cell>
        </row>
        <row r="1263">
          <cell r="B1263">
            <v>500007</v>
          </cell>
          <cell r="C1263" t="str">
            <v>HPP Unit.Ganti Oli</v>
          </cell>
          <cell r="D1263" t="str">
            <v>Desember</v>
          </cell>
          <cell r="F1263">
            <v>500007</v>
          </cell>
          <cell r="G1263" t="str">
            <v>Desember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</row>
        <row r="1264">
          <cell r="B1264">
            <v>500008</v>
          </cell>
          <cell r="C1264" t="str">
            <v>HPP Unit.Cucian</v>
          </cell>
          <cell r="E1264">
            <v>500.00799999999998</v>
          </cell>
          <cell r="F1264">
            <v>500008</v>
          </cell>
          <cell r="G1264" t="str">
            <v>HPP Unit.Cucian</v>
          </cell>
          <cell r="H1264">
            <v>332000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332000</v>
          </cell>
          <cell r="AC1264">
            <v>0</v>
          </cell>
          <cell r="AD1264">
            <v>0</v>
          </cell>
          <cell r="AE1264">
            <v>0</v>
          </cell>
        </row>
        <row r="1265">
          <cell r="B1265">
            <v>500008</v>
          </cell>
          <cell r="C1265" t="str">
            <v>HPP Unit.Cucian</v>
          </cell>
          <cell r="D1265" t="str">
            <v>Januari</v>
          </cell>
          <cell r="F1265">
            <v>500008</v>
          </cell>
          <cell r="G1265" t="str">
            <v>Januari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0</v>
          </cell>
          <cell r="AE1265">
            <v>0</v>
          </cell>
        </row>
        <row r="1266">
          <cell r="B1266">
            <v>500008</v>
          </cell>
          <cell r="C1266" t="str">
            <v>HPP Unit.Cucian</v>
          </cell>
          <cell r="D1266" t="str">
            <v>Februari</v>
          </cell>
          <cell r="F1266">
            <v>500008</v>
          </cell>
          <cell r="G1266" t="str">
            <v>Februari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0</v>
          </cell>
          <cell r="AE1266">
            <v>0</v>
          </cell>
        </row>
        <row r="1267">
          <cell r="B1267">
            <v>500008</v>
          </cell>
          <cell r="C1267" t="str">
            <v>HPP Unit.Cucian</v>
          </cell>
          <cell r="D1267" t="str">
            <v>Maret</v>
          </cell>
          <cell r="F1267">
            <v>500008</v>
          </cell>
          <cell r="G1267" t="str">
            <v>Maret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</row>
        <row r="1268">
          <cell r="B1268">
            <v>500008</v>
          </cell>
          <cell r="C1268" t="str">
            <v>HPP Unit.Cucian</v>
          </cell>
          <cell r="D1268" t="str">
            <v>April</v>
          </cell>
          <cell r="F1268">
            <v>500008</v>
          </cell>
          <cell r="G1268" t="str">
            <v>April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0</v>
          </cell>
          <cell r="AE1268">
            <v>0</v>
          </cell>
        </row>
        <row r="1269">
          <cell r="B1269">
            <v>500008</v>
          </cell>
          <cell r="C1269" t="str">
            <v>HPP Unit.Cucian</v>
          </cell>
          <cell r="D1269" t="str">
            <v>Mei</v>
          </cell>
          <cell r="F1269">
            <v>500008</v>
          </cell>
          <cell r="G1269" t="str">
            <v>Mei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0</v>
          </cell>
          <cell r="AE1269">
            <v>0</v>
          </cell>
        </row>
        <row r="1270">
          <cell r="B1270">
            <v>500008</v>
          </cell>
          <cell r="C1270" t="str">
            <v>HPP Unit.Cucian</v>
          </cell>
          <cell r="D1270" t="str">
            <v>Juni</v>
          </cell>
          <cell r="F1270">
            <v>500008</v>
          </cell>
          <cell r="G1270" t="str">
            <v>Juni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0</v>
          </cell>
          <cell r="AE1270">
            <v>0</v>
          </cell>
        </row>
        <row r="1271">
          <cell r="B1271">
            <v>500008</v>
          </cell>
          <cell r="C1271" t="str">
            <v>HPP Unit.Cucian</v>
          </cell>
          <cell r="D1271" t="str">
            <v>Juli</v>
          </cell>
          <cell r="F1271">
            <v>500008</v>
          </cell>
          <cell r="G1271" t="str">
            <v>Juli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</row>
        <row r="1272">
          <cell r="B1272">
            <v>500008</v>
          </cell>
          <cell r="C1272" t="str">
            <v>HPP Unit.Cucian</v>
          </cell>
          <cell r="D1272" t="str">
            <v>Agustus</v>
          </cell>
          <cell r="F1272">
            <v>500008</v>
          </cell>
          <cell r="G1272" t="str">
            <v>Agustus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</row>
        <row r="1273">
          <cell r="B1273">
            <v>500008</v>
          </cell>
          <cell r="C1273" t="str">
            <v>HPP Unit.Cucian</v>
          </cell>
          <cell r="D1273" t="str">
            <v>September</v>
          </cell>
          <cell r="F1273">
            <v>500008</v>
          </cell>
          <cell r="G1273" t="str">
            <v>September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</row>
        <row r="1274">
          <cell r="B1274">
            <v>500008</v>
          </cell>
          <cell r="C1274" t="str">
            <v>HPP Unit.Cucian</v>
          </cell>
          <cell r="D1274" t="str">
            <v>Oktober</v>
          </cell>
          <cell r="F1274">
            <v>500008</v>
          </cell>
          <cell r="G1274" t="str">
            <v>Oktober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</row>
        <row r="1275">
          <cell r="B1275">
            <v>500008</v>
          </cell>
          <cell r="C1275" t="str">
            <v>HPP Unit.Cucian</v>
          </cell>
          <cell r="D1275" t="str">
            <v>November</v>
          </cell>
          <cell r="F1275">
            <v>500008</v>
          </cell>
          <cell r="G1275" t="str">
            <v>November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</row>
        <row r="1276">
          <cell r="B1276">
            <v>500008</v>
          </cell>
          <cell r="C1276" t="str">
            <v>HPP Unit.Cucian</v>
          </cell>
          <cell r="D1276" t="str">
            <v>Desember</v>
          </cell>
          <cell r="F1276">
            <v>500008</v>
          </cell>
          <cell r="G1276" t="str">
            <v>Desember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</row>
        <row r="1277">
          <cell r="B1277">
            <v>500009</v>
          </cell>
          <cell r="C1277" t="str">
            <v>HPP Unit.Salon</v>
          </cell>
          <cell r="E1277">
            <v>500.00900000000001</v>
          </cell>
          <cell r="F1277">
            <v>500009</v>
          </cell>
          <cell r="G1277" t="str">
            <v>HPP Unit.Salon</v>
          </cell>
          <cell r="H1277">
            <v>27174576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27174576</v>
          </cell>
          <cell r="AC1277">
            <v>0</v>
          </cell>
          <cell r="AD1277">
            <v>0</v>
          </cell>
          <cell r="AE1277">
            <v>0</v>
          </cell>
        </row>
        <row r="1278">
          <cell r="B1278">
            <v>500009</v>
          </cell>
          <cell r="C1278" t="str">
            <v>HPP Unit.Salon</v>
          </cell>
          <cell r="D1278" t="str">
            <v>Januari</v>
          </cell>
          <cell r="E1278" t="str">
            <v/>
          </cell>
          <cell r="F1278">
            <v>500009</v>
          </cell>
          <cell r="G1278" t="str">
            <v>Januari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</row>
        <row r="1279">
          <cell r="B1279">
            <v>500009</v>
          </cell>
          <cell r="C1279" t="str">
            <v>HPP Unit.Salon</v>
          </cell>
          <cell r="D1279" t="str">
            <v>Februari</v>
          </cell>
          <cell r="F1279">
            <v>500009</v>
          </cell>
          <cell r="G1279" t="str">
            <v>Februari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</row>
        <row r="1280">
          <cell r="B1280">
            <v>500009</v>
          </cell>
          <cell r="C1280" t="str">
            <v>HPP Unit.Salon</v>
          </cell>
          <cell r="D1280" t="str">
            <v>Maret</v>
          </cell>
          <cell r="F1280">
            <v>500009</v>
          </cell>
          <cell r="G1280" t="str">
            <v>Maret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</row>
        <row r="1281">
          <cell r="B1281">
            <v>500009</v>
          </cell>
          <cell r="C1281" t="str">
            <v>HPP Unit.Salon</v>
          </cell>
          <cell r="D1281" t="str">
            <v>April</v>
          </cell>
          <cell r="F1281">
            <v>500009</v>
          </cell>
          <cell r="G1281" t="str">
            <v>April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</row>
        <row r="1282">
          <cell r="B1282">
            <v>500009</v>
          </cell>
          <cell r="C1282" t="str">
            <v>HPP Unit.Salon</v>
          </cell>
          <cell r="D1282" t="str">
            <v>Mei</v>
          </cell>
          <cell r="F1282">
            <v>500009</v>
          </cell>
          <cell r="G1282" t="str">
            <v>Mei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</row>
        <row r="1283">
          <cell r="B1283">
            <v>500009</v>
          </cell>
          <cell r="C1283" t="str">
            <v>HPP Unit.Salon</v>
          </cell>
          <cell r="D1283" t="str">
            <v>Juni</v>
          </cell>
          <cell r="F1283">
            <v>500009</v>
          </cell>
          <cell r="G1283" t="str">
            <v>Juni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</row>
        <row r="1284">
          <cell r="B1284">
            <v>500009</v>
          </cell>
          <cell r="C1284" t="str">
            <v>HPP Unit.Salon</v>
          </cell>
          <cell r="D1284" t="str">
            <v>Juli</v>
          </cell>
          <cell r="F1284">
            <v>500009</v>
          </cell>
          <cell r="G1284" t="str">
            <v>Juli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</row>
        <row r="1285">
          <cell r="B1285">
            <v>500009</v>
          </cell>
          <cell r="C1285" t="str">
            <v>HPP Unit.Salon</v>
          </cell>
          <cell r="D1285" t="str">
            <v>Agustus</v>
          </cell>
          <cell r="F1285">
            <v>500009</v>
          </cell>
          <cell r="G1285" t="str">
            <v>Agustus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</row>
        <row r="1286">
          <cell r="B1286">
            <v>500009</v>
          </cell>
          <cell r="C1286" t="str">
            <v>HPP Unit.Salon</v>
          </cell>
          <cell r="D1286" t="str">
            <v>September</v>
          </cell>
          <cell r="F1286">
            <v>500009</v>
          </cell>
          <cell r="G1286" t="str">
            <v>September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</row>
        <row r="1287">
          <cell r="B1287">
            <v>500009</v>
          </cell>
          <cell r="C1287" t="str">
            <v>HPP Unit.Salon</v>
          </cell>
          <cell r="D1287" t="str">
            <v>Oktober</v>
          </cell>
          <cell r="F1287">
            <v>500009</v>
          </cell>
          <cell r="G1287" t="str">
            <v>Oktober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</row>
        <row r="1288">
          <cell r="B1288">
            <v>500009</v>
          </cell>
          <cell r="C1288" t="str">
            <v>HPP Unit.Salon</v>
          </cell>
          <cell r="D1288" t="str">
            <v>November</v>
          </cell>
          <cell r="F1288">
            <v>500009</v>
          </cell>
          <cell r="G1288" t="str">
            <v>November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</row>
        <row r="1289">
          <cell r="B1289">
            <v>500009</v>
          </cell>
          <cell r="C1289" t="str">
            <v>HPP Unit.Salon</v>
          </cell>
          <cell r="D1289" t="str">
            <v>Desember</v>
          </cell>
          <cell r="F1289">
            <v>500009</v>
          </cell>
          <cell r="G1289" t="str">
            <v>Desember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</row>
        <row r="1290">
          <cell r="B1290">
            <v>500009</v>
          </cell>
          <cell r="F1290">
            <v>500009</v>
          </cell>
          <cell r="H1290">
            <v>0</v>
          </cell>
          <cell r="I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</row>
        <row r="1291">
          <cell r="B1291">
            <v>604000</v>
          </cell>
          <cell r="C1291" t="str">
            <v>Beban Usaha Toko</v>
          </cell>
          <cell r="E1291">
            <v>604</v>
          </cell>
          <cell r="F1291">
            <v>604000</v>
          </cell>
          <cell r="G1291" t="str">
            <v>Beban Usaha Toko</v>
          </cell>
          <cell r="H1291">
            <v>0</v>
          </cell>
          <cell r="I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</row>
        <row r="1292">
          <cell r="B1292">
            <v>604001</v>
          </cell>
          <cell r="C1292" t="str">
            <v>Gaji</v>
          </cell>
          <cell r="E1292">
            <v>604.00099999999998</v>
          </cell>
          <cell r="F1292">
            <v>604001</v>
          </cell>
          <cell r="G1292" t="str">
            <v>Gaji</v>
          </cell>
          <cell r="H1292">
            <v>16425000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16425000</v>
          </cell>
          <cell r="AC1292">
            <v>0</v>
          </cell>
          <cell r="AD1292">
            <v>0</v>
          </cell>
          <cell r="AE1292">
            <v>0</v>
          </cell>
        </row>
        <row r="1293">
          <cell r="B1293">
            <v>604001</v>
          </cell>
          <cell r="C1293" t="str">
            <v>Gaji</v>
          </cell>
          <cell r="D1293" t="str">
            <v>Januari</v>
          </cell>
          <cell r="F1293">
            <v>604001</v>
          </cell>
          <cell r="G1293" t="str">
            <v>Januari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</row>
        <row r="1294">
          <cell r="B1294">
            <v>604001</v>
          </cell>
          <cell r="C1294" t="str">
            <v>Gaji</v>
          </cell>
          <cell r="D1294" t="str">
            <v>Februari</v>
          </cell>
          <cell r="F1294">
            <v>604001</v>
          </cell>
          <cell r="G1294" t="str">
            <v>Februari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</row>
        <row r="1295">
          <cell r="B1295">
            <v>604001</v>
          </cell>
          <cell r="C1295" t="str">
            <v>Gaji</v>
          </cell>
          <cell r="D1295" t="str">
            <v>Maret</v>
          </cell>
          <cell r="F1295">
            <v>604001</v>
          </cell>
          <cell r="G1295" t="str">
            <v>Maret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</row>
        <row r="1296">
          <cell r="B1296">
            <v>604001</v>
          </cell>
          <cell r="C1296" t="str">
            <v>Gaji</v>
          </cell>
          <cell r="D1296" t="str">
            <v>April</v>
          </cell>
          <cell r="F1296">
            <v>604001</v>
          </cell>
          <cell r="G1296" t="str">
            <v>April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</row>
        <row r="1297">
          <cell r="B1297">
            <v>604001</v>
          </cell>
          <cell r="C1297" t="str">
            <v>Gaji</v>
          </cell>
          <cell r="D1297" t="str">
            <v>Mei</v>
          </cell>
          <cell r="F1297">
            <v>604001</v>
          </cell>
          <cell r="G1297" t="str">
            <v>Mei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</row>
        <row r="1298">
          <cell r="B1298">
            <v>604001</v>
          </cell>
          <cell r="C1298" t="str">
            <v>Gaji</v>
          </cell>
          <cell r="D1298" t="str">
            <v>Juni</v>
          </cell>
          <cell r="F1298">
            <v>604001</v>
          </cell>
          <cell r="G1298" t="str">
            <v>Juni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</row>
        <row r="1299">
          <cell r="B1299">
            <v>604001</v>
          </cell>
          <cell r="C1299" t="str">
            <v>Gaji</v>
          </cell>
          <cell r="D1299" t="str">
            <v>Juli</v>
          </cell>
          <cell r="F1299">
            <v>604001</v>
          </cell>
          <cell r="G1299" t="str">
            <v>Juli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</row>
        <row r="1300">
          <cell r="B1300">
            <v>604001</v>
          </cell>
          <cell r="C1300" t="str">
            <v>Gaji</v>
          </cell>
          <cell r="D1300" t="str">
            <v>Agustus</v>
          </cell>
          <cell r="F1300">
            <v>604001</v>
          </cell>
          <cell r="G1300" t="str">
            <v>Agustus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</row>
        <row r="1301">
          <cell r="B1301">
            <v>604001</v>
          </cell>
          <cell r="C1301" t="str">
            <v>Gaji</v>
          </cell>
          <cell r="D1301" t="str">
            <v>September</v>
          </cell>
          <cell r="F1301">
            <v>604001</v>
          </cell>
          <cell r="G1301" t="str">
            <v>September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</row>
        <row r="1302">
          <cell r="B1302">
            <v>604001</v>
          </cell>
          <cell r="C1302" t="str">
            <v>Gaji</v>
          </cell>
          <cell r="D1302" t="str">
            <v>Oktober</v>
          </cell>
          <cell r="F1302">
            <v>604001</v>
          </cell>
          <cell r="G1302" t="str">
            <v>Oktober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0</v>
          </cell>
          <cell r="AD1302">
            <v>0</v>
          </cell>
          <cell r="AE1302">
            <v>0</v>
          </cell>
        </row>
        <row r="1303">
          <cell r="B1303">
            <v>604001</v>
          </cell>
          <cell r="C1303" t="str">
            <v>Gaji</v>
          </cell>
          <cell r="D1303" t="str">
            <v>November</v>
          </cell>
          <cell r="F1303">
            <v>604001</v>
          </cell>
          <cell r="G1303" t="str">
            <v>November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</row>
        <row r="1304">
          <cell r="B1304">
            <v>604001</v>
          </cell>
          <cell r="C1304" t="str">
            <v>Gaji</v>
          </cell>
          <cell r="D1304" t="str">
            <v>Desember</v>
          </cell>
          <cell r="F1304">
            <v>604001</v>
          </cell>
          <cell r="G1304" t="str">
            <v>Desember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</row>
        <row r="1305">
          <cell r="B1305">
            <v>604002</v>
          </cell>
          <cell r="C1305" t="str">
            <v>Tunjangan makan</v>
          </cell>
          <cell r="E1305">
            <v>604.00199999999995</v>
          </cell>
          <cell r="F1305">
            <v>604002</v>
          </cell>
          <cell r="G1305" t="str">
            <v>Tunjangan makan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0</v>
          </cell>
          <cell r="AC1305">
            <v>0</v>
          </cell>
          <cell r="AD1305">
            <v>0</v>
          </cell>
          <cell r="AE1305">
            <v>0</v>
          </cell>
        </row>
        <row r="1306">
          <cell r="B1306">
            <v>604002</v>
          </cell>
          <cell r="C1306" t="str">
            <v>Tunjangan makan</v>
          </cell>
          <cell r="F1306">
            <v>604002</v>
          </cell>
          <cell r="G1306" t="str">
            <v>Januari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</row>
        <row r="1307">
          <cell r="B1307">
            <v>604002</v>
          </cell>
          <cell r="C1307" t="str">
            <v>Tunjangan makan</v>
          </cell>
          <cell r="D1307" t="str">
            <v>Januari</v>
          </cell>
          <cell r="F1307">
            <v>604002</v>
          </cell>
          <cell r="G1307" t="str">
            <v>Februari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</row>
        <row r="1308">
          <cell r="B1308">
            <v>604002</v>
          </cell>
          <cell r="C1308" t="str">
            <v>Tunjangan makan</v>
          </cell>
          <cell r="D1308" t="str">
            <v>Februari</v>
          </cell>
          <cell r="F1308">
            <v>604002</v>
          </cell>
          <cell r="G1308" t="str">
            <v>Maret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</row>
        <row r="1309">
          <cell r="B1309">
            <v>604002</v>
          </cell>
          <cell r="C1309" t="str">
            <v>Tunjangan makan</v>
          </cell>
          <cell r="D1309" t="str">
            <v>Maret</v>
          </cell>
          <cell r="F1309">
            <v>604002</v>
          </cell>
          <cell r="G1309" t="str">
            <v>April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0</v>
          </cell>
          <cell r="AC1309">
            <v>0</v>
          </cell>
          <cell r="AD1309">
            <v>0</v>
          </cell>
          <cell r="AE1309">
            <v>0</v>
          </cell>
        </row>
        <row r="1310">
          <cell r="B1310">
            <v>604002</v>
          </cell>
          <cell r="C1310" t="str">
            <v>Tunjangan makan</v>
          </cell>
          <cell r="D1310" t="str">
            <v>April</v>
          </cell>
          <cell r="F1310">
            <v>604002</v>
          </cell>
          <cell r="G1310" t="str">
            <v>Mei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0</v>
          </cell>
          <cell r="AC1310">
            <v>0</v>
          </cell>
          <cell r="AD1310">
            <v>0</v>
          </cell>
          <cell r="AE1310">
            <v>0</v>
          </cell>
        </row>
        <row r="1311">
          <cell r="B1311">
            <v>604002</v>
          </cell>
          <cell r="C1311" t="str">
            <v>Tunjangan makan</v>
          </cell>
          <cell r="D1311" t="str">
            <v>Mei</v>
          </cell>
          <cell r="F1311">
            <v>604002</v>
          </cell>
          <cell r="G1311" t="str">
            <v>Juni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</row>
        <row r="1312">
          <cell r="B1312">
            <v>604002</v>
          </cell>
          <cell r="C1312" t="str">
            <v>Tunjangan makan</v>
          </cell>
          <cell r="D1312" t="str">
            <v>Juni</v>
          </cell>
          <cell r="F1312">
            <v>604002</v>
          </cell>
          <cell r="G1312" t="str">
            <v>Juli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</row>
        <row r="1313">
          <cell r="B1313">
            <v>604002</v>
          </cell>
          <cell r="C1313" t="str">
            <v>Tunjangan makan</v>
          </cell>
          <cell r="D1313" t="str">
            <v>Juli</v>
          </cell>
          <cell r="F1313">
            <v>604002</v>
          </cell>
          <cell r="G1313" t="str">
            <v>Agustus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</row>
        <row r="1314">
          <cell r="B1314">
            <v>604002</v>
          </cell>
          <cell r="C1314" t="str">
            <v>Tunjangan makan</v>
          </cell>
          <cell r="D1314" t="str">
            <v>Agustus</v>
          </cell>
          <cell r="F1314">
            <v>604002</v>
          </cell>
          <cell r="G1314" t="str">
            <v>September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0</v>
          </cell>
          <cell r="AC1314">
            <v>0</v>
          </cell>
          <cell r="AD1314">
            <v>0</v>
          </cell>
          <cell r="AE1314">
            <v>0</v>
          </cell>
        </row>
        <row r="1315">
          <cell r="B1315">
            <v>604002</v>
          </cell>
          <cell r="C1315" t="str">
            <v>Tunjangan makan</v>
          </cell>
          <cell r="D1315" t="str">
            <v>September</v>
          </cell>
          <cell r="F1315">
            <v>604002</v>
          </cell>
          <cell r="G1315" t="str">
            <v>Oktober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0</v>
          </cell>
          <cell r="AC1315">
            <v>0</v>
          </cell>
          <cell r="AD1315">
            <v>0</v>
          </cell>
          <cell r="AE1315">
            <v>0</v>
          </cell>
        </row>
        <row r="1316">
          <cell r="B1316">
            <v>604002</v>
          </cell>
          <cell r="C1316" t="str">
            <v>Tunjangan makan</v>
          </cell>
          <cell r="D1316" t="str">
            <v>Oktober</v>
          </cell>
          <cell r="F1316">
            <v>604002</v>
          </cell>
          <cell r="G1316" t="str">
            <v>November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0</v>
          </cell>
          <cell r="AC1316">
            <v>0</v>
          </cell>
          <cell r="AD1316">
            <v>0</v>
          </cell>
          <cell r="AE1316">
            <v>0</v>
          </cell>
        </row>
        <row r="1317">
          <cell r="B1317">
            <v>604002</v>
          </cell>
          <cell r="C1317" t="str">
            <v>Tunjangan makan</v>
          </cell>
          <cell r="D1317" t="str">
            <v>November</v>
          </cell>
          <cell r="F1317">
            <v>604002</v>
          </cell>
          <cell r="G1317" t="str">
            <v>Desember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</row>
        <row r="1318">
          <cell r="B1318">
            <v>604003</v>
          </cell>
          <cell r="C1318" t="str">
            <v>Lembur</v>
          </cell>
          <cell r="E1318">
            <v>604.00300000000004</v>
          </cell>
          <cell r="F1318">
            <v>604003</v>
          </cell>
          <cell r="G1318" t="str">
            <v>Lembur</v>
          </cell>
          <cell r="H1318">
            <v>2348412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2348412</v>
          </cell>
          <cell r="AC1318">
            <v>0</v>
          </cell>
          <cell r="AD1318">
            <v>0</v>
          </cell>
          <cell r="AE1318">
            <v>0</v>
          </cell>
        </row>
        <row r="1319">
          <cell r="B1319">
            <v>604003</v>
          </cell>
          <cell r="C1319" t="str">
            <v>Lembur</v>
          </cell>
          <cell r="D1319" t="str">
            <v>Januari</v>
          </cell>
          <cell r="F1319">
            <v>604003</v>
          </cell>
          <cell r="G1319" t="str">
            <v>Januari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</row>
        <row r="1320">
          <cell r="B1320">
            <v>604003</v>
          </cell>
          <cell r="C1320" t="str">
            <v>Lembur</v>
          </cell>
          <cell r="D1320" t="str">
            <v>Februari</v>
          </cell>
          <cell r="F1320">
            <v>604003</v>
          </cell>
          <cell r="G1320" t="str">
            <v>Februari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</row>
        <row r="1321">
          <cell r="B1321">
            <v>604003</v>
          </cell>
          <cell r="C1321" t="str">
            <v>Lembur</v>
          </cell>
          <cell r="D1321" t="str">
            <v>Maret</v>
          </cell>
          <cell r="F1321">
            <v>604003</v>
          </cell>
          <cell r="G1321" t="str">
            <v>Maret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</row>
        <row r="1322">
          <cell r="B1322">
            <v>604003</v>
          </cell>
          <cell r="C1322" t="str">
            <v>Lembur</v>
          </cell>
          <cell r="D1322" t="str">
            <v>April</v>
          </cell>
          <cell r="F1322">
            <v>604003</v>
          </cell>
          <cell r="G1322" t="str">
            <v>April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</row>
        <row r="1323">
          <cell r="B1323">
            <v>604003</v>
          </cell>
          <cell r="C1323" t="str">
            <v>Lembur</v>
          </cell>
          <cell r="D1323" t="str">
            <v>Mei</v>
          </cell>
          <cell r="F1323">
            <v>604003</v>
          </cell>
          <cell r="G1323" t="str">
            <v>Mei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</row>
        <row r="1324">
          <cell r="B1324">
            <v>604003</v>
          </cell>
          <cell r="C1324" t="str">
            <v>Lembur</v>
          </cell>
          <cell r="D1324" t="str">
            <v>Juni</v>
          </cell>
          <cell r="F1324">
            <v>604003</v>
          </cell>
          <cell r="G1324" t="str">
            <v>Juni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</row>
        <row r="1325">
          <cell r="B1325">
            <v>604003</v>
          </cell>
          <cell r="C1325" t="str">
            <v>Lembur</v>
          </cell>
          <cell r="D1325" t="str">
            <v>Juli</v>
          </cell>
          <cell r="F1325">
            <v>604003</v>
          </cell>
          <cell r="G1325" t="str">
            <v>Juli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</row>
        <row r="1326">
          <cell r="B1326">
            <v>604003</v>
          </cell>
          <cell r="C1326" t="str">
            <v>Lembur</v>
          </cell>
          <cell r="D1326" t="str">
            <v>Agustus</v>
          </cell>
          <cell r="F1326">
            <v>604003</v>
          </cell>
          <cell r="G1326" t="str">
            <v>Agustus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</row>
        <row r="1327">
          <cell r="B1327">
            <v>604003</v>
          </cell>
          <cell r="C1327" t="str">
            <v>Lembur</v>
          </cell>
          <cell r="D1327" t="str">
            <v>September</v>
          </cell>
          <cell r="F1327">
            <v>604003</v>
          </cell>
          <cell r="G1327" t="str">
            <v>September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</row>
        <row r="1328">
          <cell r="B1328">
            <v>604003</v>
          </cell>
          <cell r="C1328" t="str">
            <v>Lembur</v>
          </cell>
          <cell r="D1328" t="str">
            <v>Oktober</v>
          </cell>
          <cell r="F1328">
            <v>604003</v>
          </cell>
          <cell r="G1328" t="str">
            <v>Oktober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</row>
        <row r="1329">
          <cell r="B1329">
            <v>604003</v>
          </cell>
          <cell r="C1329" t="str">
            <v>Lembur</v>
          </cell>
          <cell r="D1329" t="str">
            <v>November</v>
          </cell>
          <cell r="F1329">
            <v>604003</v>
          </cell>
          <cell r="G1329" t="str">
            <v>November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</row>
        <row r="1330">
          <cell r="B1330">
            <v>604003</v>
          </cell>
          <cell r="C1330" t="str">
            <v>Lembur</v>
          </cell>
          <cell r="D1330" t="str">
            <v>Desember</v>
          </cell>
          <cell r="F1330">
            <v>604003</v>
          </cell>
          <cell r="G1330" t="str">
            <v>Desember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</row>
        <row r="1331">
          <cell r="B1331">
            <v>604004</v>
          </cell>
          <cell r="C1331" t="str">
            <v>THR</v>
          </cell>
          <cell r="E1331">
            <v>604.00400000000002</v>
          </cell>
          <cell r="F1331">
            <v>604004</v>
          </cell>
          <cell r="G1331" t="str">
            <v>THR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</row>
        <row r="1332">
          <cell r="B1332">
            <v>604004</v>
          </cell>
          <cell r="C1332" t="str">
            <v>THR</v>
          </cell>
          <cell r="D1332" t="str">
            <v>Januari</v>
          </cell>
          <cell r="F1332">
            <v>604004</v>
          </cell>
          <cell r="G1332" t="str">
            <v>Januari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</row>
        <row r="1333">
          <cell r="B1333">
            <v>604004</v>
          </cell>
          <cell r="C1333" t="str">
            <v>THR</v>
          </cell>
          <cell r="D1333" t="str">
            <v>Februari</v>
          </cell>
          <cell r="F1333">
            <v>604004</v>
          </cell>
          <cell r="G1333" t="str">
            <v>Februari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</row>
        <row r="1334">
          <cell r="B1334">
            <v>604004</v>
          </cell>
          <cell r="C1334" t="str">
            <v>THR</v>
          </cell>
          <cell r="D1334" t="str">
            <v>Maret</v>
          </cell>
          <cell r="F1334">
            <v>604004</v>
          </cell>
          <cell r="G1334" t="str">
            <v>Maret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</row>
        <row r="1335">
          <cell r="B1335">
            <v>604004</v>
          </cell>
          <cell r="C1335" t="str">
            <v>THR</v>
          </cell>
          <cell r="D1335" t="str">
            <v>April</v>
          </cell>
          <cell r="F1335">
            <v>604004</v>
          </cell>
          <cell r="G1335" t="str">
            <v>April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</row>
        <row r="1336">
          <cell r="B1336">
            <v>604004</v>
          </cell>
          <cell r="C1336" t="str">
            <v>THR</v>
          </cell>
          <cell r="D1336" t="str">
            <v>Mei</v>
          </cell>
          <cell r="F1336">
            <v>604004</v>
          </cell>
          <cell r="G1336" t="str">
            <v>Mei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</row>
        <row r="1337">
          <cell r="B1337">
            <v>604004</v>
          </cell>
          <cell r="C1337" t="str">
            <v>THR</v>
          </cell>
          <cell r="D1337" t="str">
            <v>Juni</v>
          </cell>
          <cell r="F1337">
            <v>604004</v>
          </cell>
          <cell r="G1337" t="str">
            <v>Juni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</row>
        <row r="1338">
          <cell r="B1338">
            <v>604004</v>
          </cell>
          <cell r="C1338" t="str">
            <v>THR</v>
          </cell>
          <cell r="D1338" t="str">
            <v>Juli</v>
          </cell>
          <cell r="F1338">
            <v>604004</v>
          </cell>
          <cell r="G1338" t="str">
            <v>Juli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</row>
        <row r="1339">
          <cell r="B1339">
            <v>604004</v>
          </cell>
          <cell r="C1339" t="str">
            <v>THR</v>
          </cell>
          <cell r="D1339" t="str">
            <v>Agustus</v>
          </cell>
          <cell r="F1339">
            <v>604004</v>
          </cell>
          <cell r="G1339" t="str">
            <v>Agustus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</row>
        <row r="1340">
          <cell r="B1340">
            <v>604004</v>
          </cell>
          <cell r="C1340" t="str">
            <v>THR</v>
          </cell>
          <cell r="D1340" t="str">
            <v>September</v>
          </cell>
          <cell r="F1340">
            <v>604004</v>
          </cell>
          <cell r="G1340" t="str">
            <v>September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</row>
        <row r="1341">
          <cell r="B1341">
            <v>604004</v>
          </cell>
          <cell r="C1341" t="str">
            <v>THR</v>
          </cell>
          <cell r="D1341" t="str">
            <v>Oktober</v>
          </cell>
          <cell r="F1341">
            <v>604004</v>
          </cell>
          <cell r="G1341" t="str">
            <v>Oktober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</row>
        <row r="1342">
          <cell r="B1342">
            <v>604004</v>
          </cell>
          <cell r="C1342" t="str">
            <v>THR</v>
          </cell>
          <cell r="D1342" t="str">
            <v>November</v>
          </cell>
          <cell r="F1342">
            <v>604004</v>
          </cell>
          <cell r="G1342" t="str">
            <v>November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</row>
        <row r="1343">
          <cell r="B1343">
            <v>604004</v>
          </cell>
          <cell r="C1343" t="str">
            <v>THR</v>
          </cell>
          <cell r="D1343" t="str">
            <v>Desember</v>
          </cell>
          <cell r="F1343">
            <v>604004</v>
          </cell>
          <cell r="G1343" t="str">
            <v>Desember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</row>
        <row r="1344">
          <cell r="B1344">
            <v>604005</v>
          </cell>
          <cell r="C1344" t="str">
            <v>Astek</v>
          </cell>
          <cell r="E1344">
            <v>604.005</v>
          </cell>
          <cell r="F1344">
            <v>604005</v>
          </cell>
          <cell r="G1344" t="str">
            <v>Astek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</row>
        <row r="1345">
          <cell r="B1345">
            <v>604005</v>
          </cell>
          <cell r="C1345" t="str">
            <v>Astek</v>
          </cell>
          <cell r="D1345" t="str">
            <v>Januari</v>
          </cell>
          <cell r="F1345">
            <v>604005</v>
          </cell>
          <cell r="G1345" t="str">
            <v>Januari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0</v>
          </cell>
          <cell r="AC1345">
            <v>0</v>
          </cell>
          <cell r="AD1345">
            <v>0</v>
          </cell>
          <cell r="AE1345">
            <v>0</v>
          </cell>
        </row>
        <row r="1346">
          <cell r="B1346">
            <v>604005</v>
          </cell>
          <cell r="C1346" t="str">
            <v>Astek</v>
          </cell>
          <cell r="D1346" t="str">
            <v>Februari</v>
          </cell>
          <cell r="F1346">
            <v>604005</v>
          </cell>
          <cell r="G1346" t="str">
            <v>Februari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0</v>
          </cell>
          <cell r="AC1346">
            <v>0</v>
          </cell>
          <cell r="AD1346">
            <v>0</v>
          </cell>
          <cell r="AE1346">
            <v>0</v>
          </cell>
        </row>
        <row r="1347">
          <cell r="B1347">
            <v>604005</v>
          </cell>
          <cell r="C1347" t="str">
            <v>Astek</v>
          </cell>
          <cell r="D1347" t="str">
            <v>Maret</v>
          </cell>
          <cell r="F1347">
            <v>604005</v>
          </cell>
          <cell r="G1347" t="str">
            <v>Maret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</row>
        <row r="1348">
          <cell r="B1348">
            <v>604005</v>
          </cell>
          <cell r="C1348" t="str">
            <v>Astek</v>
          </cell>
          <cell r="D1348" t="str">
            <v>April</v>
          </cell>
          <cell r="F1348">
            <v>604005</v>
          </cell>
          <cell r="G1348" t="str">
            <v>April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0</v>
          </cell>
          <cell r="AA1348">
            <v>0</v>
          </cell>
          <cell r="AB1348">
            <v>0</v>
          </cell>
          <cell r="AC1348">
            <v>0</v>
          </cell>
          <cell r="AD1348">
            <v>0</v>
          </cell>
          <cell r="AE1348">
            <v>0</v>
          </cell>
        </row>
        <row r="1349">
          <cell r="B1349">
            <v>604005</v>
          </cell>
          <cell r="C1349" t="str">
            <v>Astek</v>
          </cell>
          <cell r="D1349" t="str">
            <v>Mei</v>
          </cell>
          <cell r="F1349">
            <v>604005</v>
          </cell>
          <cell r="G1349" t="str">
            <v>Mei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0</v>
          </cell>
          <cell r="AC1349">
            <v>0</v>
          </cell>
          <cell r="AD1349">
            <v>0</v>
          </cell>
          <cell r="AE1349">
            <v>0</v>
          </cell>
        </row>
        <row r="1350">
          <cell r="B1350">
            <v>604005</v>
          </cell>
          <cell r="C1350" t="str">
            <v>Astek</v>
          </cell>
          <cell r="D1350" t="str">
            <v>Juni</v>
          </cell>
          <cell r="F1350">
            <v>604005</v>
          </cell>
          <cell r="G1350" t="str">
            <v>Juni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</row>
        <row r="1351">
          <cell r="B1351">
            <v>604005</v>
          </cell>
          <cell r="C1351" t="str">
            <v>Astek</v>
          </cell>
          <cell r="D1351" t="str">
            <v>Juli</v>
          </cell>
          <cell r="F1351">
            <v>604005</v>
          </cell>
          <cell r="G1351" t="str">
            <v>Juli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</row>
        <row r="1352">
          <cell r="B1352">
            <v>604005</v>
          </cell>
          <cell r="C1352" t="str">
            <v>Astek</v>
          </cell>
          <cell r="D1352" t="str">
            <v>Agustus</v>
          </cell>
          <cell r="F1352">
            <v>604005</v>
          </cell>
          <cell r="G1352" t="str">
            <v>Agustus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0</v>
          </cell>
          <cell r="AC1352">
            <v>0</v>
          </cell>
          <cell r="AD1352">
            <v>0</v>
          </cell>
          <cell r="AE1352">
            <v>0</v>
          </cell>
        </row>
        <row r="1353">
          <cell r="B1353">
            <v>604005</v>
          </cell>
          <cell r="C1353" t="str">
            <v>Astek</v>
          </cell>
          <cell r="D1353" t="str">
            <v>September</v>
          </cell>
          <cell r="F1353">
            <v>604005</v>
          </cell>
          <cell r="G1353" t="str">
            <v>September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0</v>
          </cell>
          <cell r="AC1353">
            <v>0</v>
          </cell>
          <cell r="AD1353">
            <v>0</v>
          </cell>
          <cell r="AE1353">
            <v>0</v>
          </cell>
        </row>
        <row r="1354">
          <cell r="B1354">
            <v>604005</v>
          </cell>
          <cell r="C1354" t="str">
            <v>Astek</v>
          </cell>
          <cell r="D1354" t="str">
            <v>Oktober</v>
          </cell>
          <cell r="F1354">
            <v>604005</v>
          </cell>
          <cell r="G1354" t="str">
            <v>Oktober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</row>
        <row r="1355">
          <cell r="B1355">
            <v>604005</v>
          </cell>
          <cell r="C1355" t="str">
            <v>Astek</v>
          </cell>
          <cell r="D1355" t="str">
            <v>November</v>
          </cell>
          <cell r="F1355">
            <v>604005</v>
          </cell>
          <cell r="G1355" t="str">
            <v>November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0</v>
          </cell>
          <cell r="AC1355">
            <v>0</v>
          </cell>
          <cell r="AD1355">
            <v>0</v>
          </cell>
          <cell r="AE1355">
            <v>0</v>
          </cell>
        </row>
        <row r="1356">
          <cell r="B1356">
            <v>604005</v>
          </cell>
          <cell r="C1356" t="str">
            <v>Astek</v>
          </cell>
          <cell r="D1356" t="str">
            <v>Desember</v>
          </cell>
          <cell r="F1356">
            <v>604005</v>
          </cell>
          <cell r="G1356" t="str">
            <v>Desember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</row>
        <row r="1357">
          <cell r="B1357">
            <v>604007</v>
          </cell>
          <cell r="C1357" t="str">
            <v>Telpon</v>
          </cell>
          <cell r="E1357">
            <v>604.00699999999995</v>
          </cell>
          <cell r="F1357">
            <v>604007</v>
          </cell>
          <cell r="G1357" t="str">
            <v>Telpon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0</v>
          </cell>
          <cell r="AC1357">
            <v>0</v>
          </cell>
          <cell r="AD1357">
            <v>0</v>
          </cell>
          <cell r="AE1357">
            <v>0</v>
          </cell>
        </row>
        <row r="1358">
          <cell r="B1358">
            <v>604007</v>
          </cell>
          <cell r="C1358" t="str">
            <v>Telpon</v>
          </cell>
          <cell r="D1358" t="str">
            <v>Januari</v>
          </cell>
          <cell r="F1358">
            <v>604007</v>
          </cell>
          <cell r="G1358" t="str">
            <v>Januari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</row>
        <row r="1359">
          <cell r="B1359">
            <v>604007</v>
          </cell>
          <cell r="C1359" t="str">
            <v>Telpon</v>
          </cell>
          <cell r="D1359" t="str">
            <v>Februari</v>
          </cell>
          <cell r="F1359">
            <v>604007</v>
          </cell>
          <cell r="G1359" t="str">
            <v>Februari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0</v>
          </cell>
          <cell r="AB1359">
            <v>0</v>
          </cell>
          <cell r="AC1359">
            <v>0</v>
          </cell>
          <cell r="AD1359">
            <v>0</v>
          </cell>
          <cell r="AE1359">
            <v>0</v>
          </cell>
        </row>
        <row r="1360">
          <cell r="B1360">
            <v>604007</v>
          </cell>
          <cell r="C1360" t="str">
            <v>Telpon</v>
          </cell>
          <cell r="D1360" t="str">
            <v>Maret</v>
          </cell>
          <cell r="F1360">
            <v>604007</v>
          </cell>
          <cell r="G1360" t="str">
            <v>Maret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</row>
        <row r="1361">
          <cell r="B1361">
            <v>604007</v>
          </cell>
          <cell r="C1361" t="str">
            <v>Telpon</v>
          </cell>
          <cell r="D1361" t="str">
            <v>April</v>
          </cell>
          <cell r="F1361">
            <v>604007</v>
          </cell>
          <cell r="G1361" t="str">
            <v>April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</row>
        <row r="1362">
          <cell r="B1362">
            <v>604007</v>
          </cell>
          <cell r="C1362" t="str">
            <v>Telpon</v>
          </cell>
          <cell r="D1362" t="str">
            <v>Mei</v>
          </cell>
          <cell r="F1362">
            <v>604007</v>
          </cell>
          <cell r="G1362" t="str">
            <v>Mei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0</v>
          </cell>
          <cell r="AB1362">
            <v>0</v>
          </cell>
          <cell r="AC1362">
            <v>0</v>
          </cell>
          <cell r="AD1362">
            <v>0</v>
          </cell>
          <cell r="AE1362">
            <v>0</v>
          </cell>
        </row>
        <row r="1363">
          <cell r="B1363">
            <v>604007</v>
          </cell>
          <cell r="C1363" t="str">
            <v>Telpon</v>
          </cell>
          <cell r="D1363" t="str">
            <v>Juni</v>
          </cell>
          <cell r="F1363">
            <v>604007</v>
          </cell>
          <cell r="G1363" t="str">
            <v>Juni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</row>
        <row r="1364">
          <cell r="B1364">
            <v>604007</v>
          </cell>
          <cell r="C1364" t="str">
            <v>Telpon</v>
          </cell>
          <cell r="D1364" t="str">
            <v>Juli</v>
          </cell>
          <cell r="F1364">
            <v>604007</v>
          </cell>
          <cell r="G1364" t="str">
            <v>Juli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</row>
        <row r="1365">
          <cell r="B1365">
            <v>604007</v>
          </cell>
          <cell r="C1365" t="str">
            <v>Telpon</v>
          </cell>
          <cell r="D1365" t="str">
            <v>Agustus</v>
          </cell>
          <cell r="F1365">
            <v>604007</v>
          </cell>
          <cell r="G1365" t="str">
            <v>Agustus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0</v>
          </cell>
          <cell r="AE1365">
            <v>0</v>
          </cell>
        </row>
        <row r="1366">
          <cell r="B1366">
            <v>604007</v>
          </cell>
          <cell r="C1366" t="str">
            <v>Telpon</v>
          </cell>
          <cell r="D1366" t="str">
            <v>September</v>
          </cell>
          <cell r="F1366">
            <v>604007</v>
          </cell>
          <cell r="G1366" t="str">
            <v>September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</row>
        <row r="1367">
          <cell r="B1367">
            <v>604007</v>
          </cell>
          <cell r="C1367" t="str">
            <v>Telpon</v>
          </cell>
          <cell r="D1367" t="str">
            <v>Oktober</v>
          </cell>
          <cell r="F1367">
            <v>604007</v>
          </cell>
          <cell r="G1367" t="str">
            <v>Oktober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</row>
        <row r="1368">
          <cell r="B1368">
            <v>604007</v>
          </cell>
          <cell r="C1368" t="str">
            <v>Telpon</v>
          </cell>
          <cell r="D1368" t="str">
            <v>November</v>
          </cell>
          <cell r="F1368">
            <v>604007</v>
          </cell>
          <cell r="G1368" t="str">
            <v>November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0</v>
          </cell>
          <cell r="AB1368">
            <v>0</v>
          </cell>
          <cell r="AC1368">
            <v>0</v>
          </cell>
          <cell r="AD1368">
            <v>0</v>
          </cell>
          <cell r="AE1368">
            <v>0</v>
          </cell>
        </row>
        <row r="1369">
          <cell r="B1369">
            <v>604007</v>
          </cell>
          <cell r="C1369" t="str">
            <v>Telpon</v>
          </cell>
          <cell r="D1369" t="str">
            <v>Desember</v>
          </cell>
          <cell r="F1369">
            <v>604007</v>
          </cell>
          <cell r="G1369" t="str">
            <v>Desember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</row>
        <row r="1370">
          <cell r="B1370">
            <v>604008</v>
          </cell>
          <cell r="C1370" t="str">
            <v>Listrik</v>
          </cell>
          <cell r="E1370">
            <v>604.00800000000004</v>
          </cell>
          <cell r="F1370">
            <v>604008</v>
          </cell>
          <cell r="G1370" t="str">
            <v>Listrik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0</v>
          </cell>
          <cell r="AC1370">
            <v>0</v>
          </cell>
          <cell r="AD1370">
            <v>0</v>
          </cell>
          <cell r="AE1370">
            <v>0</v>
          </cell>
        </row>
        <row r="1371">
          <cell r="B1371">
            <v>604008</v>
          </cell>
          <cell r="C1371" t="str">
            <v>Listrik</v>
          </cell>
          <cell r="D1371" t="str">
            <v>Januari</v>
          </cell>
          <cell r="F1371">
            <v>604008</v>
          </cell>
          <cell r="G1371" t="str">
            <v>Januari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</row>
        <row r="1372">
          <cell r="B1372">
            <v>604008</v>
          </cell>
          <cell r="C1372" t="str">
            <v>Listrik</v>
          </cell>
          <cell r="D1372" t="str">
            <v>Februari</v>
          </cell>
          <cell r="F1372">
            <v>604008</v>
          </cell>
          <cell r="G1372" t="str">
            <v>Februari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0</v>
          </cell>
          <cell r="AB1372">
            <v>0</v>
          </cell>
          <cell r="AC1372">
            <v>0</v>
          </cell>
          <cell r="AD1372">
            <v>0</v>
          </cell>
          <cell r="AE1372">
            <v>0</v>
          </cell>
        </row>
        <row r="1373">
          <cell r="B1373">
            <v>604008</v>
          </cell>
          <cell r="C1373" t="str">
            <v>Listrik</v>
          </cell>
          <cell r="D1373" t="str">
            <v>Maret</v>
          </cell>
          <cell r="F1373">
            <v>604008</v>
          </cell>
          <cell r="G1373" t="str">
            <v>Maret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0</v>
          </cell>
          <cell r="AE1373">
            <v>0</v>
          </cell>
        </row>
        <row r="1374">
          <cell r="B1374">
            <v>604008</v>
          </cell>
          <cell r="C1374" t="str">
            <v>Listrik</v>
          </cell>
          <cell r="D1374" t="str">
            <v>April</v>
          </cell>
          <cell r="F1374">
            <v>604008</v>
          </cell>
          <cell r="G1374" t="str">
            <v>April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0</v>
          </cell>
          <cell r="AC1374">
            <v>0</v>
          </cell>
          <cell r="AD1374">
            <v>0</v>
          </cell>
          <cell r="AE1374">
            <v>0</v>
          </cell>
        </row>
        <row r="1375">
          <cell r="B1375">
            <v>604008</v>
          </cell>
          <cell r="C1375" t="str">
            <v>Listrik</v>
          </cell>
          <cell r="D1375" t="str">
            <v>Mei</v>
          </cell>
          <cell r="F1375">
            <v>604008</v>
          </cell>
          <cell r="G1375" t="str">
            <v>Mei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0</v>
          </cell>
          <cell r="AC1375">
            <v>0</v>
          </cell>
          <cell r="AD1375">
            <v>0</v>
          </cell>
          <cell r="AE1375">
            <v>0</v>
          </cell>
        </row>
        <row r="1376">
          <cell r="B1376">
            <v>604008</v>
          </cell>
          <cell r="C1376" t="str">
            <v>Listrik</v>
          </cell>
          <cell r="D1376" t="str">
            <v>Juni</v>
          </cell>
          <cell r="F1376">
            <v>604008</v>
          </cell>
          <cell r="G1376" t="str">
            <v>Juni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</row>
        <row r="1377">
          <cell r="B1377">
            <v>604008</v>
          </cell>
          <cell r="C1377" t="str">
            <v>Listrik</v>
          </cell>
          <cell r="D1377" t="str">
            <v>Juli</v>
          </cell>
          <cell r="F1377">
            <v>604008</v>
          </cell>
          <cell r="G1377" t="str">
            <v>Juli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</row>
        <row r="1378">
          <cell r="B1378">
            <v>604008</v>
          </cell>
          <cell r="C1378" t="str">
            <v>Listrik</v>
          </cell>
          <cell r="D1378" t="str">
            <v>Agustus</v>
          </cell>
          <cell r="F1378">
            <v>604008</v>
          </cell>
          <cell r="G1378" t="str">
            <v>Agustus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>
            <v>0</v>
          </cell>
          <cell r="AB1378">
            <v>0</v>
          </cell>
          <cell r="AC1378">
            <v>0</v>
          </cell>
          <cell r="AD1378">
            <v>0</v>
          </cell>
          <cell r="AE1378">
            <v>0</v>
          </cell>
        </row>
        <row r="1379">
          <cell r="B1379">
            <v>604008</v>
          </cell>
          <cell r="C1379" t="str">
            <v>Listrik</v>
          </cell>
          <cell r="D1379" t="str">
            <v>September</v>
          </cell>
          <cell r="F1379">
            <v>604008</v>
          </cell>
          <cell r="G1379" t="str">
            <v>September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0</v>
          </cell>
          <cell r="AD1379">
            <v>0</v>
          </cell>
          <cell r="AE1379">
            <v>0</v>
          </cell>
        </row>
        <row r="1380">
          <cell r="B1380">
            <v>604008</v>
          </cell>
          <cell r="C1380" t="str">
            <v>Listrik</v>
          </cell>
          <cell r="D1380" t="str">
            <v>Oktober</v>
          </cell>
          <cell r="F1380">
            <v>604008</v>
          </cell>
          <cell r="G1380" t="str">
            <v>Oktober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</row>
        <row r="1381">
          <cell r="B1381">
            <v>604008</v>
          </cell>
          <cell r="C1381" t="str">
            <v>Listrik</v>
          </cell>
          <cell r="D1381" t="str">
            <v>November</v>
          </cell>
          <cell r="F1381">
            <v>604008</v>
          </cell>
          <cell r="G1381" t="str">
            <v>November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</row>
        <row r="1382">
          <cell r="B1382">
            <v>604008</v>
          </cell>
          <cell r="C1382" t="str">
            <v>Listrik</v>
          </cell>
          <cell r="D1382" t="str">
            <v>Desember</v>
          </cell>
          <cell r="F1382">
            <v>604008</v>
          </cell>
          <cell r="G1382" t="str">
            <v>Desember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0</v>
          </cell>
          <cell r="AC1382">
            <v>0</v>
          </cell>
          <cell r="AD1382">
            <v>0</v>
          </cell>
          <cell r="AE1382">
            <v>0</v>
          </cell>
        </row>
        <row r="1383">
          <cell r="B1383">
            <v>604009</v>
          </cell>
          <cell r="C1383" t="str">
            <v>Penyusutan Peralatan</v>
          </cell>
          <cell r="E1383">
            <v>604.00900000000001</v>
          </cell>
          <cell r="F1383">
            <v>604009</v>
          </cell>
          <cell r="G1383" t="str">
            <v>Penyusutan Peralatan</v>
          </cell>
          <cell r="H1383">
            <v>2379596.6975000002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2379596.6975000002</v>
          </cell>
          <cell r="AC1383">
            <v>0</v>
          </cell>
          <cell r="AD1383">
            <v>0</v>
          </cell>
          <cell r="AE1383">
            <v>0</v>
          </cell>
        </row>
        <row r="1384">
          <cell r="B1384">
            <v>604009</v>
          </cell>
          <cell r="C1384" t="str">
            <v>Penyusutan Peralatan</v>
          </cell>
          <cell r="D1384" t="str">
            <v>Januari</v>
          </cell>
          <cell r="F1384">
            <v>604009</v>
          </cell>
          <cell r="G1384" t="str">
            <v>Januari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0</v>
          </cell>
          <cell r="AD1384">
            <v>0</v>
          </cell>
          <cell r="AE1384">
            <v>0</v>
          </cell>
        </row>
        <row r="1385">
          <cell r="B1385">
            <v>604009</v>
          </cell>
          <cell r="C1385" t="str">
            <v>Penyusutan Peralatan</v>
          </cell>
          <cell r="D1385" t="str">
            <v>Februari</v>
          </cell>
          <cell r="F1385">
            <v>604009</v>
          </cell>
          <cell r="G1385" t="str">
            <v>Februari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0</v>
          </cell>
          <cell r="AD1385">
            <v>0</v>
          </cell>
          <cell r="AE1385">
            <v>0</v>
          </cell>
        </row>
        <row r="1386">
          <cell r="B1386">
            <v>604009</v>
          </cell>
          <cell r="C1386" t="str">
            <v>Penyusutan Peralatan</v>
          </cell>
          <cell r="D1386" t="str">
            <v>Maret</v>
          </cell>
          <cell r="F1386">
            <v>604009</v>
          </cell>
          <cell r="G1386" t="str">
            <v>Maret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0</v>
          </cell>
          <cell r="AD1386">
            <v>0</v>
          </cell>
          <cell r="AE1386">
            <v>0</v>
          </cell>
        </row>
        <row r="1387">
          <cell r="B1387">
            <v>604009</v>
          </cell>
          <cell r="C1387" t="str">
            <v>Penyusutan Peralatan</v>
          </cell>
          <cell r="D1387" t="str">
            <v>April</v>
          </cell>
          <cell r="F1387">
            <v>604009</v>
          </cell>
          <cell r="G1387" t="str">
            <v>April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0</v>
          </cell>
          <cell r="AC1387">
            <v>0</v>
          </cell>
          <cell r="AD1387">
            <v>0</v>
          </cell>
          <cell r="AE1387">
            <v>0</v>
          </cell>
        </row>
        <row r="1388">
          <cell r="B1388">
            <v>604009</v>
          </cell>
          <cell r="C1388" t="str">
            <v>Penyusutan Peralatan</v>
          </cell>
          <cell r="D1388" t="str">
            <v>Mei</v>
          </cell>
          <cell r="F1388">
            <v>604009</v>
          </cell>
          <cell r="G1388" t="str">
            <v>Mei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</row>
        <row r="1389">
          <cell r="B1389">
            <v>604009</v>
          </cell>
          <cell r="C1389" t="str">
            <v>Penyusutan Peralatan</v>
          </cell>
          <cell r="D1389" t="str">
            <v>Juni</v>
          </cell>
          <cell r="F1389">
            <v>604009</v>
          </cell>
          <cell r="G1389" t="str">
            <v>Juni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</row>
        <row r="1390">
          <cell r="B1390">
            <v>604009</v>
          </cell>
          <cell r="C1390" t="str">
            <v>Penyusutan Peralatan</v>
          </cell>
          <cell r="D1390" t="str">
            <v>Juli</v>
          </cell>
          <cell r="F1390">
            <v>604009</v>
          </cell>
          <cell r="G1390" t="str">
            <v>Juli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</row>
        <row r="1391">
          <cell r="B1391">
            <v>604009</v>
          </cell>
          <cell r="C1391" t="str">
            <v>Penyusutan Peralatan</v>
          </cell>
          <cell r="D1391" t="str">
            <v>Agustus</v>
          </cell>
          <cell r="F1391">
            <v>604009</v>
          </cell>
          <cell r="G1391" t="str">
            <v>Agustus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</row>
        <row r="1392">
          <cell r="B1392">
            <v>604009</v>
          </cell>
          <cell r="C1392" t="str">
            <v>Penyusutan Peralatan</v>
          </cell>
          <cell r="D1392" t="str">
            <v>September</v>
          </cell>
          <cell r="F1392">
            <v>604009</v>
          </cell>
          <cell r="G1392" t="str">
            <v>September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</row>
        <row r="1393">
          <cell r="B1393">
            <v>604009</v>
          </cell>
          <cell r="C1393" t="str">
            <v>Penyusutan Peralatan</v>
          </cell>
          <cell r="D1393" t="str">
            <v>Oktober</v>
          </cell>
          <cell r="F1393">
            <v>604009</v>
          </cell>
          <cell r="G1393" t="str">
            <v>Oktober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</row>
        <row r="1394">
          <cell r="B1394">
            <v>604009</v>
          </cell>
          <cell r="C1394" t="str">
            <v>Penyusutan Peralatan</v>
          </cell>
          <cell r="D1394" t="str">
            <v>November</v>
          </cell>
          <cell r="F1394">
            <v>604009</v>
          </cell>
          <cell r="G1394" t="str">
            <v>November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</row>
        <row r="1395">
          <cell r="B1395">
            <v>604009</v>
          </cell>
          <cell r="C1395" t="str">
            <v>Penyusutan Peralatan</v>
          </cell>
          <cell r="D1395" t="str">
            <v>Desember</v>
          </cell>
          <cell r="F1395">
            <v>604009</v>
          </cell>
          <cell r="G1395" t="str">
            <v>Desember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</row>
        <row r="1396">
          <cell r="B1396">
            <v>604010</v>
          </cell>
          <cell r="C1396" t="str">
            <v>Kantong Plastik</v>
          </cell>
          <cell r="E1396">
            <v>604.01</v>
          </cell>
          <cell r="F1396">
            <v>604010</v>
          </cell>
          <cell r="G1396" t="str">
            <v>Kantong Plastik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</row>
        <row r="1397">
          <cell r="B1397">
            <v>604010</v>
          </cell>
          <cell r="C1397" t="str">
            <v>Kantong Plastik</v>
          </cell>
          <cell r="D1397" t="str">
            <v>Januari</v>
          </cell>
          <cell r="F1397">
            <v>604010</v>
          </cell>
          <cell r="G1397" t="str">
            <v>Januari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</row>
        <row r="1398">
          <cell r="B1398">
            <v>604010</v>
          </cell>
          <cell r="C1398" t="str">
            <v>Kantong Plastik</v>
          </cell>
          <cell r="D1398" t="str">
            <v>Februari</v>
          </cell>
          <cell r="F1398">
            <v>604010</v>
          </cell>
          <cell r="G1398" t="str">
            <v>Februari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</row>
        <row r="1399">
          <cell r="B1399">
            <v>604010</v>
          </cell>
          <cell r="C1399" t="str">
            <v>Kantong Plastik</v>
          </cell>
          <cell r="D1399" t="str">
            <v>Maret</v>
          </cell>
          <cell r="F1399">
            <v>604010</v>
          </cell>
          <cell r="G1399" t="str">
            <v>Maret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</row>
        <row r="1400">
          <cell r="B1400">
            <v>604010</v>
          </cell>
          <cell r="C1400" t="str">
            <v>Kantong Plastik</v>
          </cell>
          <cell r="D1400" t="str">
            <v>April</v>
          </cell>
          <cell r="F1400">
            <v>604010</v>
          </cell>
          <cell r="G1400" t="str">
            <v>April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</row>
        <row r="1401">
          <cell r="B1401">
            <v>604010</v>
          </cell>
          <cell r="C1401" t="str">
            <v>Kantong Plastik</v>
          </cell>
          <cell r="D1401" t="str">
            <v>Mei</v>
          </cell>
          <cell r="F1401">
            <v>604010</v>
          </cell>
          <cell r="G1401" t="str">
            <v>Mei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</row>
        <row r="1402">
          <cell r="B1402">
            <v>604010</v>
          </cell>
          <cell r="C1402" t="str">
            <v>Kantong Plastik</v>
          </cell>
          <cell r="D1402" t="str">
            <v>Juni</v>
          </cell>
          <cell r="F1402">
            <v>604010</v>
          </cell>
          <cell r="G1402" t="str">
            <v>Juni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</row>
        <row r="1403">
          <cell r="B1403">
            <v>604010</v>
          </cell>
          <cell r="C1403" t="str">
            <v>Kantong Plastik</v>
          </cell>
          <cell r="D1403" t="str">
            <v>Juli</v>
          </cell>
          <cell r="F1403">
            <v>604010</v>
          </cell>
          <cell r="G1403" t="str">
            <v>Juli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0</v>
          </cell>
        </row>
        <row r="1404">
          <cell r="B1404">
            <v>604010</v>
          </cell>
          <cell r="C1404" t="str">
            <v>Kantong Plastik</v>
          </cell>
          <cell r="D1404" t="str">
            <v>Agustus</v>
          </cell>
          <cell r="F1404">
            <v>604010</v>
          </cell>
          <cell r="G1404" t="str">
            <v>Agustus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0</v>
          </cell>
        </row>
        <row r="1405">
          <cell r="B1405">
            <v>604010</v>
          </cell>
          <cell r="C1405" t="str">
            <v>Kantong Plastik</v>
          </cell>
          <cell r="D1405" t="str">
            <v>September</v>
          </cell>
          <cell r="F1405">
            <v>604010</v>
          </cell>
          <cell r="G1405" t="str">
            <v>September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0</v>
          </cell>
        </row>
        <row r="1406">
          <cell r="B1406">
            <v>604010</v>
          </cell>
          <cell r="C1406" t="str">
            <v>Kantong Plastik</v>
          </cell>
          <cell r="D1406" t="str">
            <v>Oktober</v>
          </cell>
          <cell r="F1406">
            <v>604010</v>
          </cell>
          <cell r="G1406" t="str">
            <v>Oktober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0</v>
          </cell>
        </row>
        <row r="1407">
          <cell r="B1407">
            <v>604010</v>
          </cell>
          <cell r="C1407" t="str">
            <v>Kantong Plastik</v>
          </cell>
          <cell r="D1407" t="str">
            <v>November</v>
          </cell>
          <cell r="F1407">
            <v>604010</v>
          </cell>
          <cell r="G1407" t="str">
            <v>November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0</v>
          </cell>
        </row>
        <row r="1408">
          <cell r="B1408">
            <v>604010</v>
          </cell>
          <cell r="C1408" t="str">
            <v>Kantong Plastik</v>
          </cell>
          <cell r="D1408" t="str">
            <v>Desember</v>
          </cell>
          <cell r="F1408">
            <v>604010</v>
          </cell>
          <cell r="G1408" t="str">
            <v>Desember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0</v>
          </cell>
        </row>
        <row r="1409">
          <cell r="B1409">
            <v>604011</v>
          </cell>
          <cell r="C1409" t="str">
            <v xml:space="preserve">Material </v>
          </cell>
          <cell r="E1409">
            <v>604.01099999999997</v>
          </cell>
          <cell r="F1409">
            <v>604011</v>
          </cell>
          <cell r="G1409" t="str">
            <v xml:space="preserve">Material </v>
          </cell>
          <cell r="H1409">
            <v>122000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113500</v>
          </cell>
          <cell r="AA1409">
            <v>0</v>
          </cell>
          <cell r="AB1409">
            <v>235500</v>
          </cell>
          <cell r="AC1409">
            <v>0</v>
          </cell>
          <cell r="AD1409">
            <v>113500</v>
          </cell>
          <cell r="AE1409">
            <v>0</v>
          </cell>
        </row>
        <row r="1410">
          <cell r="B1410">
            <v>604011</v>
          </cell>
          <cell r="C1410" t="str">
            <v xml:space="preserve">Material </v>
          </cell>
          <cell r="D1410" t="str">
            <v>Januari</v>
          </cell>
          <cell r="F1410">
            <v>604011</v>
          </cell>
          <cell r="G1410" t="str">
            <v>Januari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0</v>
          </cell>
        </row>
        <row r="1411">
          <cell r="B1411">
            <v>604011</v>
          </cell>
          <cell r="C1411" t="str">
            <v xml:space="preserve">Material </v>
          </cell>
          <cell r="D1411" t="str">
            <v>Februari</v>
          </cell>
          <cell r="F1411">
            <v>604011</v>
          </cell>
          <cell r="G1411" t="str">
            <v>Februari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64000</v>
          </cell>
          <cell r="AA1411">
            <v>0</v>
          </cell>
          <cell r="AB1411">
            <v>64000</v>
          </cell>
          <cell r="AC1411">
            <v>0</v>
          </cell>
          <cell r="AD1411">
            <v>64000</v>
          </cell>
          <cell r="AE1411">
            <v>0</v>
          </cell>
        </row>
        <row r="1412">
          <cell r="B1412">
            <v>604011</v>
          </cell>
          <cell r="C1412" t="str">
            <v xml:space="preserve">Material </v>
          </cell>
          <cell r="D1412" t="str">
            <v>Maret</v>
          </cell>
          <cell r="F1412">
            <v>604011</v>
          </cell>
          <cell r="G1412" t="str">
            <v>Maret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0</v>
          </cell>
        </row>
        <row r="1413">
          <cell r="B1413">
            <v>604011</v>
          </cell>
          <cell r="C1413" t="str">
            <v xml:space="preserve">Material </v>
          </cell>
          <cell r="D1413" t="str">
            <v>April</v>
          </cell>
          <cell r="F1413">
            <v>604011</v>
          </cell>
          <cell r="G1413" t="str">
            <v>April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0</v>
          </cell>
        </row>
        <row r="1414">
          <cell r="B1414">
            <v>604011</v>
          </cell>
          <cell r="C1414" t="str">
            <v xml:space="preserve">Material </v>
          </cell>
          <cell r="D1414" t="str">
            <v>Mei</v>
          </cell>
          <cell r="F1414">
            <v>604011</v>
          </cell>
          <cell r="G1414" t="str">
            <v>Mei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</row>
        <row r="1415">
          <cell r="B1415">
            <v>604011</v>
          </cell>
          <cell r="C1415" t="str">
            <v xml:space="preserve">Material </v>
          </cell>
          <cell r="D1415" t="str">
            <v>Juni</v>
          </cell>
          <cell r="F1415">
            <v>604011</v>
          </cell>
          <cell r="G1415" t="str">
            <v>Juni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0</v>
          </cell>
        </row>
        <row r="1416">
          <cell r="B1416">
            <v>604011</v>
          </cell>
          <cell r="C1416" t="str">
            <v xml:space="preserve">Material </v>
          </cell>
          <cell r="D1416" t="str">
            <v>Juli</v>
          </cell>
          <cell r="F1416">
            <v>604011</v>
          </cell>
          <cell r="G1416" t="str">
            <v>Juli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</row>
        <row r="1417">
          <cell r="B1417">
            <v>604011</v>
          </cell>
          <cell r="C1417" t="str">
            <v xml:space="preserve">Material </v>
          </cell>
          <cell r="D1417" t="str">
            <v>Agustus</v>
          </cell>
          <cell r="F1417">
            <v>604011</v>
          </cell>
          <cell r="G1417" t="str">
            <v>Agustus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</row>
        <row r="1418">
          <cell r="B1418">
            <v>604011</v>
          </cell>
          <cell r="C1418" t="str">
            <v xml:space="preserve">Material </v>
          </cell>
          <cell r="D1418" t="str">
            <v>September</v>
          </cell>
          <cell r="F1418">
            <v>604011</v>
          </cell>
          <cell r="G1418" t="str">
            <v>September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</row>
        <row r="1419">
          <cell r="B1419">
            <v>604011</v>
          </cell>
          <cell r="C1419" t="str">
            <v xml:space="preserve">Material </v>
          </cell>
          <cell r="D1419" t="str">
            <v>Oktober</v>
          </cell>
          <cell r="F1419">
            <v>604011</v>
          </cell>
          <cell r="G1419" t="str">
            <v>Oktober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</row>
        <row r="1420">
          <cell r="B1420">
            <v>604011</v>
          </cell>
          <cell r="C1420" t="str">
            <v xml:space="preserve">Material </v>
          </cell>
          <cell r="D1420" t="str">
            <v>November</v>
          </cell>
          <cell r="F1420">
            <v>604011</v>
          </cell>
          <cell r="G1420" t="str">
            <v>November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</row>
        <row r="1421">
          <cell r="B1421">
            <v>604011</v>
          </cell>
          <cell r="C1421" t="str">
            <v xml:space="preserve">Material </v>
          </cell>
          <cell r="D1421" t="str">
            <v>Desember</v>
          </cell>
          <cell r="F1421">
            <v>604011</v>
          </cell>
          <cell r="G1421" t="str">
            <v>Desember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49500</v>
          </cell>
          <cell r="AA1421">
            <v>0</v>
          </cell>
          <cell r="AB1421">
            <v>49500</v>
          </cell>
          <cell r="AC1421">
            <v>0</v>
          </cell>
          <cell r="AD1421">
            <v>49500</v>
          </cell>
          <cell r="AE1421">
            <v>0</v>
          </cell>
        </row>
        <row r="1422">
          <cell r="B1422">
            <v>604012</v>
          </cell>
          <cell r="C1422" t="str">
            <v>Dinas Luar</v>
          </cell>
          <cell r="E1422">
            <v>604.01199999999994</v>
          </cell>
          <cell r="F1422">
            <v>604012</v>
          </cell>
          <cell r="G1422" t="str">
            <v>Dinas Luar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</row>
        <row r="1423">
          <cell r="B1423">
            <v>604012</v>
          </cell>
          <cell r="C1423" t="str">
            <v>Dinas Luar</v>
          </cell>
          <cell r="D1423" t="str">
            <v>Januari</v>
          </cell>
          <cell r="F1423">
            <v>604012</v>
          </cell>
          <cell r="G1423" t="str">
            <v>Januari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</row>
        <row r="1424">
          <cell r="B1424">
            <v>604012</v>
          </cell>
          <cell r="C1424" t="str">
            <v>Dinas Luar</v>
          </cell>
          <cell r="D1424" t="str">
            <v>Februari</v>
          </cell>
          <cell r="F1424">
            <v>604012</v>
          </cell>
          <cell r="G1424" t="str">
            <v>Februari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</row>
        <row r="1425">
          <cell r="B1425">
            <v>604012</v>
          </cell>
          <cell r="C1425" t="str">
            <v>Dinas Luar</v>
          </cell>
          <cell r="D1425" t="str">
            <v>Maret</v>
          </cell>
          <cell r="F1425">
            <v>604012</v>
          </cell>
          <cell r="G1425" t="str">
            <v>Maret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</row>
        <row r="1426">
          <cell r="B1426">
            <v>604012</v>
          </cell>
          <cell r="C1426" t="str">
            <v>Dinas Luar</v>
          </cell>
          <cell r="D1426" t="str">
            <v>April</v>
          </cell>
          <cell r="F1426">
            <v>604012</v>
          </cell>
          <cell r="G1426" t="str">
            <v>April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</row>
        <row r="1427">
          <cell r="B1427">
            <v>604012</v>
          </cell>
          <cell r="C1427" t="str">
            <v>Dinas Luar</v>
          </cell>
          <cell r="D1427" t="str">
            <v>Mei</v>
          </cell>
          <cell r="F1427">
            <v>604012</v>
          </cell>
          <cell r="G1427" t="str">
            <v>Mei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</row>
        <row r="1428">
          <cell r="B1428">
            <v>604012</v>
          </cell>
          <cell r="C1428" t="str">
            <v>Dinas Luar</v>
          </cell>
          <cell r="D1428" t="str">
            <v>Juni</v>
          </cell>
          <cell r="F1428">
            <v>604012</v>
          </cell>
          <cell r="G1428" t="str">
            <v>Juni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</row>
        <row r="1429">
          <cell r="B1429">
            <v>604012</v>
          </cell>
          <cell r="C1429" t="str">
            <v>Dinas Luar</v>
          </cell>
          <cell r="D1429" t="str">
            <v>Juli</v>
          </cell>
          <cell r="F1429">
            <v>604012</v>
          </cell>
          <cell r="G1429" t="str">
            <v>Juli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</row>
        <row r="1430">
          <cell r="B1430">
            <v>604012</v>
          </cell>
          <cell r="C1430" t="str">
            <v>Dinas Luar</v>
          </cell>
          <cell r="D1430" t="str">
            <v>Agustus</v>
          </cell>
          <cell r="F1430">
            <v>604012</v>
          </cell>
          <cell r="G1430" t="str">
            <v>Agustus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</row>
        <row r="1431">
          <cell r="B1431">
            <v>604012</v>
          </cell>
          <cell r="C1431" t="str">
            <v>Dinas Luar</v>
          </cell>
          <cell r="D1431" t="str">
            <v>September</v>
          </cell>
          <cell r="F1431">
            <v>604012</v>
          </cell>
          <cell r="G1431" t="str">
            <v>September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</row>
        <row r="1432">
          <cell r="B1432">
            <v>604012</v>
          </cell>
          <cell r="C1432" t="str">
            <v>Dinas Luar</v>
          </cell>
          <cell r="D1432" t="str">
            <v>Oktober</v>
          </cell>
          <cell r="F1432">
            <v>604012</v>
          </cell>
          <cell r="G1432" t="str">
            <v>Oktober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</row>
        <row r="1433">
          <cell r="B1433">
            <v>604012</v>
          </cell>
          <cell r="C1433" t="str">
            <v>Dinas Luar</v>
          </cell>
          <cell r="D1433" t="str">
            <v>November</v>
          </cell>
          <cell r="F1433">
            <v>604012</v>
          </cell>
          <cell r="G1433" t="str">
            <v>November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</row>
        <row r="1434">
          <cell r="B1434">
            <v>604012</v>
          </cell>
          <cell r="C1434" t="str">
            <v>Dinas Luar</v>
          </cell>
          <cell r="D1434" t="str">
            <v>Desember</v>
          </cell>
          <cell r="F1434">
            <v>604012</v>
          </cell>
          <cell r="G1434" t="str">
            <v>Desember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</row>
        <row r="1435">
          <cell r="B1435">
            <v>604014</v>
          </cell>
          <cell r="C1435" t="str">
            <v>BBM</v>
          </cell>
          <cell r="E1435">
            <v>604.01400000000001</v>
          </cell>
          <cell r="F1435">
            <v>604014</v>
          </cell>
          <cell r="G1435" t="str">
            <v>BBM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</row>
        <row r="1436">
          <cell r="B1436">
            <v>604014</v>
          </cell>
          <cell r="C1436" t="str">
            <v>BBM</v>
          </cell>
          <cell r="D1436" t="str">
            <v>Januari</v>
          </cell>
          <cell r="F1436">
            <v>604014</v>
          </cell>
          <cell r="G1436" t="str">
            <v>Januari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</row>
        <row r="1437">
          <cell r="B1437">
            <v>604014</v>
          </cell>
          <cell r="C1437" t="str">
            <v>BBM</v>
          </cell>
          <cell r="D1437" t="str">
            <v>Februari</v>
          </cell>
          <cell r="F1437">
            <v>604014</v>
          </cell>
          <cell r="G1437" t="str">
            <v>Februari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</row>
        <row r="1438">
          <cell r="B1438">
            <v>604014</v>
          </cell>
          <cell r="C1438" t="str">
            <v>BBM</v>
          </cell>
          <cell r="D1438" t="str">
            <v>Maret</v>
          </cell>
          <cell r="F1438">
            <v>604014</v>
          </cell>
          <cell r="G1438" t="str">
            <v>Maret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</row>
        <row r="1439">
          <cell r="B1439">
            <v>604014</v>
          </cell>
          <cell r="C1439" t="str">
            <v>BBM</v>
          </cell>
          <cell r="D1439" t="str">
            <v>April</v>
          </cell>
          <cell r="F1439">
            <v>604014</v>
          </cell>
          <cell r="G1439" t="str">
            <v>April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</row>
        <row r="1440">
          <cell r="B1440">
            <v>604014</v>
          </cell>
          <cell r="C1440" t="str">
            <v>BBM</v>
          </cell>
          <cell r="D1440" t="str">
            <v>Mei</v>
          </cell>
          <cell r="F1440">
            <v>604014</v>
          </cell>
          <cell r="G1440" t="str">
            <v>Mei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</row>
        <row r="1441">
          <cell r="B1441">
            <v>604014</v>
          </cell>
          <cell r="C1441" t="str">
            <v>BBM</v>
          </cell>
          <cell r="D1441" t="str">
            <v>Juni</v>
          </cell>
          <cell r="F1441">
            <v>604014</v>
          </cell>
          <cell r="G1441" t="str">
            <v>Juni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</row>
        <row r="1442">
          <cell r="B1442">
            <v>604014</v>
          </cell>
          <cell r="C1442" t="str">
            <v>BBM</v>
          </cell>
          <cell r="D1442" t="str">
            <v>Juli</v>
          </cell>
          <cell r="F1442">
            <v>604014</v>
          </cell>
          <cell r="G1442" t="str">
            <v>Juli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</row>
        <row r="1443">
          <cell r="B1443">
            <v>604014</v>
          </cell>
          <cell r="C1443" t="str">
            <v>BBM</v>
          </cell>
          <cell r="D1443" t="str">
            <v>Agustus</v>
          </cell>
          <cell r="F1443">
            <v>604014</v>
          </cell>
          <cell r="G1443" t="str">
            <v>Agustus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</row>
        <row r="1444">
          <cell r="B1444">
            <v>604014</v>
          </cell>
          <cell r="C1444" t="str">
            <v>BBM</v>
          </cell>
          <cell r="D1444" t="str">
            <v>September</v>
          </cell>
          <cell r="F1444">
            <v>604014</v>
          </cell>
          <cell r="G1444" t="str">
            <v>September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</row>
        <row r="1445">
          <cell r="B1445">
            <v>604014</v>
          </cell>
          <cell r="C1445" t="str">
            <v>BBM</v>
          </cell>
          <cell r="D1445" t="str">
            <v>Oktober</v>
          </cell>
          <cell r="F1445">
            <v>604014</v>
          </cell>
          <cell r="G1445" t="str">
            <v>Oktober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</row>
        <row r="1446">
          <cell r="B1446">
            <v>604014</v>
          </cell>
          <cell r="C1446" t="str">
            <v>BBM</v>
          </cell>
          <cell r="D1446" t="str">
            <v>November</v>
          </cell>
          <cell r="F1446">
            <v>604014</v>
          </cell>
          <cell r="G1446" t="str">
            <v>November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</row>
        <row r="1447">
          <cell r="B1447">
            <v>604014</v>
          </cell>
          <cell r="C1447" t="str">
            <v>BBM</v>
          </cell>
          <cell r="D1447" t="str">
            <v>Desember</v>
          </cell>
          <cell r="F1447">
            <v>604014</v>
          </cell>
          <cell r="G1447" t="str">
            <v>Desember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</row>
        <row r="1448">
          <cell r="B1448">
            <v>604015</v>
          </cell>
          <cell r="C1448" t="str">
            <v>Perawatan Peralatan &amp; Kendaraan</v>
          </cell>
          <cell r="E1448">
            <v>604.01499999999999</v>
          </cell>
          <cell r="F1448">
            <v>604015</v>
          </cell>
          <cell r="G1448" t="str">
            <v>Perawatan Peralatan &amp; Kendaraan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</row>
        <row r="1449">
          <cell r="B1449">
            <v>604015</v>
          </cell>
          <cell r="C1449" t="str">
            <v>Perawatan Peralatan &amp; Kendaraan</v>
          </cell>
          <cell r="D1449" t="str">
            <v>Januari</v>
          </cell>
          <cell r="F1449">
            <v>604015</v>
          </cell>
          <cell r="G1449" t="str">
            <v>Januari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</row>
        <row r="1450">
          <cell r="B1450">
            <v>604015</v>
          </cell>
          <cell r="C1450" t="str">
            <v>Perawatan Peralatan &amp; Kendaraan</v>
          </cell>
          <cell r="D1450" t="str">
            <v>Februari</v>
          </cell>
          <cell r="F1450">
            <v>604015</v>
          </cell>
          <cell r="G1450" t="str">
            <v>Februari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</row>
        <row r="1451">
          <cell r="B1451">
            <v>604015</v>
          </cell>
          <cell r="C1451" t="str">
            <v>Perawatan Peralatan &amp; Kendaraan</v>
          </cell>
          <cell r="D1451" t="str">
            <v>Maret</v>
          </cell>
          <cell r="F1451">
            <v>604015</v>
          </cell>
          <cell r="G1451" t="str">
            <v>Maret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</row>
        <row r="1452">
          <cell r="B1452">
            <v>604015</v>
          </cell>
          <cell r="C1452" t="str">
            <v>Perawatan Peralatan &amp; Kendaraan</v>
          </cell>
          <cell r="D1452" t="str">
            <v>April</v>
          </cell>
          <cell r="F1452">
            <v>604015</v>
          </cell>
          <cell r="G1452" t="str">
            <v>April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</row>
        <row r="1453">
          <cell r="B1453">
            <v>604015</v>
          </cell>
          <cell r="C1453" t="str">
            <v>Perawatan Peralatan &amp; Kendaraan</v>
          </cell>
          <cell r="D1453" t="str">
            <v>Mei</v>
          </cell>
          <cell r="F1453">
            <v>604015</v>
          </cell>
          <cell r="G1453" t="str">
            <v>Mei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0</v>
          </cell>
          <cell r="AD1453">
            <v>0</v>
          </cell>
          <cell r="AE1453">
            <v>0</v>
          </cell>
        </row>
        <row r="1454">
          <cell r="B1454">
            <v>604015</v>
          </cell>
          <cell r="C1454" t="str">
            <v>Perawatan Peralatan &amp; Kendaraan</v>
          </cell>
          <cell r="D1454" t="str">
            <v>Juni</v>
          </cell>
          <cell r="F1454">
            <v>604015</v>
          </cell>
          <cell r="G1454" t="str">
            <v>Juni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</row>
        <row r="1455">
          <cell r="B1455">
            <v>604015</v>
          </cell>
          <cell r="C1455" t="str">
            <v>Perawatan Peralatan &amp; Kendaraan</v>
          </cell>
          <cell r="D1455" t="str">
            <v>Juli</v>
          </cell>
          <cell r="F1455">
            <v>604015</v>
          </cell>
          <cell r="G1455" t="str">
            <v>Juli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</row>
        <row r="1456">
          <cell r="B1456">
            <v>604015</v>
          </cell>
          <cell r="C1456" t="str">
            <v>Perawatan Peralatan &amp; Kendaraan</v>
          </cell>
          <cell r="D1456" t="str">
            <v>Agustus</v>
          </cell>
          <cell r="F1456">
            <v>604015</v>
          </cell>
          <cell r="G1456" t="str">
            <v>Agustus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0</v>
          </cell>
          <cell r="AD1456">
            <v>0</v>
          </cell>
          <cell r="AE1456">
            <v>0</v>
          </cell>
        </row>
        <row r="1457">
          <cell r="B1457">
            <v>604015</v>
          </cell>
          <cell r="C1457" t="str">
            <v>Perawatan Peralatan &amp; Kendaraan</v>
          </cell>
          <cell r="D1457" t="str">
            <v>September</v>
          </cell>
          <cell r="F1457">
            <v>604015</v>
          </cell>
          <cell r="G1457" t="str">
            <v>September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0</v>
          </cell>
          <cell r="AC1457">
            <v>0</v>
          </cell>
          <cell r="AD1457">
            <v>0</v>
          </cell>
          <cell r="AE1457">
            <v>0</v>
          </cell>
        </row>
        <row r="1458">
          <cell r="B1458">
            <v>604015</v>
          </cell>
          <cell r="C1458" t="str">
            <v>Perawatan Peralatan &amp; Kendaraan</v>
          </cell>
          <cell r="D1458" t="str">
            <v>Oktober</v>
          </cell>
          <cell r="F1458">
            <v>604015</v>
          </cell>
          <cell r="G1458" t="str">
            <v>Oktober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</row>
        <row r="1459">
          <cell r="B1459">
            <v>604015</v>
          </cell>
          <cell r="C1459" t="str">
            <v>Perawatan Peralatan &amp; Kendaraan</v>
          </cell>
          <cell r="D1459" t="str">
            <v>November</v>
          </cell>
          <cell r="F1459">
            <v>604015</v>
          </cell>
          <cell r="G1459" t="str">
            <v>November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0</v>
          </cell>
          <cell r="AD1459">
            <v>0</v>
          </cell>
          <cell r="AE1459">
            <v>0</v>
          </cell>
        </row>
        <row r="1460">
          <cell r="B1460">
            <v>604015</v>
          </cell>
          <cell r="C1460" t="str">
            <v>Perawatan Peralatan &amp; Kendaraan</v>
          </cell>
          <cell r="D1460" t="str">
            <v>Desember</v>
          </cell>
          <cell r="F1460">
            <v>604015</v>
          </cell>
          <cell r="G1460" t="str">
            <v>Desember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0</v>
          </cell>
          <cell r="AC1460">
            <v>0</v>
          </cell>
          <cell r="AD1460">
            <v>0</v>
          </cell>
          <cell r="AE1460">
            <v>0</v>
          </cell>
        </row>
        <row r="1461">
          <cell r="B1461">
            <v>604016</v>
          </cell>
          <cell r="C1461" t="str">
            <v>Insentif</v>
          </cell>
          <cell r="E1461">
            <v>604.01599999999996</v>
          </cell>
          <cell r="F1461">
            <v>604016</v>
          </cell>
          <cell r="G1461" t="str">
            <v>Insentif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</row>
        <row r="1462">
          <cell r="B1462">
            <v>604016</v>
          </cell>
          <cell r="C1462" t="str">
            <v>Insentif</v>
          </cell>
          <cell r="D1462" t="str">
            <v>Januari</v>
          </cell>
          <cell r="F1462">
            <v>604016</v>
          </cell>
          <cell r="G1462" t="str">
            <v>Januari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</row>
        <row r="1463">
          <cell r="B1463">
            <v>604016</v>
          </cell>
          <cell r="C1463" t="str">
            <v>Insentif</v>
          </cell>
          <cell r="D1463" t="str">
            <v>Februari</v>
          </cell>
          <cell r="F1463">
            <v>604016</v>
          </cell>
          <cell r="G1463" t="str">
            <v>Februari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0</v>
          </cell>
          <cell r="AC1463">
            <v>0</v>
          </cell>
          <cell r="AD1463">
            <v>0</v>
          </cell>
          <cell r="AE1463">
            <v>0</v>
          </cell>
        </row>
        <row r="1464">
          <cell r="B1464">
            <v>604016</v>
          </cell>
          <cell r="C1464" t="str">
            <v>Insentif</v>
          </cell>
          <cell r="D1464" t="str">
            <v>Maret</v>
          </cell>
          <cell r="F1464">
            <v>604016</v>
          </cell>
          <cell r="G1464" t="str">
            <v>Maret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  <cell r="Y1464">
            <v>0</v>
          </cell>
          <cell r="Z1464">
            <v>0</v>
          </cell>
          <cell r="AA1464">
            <v>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</row>
        <row r="1465">
          <cell r="B1465">
            <v>604016</v>
          </cell>
          <cell r="C1465" t="str">
            <v>Insentif</v>
          </cell>
          <cell r="D1465" t="str">
            <v>April</v>
          </cell>
          <cell r="F1465">
            <v>604016</v>
          </cell>
          <cell r="G1465" t="str">
            <v>April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0</v>
          </cell>
          <cell r="AD1465">
            <v>0</v>
          </cell>
          <cell r="AE1465">
            <v>0</v>
          </cell>
        </row>
        <row r="1466">
          <cell r="B1466">
            <v>604016</v>
          </cell>
          <cell r="C1466" t="str">
            <v>Insentif</v>
          </cell>
          <cell r="D1466" t="str">
            <v>Mei</v>
          </cell>
          <cell r="F1466">
            <v>604016</v>
          </cell>
          <cell r="G1466" t="str">
            <v>Mei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0</v>
          </cell>
          <cell r="AD1466">
            <v>0</v>
          </cell>
          <cell r="AE1466">
            <v>0</v>
          </cell>
        </row>
        <row r="1467">
          <cell r="B1467">
            <v>604016</v>
          </cell>
          <cell r="C1467" t="str">
            <v>Insentif</v>
          </cell>
          <cell r="D1467" t="str">
            <v>Juni</v>
          </cell>
          <cell r="F1467">
            <v>604016</v>
          </cell>
          <cell r="G1467" t="str">
            <v>Juni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</row>
        <row r="1468">
          <cell r="B1468">
            <v>604016</v>
          </cell>
          <cell r="C1468" t="str">
            <v>Insentif</v>
          </cell>
          <cell r="D1468" t="str">
            <v>Juli</v>
          </cell>
          <cell r="F1468">
            <v>604016</v>
          </cell>
          <cell r="G1468" t="str">
            <v>Juli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</row>
        <row r="1469">
          <cell r="B1469">
            <v>604016</v>
          </cell>
          <cell r="C1469" t="str">
            <v>Insentif</v>
          </cell>
          <cell r="D1469" t="str">
            <v>Agustus</v>
          </cell>
          <cell r="F1469">
            <v>604016</v>
          </cell>
          <cell r="G1469" t="str">
            <v>Agustus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</row>
        <row r="1470">
          <cell r="B1470">
            <v>604016</v>
          </cell>
          <cell r="C1470" t="str">
            <v>Insentif</v>
          </cell>
          <cell r="D1470" t="str">
            <v>September</v>
          </cell>
          <cell r="F1470">
            <v>604016</v>
          </cell>
          <cell r="G1470" t="str">
            <v>September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</row>
        <row r="1471">
          <cell r="B1471">
            <v>604016</v>
          </cell>
          <cell r="C1471" t="str">
            <v>Insentif</v>
          </cell>
          <cell r="D1471" t="str">
            <v>Oktober</v>
          </cell>
          <cell r="F1471">
            <v>604016</v>
          </cell>
          <cell r="G1471" t="str">
            <v>Oktober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0</v>
          </cell>
          <cell r="AD1471">
            <v>0</v>
          </cell>
          <cell r="AE1471">
            <v>0</v>
          </cell>
        </row>
        <row r="1472">
          <cell r="B1472">
            <v>604016</v>
          </cell>
          <cell r="C1472" t="str">
            <v>Insentif</v>
          </cell>
          <cell r="D1472" t="str">
            <v>November</v>
          </cell>
          <cell r="F1472">
            <v>604016</v>
          </cell>
          <cell r="G1472" t="str">
            <v>November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</row>
        <row r="1473">
          <cell r="B1473">
            <v>604016</v>
          </cell>
          <cell r="C1473" t="str">
            <v>Insentif</v>
          </cell>
          <cell r="D1473" t="str">
            <v>Desember</v>
          </cell>
          <cell r="F1473">
            <v>604016</v>
          </cell>
          <cell r="G1473" t="str">
            <v>Desember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</row>
        <row r="1474">
          <cell r="B1474">
            <v>604016</v>
          </cell>
          <cell r="F1474">
            <v>604016</v>
          </cell>
          <cell r="H1474">
            <v>0</v>
          </cell>
          <cell r="I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</row>
        <row r="1475">
          <cell r="B1475">
            <v>605000</v>
          </cell>
          <cell r="E1475">
            <v>605</v>
          </cell>
          <cell r="F1475">
            <v>605000</v>
          </cell>
          <cell r="G1475" t="str">
            <v>Beban Usaha General Repair</v>
          </cell>
          <cell r="H1475">
            <v>0</v>
          </cell>
          <cell r="I1475">
            <v>0</v>
          </cell>
          <cell r="AB1475">
            <v>0</v>
          </cell>
          <cell r="AC1475">
            <v>0</v>
          </cell>
          <cell r="AD1475">
            <v>0</v>
          </cell>
          <cell r="AE1475">
            <v>0</v>
          </cell>
        </row>
        <row r="1476">
          <cell r="B1476">
            <v>605001</v>
          </cell>
          <cell r="C1476" t="str">
            <v>Gaji</v>
          </cell>
          <cell r="E1476">
            <v>605.00099999999998</v>
          </cell>
          <cell r="F1476">
            <v>605001</v>
          </cell>
          <cell r="G1476" t="str">
            <v>Gaji</v>
          </cell>
          <cell r="H1476">
            <v>126194500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126194500</v>
          </cell>
          <cell r="AC1476">
            <v>0</v>
          </cell>
          <cell r="AD1476">
            <v>0</v>
          </cell>
          <cell r="AE1476">
            <v>0</v>
          </cell>
        </row>
        <row r="1477">
          <cell r="B1477">
            <v>605001</v>
          </cell>
          <cell r="C1477" t="str">
            <v>Gaji</v>
          </cell>
          <cell r="D1477" t="str">
            <v>Januari</v>
          </cell>
          <cell r="F1477">
            <v>605001</v>
          </cell>
          <cell r="G1477" t="str">
            <v>Januari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0</v>
          </cell>
          <cell r="AD1477">
            <v>0</v>
          </cell>
          <cell r="AE1477">
            <v>0</v>
          </cell>
        </row>
        <row r="1478">
          <cell r="B1478">
            <v>605001</v>
          </cell>
          <cell r="C1478" t="str">
            <v>Gaji</v>
          </cell>
          <cell r="D1478" t="str">
            <v>Februari</v>
          </cell>
          <cell r="F1478">
            <v>605001</v>
          </cell>
          <cell r="G1478" t="str">
            <v>Februari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0</v>
          </cell>
          <cell r="AC1478">
            <v>0</v>
          </cell>
          <cell r="AD1478">
            <v>0</v>
          </cell>
          <cell r="AE1478">
            <v>0</v>
          </cell>
        </row>
        <row r="1479">
          <cell r="B1479">
            <v>605001</v>
          </cell>
          <cell r="C1479" t="str">
            <v>Gaji</v>
          </cell>
          <cell r="D1479" t="str">
            <v>Maret</v>
          </cell>
          <cell r="F1479">
            <v>605001</v>
          </cell>
          <cell r="G1479" t="str">
            <v>Maret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0</v>
          </cell>
          <cell r="AD1479">
            <v>0</v>
          </cell>
          <cell r="AE1479">
            <v>0</v>
          </cell>
        </row>
        <row r="1480">
          <cell r="B1480">
            <v>605001</v>
          </cell>
          <cell r="C1480" t="str">
            <v>Gaji</v>
          </cell>
          <cell r="D1480" t="str">
            <v>April</v>
          </cell>
          <cell r="F1480">
            <v>605001</v>
          </cell>
          <cell r="G1480" t="str">
            <v>April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</row>
        <row r="1481">
          <cell r="B1481">
            <v>605001</v>
          </cell>
          <cell r="C1481" t="str">
            <v>Gaji</v>
          </cell>
          <cell r="D1481" t="str">
            <v>Mei</v>
          </cell>
          <cell r="F1481">
            <v>605001</v>
          </cell>
          <cell r="G1481" t="str">
            <v>Mei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</row>
        <row r="1482">
          <cell r="B1482">
            <v>605001</v>
          </cell>
          <cell r="C1482" t="str">
            <v>Gaji</v>
          </cell>
          <cell r="D1482" t="str">
            <v>Juni</v>
          </cell>
          <cell r="F1482">
            <v>605001</v>
          </cell>
          <cell r="G1482" t="str">
            <v>Juni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0</v>
          </cell>
          <cell r="AD1482">
            <v>0</v>
          </cell>
          <cell r="AE1482">
            <v>0</v>
          </cell>
        </row>
        <row r="1483">
          <cell r="B1483">
            <v>605001</v>
          </cell>
          <cell r="C1483" t="str">
            <v>Gaji</v>
          </cell>
          <cell r="D1483" t="str">
            <v>Juli</v>
          </cell>
          <cell r="F1483">
            <v>605001</v>
          </cell>
          <cell r="G1483" t="str">
            <v>Juli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</row>
        <row r="1484">
          <cell r="B1484">
            <v>605001</v>
          </cell>
          <cell r="C1484" t="str">
            <v>Gaji</v>
          </cell>
          <cell r="D1484" t="str">
            <v>Agustus</v>
          </cell>
          <cell r="F1484">
            <v>605001</v>
          </cell>
          <cell r="G1484" t="str">
            <v>Agustus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0</v>
          </cell>
          <cell r="AD1484">
            <v>0</v>
          </cell>
          <cell r="AE1484">
            <v>0</v>
          </cell>
        </row>
        <row r="1485">
          <cell r="B1485">
            <v>605001</v>
          </cell>
          <cell r="C1485" t="str">
            <v>Gaji</v>
          </cell>
          <cell r="D1485" t="str">
            <v>September</v>
          </cell>
          <cell r="F1485">
            <v>605001</v>
          </cell>
          <cell r="G1485" t="str">
            <v>September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0</v>
          </cell>
          <cell r="AD1485">
            <v>0</v>
          </cell>
          <cell r="AE1485">
            <v>0</v>
          </cell>
        </row>
        <row r="1486">
          <cell r="B1486">
            <v>605001</v>
          </cell>
          <cell r="C1486" t="str">
            <v>Gaji</v>
          </cell>
          <cell r="D1486" t="str">
            <v>Oktober</v>
          </cell>
          <cell r="F1486">
            <v>605001</v>
          </cell>
          <cell r="G1486" t="str">
            <v>Oktober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</row>
        <row r="1487">
          <cell r="B1487">
            <v>605001</v>
          </cell>
          <cell r="C1487" t="str">
            <v>Gaji</v>
          </cell>
          <cell r="D1487" t="str">
            <v>November</v>
          </cell>
          <cell r="F1487">
            <v>605001</v>
          </cell>
          <cell r="G1487" t="str">
            <v>November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</row>
        <row r="1488">
          <cell r="B1488">
            <v>605001</v>
          </cell>
          <cell r="C1488" t="str">
            <v>Gaji</v>
          </cell>
          <cell r="D1488" t="str">
            <v>Desember</v>
          </cell>
          <cell r="F1488">
            <v>605001</v>
          </cell>
          <cell r="G1488" t="str">
            <v>Desember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</row>
        <row r="1489">
          <cell r="B1489">
            <v>605002</v>
          </cell>
          <cell r="C1489" t="str">
            <v>Tunjangan makan</v>
          </cell>
          <cell r="E1489">
            <v>605.00199999999995</v>
          </cell>
          <cell r="F1489">
            <v>605002</v>
          </cell>
          <cell r="G1489" t="str">
            <v>Tunjangan makan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</row>
        <row r="1490">
          <cell r="B1490">
            <v>605002</v>
          </cell>
          <cell r="C1490" t="str">
            <v>Tunjangan makan</v>
          </cell>
          <cell r="D1490" t="str">
            <v>Januari</v>
          </cell>
          <cell r="F1490">
            <v>605002</v>
          </cell>
          <cell r="G1490" t="str">
            <v>Januari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0</v>
          </cell>
          <cell r="AD1490">
            <v>0</v>
          </cell>
          <cell r="AE1490">
            <v>0</v>
          </cell>
        </row>
        <row r="1491">
          <cell r="B1491">
            <v>605002</v>
          </cell>
          <cell r="C1491" t="str">
            <v>Tunjangan makan</v>
          </cell>
          <cell r="D1491" t="str">
            <v>Februari</v>
          </cell>
          <cell r="F1491">
            <v>605002</v>
          </cell>
          <cell r="G1491" t="str">
            <v>Februari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</row>
        <row r="1492">
          <cell r="B1492">
            <v>605002</v>
          </cell>
          <cell r="C1492" t="str">
            <v>Tunjangan makan</v>
          </cell>
          <cell r="D1492" t="str">
            <v>Maret</v>
          </cell>
          <cell r="F1492">
            <v>605002</v>
          </cell>
          <cell r="G1492" t="str">
            <v>Maret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</row>
        <row r="1493">
          <cell r="B1493">
            <v>605002</v>
          </cell>
          <cell r="C1493" t="str">
            <v>Tunjangan makan</v>
          </cell>
          <cell r="D1493" t="str">
            <v>April</v>
          </cell>
          <cell r="F1493">
            <v>605002</v>
          </cell>
          <cell r="G1493" t="str">
            <v>April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0</v>
          </cell>
          <cell r="AC1493">
            <v>0</v>
          </cell>
          <cell r="AD1493">
            <v>0</v>
          </cell>
          <cell r="AE1493">
            <v>0</v>
          </cell>
        </row>
        <row r="1494">
          <cell r="B1494">
            <v>605002</v>
          </cell>
          <cell r="C1494" t="str">
            <v>Tunjangan makan</v>
          </cell>
          <cell r="D1494" t="str">
            <v>Mei</v>
          </cell>
          <cell r="F1494">
            <v>605002</v>
          </cell>
          <cell r="G1494" t="str">
            <v>Mei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0</v>
          </cell>
          <cell r="AD1494">
            <v>0</v>
          </cell>
          <cell r="AE1494">
            <v>0</v>
          </cell>
        </row>
        <row r="1495">
          <cell r="B1495">
            <v>605002</v>
          </cell>
          <cell r="C1495" t="str">
            <v>Tunjangan makan</v>
          </cell>
          <cell r="D1495" t="str">
            <v>Juni</v>
          </cell>
          <cell r="F1495">
            <v>605002</v>
          </cell>
          <cell r="G1495" t="str">
            <v>Juni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0</v>
          </cell>
          <cell r="AD1495">
            <v>0</v>
          </cell>
          <cell r="AE1495">
            <v>0</v>
          </cell>
        </row>
        <row r="1496">
          <cell r="B1496">
            <v>605002</v>
          </cell>
          <cell r="C1496" t="str">
            <v>Tunjangan makan</v>
          </cell>
          <cell r="D1496" t="str">
            <v>Juli</v>
          </cell>
          <cell r="F1496">
            <v>605002</v>
          </cell>
          <cell r="G1496" t="str">
            <v>Juli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0</v>
          </cell>
          <cell r="AD1496">
            <v>0</v>
          </cell>
          <cell r="AE1496">
            <v>0</v>
          </cell>
        </row>
        <row r="1497">
          <cell r="B1497">
            <v>605002</v>
          </cell>
          <cell r="C1497" t="str">
            <v>Tunjangan makan</v>
          </cell>
          <cell r="D1497" t="str">
            <v>Agustus</v>
          </cell>
          <cell r="F1497">
            <v>605002</v>
          </cell>
          <cell r="G1497" t="str">
            <v>Agustus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0</v>
          </cell>
          <cell r="AD1497">
            <v>0</v>
          </cell>
          <cell r="AE1497">
            <v>0</v>
          </cell>
        </row>
        <row r="1498">
          <cell r="B1498">
            <v>605002</v>
          </cell>
          <cell r="C1498" t="str">
            <v>Tunjangan makan</v>
          </cell>
          <cell r="D1498" t="str">
            <v>September</v>
          </cell>
          <cell r="F1498">
            <v>605002</v>
          </cell>
          <cell r="G1498" t="str">
            <v>September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0</v>
          </cell>
          <cell r="AD1498">
            <v>0</v>
          </cell>
          <cell r="AE1498">
            <v>0</v>
          </cell>
        </row>
        <row r="1499">
          <cell r="B1499">
            <v>605002</v>
          </cell>
          <cell r="C1499" t="str">
            <v>Tunjangan makan</v>
          </cell>
          <cell r="D1499" t="str">
            <v>Oktober</v>
          </cell>
          <cell r="F1499">
            <v>605002</v>
          </cell>
          <cell r="G1499" t="str">
            <v>Oktober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0</v>
          </cell>
          <cell r="AD1499">
            <v>0</v>
          </cell>
          <cell r="AE1499">
            <v>0</v>
          </cell>
        </row>
        <row r="1500">
          <cell r="B1500">
            <v>605002</v>
          </cell>
          <cell r="C1500" t="str">
            <v>Tunjangan makan</v>
          </cell>
          <cell r="D1500" t="str">
            <v>November</v>
          </cell>
          <cell r="F1500">
            <v>605002</v>
          </cell>
          <cell r="G1500" t="str">
            <v>November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0</v>
          </cell>
          <cell r="AD1500">
            <v>0</v>
          </cell>
          <cell r="AE1500">
            <v>0</v>
          </cell>
        </row>
        <row r="1501">
          <cell r="B1501">
            <v>605002</v>
          </cell>
          <cell r="C1501" t="str">
            <v>Tunjangan makan</v>
          </cell>
          <cell r="D1501" t="str">
            <v>Desember</v>
          </cell>
          <cell r="F1501">
            <v>605002</v>
          </cell>
          <cell r="G1501" t="str">
            <v>Desember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0</v>
          </cell>
          <cell r="AE1501">
            <v>0</v>
          </cell>
        </row>
        <row r="1502">
          <cell r="B1502">
            <v>605003</v>
          </cell>
          <cell r="C1502" t="str">
            <v>Lembur</v>
          </cell>
          <cell r="E1502">
            <v>605.00300000000004</v>
          </cell>
          <cell r="F1502">
            <v>605003</v>
          </cell>
          <cell r="G1502" t="str">
            <v>Lembur</v>
          </cell>
          <cell r="H1502">
            <v>12133788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12133788</v>
          </cell>
          <cell r="AC1502">
            <v>0</v>
          </cell>
          <cell r="AD1502">
            <v>0</v>
          </cell>
          <cell r="AE1502">
            <v>0</v>
          </cell>
        </row>
        <row r="1503">
          <cell r="B1503">
            <v>605003</v>
          </cell>
          <cell r="C1503" t="str">
            <v>Lembur</v>
          </cell>
          <cell r="D1503" t="str">
            <v>Januari</v>
          </cell>
          <cell r="F1503">
            <v>605003</v>
          </cell>
          <cell r="G1503" t="str">
            <v>Januari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0</v>
          </cell>
          <cell r="AB1503">
            <v>0</v>
          </cell>
          <cell r="AC1503">
            <v>0</v>
          </cell>
          <cell r="AD1503">
            <v>0</v>
          </cell>
          <cell r="AE1503">
            <v>0</v>
          </cell>
        </row>
        <row r="1504">
          <cell r="B1504">
            <v>605003</v>
          </cell>
          <cell r="C1504" t="str">
            <v>Lembur</v>
          </cell>
          <cell r="D1504" t="str">
            <v>Februari</v>
          </cell>
          <cell r="F1504">
            <v>605003</v>
          </cell>
          <cell r="G1504" t="str">
            <v>Februari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0</v>
          </cell>
          <cell r="AD1504">
            <v>0</v>
          </cell>
          <cell r="AE1504">
            <v>0</v>
          </cell>
        </row>
        <row r="1505">
          <cell r="B1505">
            <v>605003</v>
          </cell>
          <cell r="C1505" t="str">
            <v>Lembur</v>
          </cell>
          <cell r="D1505" t="str">
            <v>Maret</v>
          </cell>
          <cell r="F1505">
            <v>605003</v>
          </cell>
          <cell r="G1505" t="str">
            <v>Maret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</row>
        <row r="1506">
          <cell r="B1506">
            <v>605003</v>
          </cell>
          <cell r="C1506" t="str">
            <v>Lembur</v>
          </cell>
          <cell r="D1506" t="str">
            <v>April</v>
          </cell>
          <cell r="F1506">
            <v>605003</v>
          </cell>
          <cell r="G1506" t="str">
            <v>April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</row>
        <row r="1507">
          <cell r="B1507">
            <v>605003</v>
          </cell>
          <cell r="C1507" t="str">
            <v>Lembur</v>
          </cell>
          <cell r="D1507" t="str">
            <v>Mei</v>
          </cell>
          <cell r="F1507">
            <v>605003</v>
          </cell>
          <cell r="G1507" t="str">
            <v>Mei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</row>
        <row r="1508">
          <cell r="B1508">
            <v>605003</v>
          </cell>
          <cell r="C1508" t="str">
            <v>Lembur</v>
          </cell>
          <cell r="D1508" t="str">
            <v>Juni</v>
          </cell>
          <cell r="F1508">
            <v>605003</v>
          </cell>
          <cell r="G1508" t="str">
            <v>Juni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</row>
        <row r="1509">
          <cell r="B1509">
            <v>605003</v>
          </cell>
          <cell r="C1509" t="str">
            <v>Lembur</v>
          </cell>
          <cell r="D1509" t="str">
            <v>Juli</v>
          </cell>
          <cell r="F1509">
            <v>605003</v>
          </cell>
          <cell r="G1509" t="str">
            <v>Juli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</row>
        <row r="1510">
          <cell r="B1510">
            <v>605003</v>
          </cell>
          <cell r="C1510" t="str">
            <v>Lembur</v>
          </cell>
          <cell r="D1510" t="str">
            <v>Agustus</v>
          </cell>
          <cell r="F1510">
            <v>605003</v>
          </cell>
          <cell r="G1510" t="str">
            <v>Agustus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</row>
        <row r="1511">
          <cell r="B1511">
            <v>605003</v>
          </cell>
          <cell r="C1511" t="str">
            <v>Lembur</v>
          </cell>
          <cell r="D1511" t="str">
            <v>September</v>
          </cell>
          <cell r="F1511">
            <v>605003</v>
          </cell>
          <cell r="G1511" t="str">
            <v>September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0</v>
          </cell>
          <cell r="AD1511">
            <v>0</v>
          </cell>
          <cell r="AE1511">
            <v>0</v>
          </cell>
        </row>
        <row r="1512">
          <cell r="B1512">
            <v>605003</v>
          </cell>
          <cell r="C1512" t="str">
            <v>Lembur</v>
          </cell>
          <cell r="D1512" t="str">
            <v>Oktober</v>
          </cell>
          <cell r="F1512">
            <v>605003</v>
          </cell>
          <cell r="G1512" t="str">
            <v>Oktober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0</v>
          </cell>
          <cell r="AD1512">
            <v>0</v>
          </cell>
          <cell r="AE1512">
            <v>0</v>
          </cell>
        </row>
        <row r="1513">
          <cell r="B1513">
            <v>605003</v>
          </cell>
          <cell r="C1513" t="str">
            <v>Lembur</v>
          </cell>
          <cell r="D1513" t="str">
            <v>November</v>
          </cell>
          <cell r="F1513">
            <v>605003</v>
          </cell>
          <cell r="G1513" t="str">
            <v>November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0</v>
          </cell>
          <cell r="AD1513">
            <v>0</v>
          </cell>
          <cell r="AE1513">
            <v>0</v>
          </cell>
        </row>
        <row r="1514">
          <cell r="B1514">
            <v>605003</v>
          </cell>
          <cell r="C1514" t="str">
            <v>Lembur</v>
          </cell>
          <cell r="D1514" t="str">
            <v>Desember</v>
          </cell>
          <cell r="F1514">
            <v>605003</v>
          </cell>
          <cell r="G1514" t="str">
            <v>Desember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</row>
        <row r="1515">
          <cell r="B1515">
            <v>605004</v>
          </cell>
          <cell r="C1515" t="str">
            <v>THR</v>
          </cell>
          <cell r="E1515">
            <v>605.00400000000002</v>
          </cell>
          <cell r="F1515">
            <v>605004</v>
          </cell>
          <cell r="G1515" t="str">
            <v>THR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0</v>
          </cell>
          <cell r="AD1515">
            <v>0</v>
          </cell>
          <cell r="AE1515">
            <v>0</v>
          </cell>
        </row>
        <row r="1516">
          <cell r="B1516">
            <v>605004</v>
          </cell>
          <cell r="C1516" t="str">
            <v>THR</v>
          </cell>
          <cell r="D1516" t="str">
            <v>Januari</v>
          </cell>
          <cell r="F1516">
            <v>605004</v>
          </cell>
          <cell r="G1516" t="str">
            <v>Januari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</row>
        <row r="1517">
          <cell r="B1517">
            <v>605004</v>
          </cell>
          <cell r="C1517" t="str">
            <v>THR</v>
          </cell>
          <cell r="D1517" t="str">
            <v>Februari</v>
          </cell>
          <cell r="F1517">
            <v>605004</v>
          </cell>
          <cell r="G1517" t="str">
            <v>Februari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0</v>
          </cell>
          <cell r="AC1517">
            <v>0</v>
          </cell>
          <cell r="AD1517">
            <v>0</v>
          </cell>
          <cell r="AE1517">
            <v>0</v>
          </cell>
        </row>
        <row r="1518">
          <cell r="B1518">
            <v>605004</v>
          </cell>
          <cell r="C1518" t="str">
            <v>THR</v>
          </cell>
          <cell r="D1518" t="str">
            <v>Maret</v>
          </cell>
          <cell r="F1518">
            <v>605004</v>
          </cell>
          <cell r="G1518" t="str">
            <v>Maret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0</v>
          </cell>
          <cell r="AC1518">
            <v>0</v>
          </cell>
          <cell r="AD1518">
            <v>0</v>
          </cell>
          <cell r="AE1518">
            <v>0</v>
          </cell>
        </row>
        <row r="1519">
          <cell r="B1519">
            <v>605004</v>
          </cell>
          <cell r="C1519" t="str">
            <v>THR</v>
          </cell>
          <cell r="D1519" t="str">
            <v>April</v>
          </cell>
          <cell r="F1519">
            <v>605004</v>
          </cell>
          <cell r="G1519" t="str">
            <v>April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0</v>
          </cell>
          <cell r="AC1519">
            <v>0</v>
          </cell>
          <cell r="AD1519">
            <v>0</v>
          </cell>
          <cell r="AE1519">
            <v>0</v>
          </cell>
        </row>
        <row r="1520">
          <cell r="B1520">
            <v>605004</v>
          </cell>
          <cell r="C1520" t="str">
            <v>THR</v>
          </cell>
          <cell r="D1520" t="str">
            <v>Mei</v>
          </cell>
          <cell r="F1520">
            <v>605004</v>
          </cell>
          <cell r="G1520" t="str">
            <v>Mei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0</v>
          </cell>
          <cell r="AD1520">
            <v>0</v>
          </cell>
          <cell r="AE1520">
            <v>0</v>
          </cell>
        </row>
        <row r="1521">
          <cell r="B1521">
            <v>605004</v>
          </cell>
          <cell r="C1521" t="str">
            <v>THR</v>
          </cell>
          <cell r="D1521" t="str">
            <v>Juni</v>
          </cell>
          <cell r="F1521">
            <v>605004</v>
          </cell>
          <cell r="G1521" t="str">
            <v>Juni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0</v>
          </cell>
          <cell r="AD1521">
            <v>0</v>
          </cell>
          <cell r="AE1521">
            <v>0</v>
          </cell>
        </row>
        <row r="1522">
          <cell r="B1522">
            <v>605004</v>
          </cell>
          <cell r="C1522" t="str">
            <v>THR</v>
          </cell>
          <cell r="D1522" t="str">
            <v>Juli</v>
          </cell>
          <cell r="F1522">
            <v>605004</v>
          </cell>
          <cell r="G1522" t="str">
            <v>Juli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0</v>
          </cell>
          <cell r="AD1522">
            <v>0</v>
          </cell>
          <cell r="AE1522">
            <v>0</v>
          </cell>
        </row>
        <row r="1523">
          <cell r="B1523">
            <v>605004</v>
          </cell>
          <cell r="C1523" t="str">
            <v>THR</v>
          </cell>
          <cell r="D1523" t="str">
            <v>Agustus</v>
          </cell>
          <cell r="F1523">
            <v>605004</v>
          </cell>
          <cell r="G1523" t="str">
            <v>Agustus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0</v>
          </cell>
          <cell r="AD1523">
            <v>0</v>
          </cell>
          <cell r="AE1523">
            <v>0</v>
          </cell>
        </row>
        <row r="1524">
          <cell r="B1524">
            <v>605004</v>
          </cell>
          <cell r="C1524" t="str">
            <v>THR</v>
          </cell>
          <cell r="D1524" t="str">
            <v>September</v>
          </cell>
          <cell r="F1524">
            <v>605004</v>
          </cell>
          <cell r="G1524" t="str">
            <v>September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</row>
        <row r="1525">
          <cell r="B1525">
            <v>605004</v>
          </cell>
          <cell r="C1525" t="str">
            <v>THR</v>
          </cell>
          <cell r="D1525" t="str">
            <v>Oktober</v>
          </cell>
          <cell r="F1525">
            <v>605004</v>
          </cell>
          <cell r="G1525" t="str">
            <v>Oktober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</row>
        <row r="1526">
          <cell r="B1526">
            <v>605004</v>
          </cell>
          <cell r="C1526" t="str">
            <v>THR</v>
          </cell>
          <cell r="D1526" t="str">
            <v>November</v>
          </cell>
          <cell r="F1526">
            <v>605004</v>
          </cell>
          <cell r="G1526" t="str">
            <v>November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</row>
        <row r="1527">
          <cell r="B1527">
            <v>605004</v>
          </cell>
          <cell r="C1527" t="str">
            <v>THR</v>
          </cell>
          <cell r="D1527" t="str">
            <v>Desember</v>
          </cell>
          <cell r="F1527">
            <v>605004</v>
          </cell>
          <cell r="G1527" t="str">
            <v>Desember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</row>
        <row r="1528">
          <cell r="B1528">
            <v>605005</v>
          </cell>
          <cell r="C1528" t="str">
            <v>Astek</v>
          </cell>
          <cell r="E1528">
            <v>605.005</v>
          </cell>
          <cell r="F1528">
            <v>605005</v>
          </cell>
          <cell r="G1528" t="str">
            <v>Astek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</row>
        <row r="1529">
          <cell r="B1529">
            <v>605005</v>
          </cell>
          <cell r="C1529" t="str">
            <v>Astek</v>
          </cell>
          <cell r="D1529" t="str">
            <v>Januari</v>
          </cell>
          <cell r="F1529">
            <v>605005</v>
          </cell>
          <cell r="G1529" t="str">
            <v>Januari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</row>
        <row r="1530">
          <cell r="B1530">
            <v>605005</v>
          </cell>
          <cell r="C1530" t="str">
            <v>Astek</v>
          </cell>
          <cell r="D1530" t="str">
            <v>Februari</v>
          </cell>
          <cell r="F1530">
            <v>605005</v>
          </cell>
          <cell r="G1530" t="str">
            <v>Februari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</row>
        <row r="1531">
          <cell r="B1531">
            <v>605005</v>
          </cell>
          <cell r="C1531" t="str">
            <v>Astek</v>
          </cell>
          <cell r="D1531" t="str">
            <v>Maret</v>
          </cell>
          <cell r="F1531">
            <v>605005</v>
          </cell>
          <cell r="G1531" t="str">
            <v>Maret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</row>
        <row r="1532">
          <cell r="B1532">
            <v>605005</v>
          </cell>
          <cell r="C1532" t="str">
            <v>Astek</v>
          </cell>
          <cell r="D1532" t="str">
            <v>April</v>
          </cell>
          <cell r="F1532">
            <v>605005</v>
          </cell>
          <cell r="G1532" t="str">
            <v>April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</row>
        <row r="1533">
          <cell r="B1533">
            <v>605005</v>
          </cell>
          <cell r="C1533" t="str">
            <v>Astek</v>
          </cell>
          <cell r="D1533" t="str">
            <v>Mei</v>
          </cell>
          <cell r="F1533">
            <v>605005</v>
          </cell>
          <cell r="G1533" t="str">
            <v>Mei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</row>
        <row r="1534">
          <cell r="B1534">
            <v>605005</v>
          </cell>
          <cell r="C1534" t="str">
            <v>Astek</v>
          </cell>
          <cell r="D1534" t="str">
            <v>Juni</v>
          </cell>
          <cell r="F1534">
            <v>605005</v>
          </cell>
          <cell r="G1534" t="str">
            <v>Juni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</row>
        <row r="1535">
          <cell r="B1535">
            <v>605005</v>
          </cell>
          <cell r="C1535" t="str">
            <v>Astek</v>
          </cell>
          <cell r="D1535" t="str">
            <v>Juli</v>
          </cell>
          <cell r="F1535">
            <v>605005</v>
          </cell>
          <cell r="G1535" t="str">
            <v>Juli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</row>
        <row r="1536">
          <cell r="B1536">
            <v>605005</v>
          </cell>
          <cell r="C1536" t="str">
            <v>Astek</v>
          </cell>
          <cell r="D1536" t="str">
            <v>Agustus</v>
          </cell>
          <cell r="F1536">
            <v>605005</v>
          </cell>
          <cell r="G1536" t="str">
            <v>Agustus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</row>
        <row r="1537">
          <cell r="B1537">
            <v>605005</v>
          </cell>
          <cell r="C1537" t="str">
            <v>Astek</v>
          </cell>
          <cell r="D1537" t="str">
            <v>September</v>
          </cell>
          <cell r="F1537">
            <v>605005</v>
          </cell>
          <cell r="G1537" t="str">
            <v>September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</row>
        <row r="1538">
          <cell r="B1538">
            <v>605005</v>
          </cell>
          <cell r="C1538" t="str">
            <v>Astek</v>
          </cell>
          <cell r="D1538" t="str">
            <v>Oktober</v>
          </cell>
          <cell r="F1538">
            <v>605005</v>
          </cell>
          <cell r="G1538" t="str">
            <v>Oktober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</row>
        <row r="1539">
          <cell r="B1539">
            <v>605005</v>
          </cell>
          <cell r="C1539" t="str">
            <v>Astek</v>
          </cell>
          <cell r="D1539" t="str">
            <v>November</v>
          </cell>
          <cell r="F1539">
            <v>605005</v>
          </cell>
          <cell r="G1539" t="str">
            <v>November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</row>
        <row r="1540">
          <cell r="B1540">
            <v>605005</v>
          </cell>
          <cell r="C1540" t="str">
            <v>Astek</v>
          </cell>
          <cell r="D1540" t="str">
            <v>Desember</v>
          </cell>
          <cell r="F1540">
            <v>605005</v>
          </cell>
          <cell r="G1540" t="str">
            <v>Desember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</row>
        <row r="1541">
          <cell r="B1541">
            <v>605007</v>
          </cell>
          <cell r="C1541" t="str">
            <v>Telpon</v>
          </cell>
          <cell r="E1541">
            <v>605.00699999999995</v>
          </cell>
          <cell r="F1541">
            <v>605007</v>
          </cell>
          <cell r="G1541" t="str">
            <v>Telpon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</row>
        <row r="1542">
          <cell r="B1542">
            <v>605007</v>
          </cell>
          <cell r="C1542" t="str">
            <v>Telpon</v>
          </cell>
          <cell r="D1542" t="str">
            <v>Januari</v>
          </cell>
          <cell r="F1542">
            <v>605007</v>
          </cell>
          <cell r="G1542" t="str">
            <v>Januari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</row>
        <row r="1543">
          <cell r="B1543">
            <v>605007</v>
          </cell>
          <cell r="C1543" t="str">
            <v>Telpon</v>
          </cell>
          <cell r="D1543" t="str">
            <v>Februari</v>
          </cell>
          <cell r="F1543">
            <v>605007</v>
          </cell>
          <cell r="G1543" t="str">
            <v>Februari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</row>
        <row r="1544">
          <cell r="B1544">
            <v>605007</v>
          </cell>
          <cell r="C1544" t="str">
            <v>Telpon</v>
          </cell>
          <cell r="D1544" t="str">
            <v>Maret</v>
          </cell>
          <cell r="F1544">
            <v>605007</v>
          </cell>
          <cell r="G1544" t="str">
            <v>Maret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</row>
        <row r="1545">
          <cell r="B1545">
            <v>605007</v>
          </cell>
          <cell r="C1545" t="str">
            <v>Telpon</v>
          </cell>
          <cell r="D1545" t="str">
            <v>April</v>
          </cell>
          <cell r="F1545">
            <v>605007</v>
          </cell>
          <cell r="G1545" t="str">
            <v>April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</row>
        <row r="1546">
          <cell r="B1546">
            <v>605007</v>
          </cell>
          <cell r="C1546" t="str">
            <v>Telpon</v>
          </cell>
          <cell r="D1546" t="str">
            <v>Mei</v>
          </cell>
          <cell r="F1546">
            <v>605007</v>
          </cell>
          <cell r="G1546" t="str">
            <v>Mei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</row>
        <row r="1547">
          <cell r="B1547">
            <v>605007</v>
          </cell>
          <cell r="C1547" t="str">
            <v>Telpon</v>
          </cell>
          <cell r="D1547" t="str">
            <v>Juni</v>
          </cell>
          <cell r="F1547">
            <v>605007</v>
          </cell>
          <cell r="G1547" t="str">
            <v>Juni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</row>
        <row r="1548">
          <cell r="B1548">
            <v>605007</v>
          </cell>
          <cell r="C1548" t="str">
            <v>Telpon</v>
          </cell>
          <cell r="D1548" t="str">
            <v>Juli</v>
          </cell>
          <cell r="F1548">
            <v>605007</v>
          </cell>
          <cell r="G1548" t="str">
            <v>Juli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</row>
        <row r="1549">
          <cell r="B1549">
            <v>605007</v>
          </cell>
          <cell r="C1549" t="str">
            <v>Telpon</v>
          </cell>
          <cell r="D1549" t="str">
            <v>Agustus</v>
          </cell>
          <cell r="F1549">
            <v>605007</v>
          </cell>
          <cell r="G1549" t="str">
            <v>Agustus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</row>
        <row r="1550">
          <cell r="B1550">
            <v>605007</v>
          </cell>
          <cell r="C1550" t="str">
            <v>Telpon</v>
          </cell>
          <cell r="D1550" t="str">
            <v>September</v>
          </cell>
          <cell r="F1550">
            <v>605007</v>
          </cell>
          <cell r="G1550" t="str">
            <v>September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</row>
        <row r="1551">
          <cell r="B1551">
            <v>605007</v>
          </cell>
          <cell r="C1551" t="str">
            <v>Telpon</v>
          </cell>
          <cell r="D1551" t="str">
            <v>Oktober</v>
          </cell>
          <cell r="F1551">
            <v>605007</v>
          </cell>
          <cell r="G1551" t="str">
            <v>Oktober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</row>
        <row r="1552">
          <cell r="B1552">
            <v>605007</v>
          </cell>
          <cell r="C1552" t="str">
            <v>Telpon</v>
          </cell>
          <cell r="D1552" t="str">
            <v>November</v>
          </cell>
          <cell r="F1552">
            <v>605007</v>
          </cell>
          <cell r="G1552" t="str">
            <v>November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</row>
        <row r="1553">
          <cell r="B1553">
            <v>605007</v>
          </cell>
          <cell r="C1553" t="str">
            <v>Telpon</v>
          </cell>
          <cell r="D1553" t="str">
            <v>Desember</v>
          </cell>
          <cell r="F1553">
            <v>605007</v>
          </cell>
          <cell r="G1553" t="str">
            <v>Desember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</row>
        <row r="1554">
          <cell r="B1554">
            <v>605008</v>
          </cell>
          <cell r="C1554" t="str">
            <v>Listrik</v>
          </cell>
          <cell r="E1554">
            <v>605.00800000000004</v>
          </cell>
          <cell r="F1554">
            <v>605008</v>
          </cell>
          <cell r="G1554" t="str">
            <v>Listrik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</row>
        <row r="1555">
          <cell r="B1555">
            <v>605008</v>
          </cell>
          <cell r="C1555" t="str">
            <v>Listrik</v>
          </cell>
          <cell r="D1555" t="str">
            <v>Januari</v>
          </cell>
          <cell r="F1555">
            <v>605008</v>
          </cell>
          <cell r="G1555" t="str">
            <v>Januari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</row>
        <row r="1556">
          <cell r="B1556">
            <v>605008</v>
          </cell>
          <cell r="C1556" t="str">
            <v>Listrik</v>
          </cell>
          <cell r="D1556" t="str">
            <v>Februari</v>
          </cell>
          <cell r="F1556">
            <v>605008</v>
          </cell>
          <cell r="G1556" t="str">
            <v>Februari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</row>
        <row r="1557">
          <cell r="B1557">
            <v>605008</v>
          </cell>
          <cell r="C1557" t="str">
            <v>Listrik</v>
          </cell>
          <cell r="D1557" t="str">
            <v>Maret</v>
          </cell>
          <cell r="F1557">
            <v>605008</v>
          </cell>
          <cell r="G1557" t="str">
            <v>Maret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</row>
        <row r="1558">
          <cell r="B1558">
            <v>605008</v>
          </cell>
          <cell r="C1558" t="str">
            <v>Listrik</v>
          </cell>
          <cell r="D1558" t="str">
            <v>April</v>
          </cell>
          <cell r="F1558">
            <v>605008</v>
          </cell>
          <cell r="G1558" t="str">
            <v>April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</row>
        <row r="1559">
          <cell r="B1559">
            <v>605008</v>
          </cell>
          <cell r="C1559" t="str">
            <v>Listrik</v>
          </cell>
          <cell r="D1559" t="str">
            <v>Mei</v>
          </cell>
          <cell r="F1559">
            <v>605008</v>
          </cell>
          <cell r="G1559" t="str">
            <v>Mei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0</v>
          </cell>
          <cell r="AE1559">
            <v>0</v>
          </cell>
        </row>
        <row r="1560">
          <cell r="B1560">
            <v>605008</v>
          </cell>
          <cell r="C1560" t="str">
            <v>Listrik</v>
          </cell>
          <cell r="D1560" t="str">
            <v>Juni</v>
          </cell>
          <cell r="F1560">
            <v>605008</v>
          </cell>
          <cell r="G1560" t="str">
            <v>Juni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0</v>
          </cell>
          <cell r="AE1560">
            <v>0</v>
          </cell>
        </row>
        <row r="1561">
          <cell r="B1561">
            <v>605008</v>
          </cell>
          <cell r="C1561" t="str">
            <v>Listrik</v>
          </cell>
          <cell r="D1561" t="str">
            <v>Juli</v>
          </cell>
          <cell r="F1561">
            <v>605008</v>
          </cell>
          <cell r="G1561" t="str">
            <v>Juli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0</v>
          </cell>
          <cell r="AD1561">
            <v>0</v>
          </cell>
          <cell r="AE1561">
            <v>0</v>
          </cell>
        </row>
        <row r="1562">
          <cell r="B1562">
            <v>605008</v>
          </cell>
          <cell r="C1562" t="str">
            <v>Listrik</v>
          </cell>
          <cell r="D1562" t="str">
            <v>Agustus</v>
          </cell>
          <cell r="F1562">
            <v>605008</v>
          </cell>
          <cell r="G1562" t="str">
            <v>Agustus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0</v>
          </cell>
          <cell r="AD1562">
            <v>0</v>
          </cell>
          <cell r="AE1562">
            <v>0</v>
          </cell>
        </row>
        <row r="1563">
          <cell r="B1563">
            <v>605008</v>
          </cell>
          <cell r="C1563" t="str">
            <v>Listrik</v>
          </cell>
          <cell r="D1563" t="str">
            <v>September</v>
          </cell>
          <cell r="F1563">
            <v>605008</v>
          </cell>
          <cell r="G1563" t="str">
            <v>September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0</v>
          </cell>
          <cell r="AD1563">
            <v>0</v>
          </cell>
          <cell r="AE1563">
            <v>0</v>
          </cell>
        </row>
        <row r="1564">
          <cell r="B1564">
            <v>605008</v>
          </cell>
          <cell r="C1564" t="str">
            <v>Listrik</v>
          </cell>
          <cell r="D1564" t="str">
            <v>Oktober</v>
          </cell>
          <cell r="F1564">
            <v>605008</v>
          </cell>
          <cell r="G1564" t="str">
            <v>Oktober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0</v>
          </cell>
          <cell r="AE1564">
            <v>0</v>
          </cell>
        </row>
        <row r="1565">
          <cell r="B1565">
            <v>605008</v>
          </cell>
          <cell r="C1565" t="str">
            <v>Listrik</v>
          </cell>
          <cell r="D1565" t="str">
            <v>November</v>
          </cell>
          <cell r="F1565">
            <v>605008</v>
          </cell>
          <cell r="G1565" t="str">
            <v>November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0</v>
          </cell>
          <cell r="AC1565">
            <v>0</v>
          </cell>
          <cell r="AD1565">
            <v>0</v>
          </cell>
          <cell r="AE1565">
            <v>0</v>
          </cell>
        </row>
        <row r="1566">
          <cell r="B1566">
            <v>605008</v>
          </cell>
          <cell r="C1566" t="str">
            <v>Listrik</v>
          </cell>
          <cell r="D1566" t="str">
            <v>Desember</v>
          </cell>
          <cell r="F1566">
            <v>605008</v>
          </cell>
          <cell r="G1566" t="str">
            <v>Desember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</row>
        <row r="1567">
          <cell r="B1567">
            <v>605009</v>
          </cell>
          <cell r="C1567" t="str">
            <v>Penyusutan Peralatan</v>
          </cell>
          <cell r="E1567">
            <v>605.00900000000001</v>
          </cell>
          <cell r="F1567">
            <v>605009</v>
          </cell>
          <cell r="G1567" t="str">
            <v>Penyusutan Peralatan</v>
          </cell>
          <cell r="H1567">
            <v>84685593.701781005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84685593.701781005</v>
          </cell>
          <cell r="AC1567">
            <v>0</v>
          </cell>
          <cell r="AD1567">
            <v>0</v>
          </cell>
          <cell r="AE1567">
            <v>0</v>
          </cell>
        </row>
        <row r="1568">
          <cell r="B1568">
            <v>605009</v>
          </cell>
          <cell r="C1568" t="str">
            <v>Penyusutan Peralatan</v>
          </cell>
          <cell r="D1568" t="str">
            <v>Januari</v>
          </cell>
          <cell r="F1568">
            <v>605009</v>
          </cell>
          <cell r="G1568" t="str">
            <v>Januari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</row>
        <row r="1569">
          <cell r="B1569">
            <v>605009</v>
          </cell>
          <cell r="C1569" t="str">
            <v>Penyusutan Peralatan</v>
          </cell>
          <cell r="D1569" t="str">
            <v>Februari</v>
          </cell>
          <cell r="F1569">
            <v>605009</v>
          </cell>
          <cell r="G1569" t="str">
            <v>Februari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0</v>
          </cell>
          <cell r="AD1569">
            <v>0</v>
          </cell>
          <cell r="AE1569">
            <v>0</v>
          </cell>
        </row>
        <row r="1570">
          <cell r="B1570">
            <v>605009</v>
          </cell>
          <cell r="C1570" t="str">
            <v>Penyusutan Peralatan</v>
          </cell>
          <cell r="D1570" t="str">
            <v>Maret</v>
          </cell>
          <cell r="F1570">
            <v>605009</v>
          </cell>
          <cell r="G1570" t="str">
            <v>Maret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0</v>
          </cell>
          <cell r="AD1570">
            <v>0</v>
          </cell>
          <cell r="AE1570">
            <v>0</v>
          </cell>
        </row>
        <row r="1571">
          <cell r="B1571">
            <v>605009</v>
          </cell>
          <cell r="C1571" t="str">
            <v>Penyusutan Peralatan</v>
          </cell>
          <cell r="D1571" t="str">
            <v>April</v>
          </cell>
          <cell r="F1571">
            <v>605009</v>
          </cell>
          <cell r="G1571" t="str">
            <v>April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0</v>
          </cell>
          <cell r="AD1571">
            <v>0</v>
          </cell>
          <cell r="AE1571">
            <v>0</v>
          </cell>
        </row>
        <row r="1572">
          <cell r="B1572">
            <v>605009</v>
          </cell>
          <cell r="C1572" t="str">
            <v>Penyusutan Peralatan</v>
          </cell>
          <cell r="D1572" t="str">
            <v>Mei</v>
          </cell>
          <cell r="F1572">
            <v>605009</v>
          </cell>
          <cell r="G1572" t="str">
            <v>Mei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0</v>
          </cell>
          <cell r="AC1572">
            <v>0</v>
          </cell>
          <cell r="AD1572">
            <v>0</v>
          </cell>
          <cell r="AE1572">
            <v>0</v>
          </cell>
        </row>
        <row r="1573">
          <cell r="B1573">
            <v>605009</v>
          </cell>
          <cell r="C1573" t="str">
            <v>Penyusutan Peralatan</v>
          </cell>
          <cell r="D1573" t="str">
            <v>Juni</v>
          </cell>
          <cell r="F1573">
            <v>605009</v>
          </cell>
          <cell r="G1573" t="str">
            <v>Juni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0</v>
          </cell>
          <cell r="AE1573">
            <v>0</v>
          </cell>
        </row>
        <row r="1574">
          <cell r="B1574">
            <v>605009</v>
          </cell>
          <cell r="C1574" t="str">
            <v>Penyusutan Peralatan</v>
          </cell>
          <cell r="D1574" t="str">
            <v>Juli</v>
          </cell>
          <cell r="F1574">
            <v>605009</v>
          </cell>
          <cell r="G1574" t="str">
            <v>Juli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0</v>
          </cell>
          <cell r="AD1574">
            <v>0</v>
          </cell>
          <cell r="AE1574">
            <v>0</v>
          </cell>
        </row>
        <row r="1575">
          <cell r="B1575">
            <v>605009</v>
          </cell>
          <cell r="C1575" t="str">
            <v>Penyusutan Peralatan</v>
          </cell>
          <cell r="D1575" t="str">
            <v>Agustus</v>
          </cell>
          <cell r="F1575">
            <v>605009</v>
          </cell>
          <cell r="G1575" t="str">
            <v>Agustus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0</v>
          </cell>
          <cell r="AE1575">
            <v>0</v>
          </cell>
        </row>
        <row r="1576">
          <cell r="B1576">
            <v>605009</v>
          </cell>
          <cell r="C1576" t="str">
            <v>Penyusutan Peralatan</v>
          </cell>
          <cell r="D1576" t="str">
            <v>September</v>
          </cell>
          <cell r="F1576">
            <v>605009</v>
          </cell>
          <cell r="G1576" t="str">
            <v>September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0</v>
          </cell>
          <cell r="AD1576">
            <v>0</v>
          </cell>
          <cell r="AE1576">
            <v>0</v>
          </cell>
        </row>
        <row r="1577">
          <cell r="B1577">
            <v>605009</v>
          </cell>
          <cell r="C1577" t="str">
            <v>Penyusutan Peralatan</v>
          </cell>
          <cell r="D1577" t="str">
            <v>Oktober</v>
          </cell>
          <cell r="F1577">
            <v>605009</v>
          </cell>
          <cell r="G1577" t="str">
            <v>Oktober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0</v>
          </cell>
          <cell r="AD1577">
            <v>0</v>
          </cell>
          <cell r="AE1577">
            <v>0</v>
          </cell>
        </row>
        <row r="1578">
          <cell r="B1578">
            <v>605009</v>
          </cell>
          <cell r="C1578" t="str">
            <v>Penyusutan Peralatan</v>
          </cell>
          <cell r="D1578" t="str">
            <v>November</v>
          </cell>
          <cell r="F1578">
            <v>605009</v>
          </cell>
          <cell r="G1578" t="str">
            <v>November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0</v>
          </cell>
          <cell r="AD1578">
            <v>0</v>
          </cell>
          <cell r="AE1578">
            <v>0</v>
          </cell>
        </row>
        <row r="1579">
          <cell r="B1579">
            <v>605009</v>
          </cell>
          <cell r="C1579" t="str">
            <v>Penyusutan Peralatan</v>
          </cell>
          <cell r="D1579" t="str">
            <v>Desember</v>
          </cell>
          <cell r="F1579">
            <v>605009</v>
          </cell>
          <cell r="G1579" t="str">
            <v>Desember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</row>
        <row r="1580">
          <cell r="B1580">
            <v>605010</v>
          </cell>
          <cell r="C1580" t="str">
            <v>Kantong Plastik</v>
          </cell>
          <cell r="E1580">
            <v>605.01</v>
          </cell>
          <cell r="F1580">
            <v>605010</v>
          </cell>
          <cell r="G1580" t="str">
            <v>Kantong Plastik</v>
          </cell>
          <cell r="H1580">
            <v>22500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22500</v>
          </cell>
          <cell r="AC1580">
            <v>0</v>
          </cell>
          <cell r="AD1580">
            <v>0</v>
          </cell>
          <cell r="AE1580">
            <v>0</v>
          </cell>
        </row>
        <row r="1581">
          <cell r="B1581">
            <v>605010</v>
          </cell>
          <cell r="C1581" t="str">
            <v>Kantong Plastik</v>
          </cell>
          <cell r="D1581" t="str">
            <v>Januari</v>
          </cell>
          <cell r="F1581">
            <v>605010</v>
          </cell>
          <cell r="G1581" t="str">
            <v>Januari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0</v>
          </cell>
          <cell r="AE1581">
            <v>0</v>
          </cell>
        </row>
        <row r="1582">
          <cell r="B1582">
            <v>605010</v>
          </cell>
          <cell r="C1582" t="str">
            <v>Kantong Plastik</v>
          </cell>
          <cell r="D1582" t="str">
            <v>Februari</v>
          </cell>
          <cell r="F1582">
            <v>605010</v>
          </cell>
          <cell r="G1582" t="str">
            <v>Februari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0</v>
          </cell>
          <cell r="AC1582">
            <v>0</v>
          </cell>
          <cell r="AD1582">
            <v>0</v>
          </cell>
          <cell r="AE1582">
            <v>0</v>
          </cell>
        </row>
        <row r="1583">
          <cell r="B1583">
            <v>605010</v>
          </cell>
          <cell r="C1583" t="str">
            <v>Kantong Plastik</v>
          </cell>
          <cell r="D1583" t="str">
            <v>Maret</v>
          </cell>
          <cell r="F1583">
            <v>605010</v>
          </cell>
          <cell r="G1583" t="str">
            <v>Maret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0</v>
          </cell>
          <cell r="AD1583">
            <v>0</v>
          </cell>
          <cell r="AE1583">
            <v>0</v>
          </cell>
        </row>
        <row r="1584">
          <cell r="B1584">
            <v>605010</v>
          </cell>
          <cell r="C1584" t="str">
            <v>Kantong Plastik</v>
          </cell>
          <cell r="D1584" t="str">
            <v>April</v>
          </cell>
          <cell r="F1584">
            <v>605010</v>
          </cell>
          <cell r="G1584" t="str">
            <v>April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</row>
        <row r="1585">
          <cell r="B1585">
            <v>605010</v>
          </cell>
          <cell r="C1585" t="str">
            <v>Kantong Plastik</v>
          </cell>
          <cell r="D1585" t="str">
            <v>Mei</v>
          </cell>
          <cell r="F1585">
            <v>605010</v>
          </cell>
          <cell r="G1585" t="str">
            <v>Mei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0</v>
          </cell>
          <cell r="AE1585">
            <v>0</v>
          </cell>
        </row>
        <row r="1586">
          <cell r="B1586">
            <v>605010</v>
          </cell>
          <cell r="C1586" t="str">
            <v>Kantong Plastik</v>
          </cell>
          <cell r="D1586" t="str">
            <v>Juni</v>
          </cell>
          <cell r="F1586">
            <v>605010</v>
          </cell>
          <cell r="G1586" t="str">
            <v>Juni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0</v>
          </cell>
          <cell r="AD1586">
            <v>0</v>
          </cell>
          <cell r="AE1586">
            <v>0</v>
          </cell>
        </row>
        <row r="1587">
          <cell r="B1587">
            <v>605010</v>
          </cell>
          <cell r="C1587" t="str">
            <v>Kantong Plastik</v>
          </cell>
          <cell r="D1587" t="str">
            <v>Juli</v>
          </cell>
          <cell r="F1587">
            <v>605010</v>
          </cell>
          <cell r="G1587" t="str">
            <v>Juli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0</v>
          </cell>
          <cell r="AD1587">
            <v>0</v>
          </cell>
          <cell r="AE1587">
            <v>0</v>
          </cell>
        </row>
        <row r="1588">
          <cell r="B1588">
            <v>605010</v>
          </cell>
          <cell r="C1588" t="str">
            <v>Kantong Plastik</v>
          </cell>
          <cell r="D1588" t="str">
            <v>Agustus</v>
          </cell>
          <cell r="F1588">
            <v>605010</v>
          </cell>
          <cell r="G1588" t="str">
            <v>Agustus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0</v>
          </cell>
          <cell r="AD1588">
            <v>0</v>
          </cell>
          <cell r="AE1588">
            <v>0</v>
          </cell>
        </row>
        <row r="1589">
          <cell r="B1589">
            <v>605010</v>
          </cell>
          <cell r="C1589" t="str">
            <v>Kantong Plastik</v>
          </cell>
          <cell r="D1589" t="str">
            <v>September</v>
          </cell>
          <cell r="F1589">
            <v>605010</v>
          </cell>
          <cell r="G1589" t="str">
            <v>September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</row>
        <row r="1590">
          <cell r="B1590">
            <v>605010</v>
          </cell>
          <cell r="C1590" t="str">
            <v>Kantong Plastik</v>
          </cell>
          <cell r="D1590" t="str">
            <v>Oktober</v>
          </cell>
          <cell r="F1590">
            <v>605010</v>
          </cell>
          <cell r="G1590" t="str">
            <v>Oktober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0</v>
          </cell>
          <cell r="AD1590">
            <v>0</v>
          </cell>
          <cell r="AE1590">
            <v>0</v>
          </cell>
        </row>
        <row r="1591">
          <cell r="B1591">
            <v>605010</v>
          </cell>
          <cell r="C1591" t="str">
            <v>Kantong Plastik</v>
          </cell>
          <cell r="D1591" t="str">
            <v>November</v>
          </cell>
          <cell r="F1591">
            <v>605010</v>
          </cell>
          <cell r="G1591" t="str">
            <v>November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0</v>
          </cell>
          <cell r="AD1591">
            <v>0</v>
          </cell>
          <cell r="AE1591">
            <v>0</v>
          </cell>
        </row>
        <row r="1592">
          <cell r="B1592">
            <v>605010</v>
          </cell>
          <cell r="C1592" t="str">
            <v>Kantong Plastik</v>
          </cell>
          <cell r="D1592" t="str">
            <v>Desember</v>
          </cell>
          <cell r="F1592">
            <v>605010</v>
          </cell>
          <cell r="G1592" t="str">
            <v>Desember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0</v>
          </cell>
          <cell r="AD1592">
            <v>0</v>
          </cell>
          <cell r="AE1592">
            <v>0</v>
          </cell>
        </row>
        <row r="1593">
          <cell r="B1593">
            <v>605011</v>
          </cell>
          <cell r="C1593" t="str">
            <v xml:space="preserve">Material </v>
          </cell>
          <cell r="E1593">
            <v>605.01099999999997</v>
          </cell>
          <cell r="F1593">
            <v>605011</v>
          </cell>
          <cell r="G1593" t="str">
            <v xml:space="preserve">Material </v>
          </cell>
          <cell r="H1593">
            <v>1673000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3514300</v>
          </cell>
          <cell r="AA1593">
            <v>0</v>
          </cell>
          <cell r="AB1593">
            <v>5187300</v>
          </cell>
          <cell r="AC1593">
            <v>0</v>
          </cell>
          <cell r="AD1593">
            <v>3514300</v>
          </cell>
          <cell r="AE1593">
            <v>0</v>
          </cell>
        </row>
        <row r="1594">
          <cell r="B1594">
            <v>605011</v>
          </cell>
          <cell r="C1594" t="str">
            <v xml:space="preserve">Material </v>
          </cell>
          <cell r="D1594" t="str">
            <v>Januari</v>
          </cell>
          <cell r="F1594">
            <v>605011</v>
          </cell>
          <cell r="G1594" t="str">
            <v>Januari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385000</v>
          </cell>
          <cell r="AA1594">
            <v>0</v>
          </cell>
          <cell r="AB1594">
            <v>385000</v>
          </cell>
          <cell r="AC1594">
            <v>0</v>
          </cell>
          <cell r="AD1594">
            <v>385000</v>
          </cell>
          <cell r="AE1594">
            <v>0</v>
          </cell>
        </row>
        <row r="1595">
          <cell r="B1595">
            <v>605011</v>
          </cell>
          <cell r="C1595" t="str">
            <v xml:space="preserve">Material </v>
          </cell>
          <cell r="D1595" t="str">
            <v>Februari</v>
          </cell>
          <cell r="F1595">
            <v>605011</v>
          </cell>
          <cell r="G1595" t="str">
            <v>Februari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329500</v>
          </cell>
          <cell r="AA1595">
            <v>0</v>
          </cell>
          <cell r="AB1595">
            <v>329500</v>
          </cell>
          <cell r="AC1595">
            <v>0</v>
          </cell>
          <cell r="AD1595">
            <v>329500</v>
          </cell>
          <cell r="AE1595">
            <v>0</v>
          </cell>
        </row>
        <row r="1596">
          <cell r="B1596">
            <v>605011</v>
          </cell>
          <cell r="C1596" t="str">
            <v xml:space="preserve">Material </v>
          </cell>
          <cell r="D1596" t="str">
            <v>Maret</v>
          </cell>
          <cell r="F1596">
            <v>605011</v>
          </cell>
          <cell r="G1596" t="str">
            <v>Maret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358500</v>
          </cell>
          <cell r="AA1596">
            <v>0</v>
          </cell>
          <cell r="AB1596">
            <v>358500</v>
          </cell>
          <cell r="AC1596">
            <v>0</v>
          </cell>
          <cell r="AD1596">
            <v>358500</v>
          </cell>
          <cell r="AE1596">
            <v>0</v>
          </cell>
        </row>
        <row r="1597">
          <cell r="B1597">
            <v>605011</v>
          </cell>
          <cell r="C1597" t="str">
            <v xml:space="preserve">Material </v>
          </cell>
          <cell r="D1597" t="str">
            <v>April</v>
          </cell>
          <cell r="F1597">
            <v>605011</v>
          </cell>
          <cell r="G1597" t="str">
            <v>April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344400</v>
          </cell>
          <cell r="AA1597">
            <v>0</v>
          </cell>
          <cell r="AB1597">
            <v>344400</v>
          </cell>
          <cell r="AC1597">
            <v>0</v>
          </cell>
          <cell r="AD1597">
            <v>344400</v>
          </cell>
          <cell r="AE1597">
            <v>0</v>
          </cell>
        </row>
        <row r="1598">
          <cell r="B1598">
            <v>605011</v>
          </cell>
          <cell r="C1598" t="str">
            <v xml:space="preserve">Material </v>
          </cell>
          <cell r="D1598" t="str">
            <v>Mei</v>
          </cell>
          <cell r="F1598">
            <v>605011</v>
          </cell>
          <cell r="G1598" t="str">
            <v>Mei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223800</v>
          </cell>
          <cell r="AA1598">
            <v>0</v>
          </cell>
          <cell r="AB1598">
            <v>223800</v>
          </cell>
          <cell r="AC1598">
            <v>0</v>
          </cell>
          <cell r="AD1598">
            <v>223800</v>
          </cell>
          <cell r="AE1598">
            <v>0</v>
          </cell>
        </row>
        <row r="1599">
          <cell r="B1599">
            <v>605011</v>
          </cell>
          <cell r="C1599" t="str">
            <v xml:space="preserve">Material </v>
          </cell>
          <cell r="D1599" t="str">
            <v>Juni</v>
          </cell>
          <cell r="F1599">
            <v>605011</v>
          </cell>
          <cell r="G1599" t="str">
            <v>Juni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26000</v>
          </cell>
          <cell r="AA1599">
            <v>0</v>
          </cell>
          <cell r="AB1599">
            <v>26000</v>
          </cell>
          <cell r="AC1599">
            <v>0</v>
          </cell>
          <cell r="AD1599">
            <v>26000</v>
          </cell>
          <cell r="AE1599">
            <v>0</v>
          </cell>
        </row>
        <row r="1600">
          <cell r="B1600">
            <v>605011</v>
          </cell>
          <cell r="C1600" t="str">
            <v xml:space="preserve">Material </v>
          </cell>
          <cell r="D1600" t="str">
            <v>Juli</v>
          </cell>
          <cell r="F1600">
            <v>605011</v>
          </cell>
          <cell r="G1600" t="str">
            <v>Juli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71500</v>
          </cell>
          <cell r="AA1600">
            <v>0</v>
          </cell>
          <cell r="AB1600">
            <v>71500</v>
          </cell>
          <cell r="AC1600">
            <v>0</v>
          </cell>
          <cell r="AD1600">
            <v>71500</v>
          </cell>
          <cell r="AE1600">
            <v>0</v>
          </cell>
        </row>
        <row r="1601">
          <cell r="B1601">
            <v>605011</v>
          </cell>
          <cell r="C1601" t="str">
            <v xml:space="preserve">Material </v>
          </cell>
          <cell r="D1601" t="str">
            <v>Agustus</v>
          </cell>
          <cell r="F1601">
            <v>605011</v>
          </cell>
          <cell r="G1601" t="str">
            <v>Agustus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199500</v>
          </cell>
          <cell r="AA1601">
            <v>0</v>
          </cell>
          <cell r="AB1601">
            <v>199500</v>
          </cell>
          <cell r="AC1601">
            <v>0</v>
          </cell>
          <cell r="AD1601">
            <v>199500</v>
          </cell>
          <cell r="AE1601">
            <v>0</v>
          </cell>
        </row>
        <row r="1602">
          <cell r="B1602">
            <v>605011</v>
          </cell>
          <cell r="C1602" t="str">
            <v xml:space="preserve">Material </v>
          </cell>
          <cell r="D1602" t="str">
            <v>September</v>
          </cell>
          <cell r="F1602">
            <v>605011</v>
          </cell>
          <cell r="G1602" t="str">
            <v>September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129000</v>
          </cell>
          <cell r="AA1602">
            <v>0</v>
          </cell>
          <cell r="AB1602">
            <v>129000</v>
          </cell>
          <cell r="AC1602">
            <v>0</v>
          </cell>
          <cell r="AD1602">
            <v>129000</v>
          </cell>
          <cell r="AE1602">
            <v>0</v>
          </cell>
        </row>
        <row r="1603">
          <cell r="B1603">
            <v>605011</v>
          </cell>
          <cell r="C1603" t="str">
            <v xml:space="preserve">Material </v>
          </cell>
          <cell r="D1603" t="str">
            <v>Oktober</v>
          </cell>
          <cell r="F1603">
            <v>605011</v>
          </cell>
          <cell r="G1603" t="str">
            <v>Oktober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619000</v>
          </cell>
          <cell r="AA1603">
            <v>0</v>
          </cell>
          <cell r="AB1603">
            <v>619000</v>
          </cell>
          <cell r="AC1603">
            <v>0</v>
          </cell>
          <cell r="AD1603">
            <v>619000</v>
          </cell>
          <cell r="AE1603">
            <v>0</v>
          </cell>
        </row>
        <row r="1604">
          <cell r="B1604">
            <v>605011</v>
          </cell>
          <cell r="C1604" t="str">
            <v xml:space="preserve">Material </v>
          </cell>
          <cell r="D1604" t="str">
            <v>November</v>
          </cell>
          <cell r="F1604">
            <v>605011</v>
          </cell>
          <cell r="G1604" t="str">
            <v>November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129100</v>
          </cell>
          <cell r="AA1604">
            <v>0</v>
          </cell>
          <cell r="AB1604">
            <v>129100</v>
          </cell>
          <cell r="AC1604">
            <v>0</v>
          </cell>
          <cell r="AD1604">
            <v>129100</v>
          </cell>
          <cell r="AE1604">
            <v>0</v>
          </cell>
        </row>
        <row r="1605">
          <cell r="B1605">
            <v>605011</v>
          </cell>
          <cell r="C1605" t="str">
            <v xml:space="preserve">Material </v>
          </cell>
          <cell r="D1605" t="str">
            <v>Desember</v>
          </cell>
          <cell r="F1605">
            <v>605011</v>
          </cell>
          <cell r="G1605" t="str">
            <v>Desember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699000</v>
          </cell>
          <cell r="AA1605">
            <v>0</v>
          </cell>
          <cell r="AB1605">
            <v>699000</v>
          </cell>
          <cell r="AC1605">
            <v>0</v>
          </cell>
          <cell r="AD1605">
            <v>699000</v>
          </cell>
          <cell r="AE1605">
            <v>0</v>
          </cell>
        </row>
        <row r="1606">
          <cell r="B1606">
            <v>605012</v>
          </cell>
          <cell r="C1606" t="str">
            <v>Dinas Luar</v>
          </cell>
          <cell r="E1606">
            <v>605.01199999999994</v>
          </cell>
          <cell r="F1606">
            <v>605012</v>
          </cell>
          <cell r="G1606" t="str">
            <v>Dinas Luar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450000</v>
          </cell>
          <cell r="AA1606">
            <v>0</v>
          </cell>
          <cell r="AB1606">
            <v>450000</v>
          </cell>
          <cell r="AC1606">
            <v>0</v>
          </cell>
          <cell r="AD1606">
            <v>450000</v>
          </cell>
          <cell r="AE1606">
            <v>0</v>
          </cell>
        </row>
        <row r="1607">
          <cell r="B1607">
            <v>605012</v>
          </cell>
          <cell r="C1607" t="str">
            <v>Dinas Luar</v>
          </cell>
          <cell r="D1607" t="str">
            <v>Januari</v>
          </cell>
          <cell r="F1607">
            <v>605012</v>
          </cell>
          <cell r="G1607" t="str">
            <v>Januari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0</v>
          </cell>
          <cell r="AE1607">
            <v>0</v>
          </cell>
        </row>
        <row r="1608">
          <cell r="B1608">
            <v>605012</v>
          </cell>
          <cell r="C1608" t="str">
            <v>Dinas Luar</v>
          </cell>
          <cell r="D1608" t="str">
            <v>Februari</v>
          </cell>
          <cell r="F1608">
            <v>605012</v>
          </cell>
          <cell r="G1608" t="str">
            <v>Februari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</row>
        <row r="1609">
          <cell r="B1609">
            <v>605012</v>
          </cell>
          <cell r="C1609" t="str">
            <v>Dinas Luar</v>
          </cell>
          <cell r="D1609" t="str">
            <v>Maret</v>
          </cell>
          <cell r="F1609">
            <v>605012</v>
          </cell>
          <cell r="G1609" t="str">
            <v>Maret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0</v>
          </cell>
          <cell r="AE1609">
            <v>0</v>
          </cell>
        </row>
        <row r="1610">
          <cell r="B1610">
            <v>605012</v>
          </cell>
          <cell r="C1610" t="str">
            <v>Dinas Luar</v>
          </cell>
          <cell r="D1610" t="str">
            <v>April</v>
          </cell>
          <cell r="F1610">
            <v>605012</v>
          </cell>
          <cell r="G1610" t="str">
            <v>April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0</v>
          </cell>
          <cell r="AE1610">
            <v>0</v>
          </cell>
        </row>
        <row r="1611">
          <cell r="B1611">
            <v>605012</v>
          </cell>
          <cell r="C1611" t="str">
            <v>Dinas Luar</v>
          </cell>
          <cell r="D1611" t="str">
            <v>Mei</v>
          </cell>
          <cell r="F1611">
            <v>605012</v>
          </cell>
          <cell r="G1611" t="str">
            <v>Mei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450000</v>
          </cell>
          <cell r="AA1611">
            <v>0</v>
          </cell>
          <cell r="AB1611">
            <v>450000</v>
          </cell>
          <cell r="AC1611">
            <v>0</v>
          </cell>
          <cell r="AD1611">
            <v>450000</v>
          </cell>
          <cell r="AE1611">
            <v>0</v>
          </cell>
        </row>
        <row r="1612">
          <cell r="B1612">
            <v>605012</v>
          </cell>
          <cell r="C1612" t="str">
            <v>Dinas Luar</v>
          </cell>
          <cell r="D1612" t="str">
            <v>Juni</v>
          </cell>
          <cell r="F1612">
            <v>605012</v>
          </cell>
          <cell r="G1612" t="str">
            <v>Juni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0</v>
          </cell>
          <cell r="AE1612">
            <v>0</v>
          </cell>
        </row>
        <row r="1613">
          <cell r="B1613">
            <v>605012</v>
          </cell>
          <cell r="C1613" t="str">
            <v>Dinas Luar</v>
          </cell>
          <cell r="D1613" t="str">
            <v>Juli</v>
          </cell>
          <cell r="F1613">
            <v>605012</v>
          </cell>
          <cell r="G1613" t="str">
            <v>Juli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0</v>
          </cell>
          <cell r="AE1613">
            <v>0</v>
          </cell>
        </row>
        <row r="1614">
          <cell r="B1614">
            <v>605012</v>
          </cell>
          <cell r="C1614" t="str">
            <v>Dinas Luar</v>
          </cell>
          <cell r="D1614" t="str">
            <v>Agustus</v>
          </cell>
          <cell r="F1614">
            <v>605012</v>
          </cell>
          <cell r="G1614" t="str">
            <v>Agustus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0</v>
          </cell>
          <cell r="AE1614">
            <v>0</v>
          </cell>
        </row>
        <row r="1615">
          <cell r="B1615">
            <v>605012</v>
          </cell>
          <cell r="C1615" t="str">
            <v>Dinas Luar</v>
          </cell>
          <cell r="D1615" t="str">
            <v>September</v>
          </cell>
          <cell r="F1615">
            <v>605012</v>
          </cell>
          <cell r="G1615" t="str">
            <v>September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0</v>
          </cell>
          <cell r="AE1615">
            <v>0</v>
          </cell>
        </row>
        <row r="1616">
          <cell r="B1616">
            <v>605012</v>
          </cell>
          <cell r="C1616" t="str">
            <v>Dinas Luar</v>
          </cell>
          <cell r="D1616" t="str">
            <v>Oktober</v>
          </cell>
          <cell r="F1616">
            <v>605012</v>
          </cell>
          <cell r="G1616" t="str">
            <v>Oktober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0</v>
          </cell>
          <cell r="AE1616">
            <v>0</v>
          </cell>
        </row>
        <row r="1617">
          <cell r="B1617">
            <v>605012</v>
          </cell>
          <cell r="C1617" t="str">
            <v>Dinas Luar</v>
          </cell>
          <cell r="D1617" t="str">
            <v>November</v>
          </cell>
          <cell r="F1617">
            <v>605012</v>
          </cell>
          <cell r="G1617" t="str">
            <v>November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0</v>
          </cell>
          <cell r="AE1617">
            <v>0</v>
          </cell>
        </row>
        <row r="1618">
          <cell r="B1618">
            <v>605012</v>
          </cell>
          <cell r="C1618" t="str">
            <v>Dinas Luar</v>
          </cell>
          <cell r="D1618" t="str">
            <v>Desember</v>
          </cell>
          <cell r="F1618">
            <v>605012</v>
          </cell>
          <cell r="G1618" t="str">
            <v>Desember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0</v>
          </cell>
          <cell r="AE1618">
            <v>0</v>
          </cell>
        </row>
        <row r="1619">
          <cell r="B1619">
            <v>605013</v>
          </cell>
          <cell r="C1619" t="str">
            <v>Jasa Pihak ke 3</v>
          </cell>
          <cell r="E1619">
            <v>605.01300000000003</v>
          </cell>
          <cell r="F1619">
            <v>605013</v>
          </cell>
          <cell r="G1619" t="str">
            <v>Jasa Pihak ke 3</v>
          </cell>
          <cell r="H1619">
            <v>17776499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34456000</v>
          </cell>
          <cell r="AA1619">
            <v>0</v>
          </cell>
          <cell r="AB1619">
            <v>52232499</v>
          </cell>
          <cell r="AC1619">
            <v>0</v>
          </cell>
          <cell r="AD1619">
            <v>34456000</v>
          </cell>
          <cell r="AE1619">
            <v>0</v>
          </cell>
        </row>
        <row r="1620">
          <cell r="B1620">
            <v>605013</v>
          </cell>
          <cell r="C1620" t="str">
            <v>Jasa Pihak ke 3</v>
          </cell>
          <cell r="D1620" t="str">
            <v>Januari</v>
          </cell>
          <cell r="F1620">
            <v>605013</v>
          </cell>
          <cell r="G1620" t="str">
            <v>Januari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975000</v>
          </cell>
          <cell r="AA1620">
            <v>0</v>
          </cell>
          <cell r="AB1620">
            <v>975000</v>
          </cell>
          <cell r="AC1620">
            <v>0</v>
          </cell>
          <cell r="AD1620">
            <v>975000</v>
          </cell>
          <cell r="AE1620">
            <v>0</v>
          </cell>
        </row>
        <row r="1621">
          <cell r="B1621">
            <v>605013</v>
          </cell>
          <cell r="C1621" t="str">
            <v>Jasa Pihak ke 3</v>
          </cell>
          <cell r="D1621" t="str">
            <v>Februari</v>
          </cell>
          <cell r="F1621">
            <v>605013</v>
          </cell>
          <cell r="G1621" t="str">
            <v>Februari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1350000</v>
          </cell>
          <cell r="AA1621">
            <v>0</v>
          </cell>
          <cell r="AB1621">
            <v>1350000</v>
          </cell>
          <cell r="AC1621">
            <v>0</v>
          </cell>
          <cell r="AD1621">
            <v>1350000</v>
          </cell>
          <cell r="AE1621">
            <v>0</v>
          </cell>
        </row>
        <row r="1622">
          <cell r="B1622">
            <v>605013</v>
          </cell>
          <cell r="C1622" t="str">
            <v>Jasa Pihak ke 3</v>
          </cell>
          <cell r="D1622" t="str">
            <v>Maret</v>
          </cell>
          <cell r="F1622">
            <v>605013</v>
          </cell>
          <cell r="G1622" t="str">
            <v>Maret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2175000</v>
          </cell>
          <cell r="AA1622">
            <v>0</v>
          </cell>
          <cell r="AB1622">
            <v>2175000</v>
          </cell>
          <cell r="AC1622">
            <v>0</v>
          </cell>
          <cell r="AD1622">
            <v>2175000</v>
          </cell>
          <cell r="AE1622">
            <v>0</v>
          </cell>
        </row>
        <row r="1623">
          <cell r="B1623">
            <v>605013</v>
          </cell>
          <cell r="C1623" t="str">
            <v>Jasa Pihak ke 3</v>
          </cell>
          <cell r="D1623" t="str">
            <v>April</v>
          </cell>
          <cell r="F1623">
            <v>605013</v>
          </cell>
          <cell r="G1623" t="str">
            <v>April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660000</v>
          </cell>
          <cell r="AA1623">
            <v>0</v>
          </cell>
          <cell r="AB1623">
            <v>660000</v>
          </cell>
          <cell r="AC1623">
            <v>0</v>
          </cell>
          <cell r="AD1623">
            <v>660000</v>
          </cell>
          <cell r="AE1623">
            <v>0</v>
          </cell>
        </row>
        <row r="1624">
          <cell r="B1624">
            <v>605013</v>
          </cell>
          <cell r="C1624" t="str">
            <v>Jasa Pihak ke 3</v>
          </cell>
          <cell r="D1624" t="str">
            <v>Mei</v>
          </cell>
          <cell r="F1624">
            <v>605013</v>
          </cell>
          <cell r="G1624" t="str">
            <v>Mei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1792000</v>
          </cell>
          <cell r="AA1624">
            <v>0</v>
          </cell>
          <cell r="AB1624">
            <v>1792000</v>
          </cell>
          <cell r="AC1624">
            <v>0</v>
          </cell>
          <cell r="AD1624">
            <v>1792000</v>
          </cell>
          <cell r="AE1624">
            <v>0</v>
          </cell>
        </row>
        <row r="1625">
          <cell r="B1625">
            <v>605013</v>
          </cell>
          <cell r="C1625" t="str">
            <v>Jasa Pihak ke 3</v>
          </cell>
          <cell r="D1625" t="str">
            <v>Juni</v>
          </cell>
          <cell r="F1625">
            <v>605013</v>
          </cell>
          <cell r="G1625" t="str">
            <v>Juni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1978000</v>
          </cell>
          <cell r="AA1625">
            <v>0</v>
          </cell>
          <cell r="AB1625">
            <v>1978000</v>
          </cell>
          <cell r="AC1625">
            <v>0</v>
          </cell>
          <cell r="AD1625">
            <v>1978000</v>
          </cell>
          <cell r="AE1625">
            <v>0</v>
          </cell>
        </row>
        <row r="1626">
          <cell r="B1626">
            <v>605013</v>
          </cell>
          <cell r="C1626" t="str">
            <v>Jasa Pihak ke 3</v>
          </cell>
          <cell r="D1626" t="str">
            <v>Juli</v>
          </cell>
          <cell r="F1626">
            <v>605013</v>
          </cell>
          <cell r="G1626" t="str">
            <v>Juli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1519000</v>
          </cell>
          <cell r="AA1626">
            <v>0</v>
          </cell>
          <cell r="AB1626">
            <v>1519000</v>
          </cell>
          <cell r="AC1626">
            <v>0</v>
          </cell>
          <cell r="AD1626">
            <v>1519000</v>
          </cell>
          <cell r="AE1626">
            <v>0</v>
          </cell>
        </row>
        <row r="1627">
          <cell r="B1627">
            <v>605013</v>
          </cell>
          <cell r="C1627" t="str">
            <v>Jasa Pihak ke 3</v>
          </cell>
          <cell r="D1627" t="str">
            <v>Agustus</v>
          </cell>
          <cell r="F1627">
            <v>605013</v>
          </cell>
          <cell r="G1627" t="str">
            <v>Agustus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5705000</v>
          </cell>
          <cell r="AA1627">
            <v>0</v>
          </cell>
          <cell r="AB1627">
            <v>5705000</v>
          </cell>
          <cell r="AC1627">
            <v>0</v>
          </cell>
          <cell r="AD1627">
            <v>5705000</v>
          </cell>
          <cell r="AE1627">
            <v>0</v>
          </cell>
        </row>
        <row r="1628">
          <cell r="B1628">
            <v>605013</v>
          </cell>
          <cell r="C1628" t="str">
            <v>Jasa Pihak ke 3</v>
          </cell>
          <cell r="D1628" t="str">
            <v>September</v>
          </cell>
          <cell r="F1628">
            <v>605013</v>
          </cell>
          <cell r="G1628" t="str">
            <v>September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4200000</v>
          </cell>
          <cell r="AA1628">
            <v>0</v>
          </cell>
          <cell r="AB1628">
            <v>4200000</v>
          </cell>
          <cell r="AC1628">
            <v>0</v>
          </cell>
          <cell r="AD1628">
            <v>4200000</v>
          </cell>
          <cell r="AE1628">
            <v>0</v>
          </cell>
        </row>
        <row r="1629">
          <cell r="B1629">
            <v>605013</v>
          </cell>
          <cell r="C1629" t="str">
            <v>Jasa Pihak ke 3</v>
          </cell>
          <cell r="D1629" t="str">
            <v>Oktober</v>
          </cell>
          <cell r="F1629">
            <v>605013</v>
          </cell>
          <cell r="G1629" t="str">
            <v>Oktober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5030000</v>
          </cell>
          <cell r="AA1629">
            <v>0</v>
          </cell>
          <cell r="AB1629">
            <v>5030000</v>
          </cell>
          <cell r="AC1629">
            <v>0</v>
          </cell>
          <cell r="AD1629">
            <v>5030000</v>
          </cell>
          <cell r="AE1629">
            <v>0</v>
          </cell>
        </row>
        <row r="1630">
          <cell r="B1630">
            <v>605013</v>
          </cell>
          <cell r="C1630" t="str">
            <v>Jasa Pihak ke 3</v>
          </cell>
          <cell r="D1630" t="str">
            <v>November</v>
          </cell>
          <cell r="F1630">
            <v>605013</v>
          </cell>
          <cell r="G1630" t="str">
            <v>November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2595000</v>
          </cell>
          <cell r="AA1630">
            <v>0</v>
          </cell>
          <cell r="AB1630">
            <v>2595000</v>
          </cell>
          <cell r="AC1630">
            <v>0</v>
          </cell>
          <cell r="AD1630">
            <v>2595000</v>
          </cell>
          <cell r="AE1630">
            <v>0</v>
          </cell>
        </row>
        <row r="1631">
          <cell r="B1631">
            <v>605013</v>
          </cell>
          <cell r="C1631" t="str">
            <v>Jasa Pihak ke 3</v>
          </cell>
          <cell r="D1631" t="str">
            <v>Desember</v>
          </cell>
          <cell r="F1631">
            <v>605013</v>
          </cell>
          <cell r="G1631" t="str">
            <v>Desember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6477000</v>
          </cell>
          <cell r="AA1631">
            <v>0</v>
          </cell>
          <cell r="AB1631">
            <v>6477000</v>
          </cell>
          <cell r="AC1631">
            <v>0</v>
          </cell>
          <cell r="AD1631">
            <v>6477000</v>
          </cell>
          <cell r="AE1631">
            <v>0</v>
          </cell>
        </row>
        <row r="1632">
          <cell r="B1632">
            <v>605019</v>
          </cell>
          <cell r="C1632" t="str">
            <v>Derek Kendaraan</v>
          </cell>
          <cell r="E1632">
            <v>605.01900000000001</v>
          </cell>
          <cell r="F1632">
            <v>605019</v>
          </cell>
          <cell r="G1632" t="str">
            <v>Derek Kendaraan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0</v>
          </cell>
          <cell r="AD1632">
            <v>0</v>
          </cell>
          <cell r="AE1632">
            <v>0</v>
          </cell>
        </row>
        <row r="1633">
          <cell r="B1633">
            <v>605019</v>
          </cell>
          <cell r="C1633" t="str">
            <v>Derek Kendaraan</v>
          </cell>
          <cell r="D1633" t="str">
            <v>Januari</v>
          </cell>
          <cell r="F1633">
            <v>605019</v>
          </cell>
          <cell r="G1633" t="str">
            <v>Januari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</row>
        <row r="1634">
          <cell r="B1634">
            <v>605019</v>
          </cell>
          <cell r="C1634" t="str">
            <v>Derek Kendaraan</v>
          </cell>
          <cell r="D1634" t="str">
            <v>Februari</v>
          </cell>
          <cell r="F1634">
            <v>605019</v>
          </cell>
          <cell r="G1634" t="str">
            <v>Februari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0</v>
          </cell>
          <cell r="AE1634">
            <v>0</v>
          </cell>
        </row>
        <row r="1635">
          <cell r="B1635">
            <v>605019</v>
          </cell>
          <cell r="C1635" t="str">
            <v>Derek Kendaraan</v>
          </cell>
          <cell r="D1635" t="str">
            <v>Maret</v>
          </cell>
          <cell r="F1635">
            <v>605019</v>
          </cell>
          <cell r="G1635" t="str">
            <v>Maret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0</v>
          </cell>
          <cell r="AE1635">
            <v>0</v>
          </cell>
        </row>
        <row r="1636">
          <cell r="B1636">
            <v>605019</v>
          </cell>
          <cell r="C1636" t="str">
            <v>Derek Kendaraan</v>
          </cell>
          <cell r="D1636" t="str">
            <v>April</v>
          </cell>
          <cell r="F1636">
            <v>605019</v>
          </cell>
          <cell r="G1636" t="str">
            <v>April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</row>
        <row r="1637">
          <cell r="B1637">
            <v>605019</v>
          </cell>
          <cell r="C1637" t="str">
            <v>Derek Kendaraan</v>
          </cell>
          <cell r="D1637" t="str">
            <v>Mei</v>
          </cell>
          <cell r="F1637">
            <v>605019</v>
          </cell>
          <cell r="G1637" t="str">
            <v>Mei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0</v>
          </cell>
          <cell r="AE1637">
            <v>0</v>
          </cell>
        </row>
        <row r="1638">
          <cell r="B1638">
            <v>605019</v>
          </cell>
          <cell r="C1638" t="str">
            <v>Derek Kendaraan</v>
          </cell>
          <cell r="D1638" t="str">
            <v>Juni</v>
          </cell>
          <cell r="F1638">
            <v>605019</v>
          </cell>
          <cell r="G1638" t="str">
            <v>Juni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</row>
        <row r="1639">
          <cell r="B1639">
            <v>605019</v>
          </cell>
          <cell r="C1639" t="str">
            <v>Derek Kendaraan</v>
          </cell>
          <cell r="D1639" t="str">
            <v>Juli</v>
          </cell>
          <cell r="F1639">
            <v>605019</v>
          </cell>
          <cell r="G1639" t="str">
            <v>Juli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</row>
        <row r="1640">
          <cell r="B1640">
            <v>605019</v>
          </cell>
          <cell r="C1640" t="str">
            <v>Derek Kendaraan</v>
          </cell>
          <cell r="D1640" t="str">
            <v>Agustus</v>
          </cell>
          <cell r="F1640">
            <v>605019</v>
          </cell>
          <cell r="G1640" t="str">
            <v>Agustus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0</v>
          </cell>
          <cell r="AE1640">
            <v>0</v>
          </cell>
        </row>
        <row r="1641">
          <cell r="B1641">
            <v>605019</v>
          </cell>
          <cell r="C1641" t="str">
            <v>Derek Kendaraan</v>
          </cell>
          <cell r="D1641" t="str">
            <v>September</v>
          </cell>
          <cell r="F1641">
            <v>605019</v>
          </cell>
          <cell r="G1641" t="str">
            <v>September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</row>
        <row r="1642">
          <cell r="B1642">
            <v>605019</v>
          </cell>
          <cell r="C1642" t="str">
            <v>Derek Kendaraan</v>
          </cell>
          <cell r="D1642" t="str">
            <v>Oktober</v>
          </cell>
          <cell r="F1642">
            <v>605019</v>
          </cell>
          <cell r="G1642" t="str">
            <v>Oktober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0</v>
          </cell>
          <cell r="AE1642">
            <v>0</v>
          </cell>
        </row>
        <row r="1643">
          <cell r="B1643">
            <v>605019</v>
          </cell>
          <cell r="C1643" t="str">
            <v>Derek Kendaraan</v>
          </cell>
          <cell r="D1643" t="str">
            <v>November</v>
          </cell>
          <cell r="F1643">
            <v>605019</v>
          </cell>
          <cell r="G1643" t="str">
            <v>November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0</v>
          </cell>
          <cell r="AE1643">
            <v>0</v>
          </cell>
        </row>
        <row r="1644">
          <cell r="B1644">
            <v>605019</v>
          </cell>
          <cell r="C1644" t="str">
            <v>Derek Kendaraan</v>
          </cell>
          <cell r="D1644" t="str">
            <v>Desember</v>
          </cell>
          <cell r="F1644">
            <v>605019</v>
          </cell>
          <cell r="G1644" t="str">
            <v>Desember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0</v>
          </cell>
          <cell r="AC1644">
            <v>0</v>
          </cell>
          <cell r="AD1644">
            <v>0</v>
          </cell>
          <cell r="AE1644">
            <v>0</v>
          </cell>
        </row>
        <row r="1645">
          <cell r="B1645">
            <v>605014</v>
          </cell>
          <cell r="C1645" t="str">
            <v>BBM</v>
          </cell>
          <cell r="E1645">
            <v>605.01400000000001</v>
          </cell>
          <cell r="F1645">
            <v>605014</v>
          </cell>
          <cell r="G1645" t="str">
            <v>BBM</v>
          </cell>
          <cell r="H1645">
            <v>393000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50000</v>
          </cell>
          <cell r="AA1645">
            <v>0</v>
          </cell>
          <cell r="AB1645">
            <v>443000</v>
          </cell>
          <cell r="AC1645">
            <v>0</v>
          </cell>
          <cell r="AD1645">
            <v>50000</v>
          </cell>
          <cell r="AE1645">
            <v>0</v>
          </cell>
        </row>
        <row r="1646">
          <cell r="B1646">
            <v>605014</v>
          </cell>
          <cell r="C1646" t="str">
            <v>BBM</v>
          </cell>
          <cell r="D1646" t="str">
            <v>Januari</v>
          </cell>
          <cell r="F1646">
            <v>605014</v>
          </cell>
          <cell r="G1646" t="str">
            <v>Januari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</row>
        <row r="1647">
          <cell r="B1647">
            <v>605014</v>
          </cell>
          <cell r="C1647" t="str">
            <v>BBM</v>
          </cell>
          <cell r="D1647" t="str">
            <v>Februari</v>
          </cell>
          <cell r="F1647">
            <v>605014</v>
          </cell>
          <cell r="G1647" t="str">
            <v>Februari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0</v>
          </cell>
          <cell r="AE1647">
            <v>0</v>
          </cell>
        </row>
        <row r="1648">
          <cell r="B1648">
            <v>605014</v>
          </cell>
          <cell r="C1648" t="str">
            <v>BBM</v>
          </cell>
          <cell r="D1648" t="str">
            <v>Maret</v>
          </cell>
          <cell r="F1648">
            <v>605014</v>
          </cell>
          <cell r="G1648" t="str">
            <v>Maret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50000</v>
          </cell>
          <cell r="AA1648">
            <v>0</v>
          </cell>
          <cell r="AB1648">
            <v>50000</v>
          </cell>
          <cell r="AC1648">
            <v>0</v>
          </cell>
          <cell r="AD1648">
            <v>50000</v>
          </cell>
          <cell r="AE1648">
            <v>0</v>
          </cell>
        </row>
        <row r="1649">
          <cell r="B1649">
            <v>605014</v>
          </cell>
          <cell r="C1649" t="str">
            <v>BBM</v>
          </cell>
          <cell r="D1649" t="str">
            <v>April</v>
          </cell>
          <cell r="F1649">
            <v>605014</v>
          </cell>
          <cell r="G1649" t="str">
            <v>April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0</v>
          </cell>
          <cell r="AB1649">
            <v>0</v>
          </cell>
          <cell r="AC1649">
            <v>0</v>
          </cell>
          <cell r="AD1649">
            <v>0</v>
          </cell>
          <cell r="AE1649">
            <v>0</v>
          </cell>
        </row>
        <row r="1650">
          <cell r="B1650">
            <v>605014</v>
          </cell>
          <cell r="C1650" t="str">
            <v>BBM</v>
          </cell>
          <cell r="D1650" t="str">
            <v>Mei</v>
          </cell>
          <cell r="F1650">
            <v>605014</v>
          </cell>
          <cell r="G1650" t="str">
            <v>Mei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0</v>
          </cell>
          <cell r="AE1650">
            <v>0</v>
          </cell>
        </row>
        <row r="1651">
          <cell r="B1651">
            <v>605014</v>
          </cell>
          <cell r="C1651" t="str">
            <v>BBM</v>
          </cell>
          <cell r="D1651" t="str">
            <v>Juni</v>
          </cell>
          <cell r="F1651">
            <v>605014</v>
          </cell>
          <cell r="G1651" t="str">
            <v>Juni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0</v>
          </cell>
          <cell r="AD1651">
            <v>0</v>
          </cell>
          <cell r="AE1651">
            <v>0</v>
          </cell>
        </row>
        <row r="1652">
          <cell r="B1652">
            <v>605014</v>
          </cell>
          <cell r="C1652" t="str">
            <v>BBM</v>
          </cell>
          <cell r="D1652" t="str">
            <v>Juli</v>
          </cell>
          <cell r="F1652">
            <v>605014</v>
          </cell>
          <cell r="G1652" t="str">
            <v>Juli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0</v>
          </cell>
          <cell r="AE1652">
            <v>0</v>
          </cell>
        </row>
        <row r="1653">
          <cell r="B1653">
            <v>605014</v>
          </cell>
          <cell r="C1653" t="str">
            <v>BBM</v>
          </cell>
          <cell r="D1653" t="str">
            <v>Agustus</v>
          </cell>
          <cell r="F1653">
            <v>605014</v>
          </cell>
          <cell r="G1653" t="str">
            <v>Agustus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0</v>
          </cell>
          <cell r="AD1653">
            <v>0</v>
          </cell>
          <cell r="AE1653">
            <v>0</v>
          </cell>
        </row>
        <row r="1654">
          <cell r="B1654">
            <v>605014</v>
          </cell>
          <cell r="C1654" t="str">
            <v>BBM</v>
          </cell>
          <cell r="D1654" t="str">
            <v>September</v>
          </cell>
          <cell r="F1654">
            <v>605014</v>
          </cell>
          <cell r="G1654" t="str">
            <v>September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0</v>
          </cell>
          <cell r="AE1654">
            <v>0</v>
          </cell>
        </row>
        <row r="1655">
          <cell r="B1655">
            <v>605014</v>
          </cell>
          <cell r="C1655" t="str">
            <v>BBM</v>
          </cell>
          <cell r="D1655" t="str">
            <v>Oktober</v>
          </cell>
          <cell r="F1655">
            <v>605014</v>
          </cell>
          <cell r="G1655" t="str">
            <v>Oktober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0</v>
          </cell>
          <cell r="AE1655">
            <v>0</v>
          </cell>
        </row>
        <row r="1656">
          <cell r="B1656">
            <v>605014</v>
          </cell>
          <cell r="C1656" t="str">
            <v>BBM</v>
          </cell>
          <cell r="D1656" t="str">
            <v>November</v>
          </cell>
          <cell r="F1656">
            <v>605014</v>
          </cell>
          <cell r="G1656" t="str">
            <v>November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0</v>
          </cell>
          <cell r="AE1656">
            <v>0</v>
          </cell>
        </row>
        <row r="1657">
          <cell r="B1657">
            <v>605014</v>
          </cell>
          <cell r="C1657" t="str">
            <v>BBM</v>
          </cell>
          <cell r="D1657" t="str">
            <v>Desember</v>
          </cell>
          <cell r="F1657">
            <v>605014</v>
          </cell>
          <cell r="G1657" t="str">
            <v>Desember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0</v>
          </cell>
          <cell r="AE1657">
            <v>0</v>
          </cell>
        </row>
        <row r="1658">
          <cell r="B1658">
            <v>605015</v>
          </cell>
          <cell r="C1658" t="str">
            <v>Perawatan Peralatan &amp; Kendaraan</v>
          </cell>
          <cell r="E1658">
            <v>605.01499999999999</v>
          </cell>
          <cell r="F1658">
            <v>605015</v>
          </cell>
          <cell r="G1658" t="str">
            <v>Perawatan Peralatan &amp; Kendaraan</v>
          </cell>
          <cell r="H1658">
            <v>1623000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50000</v>
          </cell>
          <cell r="AA1658">
            <v>0</v>
          </cell>
          <cell r="AB1658">
            <v>1673000</v>
          </cell>
          <cell r="AC1658">
            <v>0</v>
          </cell>
          <cell r="AD1658">
            <v>50000</v>
          </cell>
          <cell r="AE1658">
            <v>0</v>
          </cell>
        </row>
        <row r="1659">
          <cell r="B1659">
            <v>605015</v>
          </cell>
          <cell r="C1659" t="str">
            <v>Perawatan Peralatan &amp; Kendaraan</v>
          </cell>
          <cell r="D1659" t="str">
            <v>Januari</v>
          </cell>
          <cell r="F1659">
            <v>605015</v>
          </cell>
          <cell r="G1659" t="str">
            <v>Januari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0</v>
          </cell>
          <cell r="AD1659">
            <v>0</v>
          </cell>
          <cell r="AE1659">
            <v>0</v>
          </cell>
        </row>
        <row r="1660">
          <cell r="B1660">
            <v>605015</v>
          </cell>
          <cell r="C1660" t="str">
            <v>Perawatan Peralatan &amp; Kendaraan</v>
          </cell>
          <cell r="D1660" t="str">
            <v>Februari</v>
          </cell>
          <cell r="F1660">
            <v>605015</v>
          </cell>
          <cell r="G1660" t="str">
            <v>Februari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0</v>
          </cell>
          <cell r="AE1660">
            <v>0</v>
          </cell>
        </row>
        <row r="1661">
          <cell r="B1661">
            <v>605015</v>
          </cell>
          <cell r="C1661" t="str">
            <v>Perawatan Peralatan &amp; Kendaraan</v>
          </cell>
          <cell r="D1661" t="str">
            <v>Maret</v>
          </cell>
          <cell r="F1661">
            <v>605015</v>
          </cell>
          <cell r="G1661" t="str">
            <v>Maret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</row>
        <row r="1662">
          <cell r="B1662">
            <v>605015</v>
          </cell>
          <cell r="C1662" t="str">
            <v>Perawatan Peralatan &amp; Kendaraan</v>
          </cell>
          <cell r="D1662" t="str">
            <v>April</v>
          </cell>
          <cell r="F1662">
            <v>605015</v>
          </cell>
          <cell r="G1662" t="str">
            <v>April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0</v>
          </cell>
          <cell r="AE1662">
            <v>0</v>
          </cell>
        </row>
        <row r="1663">
          <cell r="B1663">
            <v>605015</v>
          </cell>
          <cell r="C1663" t="str">
            <v>Perawatan Peralatan &amp; Kendaraan</v>
          </cell>
          <cell r="D1663" t="str">
            <v>Mei</v>
          </cell>
          <cell r="F1663">
            <v>605015</v>
          </cell>
          <cell r="G1663" t="str">
            <v>Mei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0</v>
          </cell>
          <cell r="AE1663">
            <v>0</v>
          </cell>
        </row>
        <row r="1664">
          <cell r="B1664">
            <v>605015</v>
          </cell>
          <cell r="C1664" t="str">
            <v>Perawatan Peralatan &amp; Kendaraan</v>
          </cell>
          <cell r="D1664" t="str">
            <v>Juni</v>
          </cell>
          <cell r="F1664">
            <v>605015</v>
          </cell>
          <cell r="G1664" t="str">
            <v>Juni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50000</v>
          </cell>
          <cell r="AA1664">
            <v>0</v>
          </cell>
          <cell r="AB1664">
            <v>50000</v>
          </cell>
          <cell r="AC1664">
            <v>0</v>
          </cell>
          <cell r="AD1664">
            <v>50000</v>
          </cell>
          <cell r="AE1664">
            <v>0</v>
          </cell>
        </row>
        <row r="1665">
          <cell r="B1665">
            <v>605015</v>
          </cell>
          <cell r="C1665" t="str">
            <v>Perawatan Peralatan &amp; Kendaraan</v>
          </cell>
          <cell r="D1665" t="str">
            <v>Juli</v>
          </cell>
          <cell r="F1665">
            <v>605015</v>
          </cell>
          <cell r="G1665" t="str">
            <v>Juli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0</v>
          </cell>
          <cell r="AB1665">
            <v>0</v>
          </cell>
          <cell r="AC1665">
            <v>0</v>
          </cell>
          <cell r="AD1665">
            <v>0</v>
          </cell>
          <cell r="AE1665">
            <v>0</v>
          </cell>
        </row>
        <row r="1666">
          <cell r="B1666">
            <v>605015</v>
          </cell>
          <cell r="C1666" t="str">
            <v>Perawatan Peralatan &amp; Kendaraan</v>
          </cell>
          <cell r="D1666" t="str">
            <v>Agustus</v>
          </cell>
          <cell r="F1666">
            <v>605015</v>
          </cell>
          <cell r="G1666" t="str">
            <v>Agustus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0</v>
          </cell>
          <cell r="AD1666">
            <v>0</v>
          </cell>
          <cell r="AE1666">
            <v>0</v>
          </cell>
        </row>
        <row r="1667">
          <cell r="B1667">
            <v>605015</v>
          </cell>
          <cell r="C1667" t="str">
            <v>Perawatan Peralatan &amp; Kendaraan</v>
          </cell>
          <cell r="D1667" t="str">
            <v>September</v>
          </cell>
          <cell r="F1667">
            <v>605015</v>
          </cell>
          <cell r="G1667" t="str">
            <v>September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0</v>
          </cell>
          <cell r="AD1667">
            <v>0</v>
          </cell>
          <cell r="AE1667">
            <v>0</v>
          </cell>
        </row>
        <row r="1668">
          <cell r="B1668">
            <v>605015</v>
          </cell>
          <cell r="C1668" t="str">
            <v>Perawatan Peralatan &amp; Kendaraan</v>
          </cell>
          <cell r="D1668" t="str">
            <v>Oktober</v>
          </cell>
          <cell r="F1668">
            <v>605015</v>
          </cell>
          <cell r="G1668" t="str">
            <v>Oktober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0</v>
          </cell>
          <cell r="AE1668">
            <v>0</v>
          </cell>
        </row>
        <row r="1669">
          <cell r="B1669">
            <v>605015</v>
          </cell>
          <cell r="C1669" t="str">
            <v>Perawatan Peralatan &amp; Kendaraan</v>
          </cell>
          <cell r="D1669" t="str">
            <v>November</v>
          </cell>
          <cell r="F1669">
            <v>605015</v>
          </cell>
          <cell r="G1669" t="str">
            <v>November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0</v>
          </cell>
          <cell r="AD1669">
            <v>0</v>
          </cell>
          <cell r="AE1669">
            <v>0</v>
          </cell>
        </row>
        <row r="1670">
          <cell r="B1670">
            <v>605015</v>
          </cell>
          <cell r="C1670" t="str">
            <v>Perawatan Peralatan &amp; Kendaraan</v>
          </cell>
          <cell r="D1670" t="str">
            <v>Desember</v>
          </cell>
          <cell r="F1670">
            <v>605015</v>
          </cell>
          <cell r="G1670" t="str">
            <v>Desember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0</v>
          </cell>
          <cell r="AC1670">
            <v>0</v>
          </cell>
          <cell r="AD1670">
            <v>0</v>
          </cell>
          <cell r="AE1670">
            <v>0</v>
          </cell>
        </row>
        <row r="1671">
          <cell r="B1671">
            <v>605016</v>
          </cell>
          <cell r="C1671" t="str">
            <v>Insentif</v>
          </cell>
          <cell r="E1671">
            <v>605.01599999999996</v>
          </cell>
          <cell r="F1671">
            <v>605016</v>
          </cell>
          <cell r="G1671" t="str">
            <v>Insentif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0</v>
          </cell>
          <cell r="AE1671">
            <v>0</v>
          </cell>
        </row>
        <row r="1672">
          <cell r="B1672">
            <v>605016</v>
          </cell>
          <cell r="C1672" t="str">
            <v>Insentif</v>
          </cell>
          <cell r="D1672" t="str">
            <v>Januari</v>
          </cell>
          <cell r="F1672">
            <v>605016</v>
          </cell>
          <cell r="G1672" t="str">
            <v>Januari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0</v>
          </cell>
          <cell r="AE1672">
            <v>0</v>
          </cell>
        </row>
        <row r="1673">
          <cell r="B1673">
            <v>605016</v>
          </cell>
          <cell r="C1673" t="str">
            <v>Insentif</v>
          </cell>
          <cell r="D1673" t="str">
            <v>Februari</v>
          </cell>
          <cell r="F1673">
            <v>605016</v>
          </cell>
          <cell r="G1673" t="str">
            <v>Februari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0</v>
          </cell>
          <cell r="AE1673">
            <v>0</v>
          </cell>
        </row>
        <row r="1674">
          <cell r="B1674">
            <v>605016</v>
          </cell>
          <cell r="C1674" t="str">
            <v>Insentif</v>
          </cell>
          <cell r="D1674" t="str">
            <v>Maret</v>
          </cell>
          <cell r="F1674">
            <v>605016</v>
          </cell>
          <cell r="G1674" t="str">
            <v>Maret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0</v>
          </cell>
          <cell r="AC1674">
            <v>0</v>
          </cell>
          <cell r="AD1674">
            <v>0</v>
          </cell>
          <cell r="AE1674">
            <v>0</v>
          </cell>
        </row>
        <row r="1675">
          <cell r="B1675">
            <v>605016</v>
          </cell>
          <cell r="C1675" t="str">
            <v>Insentif</v>
          </cell>
          <cell r="D1675" t="str">
            <v>April</v>
          </cell>
          <cell r="F1675">
            <v>605016</v>
          </cell>
          <cell r="G1675" t="str">
            <v>April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0</v>
          </cell>
          <cell r="AE1675">
            <v>0</v>
          </cell>
        </row>
        <row r="1676">
          <cell r="B1676">
            <v>605016</v>
          </cell>
          <cell r="C1676" t="str">
            <v>Insentif</v>
          </cell>
          <cell r="D1676" t="str">
            <v>Mei</v>
          </cell>
          <cell r="F1676">
            <v>605016</v>
          </cell>
          <cell r="G1676" t="str">
            <v>Mei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</row>
        <row r="1677">
          <cell r="B1677">
            <v>605016</v>
          </cell>
          <cell r="C1677" t="str">
            <v>Insentif</v>
          </cell>
          <cell r="D1677" t="str">
            <v>Juni</v>
          </cell>
          <cell r="F1677">
            <v>605016</v>
          </cell>
          <cell r="G1677" t="str">
            <v>Juni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0</v>
          </cell>
          <cell r="AE1677">
            <v>0</v>
          </cell>
        </row>
        <row r="1678">
          <cell r="B1678">
            <v>605016</v>
          </cell>
          <cell r="C1678" t="str">
            <v>Insentif</v>
          </cell>
          <cell r="D1678" t="str">
            <v>Juli</v>
          </cell>
          <cell r="F1678">
            <v>605016</v>
          </cell>
          <cell r="G1678" t="str">
            <v>Juli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0</v>
          </cell>
          <cell r="AE1678">
            <v>0</v>
          </cell>
        </row>
        <row r="1679">
          <cell r="B1679">
            <v>605016</v>
          </cell>
          <cell r="C1679" t="str">
            <v>Insentif</v>
          </cell>
          <cell r="D1679" t="str">
            <v>Agustus</v>
          </cell>
          <cell r="F1679">
            <v>605016</v>
          </cell>
          <cell r="G1679" t="str">
            <v>Agustus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0</v>
          </cell>
          <cell r="AE1679">
            <v>0</v>
          </cell>
        </row>
        <row r="1680">
          <cell r="B1680">
            <v>605016</v>
          </cell>
          <cell r="C1680" t="str">
            <v>Insentif</v>
          </cell>
          <cell r="D1680" t="str">
            <v>September</v>
          </cell>
          <cell r="F1680">
            <v>605016</v>
          </cell>
          <cell r="G1680" t="str">
            <v>September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0</v>
          </cell>
          <cell r="AE1680">
            <v>0</v>
          </cell>
        </row>
        <row r="1681">
          <cell r="B1681">
            <v>605016</v>
          </cell>
          <cell r="C1681" t="str">
            <v>Insentif</v>
          </cell>
          <cell r="D1681" t="str">
            <v>Oktober</v>
          </cell>
          <cell r="F1681">
            <v>605016</v>
          </cell>
          <cell r="G1681" t="str">
            <v>Oktober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0</v>
          </cell>
          <cell r="AE1681">
            <v>0</v>
          </cell>
        </row>
        <row r="1682">
          <cell r="B1682">
            <v>605016</v>
          </cell>
          <cell r="C1682" t="str">
            <v>Insentif</v>
          </cell>
          <cell r="D1682" t="str">
            <v>November</v>
          </cell>
          <cell r="F1682">
            <v>605016</v>
          </cell>
          <cell r="G1682" t="str">
            <v>November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0</v>
          </cell>
          <cell r="AD1682">
            <v>0</v>
          </cell>
          <cell r="AE1682">
            <v>0</v>
          </cell>
        </row>
        <row r="1683">
          <cell r="B1683">
            <v>605016</v>
          </cell>
          <cell r="C1683" t="str">
            <v>Insentif</v>
          </cell>
          <cell r="D1683" t="str">
            <v>Desember</v>
          </cell>
          <cell r="F1683">
            <v>605016</v>
          </cell>
          <cell r="G1683" t="str">
            <v>Desember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</row>
        <row r="1685">
          <cell r="B1685">
            <v>606000</v>
          </cell>
          <cell r="E1685">
            <v>606</v>
          </cell>
          <cell r="F1685">
            <v>606000</v>
          </cell>
          <cell r="G1685" t="str">
            <v>Beban Usaha Body Repair</v>
          </cell>
          <cell r="H1685">
            <v>0</v>
          </cell>
          <cell r="I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</row>
        <row r="1686">
          <cell r="B1686">
            <v>606001</v>
          </cell>
          <cell r="C1686" t="str">
            <v>Gaji</v>
          </cell>
          <cell r="E1686">
            <v>606.00099999999998</v>
          </cell>
          <cell r="F1686">
            <v>606001</v>
          </cell>
          <cell r="G1686" t="str">
            <v>Gaji</v>
          </cell>
          <cell r="H1686">
            <v>66694000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66694000</v>
          </cell>
          <cell r="AC1686">
            <v>0</v>
          </cell>
          <cell r="AD1686">
            <v>0</v>
          </cell>
          <cell r="AE1686">
            <v>0</v>
          </cell>
        </row>
        <row r="1687">
          <cell r="B1687">
            <v>606001</v>
          </cell>
          <cell r="C1687" t="str">
            <v>Gaji</v>
          </cell>
          <cell r="D1687" t="str">
            <v>Januari</v>
          </cell>
          <cell r="F1687">
            <v>606001</v>
          </cell>
          <cell r="G1687" t="str">
            <v>Januari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0</v>
          </cell>
          <cell r="AD1687">
            <v>0</v>
          </cell>
          <cell r="AE1687">
            <v>0</v>
          </cell>
        </row>
        <row r="1688">
          <cell r="B1688">
            <v>606001</v>
          </cell>
          <cell r="C1688" t="str">
            <v>Gaji</v>
          </cell>
          <cell r="D1688" t="str">
            <v>Februari</v>
          </cell>
          <cell r="F1688">
            <v>606001</v>
          </cell>
          <cell r="G1688" t="str">
            <v>Februari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0</v>
          </cell>
          <cell r="AE1688">
            <v>0</v>
          </cell>
        </row>
        <row r="1689">
          <cell r="B1689">
            <v>606001</v>
          </cell>
          <cell r="C1689" t="str">
            <v>Gaji</v>
          </cell>
          <cell r="D1689" t="str">
            <v>Maret</v>
          </cell>
          <cell r="F1689">
            <v>606001</v>
          </cell>
          <cell r="G1689" t="str">
            <v>Maret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0</v>
          </cell>
          <cell r="AD1689">
            <v>0</v>
          </cell>
          <cell r="AE1689">
            <v>0</v>
          </cell>
        </row>
        <row r="1690">
          <cell r="B1690">
            <v>606001</v>
          </cell>
          <cell r="C1690" t="str">
            <v>Gaji</v>
          </cell>
          <cell r="D1690" t="str">
            <v>April</v>
          </cell>
          <cell r="F1690">
            <v>606001</v>
          </cell>
          <cell r="G1690" t="str">
            <v>April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</row>
        <row r="1691">
          <cell r="B1691">
            <v>606001</v>
          </cell>
          <cell r="C1691" t="str">
            <v>Gaji</v>
          </cell>
          <cell r="D1691" t="str">
            <v>Mei</v>
          </cell>
          <cell r="F1691">
            <v>606001</v>
          </cell>
          <cell r="G1691" t="str">
            <v>Mei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0</v>
          </cell>
          <cell r="AE1691">
            <v>0</v>
          </cell>
        </row>
        <row r="1692">
          <cell r="B1692">
            <v>606001</v>
          </cell>
          <cell r="C1692" t="str">
            <v>Gaji</v>
          </cell>
          <cell r="D1692" t="str">
            <v>Juni</v>
          </cell>
          <cell r="F1692">
            <v>606001</v>
          </cell>
          <cell r="G1692" t="str">
            <v>Juni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0</v>
          </cell>
          <cell r="AE1692">
            <v>0</v>
          </cell>
        </row>
        <row r="1693">
          <cell r="B1693">
            <v>606001</v>
          </cell>
          <cell r="C1693" t="str">
            <v>Gaji</v>
          </cell>
          <cell r="D1693" t="str">
            <v>Juli</v>
          </cell>
          <cell r="F1693">
            <v>606001</v>
          </cell>
          <cell r="G1693" t="str">
            <v>Juli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0</v>
          </cell>
          <cell r="AE1693">
            <v>0</v>
          </cell>
        </row>
        <row r="1694">
          <cell r="B1694">
            <v>606001</v>
          </cell>
          <cell r="C1694" t="str">
            <v>Gaji</v>
          </cell>
          <cell r="D1694" t="str">
            <v>Agustus</v>
          </cell>
          <cell r="F1694">
            <v>606001</v>
          </cell>
          <cell r="G1694" t="str">
            <v>Agustus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0</v>
          </cell>
          <cell r="AD1694">
            <v>0</v>
          </cell>
          <cell r="AE1694">
            <v>0</v>
          </cell>
        </row>
        <row r="1695">
          <cell r="B1695">
            <v>606001</v>
          </cell>
          <cell r="C1695" t="str">
            <v>Gaji</v>
          </cell>
          <cell r="D1695" t="str">
            <v>September</v>
          </cell>
          <cell r="F1695">
            <v>606001</v>
          </cell>
          <cell r="G1695" t="str">
            <v>September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0</v>
          </cell>
          <cell r="AC1695">
            <v>0</v>
          </cell>
          <cell r="AD1695">
            <v>0</v>
          </cell>
          <cell r="AE1695">
            <v>0</v>
          </cell>
        </row>
        <row r="1696">
          <cell r="B1696">
            <v>606001</v>
          </cell>
          <cell r="C1696" t="str">
            <v>Gaji</v>
          </cell>
          <cell r="D1696" t="str">
            <v>Oktober</v>
          </cell>
          <cell r="F1696">
            <v>606001</v>
          </cell>
          <cell r="G1696" t="str">
            <v>Oktober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0</v>
          </cell>
          <cell r="AC1696">
            <v>0</v>
          </cell>
          <cell r="AD1696">
            <v>0</v>
          </cell>
          <cell r="AE1696">
            <v>0</v>
          </cell>
        </row>
        <row r="1697">
          <cell r="B1697">
            <v>606001</v>
          </cell>
          <cell r="C1697" t="str">
            <v>Gaji</v>
          </cell>
          <cell r="D1697" t="str">
            <v>November</v>
          </cell>
          <cell r="F1697">
            <v>606001</v>
          </cell>
          <cell r="G1697" t="str">
            <v>November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0</v>
          </cell>
          <cell r="AE1697">
            <v>0</v>
          </cell>
        </row>
        <row r="1698">
          <cell r="B1698">
            <v>606001</v>
          </cell>
          <cell r="C1698" t="str">
            <v>Gaji</v>
          </cell>
          <cell r="D1698" t="str">
            <v>Desember</v>
          </cell>
          <cell r="F1698">
            <v>606001</v>
          </cell>
          <cell r="G1698" t="str">
            <v>Desember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0</v>
          </cell>
          <cell r="AC1698">
            <v>0</v>
          </cell>
          <cell r="AD1698">
            <v>0</v>
          </cell>
          <cell r="AE1698">
            <v>0</v>
          </cell>
        </row>
        <row r="1699">
          <cell r="B1699">
            <v>606002</v>
          </cell>
          <cell r="C1699" t="str">
            <v>Tunjangan makan</v>
          </cell>
          <cell r="E1699">
            <v>606.00199999999995</v>
          </cell>
          <cell r="F1699">
            <v>606002</v>
          </cell>
          <cell r="G1699" t="str">
            <v>Tunjangan makan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0</v>
          </cell>
          <cell r="AE1699">
            <v>0</v>
          </cell>
        </row>
        <row r="1700">
          <cell r="B1700">
            <v>606002</v>
          </cell>
          <cell r="C1700" t="str">
            <v>Tunjangan makan</v>
          </cell>
          <cell r="D1700" t="str">
            <v>Januari</v>
          </cell>
          <cell r="F1700">
            <v>606002</v>
          </cell>
          <cell r="G1700" t="str">
            <v>Januari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0</v>
          </cell>
          <cell r="AE1700">
            <v>0</v>
          </cell>
        </row>
        <row r="1701">
          <cell r="B1701">
            <v>606002</v>
          </cell>
          <cell r="C1701" t="str">
            <v>Tunjangan makan</v>
          </cell>
          <cell r="D1701" t="str">
            <v>Februari</v>
          </cell>
          <cell r="F1701">
            <v>606002</v>
          </cell>
          <cell r="G1701" t="str">
            <v>Februari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0</v>
          </cell>
          <cell r="AE1701">
            <v>0</v>
          </cell>
        </row>
        <row r="1702">
          <cell r="B1702">
            <v>606002</v>
          </cell>
          <cell r="C1702" t="str">
            <v>Tunjangan makan</v>
          </cell>
          <cell r="D1702" t="str">
            <v>Maret</v>
          </cell>
          <cell r="F1702">
            <v>606002</v>
          </cell>
          <cell r="G1702" t="str">
            <v>Maret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0</v>
          </cell>
          <cell r="AD1702">
            <v>0</v>
          </cell>
          <cell r="AE1702">
            <v>0</v>
          </cell>
        </row>
        <row r="1703">
          <cell r="B1703">
            <v>606002</v>
          </cell>
          <cell r="C1703" t="str">
            <v>Tunjangan makan</v>
          </cell>
          <cell r="D1703" t="str">
            <v>April</v>
          </cell>
          <cell r="F1703">
            <v>606002</v>
          </cell>
          <cell r="G1703" t="str">
            <v>April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0</v>
          </cell>
          <cell r="AC1703">
            <v>0</v>
          </cell>
          <cell r="AD1703">
            <v>0</v>
          </cell>
          <cell r="AE1703">
            <v>0</v>
          </cell>
        </row>
        <row r="1704">
          <cell r="B1704">
            <v>606002</v>
          </cell>
          <cell r="C1704" t="str">
            <v>Tunjangan makan</v>
          </cell>
          <cell r="D1704" t="str">
            <v>Mei</v>
          </cell>
          <cell r="F1704">
            <v>606002</v>
          </cell>
          <cell r="G1704" t="str">
            <v>Mei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0</v>
          </cell>
          <cell r="AE1704">
            <v>0</v>
          </cell>
        </row>
        <row r="1705">
          <cell r="B1705">
            <v>606002</v>
          </cell>
          <cell r="C1705" t="str">
            <v>Tunjangan makan</v>
          </cell>
          <cell r="D1705" t="str">
            <v>Juni</v>
          </cell>
          <cell r="F1705">
            <v>606002</v>
          </cell>
          <cell r="G1705" t="str">
            <v>Juni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0</v>
          </cell>
          <cell r="AE1705">
            <v>0</v>
          </cell>
        </row>
        <row r="1706">
          <cell r="B1706">
            <v>606002</v>
          </cell>
          <cell r="C1706" t="str">
            <v>Tunjangan makan</v>
          </cell>
          <cell r="D1706" t="str">
            <v>Juli</v>
          </cell>
          <cell r="F1706">
            <v>606002</v>
          </cell>
          <cell r="G1706" t="str">
            <v>Juli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0</v>
          </cell>
          <cell r="AE1706">
            <v>0</v>
          </cell>
        </row>
        <row r="1707">
          <cell r="B1707">
            <v>606002</v>
          </cell>
          <cell r="C1707" t="str">
            <v>Tunjangan makan</v>
          </cell>
          <cell r="D1707" t="str">
            <v>Agustus</v>
          </cell>
          <cell r="F1707">
            <v>606002</v>
          </cell>
          <cell r="G1707" t="str">
            <v>Agustus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0</v>
          </cell>
          <cell r="AE1707">
            <v>0</v>
          </cell>
        </row>
        <row r="1708">
          <cell r="B1708">
            <v>606002</v>
          </cell>
          <cell r="C1708" t="str">
            <v>Tunjangan makan</v>
          </cell>
          <cell r="D1708" t="str">
            <v>September</v>
          </cell>
          <cell r="F1708">
            <v>606002</v>
          </cell>
          <cell r="G1708" t="str">
            <v>September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0</v>
          </cell>
          <cell r="AE1708">
            <v>0</v>
          </cell>
        </row>
        <row r="1709">
          <cell r="B1709">
            <v>606002</v>
          </cell>
          <cell r="C1709" t="str">
            <v>Tunjangan makan</v>
          </cell>
          <cell r="D1709" t="str">
            <v>Oktober</v>
          </cell>
          <cell r="F1709">
            <v>606002</v>
          </cell>
          <cell r="G1709" t="str">
            <v>Oktober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0</v>
          </cell>
          <cell r="AE1709">
            <v>0</v>
          </cell>
        </row>
        <row r="1710">
          <cell r="B1710">
            <v>606002</v>
          </cell>
          <cell r="C1710" t="str">
            <v>Tunjangan makan</v>
          </cell>
          <cell r="D1710" t="str">
            <v>November</v>
          </cell>
          <cell r="F1710">
            <v>606002</v>
          </cell>
          <cell r="G1710" t="str">
            <v>November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0</v>
          </cell>
        </row>
        <row r="1711">
          <cell r="B1711">
            <v>606002</v>
          </cell>
          <cell r="C1711" t="str">
            <v>Tunjangan makan</v>
          </cell>
          <cell r="D1711" t="str">
            <v>Desember</v>
          </cell>
          <cell r="F1711">
            <v>606002</v>
          </cell>
          <cell r="G1711" t="str">
            <v>Desember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0</v>
          </cell>
        </row>
        <row r="1712">
          <cell r="B1712">
            <v>606003</v>
          </cell>
          <cell r="C1712" t="str">
            <v>Lembur</v>
          </cell>
          <cell r="E1712">
            <v>606.00300000000004</v>
          </cell>
          <cell r="F1712">
            <v>606003</v>
          </cell>
          <cell r="G1712" t="str">
            <v>Lembur</v>
          </cell>
          <cell r="H1712">
            <v>2417097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2417097</v>
          </cell>
          <cell r="AC1712">
            <v>0</v>
          </cell>
          <cell r="AD1712">
            <v>0</v>
          </cell>
          <cell r="AE1712">
            <v>0</v>
          </cell>
        </row>
        <row r="1713">
          <cell r="B1713">
            <v>606003</v>
          </cell>
          <cell r="C1713" t="str">
            <v>Lembur</v>
          </cell>
          <cell r="D1713" t="str">
            <v>Januari</v>
          </cell>
          <cell r="F1713">
            <v>606003</v>
          </cell>
          <cell r="G1713" t="str">
            <v>Januari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</row>
        <row r="1714">
          <cell r="B1714">
            <v>606003</v>
          </cell>
          <cell r="C1714" t="str">
            <v>Lembur</v>
          </cell>
          <cell r="D1714" t="str">
            <v>Februari</v>
          </cell>
          <cell r="F1714">
            <v>606003</v>
          </cell>
          <cell r="G1714" t="str">
            <v>Februari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0</v>
          </cell>
          <cell r="AE1714">
            <v>0</v>
          </cell>
        </row>
        <row r="1715">
          <cell r="B1715">
            <v>606003</v>
          </cell>
          <cell r="C1715" t="str">
            <v>Lembur</v>
          </cell>
          <cell r="D1715" t="str">
            <v>Maret</v>
          </cell>
          <cell r="F1715">
            <v>606003</v>
          </cell>
          <cell r="G1715" t="str">
            <v>Maret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</row>
        <row r="1716">
          <cell r="B1716">
            <v>606003</v>
          </cell>
          <cell r="C1716" t="str">
            <v>Lembur</v>
          </cell>
          <cell r="D1716" t="str">
            <v>April</v>
          </cell>
          <cell r="F1716">
            <v>606003</v>
          </cell>
          <cell r="G1716" t="str">
            <v>April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0</v>
          </cell>
          <cell r="AB1716">
            <v>0</v>
          </cell>
          <cell r="AC1716">
            <v>0</v>
          </cell>
          <cell r="AD1716">
            <v>0</v>
          </cell>
          <cell r="AE1716">
            <v>0</v>
          </cell>
        </row>
        <row r="1717">
          <cell r="B1717">
            <v>606003</v>
          </cell>
          <cell r="C1717" t="str">
            <v>Lembur</v>
          </cell>
          <cell r="D1717" t="str">
            <v>Mei</v>
          </cell>
          <cell r="F1717">
            <v>606003</v>
          </cell>
          <cell r="G1717" t="str">
            <v>Mei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</row>
        <row r="1718">
          <cell r="B1718">
            <v>606003</v>
          </cell>
          <cell r="C1718" t="str">
            <v>Lembur</v>
          </cell>
          <cell r="D1718" t="str">
            <v>Juni</v>
          </cell>
          <cell r="F1718">
            <v>606003</v>
          </cell>
          <cell r="G1718" t="str">
            <v>Juni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0</v>
          </cell>
          <cell r="AD1718">
            <v>0</v>
          </cell>
          <cell r="AE1718">
            <v>0</v>
          </cell>
        </row>
        <row r="1719">
          <cell r="B1719">
            <v>606003</v>
          </cell>
          <cell r="C1719" t="str">
            <v>Lembur</v>
          </cell>
          <cell r="D1719" t="str">
            <v>Juli</v>
          </cell>
          <cell r="F1719">
            <v>606003</v>
          </cell>
          <cell r="G1719" t="str">
            <v>Juli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</row>
        <row r="1720">
          <cell r="B1720">
            <v>606003</v>
          </cell>
          <cell r="C1720" t="str">
            <v>Lembur</v>
          </cell>
          <cell r="D1720" t="str">
            <v>Agustus</v>
          </cell>
          <cell r="F1720">
            <v>606003</v>
          </cell>
          <cell r="G1720" t="str">
            <v>Agustus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</row>
        <row r="1721">
          <cell r="B1721">
            <v>606003</v>
          </cell>
          <cell r="C1721" t="str">
            <v>Lembur</v>
          </cell>
          <cell r="D1721" t="str">
            <v>September</v>
          </cell>
          <cell r="F1721">
            <v>606003</v>
          </cell>
          <cell r="G1721" t="str">
            <v>September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0</v>
          </cell>
          <cell r="AE1721">
            <v>0</v>
          </cell>
        </row>
        <row r="1722">
          <cell r="B1722">
            <v>606003</v>
          </cell>
          <cell r="C1722" t="str">
            <v>Lembur</v>
          </cell>
          <cell r="D1722" t="str">
            <v>Oktober</v>
          </cell>
          <cell r="F1722">
            <v>606003</v>
          </cell>
          <cell r="G1722" t="str">
            <v>Oktober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0</v>
          </cell>
          <cell r="AE1722">
            <v>0</v>
          </cell>
        </row>
        <row r="1723">
          <cell r="B1723">
            <v>606003</v>
          </cell>
          <cell r="C1723" t="str">
            <v>Lembur</v>
          </cell>
          <cell r="D1723" t="str">
            <v>November</v>
          </cell>
          <cell r="F1723">
            <v>606003</v>
          </cell>
          <cell r="G1723" t="str">
            <v>November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0</v>
          </cell>
          <cell r="AC1723">
            <v>0</v>
          </cell>
          <cell r="AD1723">
            <v>0</v>
          </cell>
          <cell r="AE1723">
            <v>0</v>
          </cell>
        </row>
        <row r="1724">
          <cell r="B1724">
            <v>606003</v>
          </cell>
          <cell r="C1724" t="str">
            <v>Lembur</v>
          </cell>
          <cell r="D1724" t="str">
            <v>Desember</v>
          </cell>
          <cell r="F1724">
            <v>606003</v>
          </cell>
          <cell r="G1724" t="str">
            <v>Desember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0</v>
          </cell>
          <cell r="AD1724">
            <v>0</v>
          </cell>
          <cell r="AE1724">
            <v>0</v>
          </cell>
        </row>
        <row r="1725">
          <cell r="B1725">
            <v>606004</v>
          </cell>
          <cell r="C1725" t="str">
            <v>THR</v>
          </cell>
          <cell r="E1725">
            <v>606.00400000000002</v>
          </cell>
          <cell r="F1725">
            <v>606004</v>
          </cell>
          <cell r="G1725" t="str">
            <v>THR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0</v>
          </cell>
          <cell r="AD1725">
            <v>0</v>
          </cell>
          <cell r="AE1725">
            <v>0</v>
          </cell>
        </row>
        <row r="1726">
          <cell r="B1726">
            <v>606004</v>
          </cell>
          <cell r="C1726" t="str">
            <v>THR</v>
          </cell>
          <cell r="D1726" t="str">
            <v>Januari</v>
          </cell>
          <cell r="F1726">
            <v>606004</v>
          </cell>
          <cell r="G1726" t="str">
            <v>Januari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0</v>
          </cell>
          <cell r="AD1726">
            <v>0</v>
          </cell>
          <cell r="AE1726">
            <v>0</v>
          </cell>
        </row>
        <row r="1727">
          <cell r="B1727">
            <v>606004</v>
          </cell>
          <cell r="C1727" t="str">
            <v>THR</v>
          </cell>
          <cell r="D1727" t="str">
            <v>Februari</v>
          </cell>
          <cell r="F1727">
            <v>606004</v>
          </cell>
          <cell r="G1727" t="str">
            <v>Februari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</row>
        <row r="1728">
          <cell r="B1728">
            <v>606004</v>
          </cell>
          <cell r="C1728" t="str">
            <v>THR</v>
          </cell>
          <cell r="D1728" t="str">
            <v>Maret</v>
          </cell>
          <cell r="F1728">
            <v>606004</v>
          </cell>
          <cell r="G1728" t="str">
            <v>Maret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0</v>
          </cell>
          <cell r="AE1728">
            <v>0</v>
          </cell>
        </row>
        <row r="1729">
          <cell r="B1729">
            <v>606004</v>
          </cell>
          <cell r="C1729" t="str">
            <v>THR</v>
          </cell>
          <cell r="D1729" t="str">
            <v>April</v>
          </cell>
          <cell r="F1729">
            <v>606004</v>
          </cell>
          <cell r="G1729" t="str">
            <v>April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0</v>
          </cell>
          <cell r="AE1729">
            <v>0</v>
          </cell>
        </row>
        <row r="1730">
          <cell r="B1730">
            <v>606004</v>
          </cell>
          <cell r="C1730" t="str">
            <v>THR</v>
          </cell>
          <cell r="D1730" t="str">
            <v>Mei</v>
          </cell>
          <cell r="F1730">
            <v>606004</v>
          </cell>
          <cell r="G1730" t="str">
            <v>Mei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0</v>
          </cell>
          <cell r="AC1730">
            <v>0</v>
          </cell>
          <cell r="AD1730">
            <v>0</v>
          </cell>
          <cell r="AE1730">
            <v>0</v>
          </cell>
        </row>
        <row r="1731">
          <cell r="B1731">
            <v>606004</v>
          </cell>
          <cell r="C1731" t="str">
            <v>THR</v>
          </cell>
          <cell r="D1731" t="str">
            <v>Juni</v>
          </cell>
          <cell r="F1731">
            <v>606004</v>
          </cell>
          <cell r="G1731" t="str">
            <v>Juni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</row>
        <row r="1732">
          <cell r="B1732">
            <v>606004</v>
          </cell>
          <cell r="C1732" t="str">
            <v>THR</v>
          </cell>
          <cell r="D1732" t="str">
            <v>Juli</v>
          </cell>
          <cell r="F1732">
            <v>606004</v>
          </cell>
          <cell r="G1732" t="str">
            <v>Juli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0</v>
          </cell>
          <cell r="AD1732">
            <v>0</v>
          </cell>
          <cell r="AE1732">
            <v>0</v>
          </cell>
        </row>
        <row r="1733">
          <cell r="B1733">
            <v>606004</v>
          </cell>
          <cell r="C1733" t="str">
            <v>THR</v>
          </cell>
          <cell r="D1733" t="str">
            <v>Agustus</v>
          </cell>
          <cell r="F1733">
            <v>606004</v>
          </cell>
          <cell r="G1733" t="str">
            <v>Agustus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</row>
        <row r="1734">
          <cell r="B1734">
            <v>606004</v>
          </cell>
          <cell r="C1734" t="str">
            <v>THR</v>
          </cell>
          <cell r="D1734" t="str">
            <v>September</v>
          </cell>
          <cell r="F1734">
            <v>606004</v>
          </cell>
          <cell r="G1734" t="str">
            <v>September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0</v>
          </cell>
          <cell r="AE1734">
            <v>0</v>
          </cell>
        </row>
        <row r="1735">
          <cell r="B1735">
            <v>606004</v>
          </cell>
          <cell r="C1735" t="str">
            <v>THR</v>
          </cell>
          <cell r="D1735" t="str">
            <v>Oktober</v>
          </cell>
          <cell r="F1735">
            <v>606004</v>
          </cell>
          <cell r="G1735" t="str">
            <v>Oktober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0</v>
          </cell>
          <cell r="AE1735">
            <v>0</v>
          </cell>
        </row>
        <row r="1736">
          <cell r="B1736">
            <v>606004</v>
          </cell>
          <cell r="C1736" t="str">
            <v>THR</v>
          </cell>
          <cell r="D1736" t="str">
            <v>November</v>
          </cell>
          <cell r="F1736">
            <v>606004</v>
          </cell>
          <cell r="G1736" t="str">
            <v>November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0</v>
          </cell>
          <cell r="AD1736">
            <v>0</v>
          </cell>
          <cell r="AE1736">
            <v>0</v>
          </cell>
        </row>
        <row r="1737">
          <cell r="B1737">
            <v>606004</v>
          </cell>
          <cell r="C1737" t="str">
            <v>THR</v>
          </cell>
          <cell r="D1737" t="str">
            <v>Desember</v>
          </cell>
          <cell r="F1737">
            <v>606004</v>
          </cell>
          <cell r="G1737" t="str">
            <v>Desember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</row>
        <row r="1738">
          <cell r="B1738">
            <v>606005</v>
          </cell>
          <cell r="C1738" t="str">
            <v>Astek</v>
          </cell>
          <cell r="E1738">
            <v>606.005</v>
          </cell>
          <cell r="F1738">
            <v>606005</v>
          </cell>
          <cell r="G1738" t="str">
            <v>Astek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</row>
        <row r="1739">
          <cell r="B1739">
            <v>606005</v>
          </cell>
          <cell r="C1739" t="str">
            <v>Astek</v>
          </cell>
          <cell r="D1739" t="str">
            <v>Januari</v>
          </cell>
          <cell r="F1739">
            <v>606005</v>
          </cell>
          <cell r="G1739" t="str">
            <v>Januari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0</v>
          </cell>
          <cell r="AE1739">
            <v>0</v>
          </cell>
        </row>
        <row r="1740">
          <cell r="B1740">
            <v>606005</v>
          </cell>
          <cell r="C1740" t="str">
            <v>Astek</v>
          </cell>
          <cell r="D1740" t="str">
            <v>Februari</v>
          </cell>
          <cell r="F1740">
            <v>606005</v>
          </cell>
          <cell r="G1740" t="str">
            <v>Februari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0</v>
          </cell>
          <cell r="AE1740">
            <v>0</v>
          </cell>
        </row>
        <row r="1741">
          <cell r="B1741">
            <v>606005</v>
          </cell>
          <cell r="C1741" t="str">
            <v>Astek</v>
          </cell>
          <cell r="D1741" t="str">
            <v>Maret</v>
          </cell>
          <cell r="F1741">
            <v>606005</v>
          </cell>
          <cell r="G1741" t="str">
            <v>Maret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0</v>
          </cell>
          <cell r="AE1741">
            <v>0</v>
          </cell>
        </row>
        <row r="1742">
          <cell r="B1742">
            <v>606005</v>
          </cell>
          <cell r="C1742" t="str">
            <v>Astek</v>
          </cell>
          <cell r="D1742" t="str">
            <v>April</v>
          </cell>
          <cell r="F1742">
            <v>606005</v>
          </cell>
          <cell r="G1742" t="str">
            <v>April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0</v>
          </cell>
          <cell r="AE1742">
            <v>0</v>
          </cell>
        </row>
        <row r="1743">
          <cell r="B1743">
            <v>606005</v>
          </cell>
          <cell r="C1743" t="str">
            <v>Astek</v>
          </cell>
          <cell r="D1743" t="str">
            <v>Mei</v>
          </cell>
          <cell r="F1743">
            <v>606005</v>
          </cell>
          <cell r="G1743" t="str">
            <v>Mei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</row>
        <row r="1744">
          <cell r="B1744">
            <v>606005</v>
          </cell>
          <cell r="C1744" t="str">
            <v>Astek</v>
          </cell>
          <cell r="D1744" t="str">
            <v>Juni</v>
          </cell>
          <cell r="F1744">
            <v>606005</v>
          </cell>
          <cell r="G1744" t="str">
            <v>Juni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0</v>
          </cell>
          <cell r="AE1744">
            <v>0</v>
          </cell>
        </row>
        <row r="1745">
          <cell r="B1745">
            <v>606005</v>
          </cell>
          <cell r="C1745" t="str">
            <v>Astek</v>
          </cell>
          <cell r="D1745" t="str">
            <v>Juli</v>
          </cell>
          <cell r="F1745">
            <v>606005</v>
          </cell>
          <cell r="G1745" t="str">
            <v>Juli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0</v>
          </cell>
          <cell r="AE1745">
            <v>0</v>
          </cell>
        </row>
        <row r="1746">
          <cell r="B1746">
            <v>606005</v>
          </cell>
          <cell r="C1746" t="str">
            <v>Astek</v>
          </cell>
          <cell r="D1746" t="str">
            <v>Agustus</v>
          </cell>
          <cell r="F1746">
            <v>606005</v>
          </cell>
          <cell r="G1746" t="str">
            <v>Agustus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0</v>
          </cell>
          <cell r="AE1746">
            <v>0</v>
          </cell>
        </row>
        <row r="1747">
          <cell r="B1747">
            <v>606005</v>
          </cell>
          <cell r="C1747" t="str">
            <v>Astek</v>
          </cell>
          <cell r="D1747" t="str">
            <v>September</v>
          </cell>
          <cell r="F1747">
            <v>606005</v>
          </cell>
          <cell r="G1747" t="str">
            <v>September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</row>
        <row r="1748">
          <cell r="B1748">
            <v>606005</v>
          </cell>
          <cell r="C1748" t="str">
            <v>Astek</v>
          </cell>
          <cell r="D1748" t="str">
            <v>Oktober</v>
          </cell>
          <cell r="F1748">
            <v>606005</v>
          </cell>
          <cell r="G1748" t="str">
            <v>Oktober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</row>
        <row r="1749">
          <cell r="B1749">
            <v>606005</v>
          </cell>
          <cell r="C1749" t="str">
            <v>Astek</v>
          </cell>
          <cell r="D1749" t="str">
            <v>November</v>
          </cell>
          <cell r="F1749">
            <v>606005</v>
          </cell>
          <cell r="G1749" t="str">
            <v>November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0</v>
          </cell>
          <cell r="AD1749">
            <v>0</v>
          </cell>
          <cell r="AE1749">
            <v>0</v>
          </cell>
        </row>
        <row r="1750">
          <cell r="B1750">
            <v>606005</v>
          </cell>
          <cell r="C1750" t="str">
            <v>Astek</v>
          </cell>
          <cell r="D1750" t="str">
            <v>Desember</v>
          </cell>
          <cell r="F1750">
            <v>606005</v>
          </cell>
          <cell r="G1750" t="str">
            <v>Desember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0</v>
          </cell>
          <cell r="AE1750">
            <v>0</v>
          </cell>
        </row>
        <row r="1751">
          <cell r="B1751">
            <v>606007</v>
          </cell>
          <cell r="C1751" t="str">
            <v>Telpon</v>
          </cell>
          <cell r="E1751">
            <v>606.00699999999995</v>
          </cell>
          <cell r="F1751">
            <v>606007</v>
          </cell>
          <cell r="G1751" t="str">
            <v>Telpon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0</v>
          </cell>
          <cell r="AE1751">
            <v>0</v>
          </cell>
        </row>
        <row r="1752">
          <cell r="B1752">
            <v>606007</v>
          </cell>
          <cell r="C1752" t="str">
            <v>Telpon</v>
          </cell>
          <cell r="D1752" t="str">
            <v>Januari</v>
          </cell>
          <cell r="F1752">
            <v>606007</v>
          </cell>
          <cell r="G1752" t="str">
            <v>Januari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0</v>
          </cell>
          <cell r="AE1752">
            <v>0</v>
          </cell>
        </row>
        <row r="1753">
          <cell r="B1753">
            <v>606007</v>
          </cell>
          <cell r="C1753" t="str">
            <v>Telpon</v>
          </cell>
          <cell r="D1753" t="str">
            <v>Februari</v>
          </cell>
          <cell r="F1753">
            <v>606007</v>
          </cell>
          <cell r="G1753" t="str">
            <v>Februari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</row>
        <row r="1754">
          <cell r="B1754">
            <v>606007</v>
          </cell>
          <cell r="C1754" t="str">
            <v>Telpon</v>
          </cell>
          <cell r="D1754" t="str">
            <v>Maret</v>
          </cell>
          <cell r="F1754">
            <v>606007</v>
          </cell>
          <cell r="G1754" t="str">
            <v>Maret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0</v>
          </cell>
          <cell r="AE1754">
            <v>0</v>
          </cell>
        </row>
        <row r="1755">
          <cell r="B1755">
            <v>606007</v>
          </cell>
          <cell r="C1755" t="str">
            <v>Telpon</v>
          </cell>
          <cell r="D1755" t="str">
            <v>April</v>
          </cell>
          <cell r="F1755">
            <v>606007</v>
          </cell>
          <cell r="G1755" t="str">
            <v>April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</row>
        <row r="1756">
          <cell r="B1756">
            <v>606007</v>
          </cell>
          <cell r="C1756" t="str">
            <v>Telpon</v>
          </cell>
          <cell r="D1756" t="str">
            <v>Mei</v>
          </cell>
          <cell r="F1756">
            <v>606007</v>
          </cell>
          <cell r="G1756" t="str">
            <v>Mei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0</v>
          </cell>
        </row>
        <row r="1757">
          <cell r="B1757">
            <v>606007</v>
          </cell>
          <cell r="C1757" t="str">
            <v>Telpon</v>
          </cell>
          <cell r="D1757" t="str">
            <v>Juni</v>
          </cell>
          <cell r="F1757">
            <v>606007</v>
          </cell>
          <cell r="G1757" t="str">
            <v>Juni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</row>
        <row r="1758">
          <cell r="B1758">
            <v>606007</v>
          </cell>
          <cell r="C1758" t="str">
            <v>Telpon</v>
          </cell>
          <cell r="D1758" t="str">
            <v>Juli</v>
          </cell>
          <cell r="F1758">
            <v>606007</v>
          </cell>
          <cell r="G1758" t="str">
            <v>Juli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0</v>
          </cell>
          <cell r="AE1758">
            <v>0</v>
          </cell>
        </row>
        <row r="1759">
          <cell r="B1759">
            <v>606007</v>
          </cell>
          <cell r="C1759" t="str">
            <v>Telpon</v>
          </cell>
          <cell r="D1759" t="str">
            <v>Agustus</v>
          </cell>
          <cell r="F1759">
            <v>606007</v>
          </cell>
          <cell r="G1759" t="str">
            <v>Agustus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0</v>
          </cell>
          <cell r="AE1759">
            <v>0</v>
          </cell>
        </row>
        <row r="1760">
          <cell r="B1760">
            <v>606007</v>
          </cell>
          <cell r="C1760" t="str">
            <v>Telpon</v>
          </cell>
          <cell r="D1760" t="str">
            <v>September</v>
          </cell>
          <cell r="F1760">
            <v>606007</v>
          </cell>
          <cell r="G1760" t="str">
            <v>September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0</v>
          </cell>
          <cell r="AD1760">
            <v>0</v>
          </cell>
          <cell r="AE1760">
            <v>0</v>
          </cell>
        </row>
        <row r="1761">
          <cell r="B1761">
            <v>606007</v>
          </cell>
          <cell r="C1761" t="str">
            <v>Telpon</v>
          </cell>
          <cell r="D1761" t="str">
            <v>Oktober</v>
          </cell>
          <cell r="F1761">
            <v>606007</v>
          </cell>
          <cell r="G1761" t="str">
            <v>Oktober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0</v>
          </cell>
          <cell r="AD1761">
            <v>0</v>
          </cell>
          <cell r="AE1761">
            <v>0</v>
          </cell>
        </row>
        <row r="1762">
          <cell r="B1762">
            <v>606007</v>
          </cell>
          <cell r="C1762" t="str">
            <v>Telpon</v>
          </cell>
          <cell r="D1762" t="str">
            <v>November</v>
          </cell>
          <cell r="F1762">
            <v>606007</v>
          </cell>
          <cell r="G1762" t="str">
            <v>November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0</v>
          </cell>
          <cell r="AC1762">
            <v>0</v>
          </cell>
          <cell r="AD1762">
            <v>0</v>
          </cell>
          <cell r="AE1762">
            <v>0</v>
          </cell>
        </row>
        <row r="1763">
          <cell r="B1763">
            <v>606007</v>
          </cell>
          <cell r="C1763" t="str">
            <v>Telpon</v>
          </cell>
          <cell r="D1763" t="str">
            <v>Desember</v>
          </cell>
          <cell r="F1763">
            <v>606007</v>
          </cell>
          <cell r="G1763" t="str">
            <v>Desember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</row>
        <row r="1764">
          <cell r="B1764">
            <v>606008</v>
          </cell>
          <cell r="C1764" t="str">
            <v>Listrik</v>
          </cell>
          <cell r="E1764">
            <v>606.00800000000004</v>
          </cell>
          <cell r="F1764">
            <v>606008</v>
          </cell>
          <cell r="G1764" t="str">
            <v>Listrik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</row>
        <row r="1765">
          <cell r="B1765">
            <v>606008</v>
          </cell>
          <cell r="C1765" t="str">
            <v>Listrik</v>
          </cell>
          <cell r="D1765" t="str">
            <v>Januari</v>
          </cell>
          <cell r="F1765">
            <v>606008</v>
          </cell>
          <cell r="G1765" t="str">
            <v>Januari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</row>
        <row r="1766">
          <cell r="B1766">
            <v>606008</v>
          </cell>
          <cell r="C1766" t="str">
            <v>Listrik</v>
          </cell>
          <cell r="D1766" t="str">
            <v>Februari</v>
          </cell>
          <cell r="F1766">
            <v>606008</v>
          </cell>
          <cell r="G1766" t="str">
            <v>Februari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0</v>
          </cell>
          <cell r="AD1766">
            <v>0</v>
          </cell>
          <cell r="AE1766">
            <v>0</v>
          </cell>
        </row>
        <row r="1767">
          <cell r="B1767">
            <v>606008</v>
          </cell>
          <cell r="C1767" t="str">
            <v>Listrik</v>
          </cell>
          <cell r="D1767" t="str">
            <v>Maret</v>
          </cell>
          <cell r="F1767">
            <v>606008</v>
          </cell>
          <cell r="G1767" t="str">
            <v>Maret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0</v>
          </cell>
          <cell r="AE1767">
            <v>0</v>
          </cell>
        </row>
        <row r="1768">
          <cell r="B1768">
            <v>606008</v>
          </cell>
          <cell r="C1768" t="str">
            <v>Listrik</v>
          </cell>
          <cell r="D1768" t="str">
            <v>April</v>
          </cell>
          <cell r="F1768">
            <v>606008</v>
          </cell>
          <cell r="G1768" t="str">
            <v>April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</row>
        <row r="1769">
          <cell r="B1769">
            <v>606008</v>
          </cell>
          <cell r="C1769" t="str">
            <v>Listrik</v>
          </cell>
          <cell r="D1769" t="str">
            <v>Mei</v>
          </cell>
          <cell r="F1769">
            <v>606008</v>
          </cell>
          <cell r="G1769" t="str">
            <v>Mei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0</v>
          </cell>
          <cell r="AB1769">
            <v>0</v>
          </cell>
          <cell r="AC1769">
            <v>0</v>
          </cell>
          <cell r="AD1769">
            <v>0</v>
          </cell>
          <cell r="AE1769">
            <v>0</v>
          </cell>
        </row>
        <row r="1770">
          <cell r="B1770">
            <v>606008</v>
          </cell>
          <cell r="C1770" t="str">
            <v>Listrik</v>
          </cell>
          <cell r="D1770" t="str">
            <v>Juni</v>
          </cell>
          <cell r="F1770">
            <v>606008</v>
          </cell>
          <cell r="G1770" t="str">
            <v>Juni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0</v>
          </cell>
          <cell r="AE1770">
            <v>0</v>
          </cell>
        </row>
        <row r="1771">
          <cell r="B1771">
            <v>606008</v>
          </cell>
          <cell r="C1771" t="str">
            <v>Listrik</v>
          </cell>
          <cell r="D1771" t="str">
            <v>Juli</v>
          </cell>
          <cell r="F1771">
            <v>606008</v>
          </cell>
          <cell r="G1771" t="str">
            <v>Juli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</row>
        <row r="1772">
          <cell r="B1772">
            <v>606008</v>
          </cell>
          <cell r="C1772" t="str">
            <v>Listrik</v>
          </cell>
          <cell r="D1772" t="str">
            <v>Agustus</v>
          </cell>
          <cell r="F1772">
            <v>606008</v>
          </cell>
          <cell r="G1772" t="str">
            <v>Agustus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0</v>
          </cell>
          <cell r="AC1772">
            <v>0</v>
          </cell>
          <cell r="AD1772">
            <v>0</v>
          </cell>
          <cell r="AE1772">
            <v>0</v>
          </cell>
        </row>
        <row r="1773">
          <cell r="B1773">
            <v>606008</v>
          </cell>
          <cell r="C1773" t="str">
            <v>Listrik</v>
          </cell>
          <cell r="D1773" t="str">
            <v>September</v>
          </cell>
          <cell r="F1773">
            <v>606008</v>
          </cell>
          <cell r="G1773" t="str">
            <v>September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</row>
        <row r="1774">
          <cell r="B1774">
            <v>606008</v>
          </cell>
          <cell r="C1774" t="str">
            <v>Listrik</v>
          </cell>
          <cell r="D1774" t="str">
            <v>Oktober</v>
          </cell>
          <cell r="F1774">
            <v>606008</v>
          </cell>
          <cell r="G1774" t="str">
            <v>Oktober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</row>
        <row r="1775">
          <cell r="B1775">
            <v>606008</v>
          </cell>
          <cell r="C1775" t="str">
            <v>Listrik</v>
          </cell>
          <cell r="D1775" t="str">
            <v>November</v>
          </cell>
          <cell r="F1775">
            <v>606008</v>
          </cell>
          <cell r="G1775" t="str">
            <v>November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  <cell r="Y1775">
            <v>0</v>
          </cell>
          <cell r="Z1775">
            <v>0</v>
          </cell>
          <cell r="AA1775">
            <v>0</v>
          </cell>
          <cell r="AB1775">
            <v>0</v>
          </cell>
          <cell r="AC1775">
            <v>0</v>
          </cell>
          <cell r="AD1775">
            <v>0</v>
          </cell>
          <cell r="AE1775">
            <v>0</v>
          </cell>
        </row>
        <row r="1776">
          <cell r="B1776">
            <v>606008</v>
          </cell>
          <cell r="C1776" t="str">
            <v>Listrik</v>
          </cell>
          <cell r="D1776" t="str">
            <v>Desember</v>
          </cell>
          <cell r="F1776">
            <v>606008</v>
          </cell>
          <cell r="G1776" t="str">
            <v>Desember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0</v>
          </cell>
        </row>
        <row r="1777">
          <cell r="B1777">
            <v>606009</v>
          </cell>
          <cell r="C1777" t="str">
            <v>Penyusutan Peralatan</v>
          </cell>
          <cell r="E1777">
            <v>606.00900000000001</v>
          </cell>
          <cell r="F1777">
            <v>606009</v>
          </cell>
          <cell r="G1777" t="str">
            <v>Penyusutan Peralatan</v>
          </cell>
          <cell r="H1777">
            <v>7138790.0925000003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7138790.0925000003</v>
          </cell>
          <cell r="AC1777">
            <v>0</v>
          </cell>
          <cell r="AD1777">
            <v>0</v>
          </cell>
          <cell r="AE1777">
            <v>0</v>
          </cell>
        </row>
        <row r="1778">
          <cell r="B1778">
            <v>606009</v>
          </cell>
          <cell r="C1778" t="str">
            <v>Penyusutan Peralatan</v>
          </cell>
          <cell r="D1778" t="str">
            <v>Januari</v>
          </cell>
          <cell r="F1778">
            <v>606009</v>
          </cell>
          <cell r="G1778" t="str">
            <v>Januari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0</v>
          </cell>
          <cell r="AE1778">
            <v>0</v>
          </cell>
        </row>
        <row r="1779">
          <cell r="B1779">
            <v>606009</v>
          </cell>
          <cell r="C1779" t="str">
            <v>Penyusutan Peralatan</v>
          </cell>
          <cell r="D1779" t="str">
            <v>Februari</v>
          </cell>
          <cell r="F1779">
            <v>606009</v>
          </cell>
          <cell r="G1779" t="str">
            <v>Februari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0</v>
          </cell>
          <cell r="AE1779">
            <v>0</v>
          </cell>
        </row>
        <row r="1780">
          <cell r="B1780">
            <v>606009</v>
          </cell>
          <cell r="C1780" t="str">
            <v>Penyusutan Peralatan</v>
          </cell>
          <cell r="D1780" t="str">
            <v>Maret</v>
          </cell>
          <cell r="F1780">
            <v>606009</v>
          </cell>
          <cell r="G1780" t="str">
            <v>Maret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</row>
        <row r="1781">
          <cell r="B1781">
            <v>606009</v>
          </cell>
          <cell r="C1781" t="str">
            <v>Penyusutan Peralatan</v>
          </cell>
          <cell r="D1781" t="str">
            <v>April</v>
          </cell>
          <cell r="F1781">
            <v>606009</v>
          </cell>
          <cell r="G1781" t="str">
            <v>April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0</v>
          </cell>
          <cell r="AE1781">
            <v>0</v>
          </cell>
        </row>
        <row r="1782">
          <cell r="B1782">
            <v>606009</v>
          </cell>
          <cell r="C1782" t="str">
            <v>Penyusutan Peralatan</v>
          </cell>
          <cell r="D1782" t="str">
            <v>Mei</v>
          </cell>
          <cell r="F1782">
            <v>606009</v>
          </cell>
          <cell r="G1782" t="str">
            <v>Mei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0</v>
          </cell>
        </row>
        <row r="1783">
          <cell r="B1783">
            <v>606009</v>
          </cell>
          <cell r="C1783" t="str">
            <v>Penyusutan Peralatan</v>
          </cell>
          <cell r="D1783" t="str">
            <v>Juni</v>
          </cell>
          <cell r="F1783">
            <v>606009</v>
          </cell>
          <cell r="G1783" t="str">
            <v>Juni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0</v>
          </cell>
          <cell r="AE1783">
            <v>0</v>
          </cell>
        </row>
        <row r="1784">
          <cell r="B1784">
            <v>606009</v>
          </cell>
          <cell r="C1784" t="str">
            <v>Penyusutan Peralatan</v>
          </cell>
          <cell r="D1784" t="str">
            <v>Juli</v>
          </cell>
          <cell r="F1784">
            <v>606009</v>
          </cell>
          <cell r="G1784" t="str">
            <v>Juli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0</v>
          </cell>
          <cell r="AE1784">
            <v>0</v>
          </cell>
        </row>
        <row r="1785">
          <cell r="B1785">
            <v>606009</v>
          </cell>
          <cell r="C1785" t="str">
            <v>Penyusutan Peralatan</v>
          </cell>
          <cell r="D1785" t="str">
            <v>Agustus</v>
          </cell>
          <cell r="F1785">
            <v>606009</v>
          </cell>
          <cell r="G1785" t="str">
            <v>Agustus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</row>
        <row r="1786">
          <cell r="B1786">
            <v>606009</v>
          </cell>
          <cell r="C1786" t="str">
            <v>Penyusutan Peralatan</v>
          </cell>
          <cell r="D1786" t="str">
            <v>September</v>
          </cell>
          <cell r="F1786">
            <v>606009</v>
          </cell>
          <cell r="G1786" t="str">
            <v>September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</row>
        <row r="1787">
          <cell r="B1787">
            <v>606009</v>
          </cell>
          <cell r="C1787" t="str">
            <v>Penyusutan Peralatan</v>
          </cell>
          <cell r="D1787" t="str">
            <v>Oktober</v>
          </cell>
          <cell r="F1787">
            <v>606009</v>
          </cell>
          <cell r="G1787" t="str">
            <v>Oktober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</row>
        <row r="1788">
          <cell r="B1788">
            <v>606009</v>
          </cell>
          <cell r="C1788" t="str">
            <v>Penyusutan Peralatan</v>
          </cell>
          <cell r="D1788" t="str">
            <v>November</v>
          </cell>
          <cell r="F1788">
            <v>606009</v>
          </cell>
          <cell r="G1788" t="str">
            <v>November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</row>
        <row r="1789">
          <cell r="B1789">
            <v>606009</v>
          </cell>
          <cell r="C1789" t="str">
            <v>Penyusutan Peralatan</v>
          </cell>
          <cell r="D1789" t="str">
            <v>Desember</v>
          </cell>
          <cell r="F1789">
            <v>606009</v>
          </cell>
          <cell r="G1789" t="str">
            <v>Desember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</row>
        <row r="1790">
          <cell r="B1790">
            <v>606010</v>
          </cell>
          <cell r="C1790" t="str">
            <v>Kantong Plastik</v>
          </cell>
          <cell r="E1790">
            <v>606.01</v>
          </cell>
          <cell r="F1790">
            <v>606010</v>
          </cell>
          <cell r="G1790" t="str">
            <v>Kantong Plastik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  <cell r="Y1790">
            <v>0</v>
          </cell>
          <cell r="Z1790">
            <v>90000</v>
          </cell>
          <cell r="AA1790">
            <v>0</v>
          </cell>
          <cell r="AB1790">
            <v>90000</v>
          </cell>
          <cell r="AC1790">
            <v>0</v>
          </cell>
          <cell r="AD1790">
            <v>90000</v>
          </cell>
          <cell r="AE1790">
            <v>0</v>
          </cell>
        </row>
        <row r="1791">
          <cell r="B1791">
            <v>606010</v>
          </cell>
          <cell r="C1791" t="str">
            <v>Kantong Plastik</v>
          </cell>
          <cell r="D1791" t="str">
            <v>Januari</v>
          </cell>
          <cell r="F1791">
            <v>606010</v>
          </cell>
          <cell r="G1791" t="str">
            <v>Januari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0</v>
          </cell>
        </row>
        <row r="1792">
          <cell r="B1792">
            <v>606010</v>
          </cell>
          <cell r="C1792" t="str">
            <v>Kantong Plastik</v>
          </cell>
          <cell r="D1792" t="str">
            <v>Februari</v>
          </cell>
          <cell r="F1792">
            <v>606010</v>
          </cell>
          <cell r="G1792" t="str">
            <v>Februari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0</v>
          </cell>
        </row>
        <row r="1793">
          <cell r="B1793">
            <v>606010</v>
          </cell>
          <cell r="C1793" t="str">
            <v>Kantong Plastik</v>
          </cell>
          <cell r="D1793" t="str">
            <v>Maret</v>
          </cell>
          <cell r="F1793">
            <v>606010</v>
          </cell>
          <cell r="G1793" t="str">
            <v>Maret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0</v>
          </cell>
        </row>
        <row r="1794">
          <cell r="B1794">
            <v>606010</v>
          </cell>
          <cell r="C1794" t="str">
            <v>Kantong Plastik</v>
          </cell>
          <cell r="D1794" t="str">
            <v>April</v>
          </cell>
          <cell r="F1794">
            <v>606010</v>
          </cell>
          <cell r="G1794" t="str">
            <v>April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0</v>
          </cell>
        </row>
        <row r="1795">
          <cell r="B1795">
            <v>606010</v>
          </cell>
          <cell r="C1795" t="str">
            <v>Kantong Plastik</v>
          </cell>
          <cell r="D1795" t="str">
            <v>Mei</v>
          </cell>
          <cell r="F1795">
            <v>606010</v>
          </cell>
          <cell r="G1795" t="str">
            <v>Mei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0</v>
          </cell>
        </row>
        <row r="1796">
          <cell r="B1796">
            <v>606010</v>
          </cell>
          <cell r="C1796" t="str">
            <v>Kantong Plastik</v>
          </cell>
          <cell r="D1796" t="str">
            <v>Juni</v>
          </cell>
          <cell r="F1796">
            <v>606010</v>
          </cell>
          <cell r="G1796" t="str">
            <v>Juni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0</v>
          </cell>
        </row>
        <row r="1797">
          <cell r="B1797">
            <v>606010</v>
          </cell>
          <cell r="C1797" t="str">
            <v>Kantong Plastik</v>
          </cell>
          <cell r="D1797" t="str">
            <v>Juli</v>
          </cell>
          <cell r="F1797">
            <v>606010</v>
          </cell>
          <cell r="G1797" t="str">
            <v>Juli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0</v>
          </cell>
        </row>
        <row r="1798">
          <cell r="B1798">
            <v>606010</v>
          </cell>
          <cell r="C1798" t="str">
            <v>Kantong Plastik</v>
          </cell>
          <cell r="D1798" t="str">
            <v>Agustus</v>
          </cell>
          <cell r="F1798">
            <v>606010</v>
          </cell>
          <cell r="G1798" t="str">
            <v>Agustus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0</v>
          </cell>
        </row>
        <row r="1799">
          <cell r="B1799">
            <v>606010</v>
          </cell>
          <cell r="C1799" t="str">
            <v>Kantong Plastik</v>
          </cell>
          <cell r="D1799" t="str">
            <v>September</v>
          </cell>
          <cell r="F1799">
            <v>606010</v>
          </cell>
          <cell r="G1799" t="str">
            <v>September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  <cell r="Z1799">
            <v>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</row>
        <row r="1800">
          <cell r="B1800">
            <v>606010</v>
          </cell>
          <cell r="C1800" t="str">
            <v>Kantong Plastik</v>
          </cell>
          <cell r="D1800" t="str">
            <v>Oktober</v>
          </cell>
          <cell r="F1800">
            <v>606010</v>
          </cell>
          <cell r="G1800" t="str">
            <v>Oktober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0</v>
          </cell>
          <cell r="AB1800">
            <v>0</v>
          </cell>
          <cell r="AC1800">
            <v>0</v>
          </cell>
          <cell r="AD1800">
            <v>0</v>
          </cell>
          <cell r="AE1800">
            <v>0</v>
          </cell>
        </row>
        <row r="1801">
          <cell r="B1801">
            <v>606010</v>
          </cell>
          <cell r="C1801" t="str">
            <v>Kantong Plastik</v>
          </cell>
          <cell r="D1801" t="str">
            <v>November</v>
          </cell>
          <cell r="F1801">
            <v>606010</v>
          </cell>
          <cell r="G1801" t="str">
            <v>November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0</v>
          </cell>
          <cell r="AD1801">
            <v>0</v>
          </cell>
          <cell r="AE1801">
            <v>0</v>
          </cell>
        </row>
        <row r="1802">
          <cell r="B1802">
            <v>606010</v>
          </cell>
          <cell r="C1802" t="str">
            <v>Kantong Plastik</v>
          </cell>
          <cell r="D1802" t="str">
            <v>Desember</v>
          </cell>
          <cell r="F1802">
            <v>606010</v>
          </cell>
          <cell r="G1802" t="str">
            <v>Desember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90000</v>
          </cell>
          <cell r="AA1802">
            <v>0</v>
          </cell>
          <cell r="AB1802">
            <v>90000</v>
          </cell>
          <cell r="AC1802">
            <v>0</v>
          </cell>
          <cell r="AD1802">
            <v>90000</v>
          </cell>
          <cell r="AE1802">
            <v>0</v>
          </cell>
        </row>
        <row r="1803">
          <cell r="B1803">
            <v>606013</v>
          </cell>
          <cell r="C1803" t="str">
            <v>Jasa Pihak ke 3</v>
          </cell>
          <cell r="E1803">
            <v>606.01300000000003</v>
          </cell>
          <cell r="F1803">
            <v>606013</v>
          </cell>
          <cell r="G1803" t="str">
            <v>Jasa Pihak ke 3</v>
          </cell>
          <cell r="H1803">
            <v>5530000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8145000</v>
          </cell>
          <cell r="AA1803">
            <v>0</v>
          </cell>
          <cell r="AB1803">
            <v>13675000</v>
          </cell>
          <cell r="AC1803">
            <v>0</v>
          </cell>
          <cell r="AD1803">
            <v>8145000</v>
          </cell>
          <cell r="AE1803">
            <v>0</v>
          </cell>
        </row>
        <row r="1804">
          <cell r="B1804">
            <v>606013</v>
          </cell>
          <cell r="C1804" t="str">
            <v>Jasa Pihak ke 3</v>
          </cell>
          <cell r="D1804" t="str">
            <v>Januari</v>
          </cell>
          <cell r="F1804">
            <v>606013</v>
          </cell>
          <cell r="G1804" t="str">
            <v>Januari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10000</v>
          </cell>
          <cell r="AA1804">
            <v>0</v>
          </cell>
          <cell r="AB1804">
            <v>10000</v>
          </cell>
          <cell r="AC1804">
            <v>0</v>
          </cell>
          <cell r="AD1804">
            <v>10000</v>
          </cell>
          <cell r="AE1804">
            <v>0</v>
          </cell>
        </row>
        <row r="1805">
          <cell r="B1805">
            <v>606013</v>
          </cell>
          <cell r="C1805" t="str">
            <v>Jasa Pihak ke 3</v>
          </cell>
          <cell r="D1805" t="str">
            <v>Februari</v>
          </cell>
          <cell r="F1805">
            <v>606013</v>
          </cell>
          <cell r="G1805" t="str">
            <v>Februari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550000</v>
          </cell>
          <cell r="AA1805">
            <v>0</v>
          </cell>
          <cell r="AB1805">
            <v>550000</v>
          </cell>
          <cell r="AC1805">
            <v>0</v>
          </cell>
          <cell r="AD1805">
            <v>550000</v>
          </cell>
          <cell r="AE1805">
            <v>0</v>
          </cell>
        </row>
        <row r="1806">
          <cell r="B1806">
            <v>606013</v>
          </cell>
          <cell r="C1806" t="str">
            <v>Jasa Pihak ke 3</v>
          </cell>
          <cell r="D1806" t="str">
            <v>Maret</v>
          </cell>
          <cell r="F1806">
            <v>606013</v>
          </cell>
          <cell r="G1806" t="str">
            <v>Maret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0</v>
          </cell>
        </row>
        <row r="1807">
          <cell r="B1807">
            <v>606013</v>
          </cell>
          <cell r="C1807" t="str">
            <v>Jasa Pihak ke 3</v>
          </cell>
          <cell r="D1807" t="str">
            <v>April</v>
          </cell>
          <cell r="F1807">
            <v>606013</v>
          </cell>
          <cell r="G1807" t="str">
            <v>April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0</v>
          </cell>
        </row>
        <row r="1808">
          <cell r="B1808">
            <v>606013</v>
          </cell>
          <cell r="C1808" t="str">
            <v>Jasa Pihak ke 3</v>
          </cell>
          <cell r="D1808" t="str">
            <v>Mei</v>
          </cell>
          <cell r="F1808">
            <v>606013</v>
          </cell>
          <cell r="G1808" t="str">
            <v>Mei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555000</v>
          </cell>
          <cell r="AA1808">
            <v>0</v>
          </cell>
          <cell r="AB1808">
            <v>555000</v>
          </cell>
          <cell r="AC1808">
            <v>0</v>
          </cell>
          <cell r="AD1808">
            <v>555000</v>
          </cell>
          <cell r="AE1808">
            <v>0</v>
          </cell>
        </row>
        <row r="1809">
          <cell r="B1809">
            <v>606013</v>
          </cell>
          <cell r="C1809" t="str">
            <v>Jasa Pihak ke 3</v>
          </cell>
          <cell r="D1809" t="str">
            <v>Juni</v>
          </cell>
          <cell r="F1809">
            <v>606013</v>
          </cell>
          <cell r="G1809" t="str">
            <v>Juni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0</v>
          </cell>
          <cell r="AA1809">
            <v>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</row>
        <row r="1810">
          <cell r="B1810">
            <v>606013</v>
          </cell>
          <cell r="C1810" t="str">
            <v>Jasa Pihak ke 3</v>
          </cell>
          <cell r="D1810" t="str">
            <v>Juli</v>
          </cell>
          <cell r="F1810">
            <v>606013</v>
          </cell>
          <cell r="G1810" t="str">
            <v>Juli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0</v>
          </cell>
        </row>
        <row r="1811">
          <cell r="B1811">
            <v>606013</v>
          </cell>
          <cell r="C1811" t="str">
            <v>Jasa Pihak ke 3</v>
          </cell>
          <cell r="D1811" t="str">
            <v>Agustus</v>
          </cell>
          <cell r="F1811">
            <v>606013</v>
          </cell>
          <cell r="G1811" t="str">
            <v>Agustus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125000</v>
          </cell>
          <cell r="AA1811">
            <v>0</v>
          </cell>
          <cell r="AB1811">
            <v>125000</v>
          </cell>
          <cell r="AC1811">
            <v>0</v>
          </cell>
          <cell r="AD1811">
            <v>125000</v>
          </cell>
          <cell r="AE1811">
            <v>0</v>
          </cell>
        </row>
        <row r="1812">
          <cell r="B1812">
            <v>606013</v>
          </cell>
          <cell r="C1812" t="str">
            <v>Jasa Pihak ke 3</v>
          </cell>
          <cell r="D1812" t="str">
            <v>September</v>
          </cell>
          <cell r="F1812">
            <v>606013</v>
          </cell>
          <cell r="G1812" t="str">
            <v>September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0</v>
          </cell>
        </row>
        <row r="1813">
          <cell r="B1813">
            <v>606013</v>
          </cell>
          <cell r="C1813" t="str">
            <v>Jasa Pihak ke 3</v>
          </cell>
          <cell r="D1813" t="str">
            <v>Oktober</v>
          </cell>
          <cell r="F1813">
            <v>606013</v>
          </cell>
          <cell r="G1813" t="str">
            <v>Oktober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2025000</v>
          </cell>
          <cell r="AA1813">
            <v>0</v>
          </cell>
          <cell r="AB1813">
            <v>2025000</v>
          </cell>
          <cell r="AC1813">
            <v>0</v>
          </cell>
          <cell r="AD1813">
            <v>2025000</v>
          </cell>
          <cell r="AE1813">
            <v>0</v>
          </cell>
        </row>
        <row r="1814">
          <cell r="B1814">
            <v>606013</v>
          </cell>
          <cell r="C1814" t="str">
            <v>Jasa Pihak ke 3</v>
          </cell>
          <cell r="D1814" t="str">
            <v>November</v>
          </cell>
          <cell r="F1814">
            <v>606013</v>
          </cell>
          <cell r="G1814" t="str">
            <v>November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1600000</v>
          </cell>
          <cell r="AA1814">
            <v>0</v>
          </cell>
          <cell r="AB1814">
            <v>1600000</v>
          </cell>
          <cell r="AC1814">
            <v>0</v>
          </cell>
          <cell r="AD1814">
            <v>1600000</v>
          </cell>
          <cell r="AE1814">
            <v>0</v>
          </cell>
        </row>
        <row r="1815">
          <cell r="B1815">
            <v>606013</v>
          </cell>
          <cell r="C1815" t="str">
            <v>Jasa Pihak ke 3</v>
          </cell>
          <cell r="D1815" t="str">
            <v>Desember</v>
          </cell>
          <cell r="F1815">
            <v>606013</v>
          </cell>
          <cell r="G1815" t="str">
            <v>Desember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3280000</v>
          </cell>
          <cell r="AA1815">
            <v>0</v>
          </cell>
          <cell r="AB1815">
            <v>3280000</v>
          </cell>
          <cell r="AC1815">
            <v>0</v>
          </cell>
          <cell r="AD1815">
            <v>3280000</v>
          </cell>
          <cell r="AE1815">
            <v>0</v>
          </cell>
        </row>
        <row r="1816">
          <cell r="B1816">
            <v>606011</v>
          </cell>
          <cell r="C1816" t="str">
            <v xml:space="preserve">Material </v>
          </cell>
          <cell r="E1816">
            <v>606.01099999999997</v>
          </cell>
          <cell r="F1816">
            <v>606011</v>
          </cell>
          <cell r="G1816" t="str">
            <v xml:space="preserve">Material </v>
          </cell>
          <cell r="H1816">
            <v>4425300.1333330013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613677681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3167050</v>
          </cell>
          <cell r="AA1816">
            <v>0</v>
          </cell>
          <cell r="AB1816">
            <v>621270031.13333297</v>
          </cell>
          <cell r="AC1816">
            <v>0</v>
          </cell>
          <cell r="AD1816">
            <v>616844731</v>
          </cell>
          <cell r="AE1816">
            <v>0</v>
          </cell>
        </row>
        <row r="1817">
          <cell r="B1817">
            <v>606011</v>
          </cell>
          <cell r="C1817" t="str">
            <v xml:space="preserve">Material </v>
          </cell>
          <cell r="D1817" t="str">
            <v>Januari</v>
          </cell>
          <cell r="F1817">
            <v>606011</v>
          </cell>
          <cell r="G1817" t="str">
            <v>Januari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52830928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82000</v>
          </cell>
          <cell r="AA1817">
            <v>0</v>
          </cell>
          <cell r="AB1817">
            <v>52912928</v>
          </cell>
          <cell r="AC1817">
            <v>0</v>
          </cell>
          <cell r="AD1817">
            <v>52912928</v>
          </cell>
          <cell r="AE1817">
            <v>0</v>
          </cell>
        </row>
        <row r="1818">
          <cell r="B1818">
            <v>606011</v>
          </cell>
          <cell r="C1818" t="str">
            <v xml:space="preserve">Material </v>
          </cell>
          <cell r="D1818" t="str">
            <v>Februari</v>
          </cell>
          <cell r="F1818">
            <v>606011</v>
          </cell>
          <cell r="G1818" t="str">
            <v>Februari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59307727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308000</v>
          </cell>
          <cell r="AA1818">
            <v>0</v>
          </cell>
          <cell r="AB1818">
            <v>59615727</v>
          </cell>
          <cell r="AC1818">
            <v>0</v>
          </cell>
          <cell r="AD1818">
            <v>59615727</v>
          </cell>
          <cell r="AE1818">
            <v>0</v>
          </cell>
        </row>
        <row r="1819">
          <cell r="B1819">
            <v>606011</v>
          </cell>
          <cell r="C1819" t="str">
            <v xml:space="preserve">Material </v>
          </cell>
          <cell r="D1819" t="str">
            <v>Maret</v>
          </cell>
          <cell r="F1819">
            <v>606011</v>
          </cell>
          <cell r="G1819" t="str">
            <v>Maret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43906725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450000</v>
          </cell>
          <cell r="AA1819">
            <v>0</v>
          </cell>
          <cell r="AB1819">
            <v>44356725</v>
          </cell>
          <cell r="AC1819">
            <v>0</v>
          </cell>
          <cell r="AD1819">
            <v>44356725</v>
          </cell>
          <cell r="AE1819">
            <v>0</v>
          </cell>
        </row>
        <row r="1820">
          <cell r="B1820">
            <v>606011</v>
          </cell>
          <cell r="C1820" t="str">
            <v xml:space="preserve">Material </v>
          </cell>
          <cell r="D1820" t="str">
            <v>April</v>
          </cell>
          <cell r="F1820">
            <v>606011</v>
          </cell>
          <cell r="G1820" t="str">
            <v>April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48469304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91250</v>
          </cell>
          <cell r="AA1820">
            <v>0</v>
          </cell>
          <cell r="AB1820">
            <v>48560554</v>
          </cell>
          <cell r="AC1820">
            <v>0</v>
          </cell>
          <cell r="AD1820">
            <v>48560554</v>
          </cell>
          <cell r="AE1820">
            <v>0</v>
          </cell>
        </row>
        <row r="1821">
          <cell r="B1821">
            <v>606011</v>
          </cell>
          <cell r="C1821" t="str">
            <v xml:space="preserve">Material </v>
          </cell>
          <cell r="D1821" t="str">
            <v>Mei</v>
          </cell>
          <cell r="F1821">
            <v>606011</v>
          </cell>
          <cell r="G1821" t="str">
            <v>Mei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62404704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165300</v>
          </cell>
          <cell r="AA1821">
            <v>0</v>
          </cell>
          <cell r="AB1821">
            <v>62570004</v>
          </cell>
          <cell r="AC1821">
            <v>0</v>
          </cell>
          <cell r="AD1821">
            <v>62570004</v>
          </cell>
          <cell r="AE1821">
            <v>0</v>
          </cell>
        </row>
        <row r="1822">
          <cell r="B1822">
            <v>606011</v>
          </cell>
          <cell r="C1822" t="str">
            <v xml:space="preserve">Material </v>
          </cell>
          <cell r="D1822" t="str">
            <v>Juni</v>
          </cell>
          <cell r="F1822">
            <v>606011</v>
          </cell>
          <cell r="G1822" t="str">
            <v>Juni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37217655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392000</v>
          </cell>
          <cell r="AA1822">
            <v>0</v>
          </cell>
          <cell r="AB1822">
            <v>37609655</v>
          </cell>
          <cell r="AC1822">
            <v>0</v>
          </cell>
          <cell r="AD1822">
            <v>37609655</v>
          </cell>
          <cell r="AE1822">
            <v>0</v>
          </cell>
        </row>
        <row r="1823">
          <cell r="B1823">
            <v>606011</v>
          </cell>
          <cell r="C1823" t="str">
            <v xml:space="preserve">Material </v>
          </cell>
          <cell r="D1823" t="str">
            <v>Juli</v>
          </cell>
          <cell r="F1823">
            <v>606011</v>
          </cell>
          <cell r="G1823" t="str">
            <v>Juli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47038531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34000</v>
          </cell>
          <cell r="AA1823">
            <v>0</v>
          </cell>
          <cell r="AB1823">
            <v>47072531</v>
          </cell>
          <cell r="AC1823">
            <v>0</v>
          </cell>
          <cell r="AD1823">
            <v>47072531</v>
          </cell>
          <cell r="AE1823">
            <v>0</v>
          </cell>
        </row>
        <row r="1824">
          <cell r="B1824">
            <v>606011</v>
          </cell>
          <cell r="C1824" t="str">
            <v xml:space="preserve">Material </v>
          </cell>
          <cell r="D1824" t="str">
            <v>Agustus</v>
          </cell>
          <cell r="F1824">
            <v>606011</v>
          </cell>
          <cell r="G1824" t="str">
            <v>Agustus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110761219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170000</v>
          </cell>
          <cell r="AA1824">
            <v>0</v>
          </cell>
          <cell r="AB1824">
            <v>110931219</v>
          </cell>
          <cell r="AC1824">
            <v>0</v>
          </cell>
          <cell r="AD1824">
            <v>110931219</v>
          </cell>
          <cell r="AE1824">
            <v>0</v>
          </cell>
        </row>
        <row r="1825">
          <cell r="B1825">
            <v>606011</v>
          </cell>
          <cell r="C1825" t="str">
            <v xml:space="preserve">Material </v>
          </cell>
          <cell r="D1825" t="str">
            <v>September</v>
          </cell>
          <cell r="F1825">
            <v>606011</v>
          </cell>
          <cell r="G1825" t="str">
            <v>September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34292317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111500</v>
          </cell>
          <cell r="AA1825">
            <v>0</v>
          </cell>
          <cell r="AB1825">
            <v>34403817</v>
          </cell>
          <cell r="AC1825">
            <v>0</v>
          </cell>
          <cell r="AD1825">
            <v>34403817</v>
          </cell>
          <cell r="AE1825">
            <v>0</v>
          </cell>
        </row>
        <row r="1826">
          <cell r="B1826">
            <v>606011</v>
          </cell>
          <cell r="C1826" t="str">
            <v xml:space="preserve">Material </v>
          </cell>
          <cell r="D1826" t="str">
            <v>Oktober</v>
          </cell>
          <cell r="F1826">
            <v>606011</v>
          </cell>
          <cell r="G1826" t="str">
            <v>Oktober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38308463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710000</v>
          </cell>
          <cell r="AA1826">
            <v>0</v>
          </cell>
          <cell r="AB1826">
            <v>39018463</v>
          </cell>
          <cell r="AC1826">
            <v>0</v>
          </cell>
          <cell r="AD1826">
            <v>39018463</v>
          </cell>
          <cell r="AE1826">
            <v>0</v>
          </cell>
        </row>
        <row r="1827">
          <cell r="B1827">
            <v>606011</v>
          </cell>
          <cell r="C1827" t="str">
            <v xml:space="preserve">Material </v>
          </cell>
          <cell r="D1827" t="str">
            <v>November</v>
          </cell>
          <cell r="F1827">
            <v>606011</v>
          </cell>
          <cell r="G1827" t="str">
            <v>November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36958998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443000</v>
          </cell>
          <cell r="AA1827">
            <v>0</v>
          </cell>
          <cell r="AB1827">
            <v>37401998</v>
          </cell>
          <cell r="AC1827">
            <v>0</v>
          </cell>
          <cell r="AD1827">
            <v>37401998</v>
          </cell>
          <cell r="AE1827">
            <v>0</v>
          </cell>
        </row>
        <row r="1828">
          <cell r="B1828">
            <v>606011</v>
          </cell>
          <cell r="C1828" t="str">
            <v xml:space="preserve">Material </v>
          </cell>
          <cell r="D1828" t="str">
            <v>Desember</v>
          </cell>
          <cell r="F1828">
            <v>606011</v>
          </cell>
          <cell r="G1828" t="str">
            <v>Desember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42181110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210000</v>
          </cell>
          <cell r="AA1828">
            <v>0</v>
          </cell>
          <cell r="AB1828">
            <v>42391110</v>
          </cell>
          <cell r="AC1828">
            <v>0</v>
          </cell>
          <cell r="AD1828">
            <v>42391110</v>
          </cell>
          <cell r="AE1828">
            <v>0</v>
          </cell>
        </row>
        <row r="1829">
          <cell r="B1829">
            <v>606012</v>
          </cell>
          <cell r="C1829" t="str">
            <v>Dinas Luar</v>
          </cell>
          <cell r="E1829">
            <v>606.01199999999994</v>
          </cell>
          <cell r="F1829">
            <v>606012</v>
          </cell>
          <cell r="G1829" t="str">
            <v>Dinas Luar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0</v>
          </cell>
        </row>
        <row r="1830">
          <cell r="B1830">
            <v>606012</v>
          </cell>
          <cell r="C1830" t="str">
            <v>Dinas Luar</v>
          </cell>
          <cell r="D1830" t="str">
            <v>Januari</v>
          </cell>
          <cell r="F1830">
            <v>606012</v>
          </cell>
          <cell r="G1830" t="str">
            <v>Januari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0</v>
          </cell>
          <cell r="AE1830">
            <v>0</v>
          </cell>
        </row>
        <row r="1831">
          <cell r="B1831">
            <v>606012</v>
          </cell>
          <cell r="C1831" t="str">
            <v>Dinas Luar</v>
          </cell>
          <cell r="D1831" t="str">
            <v>Februari</v>
          </cell>
          <cell r="F1831">
            <v>606012</v>
          </cell>
          <cell r="G1831" t="str">
            <v>Februari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0</v>
          </cell>
        </row>
        <row r="1832">
          <cell r="B1832">
            <v>606012</v>
          </cell>
          <cell r="C1832" t="str">
            <v>Dinas Luar</v>
          </cell>
          <cell r="D1832" t="str">
            <v>Maret</v>
          </cell>
          <cell r="F1832">
            <v>606012</v>
          </cell>
          <cell r="G1832" t="str">
            <v>Maret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0</v>
          </cell>
        </row>
        <row r="1833">
          <cell r="B1833">
            <v>606012</v>
          </cell>
          <cell r="C1833" t="str">
            <v>Dinas Luar</v>
          </cell>
          <cell r="D1833" t="str">
            <v>April</v>
          </cell>
          <cell r="F1833">
            <v>606012</v>
          </cell>
          <cell r="G1833" t="str">
            <v>April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0</v>
          </cell>
          <cell r="AE1833">
            <v>0</v>
          </cell>
        </row>
        <row r="1834">
          <cell r="B1834">
            <v>606012</v>
          </cell>
          <cell r="C1834" t="str">
            <v>Dinas Luar</v>
          </cell>
          <cell r="D1834" t="str">
            <v>Mei</v>
          </cell>
          <cell r="F1834">
            <v>606012</v>
          </cell>
          <cell r="G1834" t="str">
            <v>Mei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0</v>
          </cell>
        </row>
        <row r="1835">
          <cell r="B1835">
            <v>606012</v>
          </cell>
          <cell r="C1835" t="str">
            <v>Dinas Luar</v>
          </cell>
          <cell r="D1835" t="str">
            <v>Juni</v>
          </cell>
          <cell r="F1835">
            <v>606012</v>
          </cell>
          <cell r="G1835" t="str">
            <v>Juni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0</v>
          </cell>
        </row>
        <row r="1836">
          <cell r="B1836">
            <v>606012</v>
          </cell>
          <cell r="C1836" t="str">
            <v>Dinas Luar</v>
          </cell>
          <cell r="D1836" t="str">
            <v>Juli</v>
          </cell>
          <cell r="F1836">
            <v>606012</v>
          </cell>
          <cell r="G1836" t="str">
            <v>Juli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0</v>
          </cell>
        </row>
        <row r="1837">
          <cell r="B1837">
            <v>606012</v>
          </cell>
          <cell r="C1837" t="str">
            <v>Dinas Luar</v>
          </cell>
          <cell r="D1837" t="str">
            <v>Agustus</v>
          </cell>
          <cell r="F1837">
            <v>606012</v>
          </cell>
          <cell r="G1837" t="str">
            <v>Agustus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0</v>
          </cell>
        </row>
        <row r="1838">
          <cell r="B1838">
            <v>606012</v>
          </cell>
          <cell r="C1838" t="str">
            <v>Dinas Luar</v>
          </cell>
          <cell r="D1838" t="str">
            <v>September</v>
          </cell>
          <cell r="F1838">
            <v>606012</v>
          </cell>
          <cell r="G1838" t="str">
            <v>September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0</v>
          </cell>
        </row>
        <row r="1839">
          <cell r="B1839">
            <v>606012</v>
          </cell>
          <cell r="C1839" t="str">
            <v>Dinas Luar</v>
          </cell>
          <cell r="D1839" t="str">
            <v>Oktober</v>
          </cell>
          <cell r="F1839">
            <v>606012</v>
          </cell>
          <cell r="G1839" t="str">
            <v>Oktober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0</v>
          </cell>
        </row>
        <row r="1840">
          <cell r="B1840">
            <v>606012</v>
          </cell>
          <cell r="C1840" t="str">
            <v>Dinas Luar</v>
          </cell>
          <cell r="D1840" t="str">
            <v>November</v>
          </cell>
          <cell r="F1840">
            <v>606012</v>
          </cell>
          <cell r="G1840" t="str">
            <v>November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0</v>
          </cell>
          <cell r="AA1840">
            <v>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</row>
        <row r="1841">
          <cell r="B1841">
            <v>606012</v>
          </cell>
          <cell r="C1841" t="str">
            <v>Dinas Luar</v>
          </cell>
          <cell r="D1841" t="str">
            <v>Desember</v>
          </cell>
          <cell r="F1841">
            <v>606012</v>
          </cell>
          <cell r="G1841" t="str">
            <v>Desember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0</v>
          </cell>
        </row>
        <row r="1842">
          <cell r="B1842">
            <v>606017</v>
          </cell>
          <cell r="C1842" t="str">
            <v>Upah Borongan</v>
          </cell>
          <cell r="E1842">
            <v>606.01700000000005</v>
          </cell>
          <cell r="F1842">
            <v>606017</v>
          </cell>
          <cell r="G1842" t="str">
            <v>Upah Borongan</v>
          </cell>
          <cell r="H1842">
            <v>186294300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186294300</v>
          </cell>
          <cell r="AC1842">
            <v>0</v>
          </cell>
          <cell r="AD1842">
            <v>0</v>
          </cell>
          <cell r="AE1842">
            <v>0</v>
          </cell>
        </row>
        <row r="1843">
          <cell r="B1843">
            <v>606017</v>
          </cell>
          <cell r="C1843" t="str">
            <v>Upah Borongan</v>
          </cell>
          <cell r="D1843" t="str">
            <v>Januari</v>
          </cell>
          <cell r="F1843">
            <v>606017</v>
          </cell>
          <cell r="G1843" t="str">
            <v>Januari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0</v>
          </cell>
        </row>
        <row r="1844">
          <cell r="B1844">
            <v>606017</v>
          </cell>
          <cell r="C1844" t="str">
            <v>Upah Borongan</v>
          </cell>
          <cell r="D1844" t="str">
            <v>Februari</v>
          </cell>
          <cell r="F1844">
            <v>606017</v>
          </cell>
          <cell r="G1844" t="str">
            <v>Februari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0</v>
          </cell>
        </row>
        <row r="1845">
          <cell r="B1845">
            <v>606017</v>
          </cell>
          <cell r="C1845" t="str">
            <v>Upah Borongan</v>
          </cell>
          <cell r="D1845" t="str">
            <v>Maret</v>
          </cell>
          <cell r="F1845">
            <v>606017</v>
          </cell>
          <cell r="G1845" t="str">
            <v>Maret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  <cell r="Z1845">
            <v>0</v>
          </cell>
          <cell r="AA1845">
            <v>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</row>
        <row r="1846">
          <cell r="B1846">
            <v>606017</v>
          </cell>
          <cell r="C1846" t="str">
            <v>Upah Borongan</v>
          </cell>
          <cell r="D1846" t="str">
            <v>April</v>
          </cell>
          <cell r="F1846">
            <v>606017</v>
          </cell>
          <cell r="G1846" t="str">
            <v>April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0</v>
          </cell>
          <cell r="AD1846">
            <v>0</v>
          </cell>
          <cell r="AE1846">
            <v>0</v>
          </cell>
        </row>
        <row r="1847">
          <cell r="B1847">
            <v>606017</v>
          </cell>
          <cell r="C1847" t="str">
            <v>Upah Borongan</v>
          </cell>
          <cell r="D1847" t="str">
            <v>Mei</v>
          </cell>
          <cell r="F1847">
            <v>606017</v>
          </cell>
          <cell r="G1847" t="str">
            <v>Mei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</row>
        <row r="1848">
          <cell r="B1848">
            <v>606017</v>
          </cell>
          <cell r="C1848" t="str">
            <v>Upah Borongan</v>
          </cell>
          <cell r="D1848" t="str">
            <v>Juni</v>
          </cell>
          <cell r="F1848">
            <v>606017</v>
          </cell>
          <cell r="G1848" t="str">
            <v>Juni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0</v>
          </cell>
          <cell r="AE1848">
            <v>0</v>
          </cell>
        </row>
        <row r="1849">
          <cell r="B1849">
            <v>606017</v>
          </cell>
          <cell r="C1849" t="str">
            <v>Upah Borongan</v>
          </cell>
          <cell r="D1849" t="str">
            <v>Juli</v>
          </cell>
          <cell r="F1849">
            <v>606017</v>
          </cell>
          <cell r="G1849" t="str">
            <v>Juli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0</v>
          </cell>
        </row>
        <row r="1850">
          <cell r="B1850">
            <v>606017</v>
          </cell>
          <cell r="C1850" t="str">
            <v>Upah Borongan</v>
          </cell>
          <cell r="D1850" t="str">
            <v>Agustus</v>
          </cell>
          <cell r="F1850">
            <v>606017</v>
          </cell>
          <cell r="G1850" t="str">
            <v>Agustus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0</v>
          </cell>
          <cell r="AD1850">
            <v>0</v>
          </cell>
          <cell r="AE1850">
            <v>0</v>
          </cell>
        </row>
        <row r="1851">
          <cell r="B1851">
            <v>606017</v>
          </cell>
          <cell r="C1851" t="str">
            <v>Upah Borongan</v>
          </cell>
          <cell r="D1851" t="str">
            <v>September</v>
          </cell>
          <cell r="F1851">
            <v>606017</v>
          </cell>
          <cell r="G1851" t="str">
            <v>September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</row>
        <row r="1852">
          <cell r="B1852">
            <v>606017</v>
          </cell>
          <cell r="C1852" t="str">
            <v>Upah Borongan</v>
          </cell>
          <cell r="D1852" t="str">
            <v>Oktober</v>
          </cell>
          <cell r="F1852">
            <v>606017</v>
          </cell>
          <cell r="G1852" t="str">
            <v>Oktober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</row>
        <row r="1853">
          <cell r="B1853">
            <v>606017</v>
          </cell>
          <cell r="C1853" t="str">
            <v>Upah Borongan</v>
          </cell>
          <cell r="D1853" t="str">
            <v>November</v>
          </cell>
          <cell r="F1853">
            <v>606017</v>
          </cell>
          <cell r="G1853" t="str">
            <v>November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0</v>
          </cell>
        </row>
        <row r="1854">
          <cell r="B1854">
            <v>606017</v>
          </cell>
          <cell r="C1854" t="str">
            <v>Upah Borongan</v>
          </cell>
          <cell r="D1854" t="str">
            <v>Desember</v>
          </cell>
          <cell r="F1854">
            <v>606017</v>
          </cell>
          <cell r="G1854" t="str">
            <v>Desember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</row>
        <row r="1855">
          <cell r="B1855">
            <v>606018</v>
          </cell>
          <cell r="C1855" t="str">
            <v>Cuci Foto Kendaraan</v>
          </cell>
          <cell r="E1855">
            <v>606.01800000000003</v>
          </cell>
          <cell r="F1855">
            <v>606018</v>
          </cell>
          <cell r="G1855" t="str">
            <v>Cuci Foto Kendaraan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0</v>
          </cell>
        </row>
        <row r="1856">
          <cell r="B1856">
            <v>606018</v>
          </cell>
          <cell r="C1856" t="str">
            <v>Cuci Foto Kendaraan</v>
          </cell>
          <cell r="D1856" t="str">
            <v>Januari</v>
          </cell>
          <cell r="F1856">
            <v>606018</v>
          </cell>
          <cell r="G1856" t="str">
            <v>Januari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0</v>
          </cell>
        </row>
        <row r="1857">
          <cell r="B1857">
            <v>606018</v>
          </cell>
          <cell r="C1857" t="str">
            <v>Cuci Foto Kendaraan</v>
          </cell>
          <cell r="D1857" t="str">
            <v>Februari</v>
          </cell>
          <cell r="F1857">
            <v>606018</v>
          </cell>
          <cell r="G1857" t="str">
            <v>Februari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0</v>
          </cell>
        </row>
        <row r="1858">
          <cell r="B1858">
            <v>606018</v>
          </cell>
          <cell r="C1858" t="str">
            <v>Cuci Foto Kendaraan</v>
          </cell>
          <cell r="D1858" t="str">
            <v>Maret</v>
          </cell>
          <cell r="F1858">
            <v>606018</v>
          </cell>
          <cell r="G1858" t="str">
            <v>Maret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0</v>
          </cell>
          <cell r="AD1858">
            <v>0</v>
          </cell>
          <cell r="AE1858">
            <v>0</v>
          </cell>
        </row>
        <row r="1859">
          <cell r="B1859">
            <v>606018</v>
          </cell>
          <cell r="C1859" t="str">
            <v>Cuci Foto Kendaraan</v>
          </cell>
          <cell r="D1859" t="str">
            <v>April</v>
          </cell>
          <cell r="F1859">
            <v>606018</v>
          </cell>
          <cell r="G1859" t="str">
            <v>April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</row>
        <row r="1860">
          <cell r="B1860">
            <v>606018</v>
          </cell>
          <cell r="C1860" t="str">
            <v>Cuci Foto Kendaraan</v>
          </cell>
          <cell r="D1860" t="str">
            <v>Mei</v>
          </cell>
          <cell r="F1860">
            <v>606018</v>
          </cell>
          <cell r="G1860" t="str">
            <v>Mei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0</v>
          </cell>
          <cell r="AD1860">
            <v>0</v>
          </cell>
          <cell r="AE1860">
            <v>0</v>
          </cell>
        </row>
        <row r="1861">
          <cell r="B1861">
            <v>606018</v>
          </cell>
          <cell r="C1861" t="str">
            <v>Cuci Foto Kendaraan</v>
          </cell>
          <cell r="D1861" t="str">
            <v>Juni</v>
          </cell>
          <cell r="F1861">
            <v>606018</v>
          </cell>
          <cell r="G1861" t="str">
            <v>Juni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0</v>
          </cell>
          <cell r="AE1861">
            <v>0</v>
          </cell>
        </row>
        <row r="1862">
          <cell r="B1862">
            <v>606018</v>
          </cell>
          <cell r="C1862" t="str">
            <v>Cuci Foto Kendaraan</v>
          </cell>
          <cell r="D1862" t="str">
            <v>Juli</v>
          </cell>
          <cell r="F1862">
            <v>606018</v>
          </cell>
          <cell r="G1862" t="str">
            <v>Juli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0</v>
          </cell>
        </row>
        <row r="1863">
          <cell r="B1863">
            <v>606018</v>
          </cell>
          <cell r="C1863" t="str">
            <v>Cuci Foto Kendaraan</v>
          </cell>
          <cell r="D1863" t="str">
            <v>Agustus</v>
          </cell>
          <cell r="F1863">
            <v>606018</v>
          </cell>
          <cell r="G1863" t="str">
            <v>Agustus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0</v>
          </cell>
        </row>
        <row r="1864">
          <cell r="B1864">
            <v>606018</v>
          </cell>
          <cell r="C1864" t="str">
            <v>Cuci Foto Kendaraan</v>
          </cell>
          <cell r="D1864" t="str">
            <v>September</v>
          </cell>
          <cell r="F1864">
            <v>606018</v>
          </cell>
          <cell r="G1864" t="str">
            <v>September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</row>
        <row r="1865">
          <cell r="B1865">
            <v>606018</v>
          </cell>
          <cell r="C1865" t="str">
            <v>Cuci Foto Kendaraan</v>
          </cell>
          <cell r="D1865" t="str">
            <v>Oktober</v>
          </cell>
          <cell r="F1865">
            <v>606018</v>
          </cell>
          <cell r="G1865" t="str">
            <v>Oktober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</row>
        <row r="1866">
          <cell r="B1866">
            <v>606018</v>
          </cell>
          <cell r="C1866" t="str">
            <v>Cuci Foto Kendaraan</v>
          </cell>
          <cell r="D1866" t="str">
            <v>November</v>
          </cell>
          <cell r="F1866">
            <v>606018</v>
          </cell>
          <cell r="G1866" t="str">
            <v>November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0</v>
          </cell>
          <cell r="AB1866">
            <v>0</v>
          </cell>
          <cell r="AC1866">
            <v>0</v>
          </cell>
          <cell r="AD1866">
            <v>0</v>
          </cell>
          <cell r="AE1866">
            <v>0</v>
          </cell>
        </row>
        <row r="1867">
          <cell r="B1867">
            <v>606018</v>
          </cell>
          <cell r="C1867" t="str">
            <v>Cuci Foto Kendaraan</v>
          </cell>
          <cell r="D1867" t="str">
            <v>Desember</v>
          </cell>
          <cell r="F1867">
            <v>606018</v>
          </cell>
          <cell r="G1867" t="str">
            <v>Desember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0</v>
          </cell>
          <cell r="AE1867">
            <v>0</v>
          </cell>
        </row>
        <row r="1868">
          <cell r="B1868">
            <v>606019</v>
          </cell>
          <cell r="C1868" t="str">
            <v>Derek Kendaraan</v>
          </cell>
          <cell r="E1868">
            <v>606.01900000000001</v>
          </cell>
          <cell r="F1868">
            <v>606019</v>
          </cell>
          <cell r="G1868" t="str">
            <v>Derek Kendaraan</v>
          </cell>
          <cell r="H1868">
            <v>600000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100000</v>
          </cell>
          <cell r="AA1868">
            <v>0</v>
          </cell>
          <cell r="AB1868">
            <v>700000</v>
          </cell>
          <cell r="AC1868">
            <v>0</v>
          </cell>
          <cell r="AD1868">
            <v>100000</v>
          </cell>
          <cell r="AE1868">
            <v>0</v>
          </cell>
        </row>
        <row r="1869">
          <cell r="B1869">
            <v>606019</v>
          </cell>
          <cell r="C1869" t="str">
            <v>Derek Kendaraan</v>
          </cell>
          <cell r="D1869" t="str">
            <v>Januari</v>
          </cell>
          <cell r="F1869">
            <v>606019</v>
          </cell>
          <cell r="G1869" t="str">
            <v>Januari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0</v>
          </cell>
        </row>
        <row r="1870">
          <cell r="B1870">
            <v>606019</v>
          </cell>
          <cell r="C1870" t="str">
            <v>Derek Kendaraan</v>
          </cell>
          <cell r="D1870" t="str">
            <v>Februari</v>
          </cell>
          <cell r="F1870">
            <v>606019</v>
          </cell>
          <cell r="G1870" t="str">
            <v>Februari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0</v>
          </cell>
        </row>
        <row r="1871">
          <cell r="B1871">
            <v>606019</v>
          </cell>
          <cell r="C1871" t="str">
            <v>Derek Kendaraan</v>
          </cell>
          <cell r="D1871" t="str">
            <v>Maret</v>
          </cell>
          <cell r="F1871">
            <v>606019</v>
          </cell>
          <cell r="G1871" t="str">
            <v>Maret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0</v>
          </cell>
        </row>
        <row r="1872">
          <cell r="B1872">
            <v>606019</v>
          </cell>
          <cell r="C1872" t="str">
            <v>Derek Kendaraan</v>
          </cell>
          <cell r="D1872" t="str">
            <v>April</v>
          </cell>
          <cell r="F1872">
            <v>606019</v>
          </cell>
          <cell r="G1872" t="str">
            <v>April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100000</v>
          </cell>
          <cell r="AA1872">
            <v>0</v>
          </cell>
          <cell r="AB1872">
            <v>100000</v>
          </cell>
          <cell r="AC1872">
            <v>0</v>
          </cell>
          <cell r="AD1872">
            <v>100000</v>
          </cell>
          <cell r="AE1872">
            <v>0</v>
          </cell>
        </row>
        <row r="1873">
          <cell r="B1873">
            <v>606019</v>
          </cell>
          <cell r="C1873" t="str">
            <v>Derek Kendaraan</v>
          </cell>
          <cell r="D1873" t="str">
            <v>Mei</v>
          </cell>
          <cell r="F1873">
            <v>606019</v>
          </cell>
          <cell r="G1873" t="str">
            <v>Mei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0</v>
          </cell>
        </row>
        <row r="1874">
          <cell r="B1874">
            <v>606019</v>
          </cell>
          <cell r="C1874" t="str">
            <v>Derek Kendaraan</v>
          </cell>
          <cell r="D1874" t="str">
            <v>Juni</v>
          </cell>
          <cell r="F1874">
            <v>606019</v>
          </cell>
          <cell r="G1874" t="str">
            <v>Juni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0</v>
          </cell>
        </row>
        <row r="1875">
          <cell r="B1875">
            <v>606019</v>
          </cell>
          <cell r="C1875" t="str">
            <v>Derek Kendaraan</v>
          </cell>
          <cell r="D1875" t="str">
            <v>Juli</v>
          </cell>
          <cell r="F1875">
            <v>606019</v>
          </cell>
          <cell r="G1875" t="str">
            <v>Juli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0</v>
          </cell>
        </row>
        <row r="1876">
          <cell r="B1876">
            <v>606019</v>
          </cell>
          <cell r="C1876" t="str">
            <v>Derek Kendaraan</v>
          </cell>
          <cell r="D1876" t="str">
            <v>Agustus</v>
          </cell>
          <cell r="F1876">
            <v>606019</v>
          </cell>
          <cell r="G1876" t="str">
            <v>Agustus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0</v>
          </cell>
          <cell r="AE1876">
            <v>0</v>
          </cell>
        </row>
        <row r="1877">
          <cell r="B1877">
            <v>606019</v>
          </cell>
          <cell r="C1877" t="str">
            <v>Derek Kendaraan</v>
          </cell>
          <cell r="D1877" t="str">
            <v>September</v>
          </cell>
          <cell r="F1877">
            <v>606019</v>
          </cell>
          <cell r="G1877" t="str">
            <v>September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0</v>
          </cell>
        </row>
        <row r="1878">
          <cell r="B1878">
            <v>606019</v>
          </cell>
          <cell r="C1878" t="str">
            <v>Derek Kendaraan</v>
          </cell>
          <cell r="D1878" t="str">
            <v>Oktober</v>
          </cell>
          <cell r="F1878">
            <v>606019</v>
          </cell>
          <cell r="G1878" t="str">
            <v>Oktober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0</v>
          </cell>
        </row>
        <row r="1879">
          <cell r="B1879">
            <v>606019</v>
          </cell>
          <cell r="C1879" t="str">
            <v>Derek Kendaraan</v>
          </cell>
          <cell r="D1879" t="str">
            <v>November</v>
          </cell>
          <cell r="F1879">
            <v>606019</v>
          </cell>
          <cell r="G1879" t="str">
            <v>November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0</v>
          </cell>
        </row>
        <row r="1880">
          <cell r="B1880">
            <v>606019</v>
          </cell>
          <cell r="C1880" t="str">
            <v>Derek Kendaraan</v>
          </cell>
          <cell r="D1880" t="str">
            <v>Desember</v>
          </cell>
          <cell r="F1880">
            <v>606019</v>
          </cell>
          <cell r="G1880" t="str">
            <v>Desember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0</v>
          </cell>
        </row>
        <row r="1881">
          <cell r="B1881">
            <v>606014</v>
          </cell>
          <cell r="C1881" t="str">
            <v>BBM</v>
          </cell>
          <cell r="E1881">
            <v>606.01400000000001</v>
          </cell>
          <cell r="F1881">
            <v>606014</v>
          </cell>
          <cell r="G1881" t="str">
            <v>BBM</v>
          </cell>
          <cell r="H1881">
            <v>409000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409000</v>
          </cell>
          <cell r="AC1881">
            <v>0</v>
          </cell>
          <cell r="AD1881">
            <v>0</v>
          </cell>
          <cell r="AE1881">
            <v>0</v>
          </cell>
        </row>
        <row r="1882">
          <cell r="B1882">
            <v>606014</v>
          </cell>
          <cell r="C1882" t="str">
            <v>BBM</v>
          </cell>
          <cell r="D1882" t="str">
            <v>Januari</v>
          </cell>
          <cell r="F1882">
            <v>606014</v>
          </cell>
          <cell r="G1882" t="str">
            <v>Januari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0</v>
          </cell>
        </row>
        <row r="1883">
          <cell r="B1883">
            <v>606014</v>
          </cell>
          <cell r="C1883" t="str">
            <v>BBM</v>
          </cell>
          <cell r="D1883" t="str">
            <v>Februari</v>
          </cell>
          <cell r="F1883">
            <v>606014</v>
          </cell>
          <cell r="G1883" t="str">
            <v>Februari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</row>
        <row r="1884">
          <cell r="B1884">
            <v>606014</v>
          </cell>
          <cell r="C1884" t="str">
            <v>BBM</v>
          </cell>
          <cell r="D1884" t="str">
            <v>Maret</v>
          </cell>
          <cell r="F1884">
            <v>606014</v>
          </cell>
          <cell r="G1884" t="str">
            <v>Maret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</row>
        <row r="1885">
          <cell r="B1885">
            <v>606014</v>
          </cell>
          <cell r="C1885" t="str">
            <v>BBM</v>
          </cell>
          <cell r="D1885" t="str">
            <v>April</v>
          </cell>
          <cell r="F1885">
            <v>606014</v>
          </cell>
          <cell r="G1885" t="str">
            <v>April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</row>
        <row r="1886">
          <cell r="B1886">
            <v>606014</v>
          </cell>
          <cell r="C1886" t="str">
            <v>BBM</v>
          </cell>
          <cell r="D1886" t="str">
            <v>Mei</v>
          </cell>
          <cell r="F1886">
            <v>606014</v>
          </cell>
          <cell r="G1886" t="str">
            <v>Mei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0</v>
          </cell>
        </row>
        <row r="1887">
          <cell r="B1887">
            <v>606014</v>
          </cell>
          <cell r="C1887" t="str">
            <v>BBM</v>
          </cell>
          <cell r="D1887" t="str">
            <v>Juni</v>
          </cell>
          <cell r="F1887">
            <v>606014</v>
          </cell>
          <cell r="G1887" t="str">
            <v>Juni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</row>
        <row r="1888">
          <cell r="B1888">
            <v>606014</v>
          </cell>
          <cell r="C1888" t="str">
            <v>BBM</v>
          </cell>
          <cell r="D1888" t="str">
            <v>Juli</v>
          </cell>
          <cell r="F1888">
            <v>606014</v>
          </cell>
          <cell r="G1888" t="str">
            <v>Juli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0</v>
          </cell>
          <cell r="AB1888">
            <v>0</v>
          </cell>
          <cell r="AC1888">
            <v>0</v>
          </cell>
          <cell r="AD1888">
            <v>0</v>
          </cell>
          <cell r="AE1888">
            <v>0</v>
          </cell>
        </row>
        <row r="1889">
          <cell r="B1889">
            <v>606014</v>
          </cell>
          <cell r="C1889" t="str">
            <v>BBM</v>
          </cell>
          <cell r="D1889" t="str">
            <v>Agustus</v>
          </cell>
          <cell r="F1889">
            <v>606014</v>
          </cell>
          <cell r="G1889" t="str">
            <v>Agustus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0</v>
          </cell>
        </row>
        <row r="1890">
          <cell r="B1890">
            <v>606014</v>
          </cell>
          <cell r="C1890" t="str">
            <v>BBM</v>
          </cell>
          <cell r="D1890" t="str">
            <v>September</v>
          </cell>
          <cell r="F1890">
            <v>606014</v>
          </cell>
          <cell r="G1890" t="str">
            <v>September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</row>
        <row r="1891">
          <cell r="B1891">
            <v>606014</v>
          </cell>
          <cell r="C1891" t="str">
            <v>BBM</v>
          </cell>
          <cell r="D1891" t="str">
            <v>Oktober</v>
          </cell>
          <cell r="F1891">
            <v>606014</v>
          </cell>
          <cell r="G1891" t="str">
            <v>Oktober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</row>
        <row r="1892">
          <cell r="B1892">
            <v>606014</v>
          </cell>
          <cell r="C1892" t="str">
            <v>BBM</v>
          </cell>
          <cell r="D1892" t="str">
            <v>November</v>
          </cell>
          <cell r="F1892">
            <v>606014</v>
          </cell>
          <cell r="G1892" t="str">
            <v>November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0</v>
          </cell>
        </row>
        <row r="1893">
          <cell r="B1893">
            <v>606014</v>
          </cell>
          <cell r="C1893" t="str">
            <v>BBM</v>
          </cell>
          <cell r="D1893" t="str">
            <v>Desember</v>
          </cell>
          <cell r="F1893">
            <v>606014</v>
          </cell>
          <cell r="G1893" t="str">
            <v>Desember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</row>
        <row r="1894">
          <cell r="B1894">
            <v>606020</v>
          </cell>
          <cell r="C1894" t="str">
            <v>Solar Oven &amp; Dempul</v>
          </cell>
          <cell r="E1894">
            <v>606.02</v>
          </cell>
          <cell r="F1894">
            <v>606020</v>
          </cell>
          <cell r="G1894" t="str">
            <v>Solar Oven &amp; Dempul</v>
          </cell>
          <cell r="H1894">
            <v>4018759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3043300</v>
          </cell>
          <cell r="AA1894">
            <v>0</v>
          </cell>
          <cell r="AB1894">
            <v>7062059</v>
          </cell>
          <cell r="AC1894">
            <v>0</v>
          </cell>
          <cell r="AD1894">
            <v>3043300</v>
          </cell>
          <cell r="AE1894">
            <v>0</v>
          </cell>
        </row>
        <row r="1895">
          <cell r="B1895">
            <v>606020</v>
          </cell>
          <cell r="C1895" t="str">
            <v>Solar Oven &amp; Dempul</v>
          </cell>
          <cell r="D1895" t="str">
            <v>Januari</v>
          </cell>
          <cell r="F1895">
            <v>606020</v>
          </cell>
          <cell r="G1895" t="str">
            <v>Januari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492000</v>
          </cell>
          <cell r="AA1895">
            <v>0</v>
          </cell>
          <cell r="AB1895">
            <v>492000</v>
          </cell>
          <cell r="AC1895">
            <v>0</v>
          </cell>
          <cell r="AD1895">
            <v>492000</v>
          </cell>
          <cell r="AE1895">
            <v>0</v>
          </cell>
        </row>
        <row r="1896">
          <cell r="B1896">
            <v>606020</v>
          </cell>
          <cell r="C1896" t="str">
            <v>Solar Oven &amp; Dempul</v>
          </cell>
          <cell r="D1896" t="str">
            <v>Februari</v>
          </cell>
          <cell r="F1896">
            <v>606020</v>
          </cell>
          <cell r="G1896" t="str">
            <v>Februari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492000</v>
          </cell>
          <cell r="AA1896">
            <v>0</v>
          </cell>
          <cell r="AB1896">
            <v>492000</v>
          </cell>
          <cell r="AC1896">
            <v>0</v>
          </cell>
          <cell r="AD1896">
            <v>492000</v>
          </cell>
          <cell r="AE1896">
            <v>0</v>
          </cell>
        </row>
        <row r="1897">
          <cell r="B1897">
            <v>606020</v>
          </cell>
          <cell r="C1897" t="str">
            <v>Solar Oven &amp; Dempul</v>
          </cell>
          <cell r="D1897" t="str">
            <v>Maret</v>
          </cell>
          <cell r="F1897">
            <v>606020</v>
          </cell>
          <cell r="G1897" t="str">
            <v>Maret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722000</v>
          </cell>
          <cell r="AA1897">
            <v>0</v>
          </cell>
          <cell r="AB1897">
            <v>722000</v>
          </cell>
          <cell r="AC1897">
            <v>0</v>
          </cell>
          <cell r="AD1897">
            <v>722000</v>
          </cell>
          <cell r="AE1897">
            <v>0</v>
          </cell>
        </row>
        <row r="1898">
          <cell r="B1898">
            <v>606020</v>
          </cell>
          <cell r="C1898" t="str">
            <v>Solar Oven &amp; Dempul</v>
          </cell>
          <cell r="D1898" t="str">
            <v>April</v>
          </cell>
          <cell r="F1898">
            <v>606020</v>
          </cell>
          <cell r="G1898" t="str">
            <v>April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272000</v>
          </cell>
          <cell r="AA1898">
            <v>0</v>
          </cell>
          <cell r="AB1898">
            <v>272000</v>
          </cell>
          <cell r="AC1898">
            <v>0</v>
          </cell>
          <cell r="AD1898">
            <v>272000</v>
          </cell>
          <cell r="AE1898">
            <v>0</v>
          </cell>
        </row>
        <row r="1899">
          <cell r="B1899">
            <v>606020</v>
          </cell>
          <cell r="C1899" t="str">
            <v>Solar Oven &amp; Dempul</v>
          </cell>
          <cell r="D1899" t="str">
            <v>Mei</v>
          </cell>
          <cell r="F1899">
            <v>606020</v>
          </cell>
          <cell r="G1899" t="str">
            <v>Mei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65000</v>
          </cell>
          <cell r="AA1899">
            <v>0</v>
          </cell>
          <cell r="AB1899">
            <v>65000</v>
          </cell>
          <cell r="AC1899">
            <v>0</v>
          </cell>
          <cell r="AD1899">
            <v>65000</v>
          </cell>
          <cell r="AE1899">
            <v>0</v>
          </cell>
        </row>
        <row r="1900">
          <cell r="B1900">
            <v>606020</v>
          </cell>
          <cell r="C1900" t="str">
            <v>Solar Oven &amp; Dempul</v>
          </cell>
          <cell r="D1900" t="str">
            <v>Juni</v>
          </cell>
          <cell r="F1900">
            <v>606020</v>
          </cell>
          <cell r="G1900" t="str">
            <v>Juni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71500</v>
          </cell>
          <cell r="AA1900">
            <v>0</v>
          </cell>
          <cell r="AB1900">
            <v>71500</v>
          </cell>
          <cell r="AC1900">
            <v>0</v>
          </cell>
          <cell r="AD1900">
            <v>71500</v>
          </cell>
          <cell r="AE1900">
            <v>0</v>
          </cell>
        </row>
        <row r="1901">
          <cell r="B1901">
            <v>606020</v>
          </cell>
          <cell r="C1901" t="str">
            <v>Solar Oven &amp; Dempul</v>
          </cell>
          <cell r="D1901" t="str">
            <v>Juli</v>
          </cell>
          <cell r="F1901">
            <v>606020</v>
          </cell>
          <cell r="G1901" t="str">
            <v>Juli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217000</v>
          </cell>
          <cell r="AA1901">
            <v>0</v>
          </cell>
          <cell r="AB1901">
            <v>217000</v>
          </cell>
          <cell r="AC1901">
            <v>0</v>
          </cell>
          <cell r="AD1901">
            <v>217000</v>
          </cell>
          <cell r="AE1901">
            <v>0</v>
          </cell>
        </row>
        <row r="1902">
          <cell r="B1902">
            <v>606020</v>
          </cell>
          <cell r="C1902" t="str">
            <v>Solar Oven &amp; Dempul</v>
          </cell>
          <cell r="D1902" t="str">
            <v>Agustus</v>
          </cell>
          <cell r="F1902">
            <v>606020</v>
          </cell>
          <cell r="G1902" t="str">
            <v>Agustus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136000</v>
          </cell>
          <cell r="AA1902">
            <v>0</v>
          </cell>
          <cell r="AB1902">
            <v>136000</v>
          </cell>
          <cell r="AC1902">
            <v>0</v>
          </cell>
          <cell r="AD1902">
            <v>136000</v>
          </cell>
          <cell r="AE1902">
            <v>0</v>
          </cell>
        </row>
        <row r="1903">
          <cell r="B1903">
            <v>606020</v>
          </cell>
          <cell r="C1903" t="str">
            <v>Solar Oven &amp; Dempul</v>
          </cell>
          <cell r="D1903" t="str">
            <v>September</v>
          </cell>
          <cell r="F1903">
            <v>606020</v>
          </cell>
          <cell r="G1903" t="str">
            <v>September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52000</v>
          </cell>
          <cell r="AA1903">
            <v>0</v>
          </cell>
          <cell r="AB1903">
            <v>52000</v>
          </cell>
          <cell r="AC1903">
            <v>0</v>
          </cell>
          <cell r="AD1903">
            <v>52000</v>
          </cell>
          <cell r="AE1903">
            <v>0</v>
          </cell>
        </row>
        <row r="1904">
          <cell r="B1904">
            <v>606020</v>
          </cell>
          <cell r="C1904" t="str">
            <v>Solar Oven &amp; Dempul</v>
          </cell>
          <cell r="D1904" t="str">
            <v>Oktober</v>
          </cell>
          <cell r="F1904">
            <v>606020</v>
          </cell>
          <cell r="G1904" t="str">
            <v>Oktober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78000</v>
          </cell>
          <cell r="AA1904">
            <v>0</v>
          </cell>
          <cell r="AB1904">
            <v>78000</v>
          </cell>
          <cell r="AC1904">
            <v>0</v>
          </cell>
          <cell r="AD1904">
            <v>78000</v>
          </cell>
          <cell r="AE1904">
            <v>0</v>
          </cell>
        </row>
        <row r="1905">
          <cell r="B1905">
            <v>606020</v>
          </cell>
          <cell r="C1905" t="str">
            <v>Solar Oven &amp; Dempul</v>
          </cell>
          <cell r="D1905" t="str">
            <v>November</v>
          </cell>
          <cell r="F1905">
            <v>606020</v>
          </cell>
          <cell r="G1905" t="str">
            <v>November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56000</v>
          </cell>
          <cell r="AA1905">
            <v>0</v>
          </cell>
          <cell r="AB1905">
            <v>56000</v>
          </cell>
          <cell r="AC1905">
            <v>0</v>
          </cell>
          <cell r="AD1905">
            <v>56000</v>
          </cell>
          <cell r="AE1905">
            <v>0</v>
          </cell>
        </row>
        <row r="1906">
          <cell r="B1906">
            <v>606020</v>
          </cell>
          <cell r="C1906" t="str">
            <v>Solar Oven &amp; Dempul</v>
          </cell>
          <cell r="D1906" t="str">
            <v>Desember</v>
          </cell>
          <cell r="F1906">
            <v>606020</v>
          </cell>
          <cell r="G1906" t="str">
            <v>Desember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389800</v>
          </cell>
          <cell r="AA1906">
            <v>0</v>
          </cell>
          <cell r="AB1906">
            <v>389800</v>
          </cell>
          <cell r="AC1906">
            <v>0</v>
          </cell>
          <cell r="AD1906">
            <v>389800</v>
          </cell>
          <cell r="AE1906">
            <v>0</v>
          </cell>
        </row>
        <row r="1907">
          <cell r="B1907">
            <v>606015</v>
          </cell>
          <cell r="C1907" t="str">
            <v>Perawatan Peralatan &amp; Kendaraan</v>
          </cell>
          <cell r="E1907">
            <v>606.01499999999999</v>
          </cell>
          <cell r="F1907">
            <v>606015</v>
          </cell>
          <cell r="G1907" t="str">
            <v>Perawatan Peralatan &amp; Kendaraan</v>
          </cell>
          <cell r="H1907">
            <v>1000000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1000000</v>
          </cell>
          <cell r="AC1907">
            <v>0</v>
          </cell>
          <cell r="AD1907">
            <v>0</v>
          </cell>
          <cell r="AE1907">
            <v>0</v>
          </cell>
        </row>
        <row r="1908">
          <cell r="B1908">
            <v>606015</v>
          </cell>
          <cell r="C1908" t="str">
            <v>Perawatan Peralatan &amp; Kendaraan</v>
          </cell>
          <cell r="D1908" t="str">
            <v>Januari</v>
          </cell>
          <cell r="F1908">
            <v>606015</v>
          </cell>
          <cell r="G1908" t="str">
            <v>Januari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</row>
        <row r="1909">
          <cell r="B1909">
            <v>606015</v>
          </cell>
          <cell r="C1909" t="str">
            <v>Perawatan Peralatan &amp; Kendaraan</v>
          </cell>
          <cell r="D1909" t="str">
            <v>Februari</v>
          </cell>
          <cell r="F1909">
            <v>606015</v>
          </cell>
          <cell r="G1909" t="str">
            <v>Februari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</row>
        <row r="1910">
          <cell r="B1910">
            <v>606015</v>
          </cell>
          <cell r="C1910" t="str">
            <v>Perawatan Peralatan &amp; Kendaraan</v>
          </cell>
          <cell r="D1910" t="str">
            <v>Maret</v>
          </cell>
          <cell r="F1910">
            <v>606015</v>
          </cell>
          <cell r="G1910" t="str">
            <v>Maret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</row>
        <row r="1911">
          <cell r="B1911">
            <v>606015</v>
          </cell>
          <cell r="C1911" t="str">
            <v>Perawatan Peralatan &amp; Kendaraan</v>
          </cell>
          <cell r="D1911" t="str">
            <v>April</v>
          </cell>
          <cell r="F1911">
            <v>606015</v>
          </cell>
          <cell r="G1911" t="str">
            <v>April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</row>
        <row r="1912">
          <cell r="B1912">
            <v>606015</v>
          </cell>
          <cell r="C1912" t="str">
            <v>Perawatan Peralatan &amp; Kendaraan</v>
          </cell>
          <cell r="D1912" t="str">
            <v>Mei</v>
          </cell>
          <cell r="F1912">
            <v>606015</v>
          </cell>
          <cell r="G1912" t="str">
            <v>Mei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0</v>
          </cell>
        </row>
        <row r="1913">
          <cell r="B1913">
            <v>606015</v>
          </cell>
          <cell r="C1913" t="str">
            <v>Perawatan Peralatan &amp; Kendaraan</v>
          </cell>
          <cell r="D1913" t="str">
            <v>Juni</v>
          </cell>
          <cell r="F1913">
            <v>606015</v>
          </cell>
          <cell r="G1913" t="str">
            <v>Juni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</row>
        <row r="1914">
          <cell r="B1914">
            <v>606015</v>
          </cell>
          <cell r="C1914" t="str">
            <v>Perawatan Peralatan &amp; Kendaraan</v>
          </cell>
          <cell r="D1914" t="str">
            <v>Juli</v>
          </cell>
          <cell r="F1914">
            <v>606015</v>
          </cell>
          <cell r="G1914" t="str">
            <v>Juli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</row>
        <row r="1915">
          <cell r="B1915">
            <v>606015</v>
          </cell>
          <cell r="C1915" t="str">
            <v>Perawatan Peralatan &amp; Kendaraan</v>
          </cell>
          <cell r="D1915" t="str">
            <v>Agustus</v>
          </cell>
          <cell r="F1915">
            <v>606015</v>
          </cell>
          <cell r="G1915" t="str">
            <v>Agustus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</row>
        <row r="1916">
          <cell r="B1916">
            <v>606015</v>
          </cell>
          <cell r="C1916" t="str">
            <v>Perawatan Peralatan &amp; Kendaraan</v>
          </cell>
          <cell r="D1916" t="str">
            <v>September</v>
          </cell>
          <cell r="F1916">
            <v>606015</v>
          </cell>
          <cell r="G1916" t="str">
            <v>September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</row>
        <row r="1917">
          <cell r="B1917">
            <v>606015</v>
          </cell>
          <cell r="C1917" t="str">
            <v>Perawatan Peralatan &amp; Kendaraan</v>
          </cell>
          <cell r="D1917" t="str">
            <v>Oktober</v>
          </cell>
          <cell r="F1917">
            <v>606015</v>
          </cell>
          <cell r="G1917" t="str">
            <v>Oktober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</row>
        <row r="1918">
          <cell r="B1918">
            <v>606015</v>
          </cell>
          <cell r="C1918" t="str">
            <v>Perawatan Peralatan &amp; Kendaraan</v>
          </cell>
          <cell r="D1918" t="str">
            <v>November</v>
          </cell>
          <cell r="F1918">
            <v>606015</v>
          </cell>
          <cell r="G1918" t="str">
            <v>November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</row>
        <row r="1919">
          <cell r="B1919">
            <v>606015</v>
          </cell>
          <cell r="C1919" t="str">
            <v>Perawatan Peralatan &amp; Kendaraan</v>
          </cell>
          <cell r="D1919" t="str">
            <v>Desember</v>
          </cell>
          <cell r="F1919">
            <v>606015</v>
          </cell>
          <cell r="G1919" t="str">
            <v>Desember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0</v>
          </cell>
          <cell r="AC1919">
            <v>0</v>
          </cell>
          <cell r="AD1919">
            <v>0</v>
          </cell>
          <cell r="AE1919">
            <v>0</v>
          </cell>
        </row>
        <row r="1920">
          <cell r="B1920">
            <v>606037</v>
          </cell>
          <cell r="C1920" t="str">
            <v>Perlengkapan Kantor</v>
          </cell>
          <cell r="E1920">
            <v>606.03799999999899</v>
          </cell>
          <cell r="F1920">
            <v>606037</v>
          </cell>
          <cell r="G1920" t="str">
            <v>Perlengkapan Kantor</v>
          </cell>
          <cell r="H1920">
            <v>36000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36000</v>
          </cell>
          <cell r="AC1920">
            <v>0</v>
          </cell>
          <cell r="AD1920">
            <v>0</v>
          </cell>
          <cell r="AE1920">
            <v>0</v>
          </cell>
        </row>
        <row r="1921">
          <cell r="B1921">
            <v>606037</v>
          </cell>
          <cell r="C1921" t="str">
            <v>Perlengkapan Kantor</v>
          </cell>
          <cell r="D1921" t="str">
            <v>Januari</v>
          </cell>
          <cell r="F1921">
            <v>606037</v>
          </cell>
          <cell r="G1921" t="str">
            <v>Januari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</row>
        <row r="1922">
          <cell r="B1922">
            <v>606037</v>
          </cell>
          <cell r="C1922" t="str">
            <v>Perlengkapan Kantor</v>
          </cell>
          <cell r="D1922" t="str">
            <v>Februari</v>
          </cell>
          <cell r="F1922">
            <v>606037</v>
          </cell>
          <cell r="G1922" t="str">
            <v>Februari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0</v>
          </cell>
        </row>
        <row r="1923">
          <cell r="B1923">
            <v>606037</v>
          </cell>
          <cell r="C1923" t="str">
            <v>Perlengkapan Kantor</v>
          </cell>
          <cell r="D1923" t="str">
            <v>Maret</v>
          </cell>
          <cell r="F1923">
            <v>606037</v>
          </cell>
          <cell r="G1923" t="str">
            <v>Maret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0</v>
          </cell>
        </row>
        <row r="1924">
          <cell r="B1924">
            <v>606037</v>
          </cell>
          <cell r="C1924" t="str">
            <v>Perlengkapan Kantor</v>
          </cell>
          <cell r="D1924" t="str">
            <v>April</v>
          </cell>
          <cell r="F1924">
            <v>606037</v>
          </cell>
          <cell r="G1924" t="str">
            <v>April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</row>
        <row r="1925">
          <cell r="B1925">
            <v>606037</v>
          </cell>
          <cell r="C1925" t="str">
            <v>Perlengkapan Kantor</v>
          </cell>
          <cell r="D1925" t="str">
            <v>Mei</v>
          </cell>
          <cell r="F1925">
            <v>606037</v>
          </cell>
          <cell r="G1925" t="str">
            <v>Mei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0</v>
          </cell>
        </row>
        <row r="1926">
          <cell r="B1926">
            <v>606037</v>
          </cell>
          <cell r="C1926" t="str">
            <v>Perlengkapan Kantor</v>
          </cell>
          <cell r="D1926" t="str">
            <v>Juni</v>
          </cell>
          <cell r="F1926">
            <v>606037</v>
          </cell>
          <cell r="G1926" t="str">
            <v>Juni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0</v>
          </cell>
        </row>
        <row r="1927">
          <cell r="B1927">
            <v>606037</v>
          </cell>
          <cell r="C1927" t="str">
            <v>Perlengkapan Kantor</v>
          </cell>
          <cell r="D1927" t="str">
            <v>Juli</v>
          </cell>
          <cell r="F1927">
            <v>606037</v>
          </cell>
          <cell r="G1927" t="str">
            <v>Juli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0</v>
          </cell>
        </row>
        <row r="1928">
          <cell r="B1928">
            <v>606037</v>
          </cell>
          <cell r="C1928" t="str">
            <v>Perlengkapan Kantor</v>
          </cell>
          <cell r="D1928" t="str">
            <v>Agustus</v>
          </cell>
          <cell r="F1928">
            <v>606037</v>
          </cell>
          <cell r="G1928" t="str">
            <v>Agustus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0</v>
          </cell>
        </row>
        <row r="1929">
          <cell r="B1929">
            <v>606037</v>
          </cell>
          <cell r="C1929" t="str">
            <v>Perlengkapan Kantor</v>
          </cell>
          <cell r="D1929" t="str">
            <v>September</v>
          </cell>
          <cell r="F1929">
            <v>606037</v>
          </cell>
          <cell r="G1929" t="str">
            <v>September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0</v>
          </cell>
          <cell r="AE1929">
            <v>0</v>
          </cell>
        </row>
        <row r="1930">
          <cell r="B1930">
            <v>606037</v>
          </cell>
          <cell r="C1930" t="str">
            <v>Perlengkapan Kantor</v>
          </cell>
          <cell r="D1930" t="str">
            <v>Oktober</v>
          </cell>
          <cell r="F1930">
            <v>606037</v>
          </cell>
          <cell r="G1930" t="str">
            <v>Oktober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0</v>
          </cell>
        </row>
        <row r="1931">
          <cell r="B1931">
            <v>606037</v>
          </cell>
          <cell r="C1931" t="str">
            <v>Perlengkapan Kantor</v>
          </cell>
          <cell r="D1931" t="str">
            <v>November</v>
          </cell>
          <cell r="F1931">
            <v>606037</v>
          </cell>
          <cell r="G1931" t="str">
            <v>November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0</v>
          </cell>
          <cell r="AD1931">
            <v>0</v>
          </cell>
          <cell r="AE1931">
            <v>0</v>
          </cell>
        </row>
        <row r="1932">
          <cell r="B1932">
            <v>606037</v>
          </cell>
          <cell r="C1932" t="str">
            <v>Perlengkapan Kantor</v>
          </cell>
          <cell r="D1932" t="str">
            <v>Desember</v>
          </cell>
          <cell r="F1932">
            <v>606037</v>
          </cell>
          <cell r="G1932" t="str">
            <v>Desember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0</v>
          </cell>
        </row>
        <row r="1933">
          <cell r="B1933">
            <v>606016</v>
          </cell>
          <cell r="C1933" t="str">
            <v>Insentif</v>
          </cell>
          <cell r="E1933">
            <v>606.01599999999996</v>
          </cell>
          <cell r="F1933">
            <v>606016</v>
          </cell>
          <cell r="G1933" t="str">
            <v>Insentif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0</v>
          </cell>
        </row>
        <row r="1934">
          <cell r="B1934">
            <v>606016</v>
          </cell>
          <cell r="C1934" t="str">
            <v>Insentif</v>
          </cell>
          <cell r="D1934" t="str">
            <v>Januari</v>
          </cell>
          <cell r="F1934">
            <v>606016</v>
          </cell>
          <cell r="G1934" t="str">
            <v>Januari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0</v>
          </cell>
        </row>
        <row r="1935">
          <cell r="B1935">
            <v>606016</v>
          </cell>
          <cell r="C1935" t="str">
            <v>Insentif</v>
          </cell>
          <cell r="D1935" t="str">
            <v>Februari</v>
          </cell>
          <cell r="F1935">
            <v>606016</v>
          </cell>
          <cell r="G1935" t="str">
            <v>Februari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0</v>
          </cell>
          <cell r="AE1935">
            <v>0</v>
          </cell>
        </row>
        <row r="1936">
          <cell r="B1936">
            <v>606016</v>
          </cell>
          <cell r="C1936" t="str">
            <v>Insentif</v>
          </cell>
          <cell r="D1936" t="str">
            <v>Maret</v>
          </cell>
          <cell r="F1936">
            <v>606016</v>
          </cell>
          <cell r="G1936" t="str">
            <v>Maret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0</v>
          </cell>
        </row>
        <row r="1937">
          <cell r="B1937">
            <v>606016</v>
          </cell>
          <cell r="C1937" t="str">
            <v>Insentif</v>
          </cell>
          <cell r="D1937" t="str">
            <v>April</v>
          </cell>
          <cell r="F1937">
            <v>606016</v>
          </cell>
          <cell r="G1937" t="str">
            <v>April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0</v>
          </cell>
        </row>
        <row r="1938">
          <cell r="B1938">
            <v>606016</v>
          </cell>
          <cell r="C1938" t="str">
            <v>Insentif</v>
          </cell>
          <cell r="D1938" t="str">
            <v>Mei</v>
          </cell>
          <cell r="F1938">
            <v>606016</v>
          </cell>
          <cell r="G1938" t="str">
            <v>Mei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0</v>
          </cell>
        </row>
        <row r="1939">
          <cell r="B1939">
            <v>606016</v>
          </cell>
          <cell r="C1939" t="str">
            <v>Insentif</v>
          </cell>
          <cell r="D1939" t="str">
            <v>Juni</v>
          </cell>
          <cell r="F1939">
            <v>606016</v>
          </cell>
          <cell r="G1939" t="str">
            <v>Juni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</row>
        <row r="1940">
          <cell r="B1940">
            <v>606016</v>
          </cell>
          <cell r="C1940" t="str">
            <v>Insentif</v>
          </cell>
          <cell r="D1940" t="str">
            <v>Juli</v>
          </cell>
          <cell r="F1940">
            <v>606016</v>
          </cell>
          <cell r="G1940" t="str">
            <v>Juli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0</v>
          </cell>
        </row>
        <row r="1941">
          <cell r="B1941">
            <v>606016</v>
          </cell>
          <cell r="C1941" t="str">
            <v>Insentif</v>
          </cell>
          <cell r="D1941" t="str">
            <v>Agustus</v>
          </cell>
          <cell r="F1941">
            <v>606016</v>
          </cell>
          <cell r="G1941" t="str">
            <v>Agustus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0</v>
          </cell>
        </row>
        <row r="1942">
          <cell r="B1942">
            <v>606016</v>
          </cell>
          <cell r="C1942" t="str">
            <v>Insentif</v>
          </cell>
          <cell r="D1942" t="str">
            <v>September</v>
          </cell>
          <cell r="F1942">
            <v>606016</v>
          </cell>
          <cell r="G1942" t="str">
            <v>September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0</v>
          </cell>
        </row>
        <row r="1943">
          <cell r="B1943">
            <v>606016</v>
          </cell>
          <cell r="C1943" t="str">
            <v>Insentif</v>
          </cell>
          <cell r="D1943" t="str">
            <v>Oktober</v>
          </cell>
          <cell r="F1943">
            <v>606016</v>
          </cell>
          <cell r="G1943" t="str">
            <v>Oktober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</row>
        <row r="1944">
          <cell r="B1944">
            <v>606016</v>
          </cell>
          <cell r="C1944" t="str">
            <v>Insentif</v>
          </cell>
          <cell r="D1944" t="str">
            <v>November</v>
          </cell>
          <cell r="F1944">
            <v>606016</v>
          </cell>
          <cell r="G1944" t="str">
            <v>November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</row>
        <row r="1945">
          <cell r="B1945">
            <v>606016</v>
          </cell>
          <cell r="C1945" t="str">
            <v>Insentif</v>
          </cell>
          <cell r="D1945" t="str">
            <v>Desember</v>
          </cell>
          <cell r="F1945">
            <v>606016</v>
          </cell>
          <cell r="G1945" t="str">
            <v>Desember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</row>
        <row r="1946">
          <cell r="B1946">
            <v>606037</v>
          </cell>
          <cell r="C1946" t="str">
            <v>Lain-Lain</v>
          </cell>
          <cell r="E1946">
            <v>606.03700000000003</v>
          </cell>
          <cell r="F1946">
            <v>606037</v>
          </cell>
          <cell r="G1946" t="str">
            <v>Lain-Lain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0</v>
          </cell>
        </row>
        <row r="1947">
          <cell r="B1947">
            <v>606037</v>
          </cell>
          <cell r="C1947" t="str">
            <v>Lain-Lain</v>
          </cell>
          <cell r="D1947" t="str">
            <v>Januari</v>
          </cell>
          <cell r="F1947">
            <v>606037</v>
          </cell>
          <cell r="G1947" t="str">
            <v>Januari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</row>
        <row r="1948">
          <cell r="B1948">
            <v>606037</v>
          </cell>
          <cell r="C1948" t="str">
            <v>Lain-Lain</v>
          </cell>
          <cell r="D1948" t="str">
            <v>Februari</v>
          </cell>
          <cell r="F1948">
            <v>606037</v>
          </cell>
          <cell r="G1948" t="str">
            <v>Februari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0</v>
          </cell>
        </row>
        <row r="1949">
          <cell r="B1949">
            <v>606037</v>
          </cell>
          <cell r="C1949" t="str">
            <v>Lain-Lain</v>
          </cell>
          <cell r="D1949" t="str">
            <v>Maret</v>
          </cell>
          <cell r="F1949">
            <v>606037</v>
          </cell>
          <cell r="G1949" t="str">
            <v>Maret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0</v>
          </cell>
        </row>
        <row r="1950">
          <cell r="B1950">
            <v>606037</v>
          </cell>
          <cell r="C1950" t="str">
            <v>Lain-Lain</v>
          </cell>
          <cell r="D1950" t="str">
            <v>April</v>
          </cell>
          <cell r="F1950">
            <v>606037</v>
          </cell>
          <cell r="G1950" t="str">
            <v>April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0</v>
          </cell>
        </row>
        <row r="1951">
          <cell r="B1951">
            <v>606037</v>
          </cell>
          <cell r="C1951" t="str">
            <v>Lain-Lain</v>
          </cell>
          <cell r="D1951" t="str">
            <v>Mei</v>
          </cell>
          <cell r="F1951">
            <v>606037</v>
          </cell>
          <cell r="G1951" t="str">
            <v>Mei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0</v>
          </cell>
        </row>
        <row r="1952">
          <cell r="B1952">
            <v>606037</v>
          </cell>
          <cell r="C1952" t="str">
            <v>Lain-Lain</v>
          </cell>
          <cell r="D1952" t="str">
            <v>Juni</v>
          </cell>
          <cell r="F1952">
            <v>606037</v>
          </cell>
          <cell r="G1952" t="str">
            <v>Juni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</row>
        <row r="1953">
          <cell r="B1953">
            <v>606037</v>
          </cell>
          <cell r="C1953" t="str">
            <v>Lain-Lain</v>
          </cell>
          <cell r="D1953" t="str">
            <v>Juli</v>
          </cell>
          <cell r="F1953">
            <v>606037</v>
          </cell>
          <cell r="G1953" t="str">
            <v>Juli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</row>
        <row r="1954">
          <cell r="B1954">
            <v>606037</v>
          </cell>
          <cell r="C1954" t="str">
            <v>Lain-Lain</v>
          </cell>
          <cell r="D1954" t="str">
            <v>Agustus</v>
          </cell>
          <cell r="F1954">
            <v>606037</v>
          </cell>
          <cell r="G1954" t="str">
            <v>Agustus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</row>
        <row r="1955">
          <cell r="B1955">
            <v>606037</v>
          </cell>
          <cell r="C1955" t="str">
            <v>Lain-Lain</v>
          </cell>
          <cell r="D1955" t="str">
            <v>September</v>
          </cell>
          <cell r="F1955">
            <v>606037</v>
          </cell>
          <cell r="G1955" t="str">
            <v>September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</row>
        <row r="1956">
          <cell r="B1956">
            <v>606037</v>
          </cell>
          <cell r="C1956" t="str">
            <v>Lain-Lain</v>
          </cell>
          <cell r="D1956" t="str">
            <v>Oktober</v>
          </cell>
          <cell r="F1956">
            <v>606037</v>
          </cell>
          <cell r="G1956" t="str">
            <v>Oktober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</row>
        <row r="1957">
          <cell r="B1957">
            <v>606037</v>
          </cell>
          <cell r="C1957" t="str">
            <v>Lain-Lain</v>
          </cell>
          <cell r="D1957" t="str">
            <v>November</v>
          </cell>
          <cell r="F1957">
            <v>606037</v>
          </cell>
          <cell r="G1957" t="str">
            <v>November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0</v>
          </cell>
          <cell r="AC1957">
            <v>0</v>
          </cell>
          <cell r="AD1957">
            <v>0</v>
          </cell>
          <cell r="AE1957">
            <v>0</v>
          </cell>
        </row>
        <row r="1958">
          <cell r="B1958">
            <v>606037</v>
          </cell>
          <cell r="C1958" t="str">
            <v>Lain-Lain</v>
          </cell>
          <cell r="D1958" t="str">
            <v>Desember</v>
          </cell>
          <cell r="F1958">
            <v>606037</v>
          </cell>
          <cell r="G1958" t="str">
            <v>Desember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0</v>
          </cell>
        </row>
        <row r="1960">
          <cell r="B1960">
            <v>607000</v>
          </cell>
          <cell r="C1960" t="str">
            <v>Beban Usaha Air Conditioner</v>
          </cell>
          <cell r="E1960">
            <v>607</v>
          </cell>
          <cell r="F1960">
            <v>607000</v>
          </cell>
          <cell r="G1960" t="str">
            <v>Beban Usaha Air Conditioner</v>
          </cell>
          <cell r="H1960">
            <v>0</v>
          </cell>
          <cell r="I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0</v>
          </cell>
        </row>
        <row r="1961">
          <cell r="B1961">
            <v>607001</v>
          </cell>
          <cell r="C1961" t="str">
            <v>Gaji</v>
          </cell>
          <cell r="E1961">
            <v>607.00099999999998</v>
          </cell>
          <cell r="F1961">
            <v>607001</v>
          </cell>
          <cell r="G1961" t="str">
            <v>Gaji</v>
          </cell>
          <cell r="H1961">
            <v>34525000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34525000</v>
          </cell>
          <cell r="AC1961">
            <v>0</v>
          </cell>
          <cell r="AD1961">
            <v>0</v>
          </cell>
          <cell r="AE1961">
            <v>0</v>
          </cell>
        </row>
        <row r="1962">
          <cell r="B1962">
            <v>607001</v>
          </cell>
          <cell r="C1962" t="str">
            <v>Gaji</v>
          </cell>
          <cell r="D1962" t="str">
            <v>Januari</v>
          </cell>
          <cell r="F1962">
            <v>607001</v>
          </cell>
          <cell r="G1962" t="str">
            <v>Januari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0</v>
          </cell>
        </row>
        <row r="1963">
          <cell r="B1963">
            <v>607001</v>
          </cell>
          <cell r="C1963" t="str">
            <v>Gaji</v>
          </cell>
          <cell r="D1963" t="str">
            <v>Februari</v>
          </cell>
          <cell r="F1963">
            <v>607001</v>
          </cell>
          <cell r="G1963" t="str">
            <v>Februari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0</v>
          </cell>
          <cell r="AE1963">
            <v>0</v>
          </cell>
        </row>
        <row r="1964">
          <cell r="B1964">
            <v>607001</v>
          </cell>
          <cell r="C1964" t="str">
            <v>Gaji</v>
          </cell>
          <cell r="D1964" t="str">
            <v>Maret</v>
          </cell>
          <cell r="F1964">
            <v>607001</v>
          </cell>
          <cell r="G1964" t="str">
            <v>Maret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0</v>
          </cell>
          <cell r="W1964">
            <v>0</v>
          </cell>
          <cell r="X1964">
            <v>0</v>
          </cell>
          <cell r="Y1964">
            <v>0</v>
          </cell>
          <cell r="Z1964">
            <v>0</v>
          </cell>
          <cell r="AA1964">
            <v>0</v>
          </cell>
          <cell r="AB1964">
            <v>0</v>
          </cell>
          <cell r="AC1964">
            <v>0</v>
          </cell>
          <cell r="AD1964">
            <v>0</v>
          </cell>
          <cell r="AE1964">
            <v>0</v>
          </cell>
        </row>
        <row r="1965">
          <cell r="B1965">
            <v>607001</v>
          </cell>
          <cell r="C1965" t="str">
            <v>Gaji</v>
          </cell>
          <cell r="D1965" t="str">
            <v>April</v>
          </cell>
          <cell r="F1965">
            <v>607001</v>
          </cell>
          <cell r="G1965" t="str">
            <v>April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</row>
        <row r="1966">
          <cell r="B1966">
            <v>607001</v>
          </cell>
          <cell r="C1966" t="str">
            <v>Gaji</v>
          </cell>
          <cell r="D1966" t="str">
            <v>Mei</v>
          </cell>
          <cell r="F1966">
            <v>607001</v>
          </cell>
          <cell r="G1966" t="str">
            <v>Mei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</row>
        <row r="1967">
          <cell r="B1967">
            <v>607001</v>
          </cell>
          <cell r="C1967" t="str">
            <v>Gaji</v>
          </cell>
          <cell r="D1967" t="str">
            <v>Juni</v>
          </cell>
          <cell r="F1967">
            <v>607001</v>
          </cell>
          <cell r="G1967" t="str">
            <v>Juni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</row>
        <row r="1968">
          <cell r="B1968">
            <v>607001</v>
          </cell>
          <cell r="C1968" t="str">
            <v>Gaji</v>
          </cell>
          <cell r="D1968" t="str">
            <v>Juli</v>
          </cell>
          <cell r="F1968">
            <v>607001</v>
          </cell>
          <cell r="G1968" t="str">
            <v>Juli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0</v>
          </cell>
          <cell r="AA1968">
            <v>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</row>
        <row r="1969">
          <cell r="B1969">
            <v>607001</v>
          </cell>
          <cell r="C1969" t="str">
            <v>Gaji</v>
          </cell>
          <cell r="D1969" t="str">
            <v>Agustus</v>
          </cell>
          <cell r="F1969">
            <v>607001</v>
          </cell>
          <cell r="G1969" t="str">
            <v>Agustus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</row>
        <row r="1970">
          <cell r="B1970">
            <v>607001</v>
          </cell>
          <cell r="C1970" t="str">
            <v>Gaji</v>
          </cell>
          <cell r="D1970" t="str">
            <v>September</v>
          </cell>
          <cell r="F1970">
            <v>607001</v>
          </cell>
          <cell r="G1970" t="str">
            <v>September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</row>
        <row r="1971">
          <cell r="B1971">
            <v>607001</v>
          </cell>
          <cell r="C1971" t="str">
            <v>Gaji</v>
          </cell>
          <cell r="D1971" t="str">
            <v>Oktober</v>
          </cell>
          <cell r="F1971">
            <v>607001</v>
          </cell>
          <cell r="G1971" t="str">
            <v>Oktober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0</v>
          </cell>
          <cell r="AE1971">
            <v>0</v>
          </cell>
        </row>
        <row r="1972">
          <cell r="B1972">
            <v>607001</v>
          </cell>
          <cell r="C1972" t="str">
            <v>Gaji</v>
          </cell>
          <cell r="D1972" t="str">
            <v>November</v>
          </cell>
          <cell r="F1972">
            <v>607001</v>
          </cell>
          <cell r="G1972" t="str">
            <v>November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</row>
        <row r="1973">
          <cell r="B1973">
            <v>607001</v>
          </cell>
          <cell r="C1973" t="str">
            <v>Gaji</v>
          </cell>
          <cell r="D1973" t="str">
            <v>Desember</v>
          </cell>
          <cell r="F1973">
            <v>607001</v>
          </cell>
          <cell r="G1973" t="str">
            <v>Desember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</row>
        <row r="1974">
          <cell r="B1974">
            <v>607002</v>
          </cell>
          <cell r="C1974" t="str">
            <v>Tunjangan makan</v>
          </cell>
          <cell r="E1974">
            <v>607.00199999999995</v>
          </cell>
          <cell r="F1974">
            <v>607002</v>
          </cell>
          <cell r="G1974" t="str">
            <v>Tunjangan makan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</row>
        <row r="1975">
          <cell r="B1975">
            <v>607002</v>
          </cell>
          <cell r="C1975" t="str">
            <v>Tunjangan makan</v>
          </cell>
          <cell r="D1975" t="str">
            <v>Januari</v>
          </cell>
          <cell r="F1975">
            <v>607002</v>
          </cell>
          <cell r="G1975" t="str">
            <v>Januari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</row>
        <row r="1976">
          <cell r="B1976">
            <v>607002</v>
          </cell>
          <cell r="C1976" t="str">
            <v>Tunjangan makan</v>
          </cell>
          <cell r="D1976" t="str">
            <v>Februari</v>
          </cell>
          <cell r="F1976">
            <v>607002</v>
          </cell>
          <cell r="G1976" t="str">
            <v>Februari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</row>
        <row r="1977">
          <cell r="B1977">
            <v>607002</v>
          </cell>
          <cell r="C1977" t="str">
            <v>Tunjangan makan</v>
          </cell>
          <cell r="D1977" t="str">
            <v>Maret</v>
          </cell>
          <cell r="F1977">
            <v>607002</v>
          </cell>
          <cell r="G1977" t="str">
            <v>Maret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</row>
        <row r="1978">
          <cell r="B1978">
            <v>607002</v>
          </cell>
          <cell r="C1978" t="str">
            <v>Tunjangan makan</v>
          </cell>
          <cell r="D1978" t="str">
            <v>April</v>
          </cell>
          <cell r="F1978">
            <v>607002</v>
          </cell>
          <cell r="G1978" t="str">
            <v>April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0</v>
          </cell>
        </row>
        <row r="1979">
          <cell r="B1979">
            <v>607002</v>
          </cell>
          <cell r="C1979" t="str">
            <v>Tunjangan makan</v>
          </cell>
          <cell r="D1979" t="str">
            <v>Mei</v>
          </cell>
          <cell r="F1979">
            <v>607002</v>
          </cell>
          <cell r="G1979" t="str">
            <v>Mei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</row>
        <row r="1980">
          <cell r="B1980">
            <v>607002</v>
          </cell>
          <cell r="C1980" t="str">
            <v>Tunjangan makan</v>
          </cell>
          <cell r="D1980" t="str">
            <v>Juni</v>
          </cell>
          <cell r="F1980">
            <v>607002</v>
          </cell>
          <cell r="G1980" t="str">
            <v>Juni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0</v>
          </cell>
        </row>
        <row r="1981">
          <cell r="B1981">
            <v>607002</v>
          </cell>
          <cell r="C1981" t="str">
            <v>Tunjangan makan</v>
          </cell>
          <cell r="D1981" t="str">
            <v>Juli</v>
          </cell>
          <cell r="F1981">
            <v>607002</v>
          </cell>
          <cell r="G1981" t="str">
            <v>Juli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0</v>
          </cell>
          <cell r="AE1981">
            <v>0</v>
          </cell>
        </row>
        <row r="1982">
          <cell r="B1982">
            <v>607002</v>
          </cell>
          <cell r="C1982" t="str">
            <v>Tunjangan makan</v>
          </cell>
          <cell r="D1982" t="str">
            <v>Agustus</v>
          </cell>
          <cell r="F1982">
            <v>607002</v>
          </cell>
          <cell r="G1982" t="str">
            <v>Agustus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</row>
        <row r="1983">
          <cell r="B1983">
            <v>607002</v>
          </cell>
          <cell r="C1983" t="str">
            <v>Tunjangan makan</v>
          </cell>
          <cell r="D1983" t="str">
            <v>September</v>
          </cell>
          <cell r="F1983">
            <v>607002</v>
          </cell>
          <cell r="G1983" t="str">
            <v>September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</row>
        <row r="1984">
          <cell r="B1984">
            <v>607002</v>
          </cell>
          <cell r="C1984" t="str">
            <v>Tunjangan makan</v>
          </cell>
          <cell r="D1984" t="str">
            <v>Oktober</v>
          </cell>
          <cell r="F1984">
            <v>607002</v>
          </cell>
          <cell r="G1984" t="str">
            <v>Oktober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0</v>
          </cell>
          <cell r="AE1984">
            <v>0</v>
          </cell>
        </row>
        <row r="1985">
          <cell r="B1985">
            <v>607002</v>
          </cell>
          <cell r="C1985" t="str">
            <v>Tunjangan makan</v>
          </cell>
          <cell r="D1985" t="str">
            <v>November</v>
          </cell>
          <cell r="F1985">
            <v>607002</v>
          </cell>
          <cell r="G1985" t="str">
            <v>November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0</v>
          </cell>
        </row>
        <row r="1986">
          <cell r="B1986">
            <v>607002</v>
          </cell>
          <cell r="C1986" t="str">
            <v>Tunjangan makan</v>
          </cell>
          <cell r="D1986" t="str">
            <v>Desember</v>
          </cell>
          <cell r="F1986">
            <v>607002</v>
          </cell>
          <cell r="G1986" t="str">
            <v>Desember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</row>
        <row r="1987">
          <cell r="B1987">
            <v>607003</v>
          </cell>
          <cell r="C1987" t="str">
            <v>Lembur</v>
          </cell>
          <cell r="E1987">
            <v>607.00300000000004</v>
          </cell>
          <cell r="F1987">
            <v>607003</v>
          </cell>
          <cell r="G1987" t="str">
            <v>Lembur</v>
          </cell>
          <cell r="H1987">
            <v>4288019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4288019</v>
          </cell>
          <cell r="AC1987">
            <v>0</v>
          </cell>
          <cell r="AD1987">
            <v>0</v>
          </cell>
          <cell r="AE1987">
            <v>0</v>
          </cell>
        </row>
        <row r="1988">
          <cell r="B1988">
            <v>607003</v>
          </cell>
          <cell r="C1988" t="str">
            <v>Lembur</v>
          </cell>
          <cell r="D1988" t="str">
            <v>Januari</v>
          </cell>
          <cell r="F1988">
            <v>607003</v>
          </cell>
          <cell r="G1988" t="str">
            <v>Januari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</row>
        <row r="1989">
          <cell r="B1989">
            <v>607003</v>
          </cell>
          <cell r="C1989" t="str">
            <v>Lembur</v>
          </cell>
          <cell r="D1989" t="str">
            <v>Februari</v>
          </cell>
          <cell r="F1989">
            <v>607003</v>
          </cell>
          <cell r="G1989" t="str">
            <v>Februari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0</v>
          </cell>
        </row>
        <row r="1990">
          <cell r="B1990">
            <v>607003</v>
          </cell>
          <cell r="C1990" t="str">
            <v>Lembur</v>
          </cell>
          <cell r="D1990" t="str">
            <v>Maret</v>
          </cell>
          <cell r="F1990">
            <v>607003</v>
          </cell>
          <cell r="G1990" t="str">
            <v>Maret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</row>
        <row r="1991">
          <cell r="B1991">
            <v>607003</v>
          </cell>
          <cell r="C1991" t="str">
            <v>Lembur</v>
          </cell>
          <cell r="D1991" t="str">
            <v>April</v>
          </cell>
          <cell r="F1991">
            <v>607003</v>
          </cell>
          <cell r="G1991" t="str">
            <v>April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</row>
        <row r="1992">
          <cell r="B1992">
            <v>607003</v>
          </cell>
          <cell r="C1992" t="str">
            <v>Lembur</v>
          </cell>
          <cell r="D1992" t="str">
            <v>Mei</v>
          </cell>
          <cell r="F1992">
            <v>607003</v>
          </cell>
          <cell r="G1992" t="str">
            <v>Mei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</row>
        <row r="1993">
          <cell r="B1993">
            <v>607003</v>
          </cell>
          <cell r="C1993" t="str">
            <v>Lembur</v>
          </cell>
          <cell r="D1993" t="str">
            <v>Juni</v>
          </cell>
          <cell r="F1993">
            <v>607003</v>
          </cell>
          <cell r="G1993" t="str">
            <v>Juni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0</v>
          </cell>
        </row>
        <row r="1994">
          <cell r="B1994">
            <v>607003</v>
          </cell>
          <cell r="C1994" t="str">
            <v>Lembur</v>
          </cell>
          <cell r="D1994" t="str">
            <v>Juli</v>
          </cell>
          <cell r="F1994">
            <v>607003</v>
          </cell>
          <cell r="G1994" t="str">
            <v>Juli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0</v>
          </cell>
          <cell r="Y1994">
            <v>0</v>
          </cell>
          <cell r="Z1994">
            <v>0</v>
          </cell>
          <cell r="AA1994">
            <v>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</row>
        <row r="1995">
          <cell r="B1995">
            <v>607003</v>
          </cell>
          <cell r="C1995" t="str">
            <v>Lembur</v>
          </cell>
          <cell r="D1995" t="str">
            <v>Agustus</v>
          </cell>
          <cell r="F1995">
            <v>607003</v>
          </cell>
          <cell r="G1995" t="str">
            <v>Agustus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</row>
        <row r="1996">
          <cell r="B1996">
            <v>607003</v>
          </cell>
          <cell r="C1996" t="str">
            <v>Lembur</v>
          </cell>
          <cell r="D1996" t="str">
            <v>September</v>
          </cell>
          <cell r="F1996">
            <v>607003</v>
          </cell>
          <cell r="G1996" t="str">
            <v>September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</row>
        <row r="1997">
          <cell r="B1997">
            <v>607003</v>
          </cell>
          <cell r="C1997" t="str">
            <v>Lembur</v>
          </cell>
          <cell r="D1997" t="str">
            <v>Oktober</v>
          </cell>
          <cell r="F1997">
            <v>607003</v>
          </cell>
          <cell r="G1997" t="str">
            <v>Oktober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0</v>
          </cell>
          <cell r="AB1997">
            <v>0</v>
          </cell>
          <cell r="AC1997">
            <v>0</v>
          </cell>
          <cell r="AD1997">
            <v>0</v>
          </cell>
          <cell r="AE1997">
            <v>0</v>
          </cell>
        </row>
        <row r="1998">
          <cell r="B1998">
            <v>607003</v>
          </cell>
          <cell r="C1998" t="str">
            <v>Lembur</v>
          </cell>
          <cell r="D1998" t="str">
            <v>November</v>
          </cell>
          <cell r="F1998">
            <v>607003</v>
          </cell>
          <cell r="G1998" t="str">
            <v>November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</row>
        <row r="1999">
          <cell r="B1999">
            <v>607003</v>
          </cell>
          <cell r="C1999" t="str">
            <v>Lembur</v>
          </cell>
          <cell r="D1999" t="str">
            <v>Desember</v>
          </cell>
          <cell r="F1999">
            <v>607003</v>
          </cell>
          <cell r="G1999" t="str">
            <v>Desember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</row>
        <row r="2000">
          <cell r="B2000">
            <v>607004</v>
          </cell>
          <cell r="C2000" t="str">
            <v>THR</v>
          </cell>
          <cell r="E2000">
            <v>607.00400000000002</v>
          </cell>
          <cell r="F2000">
            <v>607004</v>
          </cell>
          <cell r="G2000" t="str">
            <v>THR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</row>
        <row r="2001">
          <cell r="B2001">
            <v>607004</v>
          </cell>
          <cell r="C2001" t="str">
            <v>THR</v>
          </cell>
          <cell r="D2001" t="str">
            <v>Januari</v>
          </cell>
          <cell r="F2001">
            <v>607004</v>
          </cell>
          <cell r="G2001" t="str">
            <v>Januari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</row>
        <row r="2002">
          <cell r="B2002">
            <v>607004</v>
          </cell>
          <cell r="C2002" t="str">
            <v>THR</v>
          </cell>
          <cell r="D2002" t="str">
            <v>Februari</v>
          </cell>
          <cell r="F2002">
            <v>607004</v>
          </cell>
          <cell r="G2002" t="str">
            <v>Februari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0</v>
          </cell>
          <cell r="AE2002">
            <v>0</v>
          </cell>
        </row>
        <row r="2003">
          <cell r="B2003">
            <v>607004</v>
          </cell>
          <cell r="C2003" t="str">
            <v>THR</v>
          </cell>
          <cell r="D2003" t="str">
            <v>Maret</v>
          </cell>
          <cell r="F2003">
            <v>607004</v>
          </cell>
          <cell r="G2003" t="str">
            <v>Maret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</row>
        <row r="2004">
          <cell r="B2004">
            <v>607004</v>
          </cell>
          <cell r="C2004" t="str">
            <v>THR</v>
          </cell>
          <cell r="D2004" t="str">
            <v>April</v>
          </cell>
          <cell r="F2004">
            <v>607004</v>
          </cell>
          <cell r="G2004" t="str">
            <v>April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</row>
        <row r="2005">
          <cell r="B2005">
            <v>607004</v>
          </cell>
          <cell r="C2005" t="str">
            <v>THR</v>
          </cell>
          <cell r="D2005" t="str">
            <v>Mei</v>
          </cell>
          <cell r="F2005">
            <v>607004</v>
          </cell>
          <cell r="G2005" t="str">
            <v>Mei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0</v>
          </cell>
          <cell r="AC2005">
            <v>0</v>
          </cell>
          <cell r="AD2005">
            <v>0</v>
          </cell>
          <cell r="AE2005">
            <v>0</v>
          </cell>
        </row>
        <row r="2006">
          <cell r="B2006">
            <v>607004</v>
          </cell>
          <cell r="C2006" t="str">
            <v>THR</v>
          </cell>
          <cell r="D2006" t="str">
            <v>Juni</v>
          </cell>
          <cell r="F2006">
            <v>607004</v>
          </cell>
          <cell r="G2006" t="str">
            <v>Juni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</row>
        <row r="2007">
          <cell r="B2007">
            <v>607004</v>
          </cell>
          <cell r="C2007" t="str">
            <v>THR</v>
          </cell>
          <cell r="D2007" t="str">
            <v>Juli</v>
          </cell>
          <cell r="F2007">
            <v>607004</v>
          </cell>
          <cell r="G2007" t="str">
            <v>Juli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</row>
        <row r="2008">
          <cell r="B2008">
            <v>607004</v>
          </cell>
          <cell r="C2008" t="str">
            <v>THR</v>
          </cell>
          <cell r="D2008" t="str">
            <v>Agustus</v>
          </cell>
          <cell r="F2008">
            <v>607004</v>
          </cell>
          <cell r="G2008" t="str">
            <v>Agustus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</row>
        <row r="2009">
          <cell r="B2009">
            <v>607004</v>
          </cell>
          <cell r="C2009" t="str">
            <v>THR</v>
          </cell>
          <cell r="D2009" t="str">
            <v>September</v>
          </cell>
          <cell r="F2009">
            <v>607004</v>
          </cell>
          <cell r="G2009" t="str">
            <v>September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0</v>
          </cell>
          <cell r="Y2009">
            <v>0</v>
          </cell>
          <cell r="Z2009">
            <v>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</row>
        <row r="2010">
          <cell r="B2010">
            <v>607004</v>
          </cell>
          <cell r="C2010" t="str">
            <v>THR</v>
          </cell>
          <cell r="D2010" t="str">
            <v>Oktober</v>
          </cell>
          <cell r="F2010">
            <v>607004</v>
          </cell>
          <cell r="G2010" t="str">
            <v>Oktober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</row>
        <row r="2011">
          <cell r="B2011">
            <v>607004</v>
          </cell>
          <cell r="C2011" t="str">
            <v>THR</v>
          </cell>
          <cell r="D2011" t="str">
            <v>November</v>
          </cell>
          <cell r="F2011">
            <v>607004</v>
          </cell>
          <cell r="G2011" t="str">
            <v>November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</row>
        <row r="2012">
          <cell r="B2012">
            <v>607004</v>
          </cell>
          <cell r="C2012" t="str">
            <v>THR</v>
          </cell>
          <cell r="D2012" t="str">
            <v>Desember</v>
          </cell>
          <cell r="F2012">
            <v>607004</v>
          </cell>
          <cell r="G2012" t="str">
            <v>Desember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</row>
        <row r="2013">
          <cell r="B2013">
            <v>607005</v>
          </cell>
          <cell r="C2013" t="str">
            <v>Astek</v>
          </cell>
          <cell r="E2013">
            <v>607.005</v>
          </cell>
          <cell r="F2013">
            <v>607005</v>
          </cell>
          <cell r="G2013" t="str">
            <v>Astek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</row>
        <row r="2014">
          <cell r="B2014">
            <v>607005</v>
          </cell>
          <cell r="C2014" t="str">
            <v>Astek</v>
          </cell>
          <cell r="D2014" t="str">
            <v>Januari</v>
          </cell>
          <cell r="F2014">
            <v>607005</v>
          </cell>
          <cell r="G2014" t="str">
            <v>Januari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</row>
        <row r="2015">
          <cell r="B2015">
            <v>607005</v>
          </cell>
          <cell r="C2015" t="str">
            <v>Astek</v>
          </cell>
          <cell r="D2015" t="str">
            <v>Februari</v>
          </cell>
          <cell r="F2015">
            <v>607005</v>
          </cell>
          <cell r="G2015" t="str">
            <v>Februari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0</v>
          </cell>
        </row>
        <row r="2016">
          <cell r="B2016">
            <v>607005</v>
          </cell>
          <cell r="C2016" t="str">
            <v>Astek</v>
          </cell>
          <cell r="D2016" t="str">
            <v>Maret</v>
          </cell>
          <cell r="F2016">
            <v>607005</v>
          </cell>
          <cell r="G2016" t="str">
            <v>Maret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</row>
        <row r="2017">
          <cell r="B2017">
            <v>607005</v>
          </cell>
          <cell r="C2017" t="str">
            <v>Astek</v>
          </cell>
          <cell r="D2017" t="str">
            <v>April</v>
          </cell>
          <cell r="F2017">
            <v>607005</v>
          </cell>
          <cell r="G2017" t="str">
            <v>April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</row>
        <row r="2018">
          <cell r="B2018">
            <v>607005</v>
          </cell>
          <cell r="C2018" t="str">
            <v>Astek</v>
          </cell>
          <cell r="D2018" t="str">
            <v>Mei</v>
          </cell>
          <cell r="F2018">
            <v>607005</v>
          </cell>
          <cell r="G2018" t="str">
            <v>Mei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</row>
        <row r="2019">
          <cell r="B2019">
            <v>607005</v>
          </cell>
          <cell r="C2019" t="str">
            <v>Astek</v>
          </cell>
          <cell r="D2019" t="str">
            <v>Juni</v>
          </cell>
          <cell r="F2019">
            <v>607005</v>
          </cell>
          <cell r="G2019" t="str">
            <v>Juni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</row>
        <row r="2020">
          <cell r="B2020">
            <v>607005</v>
          </cell>
          <cell r="C2020" t="str">
            <v>Astek</v>
          </cell>
          <cell r="D2020" t="str">
            <v>Juli</v>
          </cell>
          <cell r="F2020">
            <v>607005</v>
          </cell>
          <cell r="G2020" t="str">
            <v>Juli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0</v>
          </cell>
        </row>
        <row r="2021">
          <cell r="B2021">
            <v>607005</v>
          </cell>
          <cell r="C2021" t="str">
            <v>Astek</v>
          </cell>
          <cell r="D2021" t="str">
            <v>Agustus</v>
          </cell>
          <cell r="F2021">
            <v>607005</v>
          </cell>
          <cell r="G2021" t="str">
            <v>Agustus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</row>
        <row r="2022">
          <cell r="B2022">
            <v>607005</v>
          </cell>
          <cell r="C2022" t="str">
            <v>Astek</v>
          </cell>
          <cell r="D2022" t="str">
            <v>September</v>
          </cell>
          <cell r="F2022">
            <v>607005</v>
          </cell>
          <cell r="G2022" t="str">
            <v>September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</row>
        <row r="2023">
          <cell r="B2023">
            <v>607005</v>
          </cell>
          <cell r="C2023" t="str">
            <v>Astek</v>
          </cell>
          <cell r="D2023" t="str">
            <v>Oktober</v>
          </cell>
          <cell r="F2023">
            <v>607005</v>
          </cell>
          <cell r="G2023" t="str">
            <v>Oktober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</row>
        <row r="2024">
          <cell r="B2024">
            <v>607005</v>
          </cell>
          <cell r="C2024" t="str">
            <v>Astek</v>
          </cell>
          <cell r="D2024" t="str">
            <v>November</v>
          </cell>
          <cell r="F2024">
            <v>607005</v>
          </cell>
          <cell r="G2024" t="str">
            <v>November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0</v>
          </cell>
        </row>
        <row r="2025">
          <cell r="B2025">
            <v>607005</v>
          </cell>
          <cell r="C2025" t="str">
            <v>Astek</v>
          </cell>
          <cell r="D2025" t="str">
            <v>Desember</v>
          </cell>
          <cell r="F2025">
            <v>607005</v>
          </cell>
          <cell r="G2025" t="str">
            <v>Desember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</row>
        <row r="2026">
          <cell r="B2026">
            <v>607007</v>
          </cell>
          <cell r="C2026" t="str">
            <v>Telpon</v>
          </cell>
          <cell r="E2026">
            <v>607.00699999999995</v>
          </cell>
          <cell r="F2026">
            <v>607007</v>
          </cell>
          <cell r="G2026" t="str">
            <v>Telpon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</row>
        <row r="2027">
          <cell r="B2027">
            <v>607007</v>
          </cell>
          <cell r="C2027" t="str">
            <v>Telpon</v>
          </cell>
          <cell r="D2027" t="str">
            <v>Januari</v>
          </cell>
          <cell r="F2027">
            <v>607007</v>
          </cell>
          <cell r="G2027" t="str">
            <v>Januari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</row>
        <row r="2028">
          <cell r="B2028">
            <v>607007</v>
          </cell>
          <cell r="C2028" t="str">
            <v>Telpon</v>
          </cell>
          <cell r="D2028" t="str">
            <v>Februari</v>
          </cell>
          <cell r="F2028">
            <v>607007</v>
          </cell>
          <cell r="G2028" t="str">
            <v>Februari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</row>
        <row r="2029">
          <cell r="B2029">
            <v>607007</v>
          </cell>
          <cell r="C2029" t="str">
            <v>Telpon</v>
          </cell>
          <cell r="D2029" t="str">
            <v>Maret</v>
          </cell>
          <cell r="F2029">
            <v>607007</v>
          </cell>
          <cell r="G2029" t="str">
            <v>Maret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</row>
        <row r="2030">
          <cell r="B2030">
            <v>607007</v>
          </cell>
          <cell r="C2030" t="str">
            <v>Telpon</v>
          </cell>
          <cell r="D2030" t="str">
            <v>April</v>
          </cell>
          <cell r="F2030">
            <v>607007</v>
          </cell>
          <cell r="G2030" t="str">
            <v>April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</row>
        <row r="2031">
          <cell r="B2031">
            <v>607007</v>
          </cell>
          <cell r="C2031" t="str">
            <v>Telpon</v>
          </cell>
          <cell r="D2031" t="str">
            <v>Mei</v>
          </cell>
          <cell r="F2031">
            <v>607007</v>
          </cell>
          <cell r="G2031" t="str">
            <v>Mei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0</v>
          </cell>
        </row>
        <row r="2032">
          <cell r="B2032">
            <v>607007</v>
          </cell>
          <cell r="C2032" t="str">
            <v>Telpon</v>
          </cell>
          <cell r="D2032" t="str">
            <v>Juni</v>
          </cell>
          <cell r="F2032">
            <v>607007</v>
          </cell>
          <cell r="G2032" t="str">
            <v>Juni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</row>
        <row r="2033">
          <cell r="B2033">
            <v>607007</v>
          </cell>
          <cell r="C2033" t="str">
            <v>Telpon</v>
          </cell>
          <cell r="D2033" t="str">
            <v>Juli</v>
          </cell>
          <cell r="F2033">
            <v>607007</v>
          </cell>
          <cell r="G2033" t="str">
            <v>Juli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0</v>
          </cell>
          <cell r="AE2033">
            <v>0</v>
          </cell>
        </row>
        <row r="2034">
          <cell r="B2034">
            <v>607007</v>
          </cell>
          <cell r="C2034" t="str">
            <v>Telpon</v>
          </cell>
          <cell r="D2034" t="str">
            <v>Agustus</v>
          </cell>
          <cell r="F2034">
            <v>607007</v>
          </cell>
          <cell r="G2034" t="str">
            <v>Agustus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</row>
        <row r="2035">
          <cell r="B2035">
            <v>607007</v>
          </cell>
          <cell r="C2035" t="str">
            <v>Telpon</v>
          </cell>
          <cell r="D2035" t="str">
            <v>September</v>
          </cell>
          <cell r="F2035">
            <v>607007</v>
          </cell>
          <cell r="G2035" t="str">
            <v>September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</row>
        <row r="2036">
          <cell r="B2036">
            <v>607007</v>
          </cell>
          <cell r="C2036" t="str">
            <v>Telpon</v>
          </cell>
          <cell r="D2036" t="str">
            <v>Oktober</v>
          </cell>
          <cell r="F2036">
            <v>607007</v>
          </cell>
          <cell r="G2036" t="str">
            <v>Oktober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</row>
        <row r="2037">
          <cell r="B2037">
            <v>607007</v>
          </cell>
          <cell r="C2037" t="str">
            <v>Telpon</v>
          </cell>
          <cell r="D2037" t="str">
            <v>November</v>
          </cell>
          <cell r="F2037">
            <v>607007</v>
          </cell>
          <cell r="G2037" t="str">
            <v>November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</row>
        <row r="2038">
          <cell r="B2038">
            <v>607007</v>
          </cell>
          <cell r="C2038" t="str">
            <v>Telpon</v>
          </cell>
          <cell r="D2038" t="str">
            <v>Desember</v>
          </cell>
          <cell r="F2038">
            <v>607007</v>
          </cell>
          <cell r="G2038" t="str">
            <v>Desember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</row>
        <row r="2039">
          <cell r="B2039">
            <v>607008</v>
          </cell>
          <cell r="C2039" t="str">
            <v>Listrik</v>
          </cell>
          <cell r="E2039">
            <v>607.00800000000004</v>
          </cell>
          <cell r="F2039">
            <v>607008</v>
          </cell>
          <cell r="G2039" t="str">
            <v>Listrik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</row>
        <row r="2040">
          <cell r="B2040">
            <v>607008</v>
          </cell>
          <cell r="C2040" t="str">
            <v>Listrik</v>
          </cell>
          <cell r="D2040" t="str">
            <v>Januari</v>
          </cell>
          <cell r="F2040">
            <v>607008</v>
          </cell>
          <cell r="G2040" t="str">
            <v>Januari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</row>
        <row r="2041">
          <cell r="B2041">
            <v>607008</v>
          </cell>
          <cell r="C2041" t="str">
            <v>Listrik</v>
          </cell>
          <cell r="D2041" t="str">
            <v>Februari</v>
          </cell>
          <cell r="F2041">
            <v>607008</v>
          </cell>
          <cell r="G2041" t="str">
            <v>Februari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</row>
        <row r="2042">
          <cell r="B2042">
            <v>607008</v>
          </cell>
          <cell r="C2042" t="str">
            <v>Listrik</v>
          </cell>
          <cell r="D2042" t="str">
            <v>Maret</v>
          </cell>
          <cell r="F2042">
            <v>607008</v>
          </cell>
          <cell r="G2042" t="str">
            <v>Maret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</row>
        <row r="2043">
          <cell r="B2043">
            <v>607008</v>
          </cell>
          <cell r="C2043" t="str">
            <v>Listrik</v>
          </cell>
          <cell r="D2043" t="str">
            <v>April</v>
          </cell>
          <cell r="F2043">
            <v>607008</v>
          </cell>
          <cell r="G2043" t="str">
            <v>April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</row>
        <row r="2044">
          <cell r="B2044">
            <v>607008</v>
          </cell>
          <cell r="C2044" t="str">
            <v>Listrik</v>
          </cell>
          <cell r="D2044" t="str">
            <v>Mei</v>
          </cell>
          <cell r="F2044">
            <v>607008</v>
          </cell>
          <cell r="G2044" t="str">
            <v>Mei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</row>
        <row r="2045">
          <cell r="B2045">
            <v>607008</v>
          </cell>
          <cell r="C2045" t="str">
            <v>Listrik</v>
          </cell>
          <cell r="D2045" t="str">
            <v>Juni</v>
          </cell>
          <cell r="F2045">
            <v>607008</v>
          </cell>
          <cell r="G2045" t="str">
            <v>Juni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</row>
        <row r="2046">
          <cell r="B2046">
            <v>607008</v>
          </cell>
          <cell r="C2046" t="str">
            <v>Listrik</v>
          </cell>
          <cell r="D2046" t="str">
            <v>Juli</v>
          </cell>
          <cell r="F2046">
            <v>607008</v>
          </cell>
          <cell r="G2046" t="str">
            <v>Juli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</row>
        <row r="2047">
          <cell r="B2047">
            <v>607008</v>
          </cell>
          <cell r="C2047" t="str">
            <v>Listrik</v>
          </cell>
          <cell r="D2047" t="str">
            <v>Agustus</v>
          </cell>
          <cell r="F2047">
            <v>607008</v>
          </cell>
          <cell r="G2047" t="str">
            <v>Agustus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0</v>
          </cell>
        </row>
        <row r="2048">
          <cell r="B2048">
            <v>607008</v>
          </cell>
          <cell r="C2048" t="str">
            <v>Listrik</v>
          </cell>
          <cell r="D2048" t="str">
            <v>September</v>
          </cell>
          <cell r="F2048">
            <v>607008</v>
          </cell>
          <cell r="G2048" t="str">
            <v>September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</row>
        <row r="2049">
          <cell r="B2049">
            <v>607008</v>
          </cell>
          <cell r="C2049" t="str">
            <v>Listrik</v>
          </cell>
          <cell r="D2049" t="str">
            <v>Oktober</v>
          </cell>
          <cell r="F2049">
            <v>607008</v>
          </cell>
          <cell r="G2049" t="str">
            <v>Oktober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</row>
        <row r="2050">
          <cell r="B2050">
            <v>607008</v>
          </cell>
          <cell r="C2050" t="str">
            <v>Listrik</v>
          </cell>
          <cell r="D2050" t="str">
            <v>November</v>
          </cell>
          <cell r="F2050">
            <v>607008</v>
          </cell>
          <cell r="G2050" t="str">
            <v>November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</row>
        <row r="2051">
          <cell r="B2051">
            <v>607008</v>
          </cell>
          <cell r="C2051" t="str">
            <v>Listrik</v>
          </cell>
          <cell r="D2051" t="str">
            <v>Desember</v>
          </cell>
          <cell r="F2051">
            <v>607008</v>
          </cell>
          <cell r="G2051" t="str">
            <v>Desember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</row>
        <row r="2052">
          <cell r="B2052">
            <v>607009</v>
          </cell>
          <cell r="C2052" t="str">
            <v>Penyusutan Peralatan</v>
          </cell>
          <cell r="E2052">
            <v>607.00900000000001</v>
          </cell>
          <cell r="F2052">
            <v>607009</v>
          </cell>
          <cell r="G2052" t="str">
            <v>Penyusutan Peralatan</v>
          </cell>
          <cell r="H2052">
            <v>4759193.3950000005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4759193.3950000005</v>
          </cell>
          <cell r="AC2052">
            <v>0</v>
          </cell>
          <cell r="AD2052">
            <v>0</v>
          </cell>
          <cell r="AE2052">
            <v>0</v>
          </cell>
        </row>
        <row r="2053">
          <cell r="B2053">
            <v>607009</v>
          </cell>
          <cell r="C2053" t="str">
            <v>Penyusutan Peralatan</v>
          </cell>
          <cell r="D2053" t="str">
            <v>Januari</v>
          </cell>
          <cell r="F2053">
            <v>607009</v>
          </cell>
          <cell r="G2053" t="str">
            <v>Januari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</row>
        <row r="2054">
          <cell r="B2054">
            <v>607009</v>
          </cell>
          <cell r="C2054" t="str">
            <v>Penyusutan Peralatan</v>
          </cell>
          <cell r="D2054" t="str">
            <v>Februari</v>
          </cell>
          <cell r="F2054">
            <v>607009</v>
          </cell>
          <cell r="G2054" t="str">
            <v>Februari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</row>
        <row r="2055">
          <cell r="B2055">
            <v>607009</v>
          </cell>
          <cell r="C2055" t="str">
            <v>Penyusutan Peralatan</v>
          </cell>
          <cell r="D2055" t="str">
            <v>Maret</v>
          </cell>
          <cell r="F2055">
            <v>607009</v>
          </cell>
          <cell r="G2055" t="str">
            <v>Maret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</row>
        <row r="2056">
          <cell r="B2056">
            <v>607009</v>
          </cell>
          <cell r="C2056" t="str">
            <v>Penyusutan Peralatan</v>
          </cell>
          <cell r="D2056" t="str">
            <v>April</v>
          </cell>
          <cell r="F2056">
            <v>607009</v>
          </cell>
          <cell r="G2056" t="str">
            <v>April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</row>
        <row r="2057">
          <cell r="B2057">
            <v>607009</v>
          </cell>
          <cell r="C2057" t="str">
            <v>Penyusutan Peralatan</v>
          </cell>
          <cell r="D2057" t="str">
            <v>Mei</v>
          </cell>
          <cell r="F2057">
            <v>607009</v>
          </cell>
          <cell r="G2057" t="str">
            <v>Mei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</row>
        <row r="2058">
          <cell r="B2058">
            <v>607009</v>
          </cell>
          <cell r="C2058" t="str">
            <v>Penyusutan Peralatan</v>
          </cell>
          <cell r="D2058" t="str">
            <v>Juni</v>
          </cell>
          <cell r="F2058">
            <v>607009</v>
          </cell>
          <cell r="G2058" t="str">
            <v>Juni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</row>
        <row r="2059">
          <cell r="B2059">
            <v>607009</v>
          </cell>
          <cell r="C2059" t="str">
            <v>Penyusutan Peralatan</v>
          </cell>
          <cell r="D2059" t="str">
            <v>Juli</v>
          </cell>
          <cell r="F2059">
            <v>607009</v>
          </cell>
          <cell r="G2059" t="str">
            <v>Juli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0</v>
          </cell>
          <cell r="AE2059">
            <v>0</v>
          </cell>
        </row>
        <row r="2060">
          <cell r="B2060">
            <v>607009</v>
          </cell>
          <cell r="C2060" t="str">
            <v>Penyusutan Peralatan</v>
          </cell>
          <cell r="D2060" t="str">
            <v>Agustus</v>
          </cell>
          <cell r="F2060">
            <v>607009</v>
          </cell>
          <cell r="G2060" t="str">
            <v>Agustus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0</v>
          </cell>
          <cell r="AE2060">
            <v>0</v>
          </cell>
        </row>
        <row r="2061">
          <cell r="B2061">
            <v>607009</v>
          </cell>
          <cell r="C2061" t="str">
            <v>Penyusutan Peralatan</v>
          </cell>
          <cell r="D2061" t="str">
            <v>September</v>
          </cell>
          <cell r="F2061">
            <v>607009</v>
          </cell>
          <cell r="G2061" t="str">
            <v>September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</row>
        <row r="2062">
          <cell r="B2062">
            <v>607009</v>
          </cell>
          <cell r="C2062" t="str">
            <v>Penyusutan Peralatan</v>
          </cell>
          <cell r="D2062" t="str">
            <v>Oktober</v>
          </cell>
          <cell r="F2062">
            <v>607009</v>
          </cell>
          <cell r="G2062" t="str">
            <v>Oktober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0</v>
          </cell>
        </row>
        <row r="2063">
          <cell r="B2063">
            <v>607009</v>
          </cell>
          <cell r="C2063" t="str">
            <v>Penyusutan Peralatan</v>
          </cell>
          <cell r="D2063" t="str">
            <v>November</v>
          </cell>
          <cell r="F2063">
            <v>607009</v>
          </cell>
          <cell r="G2063" t="str">
            <v>November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</row>
        <row r="2064">
          <cell r="B2064">
            <v>607009</v>
          </cell>
          <cell r="C2064" t="str">
            <v>Penyusutan Peralatan</v>
          </cell>
          <cell r="D2064" t="str">
            <v>Desember</v>
          </cell>
          <cell r="F2064">
            <v>607009</v>
          </cell>
          <cell r="G2064" t="str">
            <v>Desember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</row>
        <row r="2065">
          <cell r="B2065">
            <v>607011</v>
          </cell>
          <cell r="C2065" t="str">
            <v>Material</v>
          </cell>
          <cell r="E2065">
            <v>607.01099999999997</v>
          </cell>
          <cell r="F2065">
            <v>607011</v>
          </cell>
          <cell r="G2065" t="str">
            <v>Material</v>
          </cell>
          <cell r="H2065">
            <v>64000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52000</v>
          </cell>
          <cell r="AA2065">
            <v>0</v>
          </cell>
          <cell r="AB2065">
            <v>116000</v>
          </cell>
          <cell r="AC2065">
            <v>0</v>
          </cell>
          <cell r="AD2065">
            <v>52000</v>
          </cell>
          <cell r="AE2065">
            <v>0</v>
          </cell>
        </row>
        <row r="2066">
          <cell r="B2066">
            <v>607011</v>
          </cell>
          <cell r="C2066" t="str">
            <v>Material</v>
          </cell>
          <cell r="D2066" t="str">
            <v>Januari</v>
          </cell>
          <cell r="F2066">
            <v>607011</v>
          </cell>
          <cell r="G2066" t="str">
            <v>Januari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32000</v>
          </cell>
          <cell r="AA2066">
            <v>0</v>
          </cell>
          <cell r="AB2066">
            <v>32000</v>
          </cell>
          <cell r="AC2066">
            <v>0</v>
          </cell>
          <cell r="AD2066">
            <v>32000</v>
          </cell>
          <cell r="AE2066">
            <v>0</v>
          </cell>
        </row>
        <row r="2067">
          <cell r="B2067">
            <v>607011</v>
          </cell>
          <cell r="C2067" t="str">
            <v>Material</v>
          </cell>
          <cell r="D2067" t="str">
            <v>Februari</v>
          </cell>
          <cell r="F2067">
            <v>607011</v>
          </cell>
          <cell r="G2067" t="str">
            <v>Februari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</row>
        <row r="2068">
          <cell r="B2068">
            <v>607011</v>
          </cell>
          <cell r="C2068" t="str">
            <v>Material</v>
          </cell>
          <cell r="D2068" t="str">
            <v>Maret</v>
          </cell>
          <cell r="F2068">
            <v>607011</v>
          </cell>
          <cell r="G2068" t="str">
            <v>Maret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</row>
        <row r="2069">
          <cell r="B2069">
            <v>607011</v>
          </cell>
          <cell r="C2069" t="str">
            <v>Material</v>
          </cell>
          <cell r="D2069" t="str">
            <v>April</v>
          </cell>
          <cell r="F2069">
            <v>607011</v>
          </cell>
          <cell r="G2069" t="str">
            <v>April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</row>
        <row r="2070">
          <cell r="B2070">
            <v>607011</v>
          </cell>
          <cell r="C2070" t="str">
            <v>Material</v>
          </cell>
          <cell r="D2070" t="str">
            <v>Mei</v>
          </cell>
          <cell r="F2070">
            <v>607011</v>
          </cell>
          <cell r="G2070" t="str">
            <v>Mei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18000</v>
          </cell>
          <cell r="AA2070">
            <v>0</v>
          </cell>
          <cell r="AB2070">
            <v>18000</v>
          </cell>
          <cell r="AC2070">
            <v>0</v>
          </cell>
          <cell r="AD2070">
            <v>18000</v>
          </cell>
          <cell r="AE2070">
            <v>0</v>
          </cell>
        </row>
        <row r="2071">
          <cell r="B2071">
            <v>607011</v>
          </cell>
          <cell r="C2071" t="str">
            <v>Material</v>
          </cell>
          <cell r="D2071" t="str">
            <v>Juni</v>
          </cell>
          <cell r="F2071">
            <v>607011</v>
          </cell>
          <cell r="G2071" t="str">
            <v>Juni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</row>
        <row r="2072">
          <cell r="B2072">
            <v>607011</v>
          </cell>
          <cell r="C2072" t="str">
            <v>Material</v>
          </cell>
          <cell r="D2072" t="str">
            <v>Juli</v>
          </cell>
          <cell r="F2072">
            <v>607011</v>
          </cell>
          <cell r="G2072" t="str">
            <v>Juli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</row>
        <row r="2073">
          <cell r="B2073">
            <v>607011</v>
          </cell>
          <cell r="C2073" t="str">
            <v>Material</v>
          </cell>
          <cell r="D2073" t="str">
            <v>Agustus</v>
          </cell>
          <cell r="F2073">
            <v>607011</v>
          </cell>
          <cell r="G2073" t="str">
            <v>Agustus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</row>
        <row r="2074">
          <cell r="B2074">
            <v>607011</v>
          </cell>
          <cell r="C2074" t="str">
            <v>Material</v>
          </cell>
          <cell r="D2074" t="str">
            <v>September</v>
          </cell>
          <cell r="F2074">
            <v>607011</v>
          </cell>
          <cell r="G2074" t="str">
            <v>September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</row>
        <row r="2075">
          <cell r="B2075">
            <v>607011</v>
          </cell>
          <cell r="C2075" t="str">
            <v>Material</v>
          </cell>
          <cell r="D2075" t="str">
            <v>Oktober</v>
          </cell>
          <cell r="F2075">
            <v>607011</v>
          </cell>
          <cell r="G2075" t="str">
            <v>Oktober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</row>
        <row r="2076">
          <cell r="B2076">
            <v>607011</v>
          </cell>
          <cell r="C2076" t="str">
            <v>Material</v>
          </cell>
          <cell r="D2076" t="str">
            <v>November</v>
          </cell>
          <cell r="F2076">
            <v>607011</v>
          </cell>
          <cell r="G2076" t="str">
            <v>November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2000</v>
          </cell>
          <cell r="AA2076">
            <v>0</v>
          </cell>
          <cell r="AB2076">
            <v>2000</v>
          </cell>
          <cell r="AC2076">
            <v>0</v>
          </cell>
          <cell r="AD2076">
            <v>2000</v>
          </cell>
          <cell r="AE2076">
            <v>0</v>
          </cell>
        </row>
        <row r="2077">
          <cell r="B2077">
            <v>607011</v>
          </cell>
          <cell r="C2077" t="str">
            <v>Material</v>
          </cell>
          <cell r="D2077" t="str">
            <v>Desember</v>
          </cell>
          <cell r="F2077">
            <v>607011</v>
          </cell>
          <cell r="G2077" t="str">
            <v>Desember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</row>
        <row r="2078">
          <cell r="B2078">
            <v>607012</v>
          </cell>
          <cell r="C2078" t="str">
            <v>Dinas Luar</v>
          </cell>
          <cell r="E2078">
            <v>607.01199999999994</v>
          </cell>
          <cell r="F2078">
            <v>607012</v>
          </cell>
          <cell r="G2078" t="str">
            <v>Dinas Luar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</row>
        <row r="2079">
          <cell r="B2079">
            <v>607012</v>
          </cell>
          <cell r="C2079" t="str">
            <v>Dinas Luar</v>
          </cell>
          <cell r="D2079" t="str">
            <v>Januari</v>
          </cell>
          <cell r="F2079">
            <v>607012</v>
          </cell>
          <cell r="G2079" t="str">
            <v>Januari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</row>
        <row r="2080">
          <cell r="B2080">
            <v>607012</v>
          </cell>
          <cell r="C2080" t="str">
            <v>Dinas Luar</v>
          </cell>
          <cell r="D2080" t="str">
            <v>Februari</v>
          </cell>
          <cell r="F2080">
            <v>607012</v>
          </cell>
          <cell r="G2080" t="str">
            <v>Februari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</row>
        <row r="2081">
          <cell r="B2081">
            <v>607012</v>
          </cell>
          <cell r="C2081" t="str">
            <v>Dinas Luar</v>
          </cell>
          <cell r="D2081" t="str">
            <v>Maret</v>
          </cell>
          <cell r="F2081">
            <v>607012</v>
          </cell>
          <cell r="G2081" t="str">
            <v>Maret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</row>
        <row r="2082">
          <cell r="B2082">
            <v>607012</v>
          </cell>
          <cell r="C2082" t="str">
            <v>Dinas Luar</v>
          </cell>
          <cell r="D2082" t="str">
            <v>April</v>
          </cell>
          <cell r="F2082">
            <v>607012</v>
          </cell>
          <cell r="G2082" t="str">
            <v>April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</row>
        <row r="2083">
          <cell r="B2083">
            <v>607012</v>
          </cell>
          <cell r="C2083" t="str">
            <v>Dinas Luar</v>
          </cell>
          <cell r="D2083" t="str">
            <v>Mei</v>
          </cell>
          <cell r="F2083">
            <v>607012</v>
          </cell>
          <cell r="G2083" t="str">
            <v>Mei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0</v>
          </cell>
        </row>
        <row r="2084">
          <cell r="B2084">
            <v>607012</v>
          </cell>
          <cell r="C2084" t="str">
            <v>Dinas Luar</v>
          </cell>
          <cell r="D2084" t="str">
            <v>Juni</v>
          </cell>
          <cell r="F2084">
            <v>607012</v>
          </cell>
          <cell r="G2084" t="str">
            <v>Juni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0</v>
          </cell>
        </row>
        <row r="2085">
          <cell r="B2085">
            <v>607012</v>
          </cell>
          <cell r="C2085" t="str">
            <v>Dinas Luar</v>
          </cell>
          <cell r="D2085" t="str">
            <v>Juli</v>
          </cell>
          <cell r="F2085">
            <v>607012</v>
          </cell>
          <cell r="G2085" t="str">
            <v>Juli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0</v>
          </cell>
          <cell r="AD2085">
            <v>0</v>
          </cell>
          <cell r="AE2085">
            <v>0</v>
          </cell>
        </row>
        <row r="2086">
          <cell r="B2086">
            <v>607012</v>
          </cell>
          <cell r="C2086" t="str">
            <v>Dinas Luar</v>
          </cell>
          <cell r="D2086" t="str">
            <v>Agustus</v>
          </cell>
          <cell r="F2086">
            <v>607012</v>
          </cell>
          <cell r="G2086" t="str">
            <v>Agustus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</row>
        <row r="2087">
          <cell r="B2087">
            <v>607012</v>
          </cell>
          <cell r="C2087" t="str">
            <v>Dinas Luar</v>
          </cell>
          <cell r="D2087" t="str">
            <v>September</v>
          </cell>
          <cell r="F2087">
            <v>607012</v>
          </cell>
          <cell r="G2087" t="str">
            <v>September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</row>
        <row r="2088">
          <cell r="B2088">
            <v>607012</v>
          </cell>
          <cell r="C2088" t="str">
            <v>Dinas Luar</v>
          </cell>
          <cell r="D2088" t="str">
            <v>Oktober</v>
          </cell>
          <cell r="F2088">
            <v>607012</v>
          </cell>
          <cell r="G2088" t="str">
            <v>Oktober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</row>
        <row r="2089">
          <cell r="B2089">
            <v>607012</v>
          </cell>
          <cell r="C2089" t="str">
            <v>Dinas Luar</v>
          </cell>
          <cell r="D2089" t="str">
            <v>November</v>
          </cell>
          <cell r="F2089">
            <v>607012</v>
          </cell>
          <cell r="G2089" t="str">
            <v>November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0</v>
          </cell>
          <cell r="AE2089">
            <v>0</v>
          </cell>
        </row>
        <row r="2090">
          <cell r="B2090">
            <v>607012</v>
          </cell>
          <cell r="C2090" t="str">
            <v>Dinas Luar</v>
          </cell>
          <cell r="D2090" t="str">
            <v>Desember</v>
          </cell>
          <cell r="F2090">
            <v>607012</v>
          </cell>
          <cell r="G2090" t="str">
            <v>Desember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</row>
        <row r="2091">
          <cell r="B2091">
            <v>607013</v>
          </cell>
          <cell r="C2091" t="str">
            <v>Jasa Pihak ke 3</v>
          </cell>
          <cell r="E2091">
            <v>607.01300000000003</v>
          </cell>
          <cell r="F2091">
            <v>607013</v>
          </cell>
          <cell r="G2091" t="str">
            <v>Jasa Pihak ke 3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100000</v>
          </cell>
          <cell r="AA2091">
            <v>0</v>
          </cell>
          <cell r="AB2091">
            <v>100000</v>
          </cell>
          <cell r="AC2091">
            <v>0</v>
          </cell>
          <cell r="AD2091">
            <v>100000</v>
          </cell>
          <cell r="AE2091">
            <v>0</v>
          </cell>
        </row>
        <row r="2092">
          <cell r="B2092">
            <v>607013</v>
          </cell>
          <cell r="C2092" t="str">
            <v>Jasa Pihak ke 3</v>
          </cell>
          <cell r="D2092" t="str">
            <v>Januari</v>
          </cell>
          <cell r="F2092">
            <v>607013</v>
          </cell>
          <cell r="G2092" t="str">
            <v>Januari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50000</v>
          </cell>
          <cell r="AA2092">
            <v>0</v>
          </cell>
          <cell r="AB2092">
            <v>50000</v>
          </cell>
          <cell r="AC2092">
            <v>0</v>
          </cell>
          <cell r="AD2092">
            <v>50000</v>
          </cell>
          <cell r="AE2092">
            <v>0</v>
          </cell>
        </row>
        <row r="2093">
          <cell r="B2093">
            <v>607013</v>
          </cell>
          <cell r="C2093" t="str">
            <v>Jasa Pihak ke 3</v>
          </cell>
          <cell r="D2093" t="str">
            <v>Februari</v>
          </cell>
          <cell r="F2093">
            <v>607013</v>
          </cell>
          <cell r="G2093" t="str">
            <v>Februari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</row>
        <row r="2094">
          <cell r="B2094">
            <v>607013</v>
          </cell>
          <cell r="C2094" t="str">
            <v>Jasa Pihak ke 3</v>
          </cell>
          <cell r="D2094" t="str">
            <v>Maret</v>
          </cell>
          <cell r="F2094">
            <v>607013</v>
          </cell>
          <cell r="G2094" t="str">
            <v>Maret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</row>
        <row r="2095">
          <cell r="B2095">
            <v>607013</v>
          </cell>
          <cell r="C2095" t="str">
            <v>Jasa Pihak ke 3</v>
          </cell>
          <cell r="D2095" t="str">
            <v>April</v>
          </cell>
          <cell r="F2095">
            <v>607013</v>
          </cell>
          <cell r="G2095" t="str">
            <v>April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</row>
        <row r="2096">
          <cell r="B2096">
            <v>607013</v>
          </cell>
          <cell r="C2096" t="str">
            <v>Jasa Pihak ke 3</v>
          </cell>
          <cell r="D2096" t="str">
            <v>Mei</v>
          </cell>
          <cell r="F2096">
            <v>607013</v>
          </cell>
          <cell r="G2096" t="str">
            <v>Mei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50000</v>
          </cell>
          <cell r="AA2096">
            <v>0</v>
          </cell>
          <cell r="AB2096">
            <v>50000</v>
          </cell>
          <cell r="AC2096">
            <v>0</v>
          </cell>
          <cell r="AD2096">
            <v>50000</v>
          </cell>
          <cell r="AE2096">
            <v>0</v>
          </cell>
        </row>
        <row r="2097">
          <cell r="B2097">
            <v>607013</v>
          </cell>
          <cell r="C2097" t="str">
            <v>Jasa Pihak ke 3</v>
          </cell>
          <cell r="D2097" t="str">
            <v>Juni</v>
          </cell>
          <cell r="F2097">
            <v>607013</v>
          </cell>
          <cell r="G2097" t="str">
            <v>Juni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</row>
        <row r="2098">
          <cell r="B2098">
            <v>607013</v>
          </cell>
          <cell r="C2098" t="str">
            <v>Jasa Pihak ke 3</v>
          </cell>
          <cell r="D2098" t="str">
            <v>Juli</v>
          </cell>
          <cell r="F2098">
            <v>607013</v>
          </cell>
          <cell r="G2098" t="str">
            <v>Juli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</row>
        <row r="2099">
          <cell r="B2099">
            <v>607013</v>
          </cell>
          <cell r="C2099" t="str">
            <v>Jasa Pihak ke 3</v>
          </cell>
          <cell r="D2099" t="str">
            <v>Agustus</v>
          </cell>
          <cell r="F2099">
            <v>607013</v>
          </cell>
          <cell r="G2099" t="str">
            <v>Agustus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</row>
        <row r="2100">
          <cell r="B2100">
            <v>607013</v>
          </cell>
          <cell r="C2100" t="str">
            <v>Jasa Pihak ke 3</v>
          </cell>
          <cell r="D2100" t="str">
            <v>September</v>
          </cell>
          <cell r="F2100">
            <v>607013</v>
          </cell>
          <cell r="G2100" t="str">
            <v>September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</row>
        <row r="2101">
          <cell r="B2101">
            <v>607013</v>
          </cell>
          <cell r="C2101" t="str">
            <v>Jasa Pihak ke 3</v>
          </cell>
          <cell r="D2101" t="str">
            <v>Oktober</v>
          </cell>
          <cell r="F2101">
            <v>607013</v>
          </cell>
          <cell r="G2101" t="str">
            <v>Oktober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</row>
        <row r="2102">
          <cell r="B2102">
            <v>607013</v>
          </cell>
          <cell r="C2102" t="str">
            <v>Jasa Pihak ke 3</v>
          </cell>
          <cell r="D2102" t="str">
            <v>November</v>
          </cell>
          <cell r="F2102">
            <v>607013</v>
          </cell>
          <cell r="G2102" t="str">
            <v>November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0</v>
          </cell>
          <cell r="AD2102">
            <v>0</v>
          </cell>
          <cell r="AE2102">
            <v>0</v>
          </cell>
        </row>
        <row r="2103">
          <cell r="B2103">
            <v>607013</v>
          </cell>
          <cell r="C2103" t="str">
            <v>Jasa Pihak ke 3</v>
          </cell>
          <cell r="D2103" t="str">
            <v>Desember</v>
          </cell>
          <cell r="F2103">
            <v>607013</v>
          </cell>
          <cell r="G2103" t="str">
            <v>Desember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</row>
        <row r="2104">
          <cell r="B2104">
            <v>607014</v>
          </cell>
          <cell r="C2104" t="str">
            <v>BBM</v>
          </cell>
          <cell r="E2104">
            <v>607.01400000000001</v>
          </cell>
          <cell r="F2104">
            <v>607014</v>
          </cell>
          <cell r="G2104" t="str">
            <v>BBM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</row>
        <row r="2105">
          <cell r="B2105">
            <v>607014</v>
          </cell>
          <cell r="C2105" t="str">
            <v>BBM</v>
          </cell>
          <cell r="D2105" t="str">
            <v>Januari</v>
          </cell>
          <cell r="F2105">
            <v>607014</v>
          </cell>
          <cell r="G2105" t="str">
            <v>Januari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</row>
        <row r="2106">
          <cell r="B2106">
            <v>607014</v>
          </cell>
          <cell r="C2106" t="str">
            <v>BBM</v>
          </cell>
          <cell r="D2106" t="str">
            <v>Februari</v>
          </cell>
          <cell r="F2106">
            <v>607014</v>
          </cell>
          <cell r="G2106" t="str">
            <v>Februari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0</v>
          </cell>
        </row>
        <row r="2107">
          <cell r="B2107">
            <v>607014</v>
          </cell>
          <cell r="C2107" t="str">
            <v>BBM</v>
          </cell>
          <cell r="D2107" t="str">
            <v>Maret</v>
          </cell>
          <cell r="F2107">
            <v>607014</v>
          </cell>
          <cell r="G2107" t="str">
            <v>Maret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</row>
        <row r="2108">
          <cell r="B2108">
            <v>607014</v>
          </cell>
          <cell r="C2108" t="str">
            <v>BBM</v>
          </cell>
          <cell r="D2108" t="str">
            <v>April</v>
          </cell>
          <cell r="F2108">
            <v>607014</v>
          </cell>
          <cell r="G2108" t="str">
            <v>April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</row>
        <row r="2109">
          <cell r="B2109">
            <v>607014</v>
          </cell>
          <cell r="C2109" t="str">
            <v>BBM</v>
          </cell>
          <cell r="D2109" t="str">
            <v>Mei</v>
          </cell>
          <cell r="F2109">
            <v>607014</v>
          </cell>
          <cell r="G2109" t="str">
            <v>Mei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</row>
        <row r="2110">
          <cell r="B2110">
            <v>607014</v>
          </cell>
          <cell r="C2110" t="str">
            <v>BBM</v>
          </cell>
          <cell r="D2110" t="str">
            <v>Juni</v>
          </cell>
          <cell r="F2110">
            <v>607014</v>
          </cell>
          <cell r="G2110" t="str">
            <v>Juni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0</v>
          </cell>
        </row>
        <row r="2111">
          <cell r="B2111">
            <v>607014</v>
          </cell>
          <cell r="C2111" t="str">
            <v>BBM</v>
          </cell>
          <cell r="D2111" t="str">
            <v>Juli</v>
          </cell>
          <cell r="F2111">
            <v>607014</v>
          </cell>
          <cell r="G2111" t="str">
            <v>Juli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</row>
        <row r="2112">
          <cell r="B2112">
            <v>607014</v>
          </cell>
          <cell r="C2112" t="str">
            <v>BBM</v>
          </cell>
          <cell r="D2112" t="str">
            <v>Agustus</v>
          </cell>
          <cell r="F2112">
            <v>607014</v>
          </cell>
          <cell r="G2112" t="str">
            <v>Agustus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</row>
        <row r="2113">
          <cell r="B2113">
            <v>607014</v>
          </cell>
          <cell r="C2113" t="str">
            <v>BBM</v>
          </cell>
          <cell r="D2113" t="str">
            <v>September</v>
          </cell>
          <cell r="F2113">
            <v>607014</v>
          </cell>
          <cell r="G2113" t="str">
            <v>September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</row>
        <row r="2114">
          <cell r="B2114">
            <v>607014</v>
          </cell>
          <cell r="C2114" t="str">
            <v>BBM</v>
          </cell>
          <cell r="D2114" t="str">
            <v>Oktober</v>
          </cell>
          <cell r="F2114">
            <v>607014</v>
          </cell>
          <cell r="G2114" t="str">
            <v>Oktober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</row>
        <row r="2115">
          <cell r="B2115">
            <v>607014</v>
          </cell>
          <cell r="C2115" t="str">
            <v>BBM</v>
          </cell>
          <cell r="D2115" t="str">
            <v>November</v>
          </cell>
          <cell r="F2115">
            <v>607014</v>
          </cell>
          <cell r="G2115" t="str">
            <v>November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0</v>
          </cell>
        </row>
        <row r="2116">
          <cell r="B2116">
            <v>607014</v>
          </cell>
          <cell r="C2116" t="str">
            <v>BBM</v>
          </cell>
          <cell r="D2116" t="str">
            <v>Desember</v>
          </cell>
          <cell r="F2116">
            <v>607014</v>
          </cell>
          <cell r="G2116" t="str">
            <v>Desember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</row>
        <row r="2117">
          <cell r="B2117">
            <v>607015</v>
          </cell>
          <cell r="C2117" t="str">
            <v>Perawatan Peralatan &amp; Kendaraan</v>
          </cell>
          <cell r="E2117">
            <v>607.01499999999999</v>
          </cell>
          <cell r="F2117">
            <v>607015</v>
          </cell>
          <cell r="G2117" t="str">
            <v>Perawatan Peralatan &amp; Kendaraan</v>
          </cell>
          <cell r="H2117">
            <v>200000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200000</v>
          </cell>
          <cell r="AC2117">
            <v>0</v>
          </cell>
          <cell r="AD2117">
            <v>0</v>
          </cell>
          <cell r="AE2117">
            <v>0</v>
          </cell>
        </row>
        <row r="2118">
          <cell r="B2118">
            <v>607015</v>
          </cell>
          <cell r="C2118" t="str">
            <v>Perawatan Peralatan &amp; Kendaraan</v>
          </cell>
          <cell r="D2118" t="str">
            <v>Januari</v>
          </cell>
          <cell r="F2118">
            <v>607015</v>
          </cell>
          <cell r="G2118" t="str">
            <v>Januari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</row>
        <row r="2119">
          <cell r="B2119">
            <v>607015</v>
          </cell>
          <cell r="C2119" t="str">
            <v>Perawatan Peralatan &amp; Kendaraan</v>
          </cell>
          <cell r="D2119" t="str">
            <v>Februari</v>
          </cell>
          <cell r="F2119">
            <v>607015</v>
          </cell>
          <cell r="G2119" t="str">
            <v>Februari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</row>
        <row r="2120">
          <cell r="B2120">
            <v>607015</v>
          </cell>
          <cell r="C2120" t="str">
            <v>Perawatan Peralatan &amp; Kendaraan</v>
          </cell>
          <cell r="D2120" t="str">
            <v>Maret</v>
          </cell>
          <cell r="F2120">
            <v>607015</v>
          </cell>
          <cell r="G2120" t="str">
            <v>Maret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</row>
        <row r="2121">
          <cell r="B2121">
            <v>607015</v>
          </cell>
          <cell r="C2121" t="str">
            <v>Perawatan Peralatan &amp; Kendaraan</v>
          </cell>
          <cell r="D2121" t="str">
            <v>April</v>
          </cell>
          <cell r="F2121">
            <v>607015</v>
          </cell>
          <cell r="G2121" t="str">
            <v>April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0</v>
          </cell>
        </row>
        <row r="2122">
          <cell r="B2122">
            <v>607015</v>
          </cell>
          <cell r="C2122" t="str">
            <v>Perawatan Peralatan &amp; Kendaraan</v>
          </cell>
          <cell r="D2122" t="str">
            <v>Mei</v>
          </cell>
          <cell r="F2122">
            <v>607015</v>
          </cell>
          <cell r="G2122" t="str">
            <v>Mei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</row>
        <row r="2123">
          <cell r="B2123">
            <v>607015</v>
          </cell>
          <cell r="C2123" t="str">
            <v>Perawatan Peralatan &amp; Kendaraan</v>
          </cell>
          <cell r="D2123" t="str">
            <v>Juni</v>
          </cell>
          <cell r="F2123">
            <v>607015</v>
          </cell>
          <cell r="G2123" t="str">
            <v>Juni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0</v>
          </cell>
          <cell r="AC2123">
            <v>0</v>
          </cell>
          <cell r="AD2123">
            <v>0</v>
          </cell>
          <cell r="AE2123">
            <v>0</v>
          </cell>
        </row>
        <row r="2124">
          <cell r="B2124">
            <v>607015</v>
          </cell>
          <cell r="C2124" t="str">
            <v>Perawatan Peralatan &amp; Kendaraan</v>
          </cell>
          <cell r="D2124" t="str">
            <v>Juli</v>
          </cell>
          <cell r="F2124">
            <v>607015</v>
          </cell>
          <cell r="G2124" t="str">
            <v>Juli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0</v>
          </cell>
        </row>
        <row r="2125">
          <cell r="B2125">
            <v>607015</v>
          </cell>
          <cell r="C2125" t="str">
            <v>Perawatan Peralatan &amp; Kendaraan</v>
          </cell>
          <cell r="D2125" t="str">
            <v>Agustus</v>
          </cell>
          <cell r="F2125">
            <v>607015</v>
          </cell>
          <cell r="G2125" t="str">
            <v>Agustus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0</v>
          </cell>
          <cell r="AE2125">
            <v>0</v>
          </cell>
        </row>
        <row r="2126">
          <cell r="B2126">
            <v>607015</v>
          </cell>
          <cell r="C2126" t="str">
            <v>Perawatan Peralatan &amp; Kendaraan</v>
          </cell>
          <cell r="D2126" t="str">
            <v>September</v>
          </cell>
          <cell r="F2126">
            <v>607015</v>
          </cell>
          <cell r="G2126" t="str">
            <v>September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0</v>
          </cell>
        </row>
        <row r="2127">
          <cell r="B2127">
            <v>607015</v>
          </cell>
          <cell r="C2127" t="str">
            <v>Perawatan Peralatan &amp; Kendaraan</v>
          </cell>
          <cell r="D2127" t="str">
            <v>Oktober</v>
          </cell>
          <cell r="F2127">
            <v>607015</v>
          </cell>
          <cell r="G2127" t="str">
            <v>Oktober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</row>
        <row r="2128">
          <cell r="B2128">
            <v>607015</v>
          </cell>
          <cell r="C2128" t="str">
            <v>Perawatan Peralatan &amp; Kendaraan</v>
          </cell>
          <cell r="D2128" t="str">
            <v>November</v>
          </cell>
          <cell r="F2128">
            <v>607015</v>
          </cell>
          <cell r="G2128" t="str">
            <v>November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0</v>
          </cell>
          <cell r="AD2128">
            <v>0</v>
          </cell>
          <cell r="AE2128">
            <v>0</v>
          </cell>
        </row>
        <row r="2129">
          <cell r="B2129">
            <v>607015</v>
          </cell>
          <cell r="C2129" t="str">
            <v>Perawatan Peralatan &amp; Kendaraan</v>
          </cell>
          <cell r="D2129" t="str">
            <v>Desember</v>
          </cell>
          <cell r="F2129">
            <v>607015</v>
          </cell>
          <cell r="G2129" t="str">
            <v>Desember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0</v>
          </cell>
        </row>
        <row r="2130">
          <cell r="B2130">
            <v>607016</v>
          </cell>
          <cell r="C2130" t="str">
            <v>Insentif</v>
          </cell>
          <cell r="E2130">
            <v>607.01599999999996</v>
          </cell>
          <cell r="F2130">
            <v>607016</v>
          </cell>
          <cell r="G2130" t="str">
            <v>Insentif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</row>
        <row r="2131">
          <cell r="B2131">
            <v>607016</v>
          </cell>
          <cell r="C2131" t="str">
            <v>Insentif</v>
          </cell>
          <cell r="D2131" t="str">
            <v>Januari</v>
          </cell>
          <cell r="F2131">
            <v>607016</v>
          </cell>
          <cell r="G2131" t="str">
            <v>Januari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</row>
        <row r="2132">
          <cell r="B2132">
            <v>607016</v>
          </cell>
          <cell r="C2132" t="str">
            <v>Insentif</v>
          </cell>
          <cell r="D2132" t="str">
            <v>Februari</v>
          </cell>
          <cell r="F2132">
            <v>607016</v>
          </cell>
          <cell r="G2132" t="str">
            <v>Februari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</row>
        <row r="2133">
          <cell r="B2133">
            <v>607016</v>
          </cell>
          <cell r="C2133" t="str">
            <v>Insentif</v>
          </cell>
          <cell r="D2133" t="str">
            <v>Maret</v>
          </cell>
          <cell r="F2133">
            <v>607016</v>
          </cell>
          <cell r="G2133" t="str">
            <v>Maret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0</v>
          </cell>
          <cell r="AE2133">
            <v>0</v>
          </cell>
        </row>
        <row r="2134">
          <cell r="B2134">
            <v>607016</v>
          </cell>
          <cell r="C2134" t="str">
            <v>Insentif</v>
          </cell>
          <cell r="D2134" t="str">
            <v>April</v>
          </cell>
          <cell r="F2134">
            <v>607016</v>
          </cell>
          <cell r="G2134" t="str">
            <v>April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</row>
        <row r="2135">
          <cell r="B2135">
            <v>607016</v>
          </cell>
          <cell r="C2135" t="str">
            <v>Insentif</v>
          </cell>
          <cell r="D2135" t="str">
            <v>Mei</v>
          </cell>
          <cell r="F2135">
            <v>607016</v>
          </cell>
          <cell r="G2135" t="str">
            <v>Mei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</row>
        <row r="2136">
          <cell r="B2136">
            <v>607016</v>
          </cell>
          <cell r="C2136" t="str">
            <v>Insentif</v>
          </cell>
          <cell r="D2136" t="str">
            <v>Juni</v>
          </cell>
          <cell r="F2136">
            <v>607016</v>
          </cell>
          <cell r="G2136" t="str">
            <v>Juni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</row>
        <row r="2137">
          <cell r="B2137">
            <v>607016</v>
          </cell>
          <cell r="C2137" t="str">
            <v>Insentif</v>
          </cell>
          <cell r="D2137" t="str">
            <v>Juli</v>
          </cell>
          <cell r="F2137">
            <v>607016</v>
          </cell>
          <cell r="G2137" t="str">
            <v>Juli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</row>
        <row r="2138">
          <cell r="B2138">
            <v>607016</v>
          </cell>
          <cell r="C2138" t="str">
            <v>Insentif</v>
          </cell>
          <cell r="D2138" t="str">
            <v>Agustus</v>
          </cell>
          <cell r="F2138">
            <v>607016</v>
          </cell>
          <cell r="G2138" t="str">
            <v>Agustus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</row>
        <row r="2139">
          <cell r="B2139">
            <v>607016</v>
          </cell>
          <cell r="C2139" t="str">
            <v>Insentif</v>
          </cell>
          <cell r="D2139" t="str">
            <v>September</v>
          </cell>
          <cell r="F2139">
            <v>607016</v>
          </cell>
          <cell r="G2139" t="str">
            <v>September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</row>
        <row r="2140">
          <cell r="B2140">
            <v>607016</v>
          </cell>
          <cell r="C2140" t="str">
            <v>Insentif</v>
          </cell>
          <cell r="D2140" t="str">
            <v>Oktober</v>
          </cell>
          <cell r="F2140">
            <v>607016</v>
          </cell>
          <cell r="G2140" t="str">
            <v>Oktober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</row>
        <row r="2141">
          <cell r="B2141">
            <v>607016</v>
          </cell>
          <cell r="C2141" t="str">
            <v>Insentif</v>
          </cell>
          <cell r="D2141" t="str">
            <v>November</v>
          </cell>
          <cell r="F2141">
            <v>607016</v>
          </cell>
          <cell r="G2141" t="str">
            <v>November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</row>
        <row r="2142">
          <cell r="B2142">
            <v>607016</v>
          </cell>
          <cell r="C2142" t="str">
            <v>Insentif</v>
          </cell>
          <cell r="D2142" t="str">
            <v>Desember</v>
          </cell>
          <cell r="F2142">
            <v>607016</v>
          </cell>
          <cell r="G2142" t="str">
            <v>Desember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</row>
        <row r="2143">
          <cell r="B2143">
            <v>607016</v>
          </cell>
          <cell r="F2143">
            <v>607016</v>
          </cell>
          <cell r="H2143">
            <v>0</v>
          </cell>
          <cell r="I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0</v>
          </cell>
        </row>
        <row r="2144">
          <cell r="B2144">
            <v>608000</v>
          </cell>
          <cell r="C2144" t="str">
            <v>Beban Usaha Variasi</v>
          </cell>
          <cell r="E2144">
            <v>608</v>
          </cell>
          <cell r="F2144">
            <v>608000</v>
          </cell>
          <cell r="G2144" t="str">
            <v>Beban Usaha Variasi</v>
          </cell>
          <cell r="H2144">
            <v>0</v>
          </cell>
          <cell r="I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</row>
        <row r="2145">
          <cell r="B2145">
            <v>608001</v>
          </cell>
          <cell r="C2145" t="str">
            <v>Gaji</v>
          </cell>
          <cell r="E2145">
            <v>608001</v>
          </cell>
          <cell r="F2145">
            <v>608001</v>
          </cell>
          <cell r="G2145" t="str">
            <v>Gaji</v>
          </cell>
          <cell r="H2145">
            <v>31425000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31425000</v>
          </cell>
          <cell r="AC2145">
            <v>0</v>
          </cell>
          <cell r="AD2145">
            <v>0</v>
          </cell>
          <cell r="AE2145">
            <v>0</v>
          </cell>
        </row>
        <row r="2146">
          <cell r="B2146">
            <v>608001</v>
          </cell>
          <cell r="C2146" t="str">
            <v>Gaji</v>
          </cell>
          <cell r="D2146" t="str">
            <v>Januari</v>
          </cell>
          <cell r="F2146">
            <v>608001</v>
          </cell>
          <cell r="G2146" t="str">
            <v>Januari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</row>
        <row r="2147">
          <cell r="B2147">
            <v>608001</v>
          </cell>
          <cell r="C2147" t="str">
            <v>Gaji</v>
          </cell>
          <cell r="D2147" t="str">
            <v>Februari</v>
          </cell>
          <cell r="F2147">
            <v>608001</v>
          </cell>
          <cell r="G2147" t="str">
            <v>Februari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</row>
        <row r="2148">
          <cell r="B2148">
            <v>608001</v>
          </cell>
          <cell r="C2148" t="str">
            <v>Gaji</v>
          </cell>
          <cell r="D2148" t="str">
            <v>Maret</v>
          </cell>
          <cell r="F2148">
            <v>608001</v>
          </cell>
          <cell r="G2148" t="str">
            <v>Maret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</row>
        <row r="2149">
          <cell r="B2149">
            <v>608001</v>
          </cell>
          <cell r="C2149" t="str">
            <v>Gaji</v>
          </cell>
          <cell r="D2149" t="str">
            <v>April</v>
          </cell>
          <cell r="F2149">
            <v>608001</v>
          </cell>
          <cell r="G2149" t="str">
            <v>April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</row>
        <row r="2150">
          <cell r="B2150">
            <v>608001</v>
          </cell>
          <cell r="C2150" t="str">
            <v>Gaji</v>
          </cell>
          <cell r="D2150" t="str">
            <v>Mei</v>
          </cell>
          <cell r="F2150">
            <v>608001</v>
          </cell>
          <cell r="G2150" t="str">
            <v>Mei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</row>
        <row r="2151">
          <cell r="B2151">
            <v>608001</v>
          </cell>
          <cell r="C2151" t="str">
            <v>Gaji</v>
          </cell>
          <cell r="D2151" t="str">
            <v>Juni</v>
          </cell>
          <cell r="F2151">
            <v>608001</v>
          </cell>
          <cell r="G2151" t="str">
            <v>Juni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</row>
        <row r="2152">
          <cell r="B2152">
            <v>608001</v>
          </cell>
          <cell r="C2152" t="str">
            <v>Gaji</v>
          </cell>
          <cell r="D2152" t="str">
            <v>Juli</v>
          </cell>
          <cell r="F2152">
            <v>608001</v>
          </cell>
          <cell r="G2152" t="str">
            <v>Juli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</row>
        <row r="2153">
          <cell r="B2153">
            <v>608001</v>
          </cell>
          <cell r="C2153" t="str">
            <v>Gaji</v>
          </cell>
          <cell r="D2153" t="str">
            <v>Agustus</v>
          </cell>
          <cell r="F2153">
            <v>608001</v>
          </cell>
          <cell r="G2153" t="str">
            <v>Agustus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</row>
        <row r="2154">
          <cell r="B2154">
            <v>608001</v>
          </cell>
          <cell r="C2154" t="str">
            <v>Gaji</v>
          </cell>
          <cell r="D2154" t="str">
            <v>September</v>
          </cell>
          <cell r="F2154">
            <v>608001</v>
          </cell>
          <cell r="G2154" t="str">
            <v>September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</row>
        <row r="2155">
          <cell r="B2155">
            <v>608001</v>
          </cell>
          <cell r="C2155" t="str">
            <v>Gaji</v>
          </cell>
          <cell r="D2155" t="str">
            <v>Oktober</v>
          </cell>
          <cell r="F2155">
            <v>608001</v>
          </cell>
          <cell r="G2155" t="str">
            <v>Oktober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</row>
        <row r="2156">
          <cell r="B2156">
            <v>608001</v>
          </cell>
          <cell r="C2156" t="str">
            <v>Gaji</v>
          </cell>
          <cell r="D2156" t="str">
            <v>November</v>
          </cell>
          <cell r="F2156">
            <v>608001</v>
          </cell>
          <cell r="G2156" t="str">
            <v>November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</row>
        <row r="2157">
          <cell r="B2157">
            <v>608001</v>
          </cell>
          <cell r="C2157" t="str">
            <v>Gaji</v>
          </cell>
          <cell r="D2157" t="str">
            <v>Desember</v>
          </cell>
          <cell r="F2157">
            <v>608001</v>
          </cell>
          <cell r="G2157" t="str">
            <v>Desember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</row>
        <row r="2158">
          <cell r="B2158">
            <v>608002</v>
          </cell>
          <cell r="C2158" t="str">
            <v>Tunjangan makan</v>
          </cell>
          <cell r="E2158">
            <v>608002</v>
          </cell>
          <cell r="F2158">
            <v>608002</v>
          </cell>
          <cell r="G2158" t="str">
            <v>Tunjangan makan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</row>
        <row r="2159">
          <cell r="B2159">
            <v>608002</v>
          </cell>
          <cell r="C2159" t="str">
            <v>Tunjangan makan</v>
          </cell>
          <cell r="D2159" t="str">
            <v>Januari</v>
          </cell>
          <cell r="F2159">
            <v>608002</v>
          </cell>
          <cell r="G2159" t="str">
            <v>Januari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0</v>
          </cell>
        </row>
        <row r="2160">
          <cell r="B2160">
            <v>608002</v>
          </cell>
          <cell r="C2160" t="str">
            <v>Tunjangan makan</v>
          </cell>
          <cell r="D2160" t="str">
            <v>Februari</v>
          </cell>
          <cell r="F2160">
            <v>608002</v>
          </cell>
          <cell r="G2160" t="str">
            <v>Februari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</row>
        <row r="2161">
          <cell r="B2161">
            <v>608002</v>
          </cell>
          <cell r="C2161" t="str">
            <v>Tunjangan makan</v>
          </cell>
          <cell r="D2161" t="str">
            <v>Maret</v>
          </cell>
          <cell r="F2161">
            <v>608002</v>
          </cell>
          <cell r="G2161" t="str">
            <v>Maret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</row>
        <row r="2162">
          <cell r="B2162">
            <v>608002</v>
          </cell>
          <cell r="C2162" t="str">
            <v>Tunjangan makan</v>
          </cell>
          <cell r="D2162" t="str">
            <v>April</v>
          </cell>
          <cell r="F2162">
            <v>608002</v>
          </cell>
          <cell r="G2162" t="str">
            <v>April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</row>
        <row r="2163">
          <cell r="B2163">
            <v>608002</v>
          </cell>
          <cell r="C2163" t="str">
            <v>Tunjangan makan</v>
          </cell>
          <cell r="D2163" t="str">
            <v>Mei</v>
          </cell>
          <cell r="F2163">
            <v>608002</v>
          </cell>
          <cell r="G2163" t="str">
            <v>Mei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</row>
        <row r="2164">
          <cell r="B2164">
            <v>608002</v>
          </cell>
          <cell r="C2164" t="str">
            <v>Tunjangan makan</v>
          </cell>
          <cell r="D2164" t="str">
            <v>Juni</v>
          </cell>
          <cell r="F2164">
            <v>608002</v>
          </cell>
          <cell r="G2164" t="str">
            <v>Juni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</row>
        <row r="2165">
          <cell r="B2165">
            <v>608002</v>
          </cell>
          <cell r="C2165" t="str">
            <v>Tunjangan makan</v>
          </cell>
          <cell r="D2165" t="str">
            <v>Juli</v>
          </cell>
          <cell r="F2165">
            <v>608002</v>
          </cell>
          <cell r="G2165" t="str">
            <v>Juli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</row>
        <row r="2166">
          <cell r="B2166">
            <v>608002</v>
          </cell>
          <cell r="C2166" t="str">
            <v>Tunjangan makan</v>
          </cell>
          <cell r="D2166" t="str">
            <v>Agustus</v>
          </cell>
          <cell r="F2166">
            <v>608002</v>
          </cell>
          <cell r="G2166" t="str">
            <v>Agustus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0</v>
          </cell>
          <cell r="AE2166">
            <v>0</v>
          </cell>
        </row>
        <row r="2167">
          <cell r="B2167">
            <v>608002</v>
          </cell>
          <cell r="C2167" t="str">
            <v>Tunjangan makan</v>
          </cell>
          <cell r="D2167" t="str">
            <v>September</v>
          </cell>
          <cell r="F2167">
            <v>608002</v>
          </cell>
          <cell r="G2167" t="str">
            <v>September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</row>
        <row r="2168">
          <cell r="B2168">
            <v>608002</v>
          </cell>
          <cell r="C2168" t="str">
            <v>Tunjangan makan</v>
          </cell>
          <cell r="D2168" t="str">
            <v>Oktober</v>
          </cell>
          <cell r="F2168">
            <v>608002</v>
          </cell>
          <cell r="G2168" t="str">
            <v>Oktober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</row>
        <row r="2169">
          <cell r="B2169">
            <v>608002</v>
          </cell>
          <cell r="C2169" t="str">
            <v>Tunjangan makan</v>
          </cell>
          <cell r="D2169" t="str">
            <v>November</v>
          </cell>
          <cell r="F2169">
            <v>608002</v>
          </cell>
          <cell r="G2169" t="str">
            <v>November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</row>
        <row r="2170">
          <cell r="B2170">
            <v>608002</v>
          </cell>
          <cell r="C2170" t="str">
            <v>Tunjangan makan</v>
          </cell>
          <cell r="D2170" t="str">
            <v>Desember</v>
          </cell>
          <cell r="F2170">
            <v>608002</v>
          </cell>
          <cell r="G2170" t="str">
            <v>Desember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</row>
        <row r="2171">
          <cell r="B2171">
            <v>608003</v>
          </cell>
          <cell r="C2171" t="str">
            <v>Lembur</v>
          </cell>
          <cell r="E2171">
            <v>608003</v>
          </cell>
          <cell r="F2171">
            <v>608003</v>
          </cell>
          <cell r="G2171" t="str">
            <v>Lembur</v>
          </cell>
          <cell r="H2171">
            <v>3862969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3862969</v>
          </cell>
          <cell r="AC2171">
            <v>0</v>
          </cell>
          <cell r="AD2171">
            <v>0</v>
          </cell>
          <cell r="AE2171">
            <v>0</v>
          </cell>
        </row>
        <row r="2172">
          <cell r="B2172">
            <v>608003</v>
          </cell>
          <cell r="C2172" t="str">
            <v>Lembur</v>
          </cell>
          <cell r="D2172" t="str">
            <v>Januari</v>
          </cell>
          <cell r="F2172">
            <v>608003</v>
          </cell>
          <cell r="G2172" t="str">
            <v>Januari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</row>
        <row r="2173">
          <cell r="B2173">
            <v>608003</v>
          </cell>
          <cell r="C2173" t="str">
            <v>Lembur</v>
          </cell>
          <cell r="D2173" t="str">
            <v>Februari</v>
          </cell>
          <cell r="F2173">
            <v>608003</v>
          </cell>
          <cell r="G2173" t="str">
            <v>Februari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</row>
        <row r="2174">
          <cell r="B2174">
            <v>608003</v>
          </cell>
          <cell r="C2174" t="str">
            <v>Lembur</v>
          </cell>
          <cell r="D2174" t="str">
            <v>Maret</v>
          </cell>
          <cell r="F2174">
            <v>608003</v>
          </cell>
          <cell r="G2174" t="str">
            <v>Maret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0</v>
          </cell>
          <cell r="AE2174">
            <v>0</v>
          </cell>
        </row>
        <row r="2175">
          <cell r="B2175">
            <v>608003</v>
          </cell>
          <cell r="C2175" t="str">
            <v>Lembur</v>
          </cell>
          <cell r="D2175" t="str">
            <v>April</v>
          </cell>
          <cell r="F2175">
            <v>608003</v>
          </cell>
          <cell r="G2175" t="str">
            <v>April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0</v>
          </cell>
          <cell r="AB2175">
            <v>0</v>
          </cell>
          <cell r="AC2175">
            <v>0</v>
          </cell>
          <cell r="AD2175">
            <v>0</v>
          </cell>
          <cell r="AE2175">
            <v>0</v>
          </cell>
        </row>
        <row r="2176">
          <cell r="B2176">
            <v>608003</v>
          </cell>
          <cell r="C2176" t="str">
            <v>Lembur</v>
          </cell>
          <cell r="D2176" t="str">
            <v>Mei</v>
          </cell>
          <cell r="F2176">
            <v>608003</v>
          </cell>
          <cell r="G2176" t="str">
            <v>Mei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</row>
        <row r="2177">
          <cell r="B2177">
            <v>608003</v>
          </cell>
          <cell r="C2177" t="str">
            <v>Lembur</v>
          </cell>
          <cell r="D2177" t="str">
            <v>Juni</v>
          </cell>
          <cell r="F2177">
            <v>608003</v>
          </cell>
          <cell r="G2177" t="str">
            <v>Juni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</row>
        <row r="2178">
          <cell r="B2178">
            <v>608003</v>
          </cell>
          <cell r="C2178" t="str">
            <v>Lembur</v>
          </cell>
          <cell r="D2178" t="str">
            <v>Juli</v>
          </cell>
          <cell r="F2178">
            <v>608003</v>
          </cell>
          <cell r="G2178" t="str">
            <v>Juli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0</v>
          </cell>
        </row>
        <row r="2179">
          <cell r="B2179">
            <v>608003</v>
          </cell>
          <cell r="C2179" t="str">
            <v>Lembur</v>
          </cell>
          <cell r="D2179" t="str">
            <v>Agustus</v>
          </cell>
          <cell r="F2179">
            <v>608003</v>
          </cell>
          <cell r="G2179" t="str">
            <v>Agustus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0</v>
          </cell>
        </row>
        <row r="2180">
          <cell r="B2180">
            <v>608003</v>
          </cell>
          <cell r="C2180" t="str">
            <v>Lembur</v>
          </cell>
          <cell r="D2180" t="str">
            <v>September</v>
          </cell>
          <cell r="F2180">
            <v>608003</v>
          </cell>
          <cell r="G2180" t="str">
            <v>September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</row>
        <row r="2181">
          <cell r="B2181">
            <v>608003</v>
          </cell>
          <cell r="C2181" t="str">
            <v>Lembur</v>
          </cell>
          <cell r="D2181" t="str">
            <v>Oktober</v>
          </cell>
          <cell r="F2181">
            <v>608003</v>
          </cell>
          <cell r="G2181" t="str">
            <v>Oktober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</row>
        <row r="2182">
          <cell r="B2182">
            <v>608003</v>
          </cell>
          <cell r="C2182" t="str">
            <v>Lembur</v>
          </cell>
          <cell r="D2182" t="str">
            <v>November</v>
          </cell>
          <cell r="F2182">
            <v>608003</v>
          </cell>
          <cell r="G2182" t="str">
            <v>November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0</v>
          </cell>
        </row>
        <row r="2183">
          <cell r="B2183">
            <v>608003</v>
          </cell>
          <cell r="C2183" t="str">
            <v>Lembur</v>
          </cell>
          <cell r="D2183" t="str">
            <v>Desember</v>
          </cell>
          <cell r="F2183">
            <v>608003</v>
          </cell>
          <cell r="G2183" t="str">
            <v>Desember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0</v>
          </cell>
          <cell r="AC2183">
            <v>0</v>
          </cell>
          <cell r="AD2183">
            <v>0</v>
          </cell>
          <cell r="AE2183">
            <v>0</v>
          </cell>
        </row>
        <row r="2184">
          <cell r="B2184">
            <v>608004</v>
          </cell>
          <cell r="C2184" t="str">
            <v>THR</v>
          </cell>
          <cell r="E2184">
            <v>608004</v>
          </cell>
          <cell r="F2184">
            <v>608004</v>
          </cell>
          <cell r="G2184" t="str">
            <v>THR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</row>
        <row r="2185">
          <cell r="B2185">
            <v>608004</v>
          </cell>
          <cell r="C2185" t="str">
            <v>THR</v>
          </cell>
          <cell r="D2185" t="str">
            <v>Januari</v>
          </cell>
          <cell r="F2185">
            <v>608004</v>
          </cell>
          <cell r="G2185" t="str">
            <v>Januari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</row>
        <row r="2186">
          <cell r="B2186">
            <v>608004</v>
          </cell>
          <cell r="C2186" t="str">
            <v>THR</v>
          </cell>
          <cell r="D2186" t="str">
            <v>Februari</v>
          </cell>
          <cell r="F2186">
            <v>608004</v>
          </cell>
          <cell r="G2186" t="str">
            <v>Februari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</row>
        <row r="2187">
          <cell r="B2187">
            <v>608004</v>
          </cell>
          <cell r="C2187" t="str">
            <v>THR</v>
          </cell>
          <cell r="D2187" t="str">
            <v>Maret</v>
          </cell>
          <cell r="F2187">
            <v>608004</v>
          </cell>
          <cell r="G2187" t="str">
            <v>Maret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</row>
        <row r="2188">
          <cell r="B2188">
            <v>608004</v>
          </cell>
          <cell r="C2188" t="str">
            <v>THR</v>
          </cell>
          <cell r="D2188" t="str">
            <v>April</v>
          </cell>
          <cell r="F2188">
            <v>608004</v>
          </cell>
          <cell r="G2188" t="str">
            <v>April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</row>
        <row r="2189">
          <cell r="B2189">
            <v>608004</v>
          </cell>
          <cell r="C2189" t="str">
            <v>THR</v>
          </cell>
          <cell r="D2189" t="str">
            <v>Mei</v>
          </cell>
          <cell r="F2189">
            <v>608004</v>
          </cell>
          <cell r="G2189" t="str">
            <v>Mei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</row>
        <row r="2190">
          <cell r="B2190">
            <v>608004</v>
          </cell>
          <cell r="C2190" t="str">
            <v>THR</v>
          </cell>
          <cell r="D2190" t="str">
            <v>Juni</v>
          </cell>
          <cell r="F2190">
            <v>608004</v>
          </cell>
          <cell r="G2190" t="str">
            <v>Juni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</row>
        <row r="2191">
          <cell r="B2191">
            <v>608004</v>
          </cell>
          <cell r="C2191" t="str">
            <v>THR</v>
          </cell>
          <cell r="D2191" t="str">
            <v>Juli</v>
          </cell>
          <cell r="F2191">
            <v>608004</v>
          </cell>
          <cell r="G2191" t="str">
            <v>Juli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</row>
        <row r="2192">
          <cell r="B2192">
            <v>608004</v>
          </cell>
          <cell r="C2192" t="str">
            <v>THR</v>
          </cell>
          <cell r="D2192" t="str">
            <v>Agustus</v>
          </cell>
          <cell r="F2192">
            <v>608004</v>
          </cell>
          <cell r="G2192" t="str">
            <v>Agustus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</row>
        <row r="2193">
          <cell r="B2193">
            <v>608004</v>
          </cell>
          <cell r="C2193" t="str">
            <v>THR</v>
          </cell>
          <cell r="D2193" t="str">
            <v>September</v>
          </cell>
          <cell r="F2193">
            <v>608004</v>
          </cell>
          <cell r="G2193" t="str">
            <v>September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</row>
        <row r="2194">
          <cell r="B2194">
            <v>608004</v>
          </cell>
          <cell r="C2194" t="str">
            <v>THR</v>
          </cell>
          <cell r="D2194" t="str">
            <v>Oktober</v>
          </cell>
          <cell r="F2194">
            <v>608004</v>
          </cell>
          <cell r="G2194" t="str">
            <v>Oktober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</row>
        <row r="2195">
          <cell r="B2195">
            <v>608004</v>
          </cell>
          <cell r="C2195" t="str">
            <v>THR</v>
          </cell>
          <cell r="D2195" t="str">
            <v>November</v>
          </cell>
          <cell r="F2195">
            <v>608004</v>
          </cell>
          <cell r="G2195" t="str">
            <v>November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</row>
        <row r="2196">
          <cell r="B2196">
            <v>608004</v>
          </cell>
          <cell r="C2196" t="str">
            <v>THR</v>
          </cell>
          <cell r="D2196" t="str">
            <v>Desember</v>
          </cell>
          <cell r="F2196">
            <v>608004</v>
          </cell>
          <cell r="G2196" t="str">
            <v>Desember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</row>
        <row r="2197">
          <cell r="B2197">
            <v>608005</v>
          </cell>
          <cell r="C2197" t="str">
            <v>Astek</v>
          </cell>
          <cell r="E2197">
            <v>608005</v>
          </cell>
          <cell r="F2197">
            <v>608005</v>
          </cell>
          <cell r="G2197" t="str">
            <v>Astek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</row>
        <row r="2198">
          <cell r="B2198">
            <v>608005</v>
          </cell>
          <cell r="C2198" t="str">
            <v>Astek</v>
          </cell>
          <cell r="D2198" t="str">
            <v>Januari</v>
          </cell>
          <cell r="F2198">
            <v>608005</v>
          </cell>
          <cell r="G2198" t="str">
            <v>Januari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0</v>
          </cell>
        </row>
        <row r="2199">
          <cell r="B2199">
            <v>608005</v>
          </cell>
          <cell r="C2199" t="str">
            <v>Astek</v>
          </cell>
          <cell r="D2199" t="str">
            <v>Februari</v>
          </cell>
          <cell r="F2199">
            <v>608005</v>
          </cell>
          <cell r="G2199" t="str">
            <v>Februari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</row>
        <row r="2200">
          <cell r="B2200">
            <v>608005</v>
          </cell>
          <cell r="C2200" t="str">
            <v>Astek</v>
          </cell>
          <cell r="D2200" t="str">
            <v>Maret</v>
          </cell>
          <cell r="F2200">
            <v>608005</v>
          </cell>
          <cell r="G2200" t="str">
            <v>Maret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</row>
        <row r="2201">
          <cell r="B2201">
            <v>608005</v>
          </cell>
          <cell r="C2201" t="str">
            <v>Astek</v>
          </cell>
          <cell r="D2201" t="str">
            <v>April</v>
          </cell>
          <cell r="F2201">
            <v>608005</v>
          </cell>
          <cell r="G2201" t="str">
            <v>April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</row>
        <row r="2202">
          <cell r="B2202">
            <v>608005</v>
          </cell>
          <cell r="C2202" t="str">
            <v>Astek</v>
          </cell>
          <cell r="D2202" t="str">
            <v>Mei</v>
          </cell>
          <cell r="F2202">
            <v>608005</v>
          </cell>
          <cell r="G2202" t="str">
            <v>Mei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0</v>
          </cell>
        </row>
        <row r="2203">
          <cell r="B2203">
            <v>608005</v>
          </cell>
          <cell r="C2203" t="str">
            <v>Astek</v>
          </cell>
          <cell r="D2203" t="str">
            <v>Juni</v>
          </cell>
          <cell r="F2203">
            <v>608005</v>
          </cell>
          <cell r="G2203" t="str">
            <v>Juni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</row>
        <row r="2204">
          <cell r="B2204">
            <v>608005</v>
          </cell>
          <cell r="C2204" t="str">
            <v>Astek</v>
          </cell>
          <cell r="D2204" t="str">
            <v>Juli</v>
          </cell>
          <cell r="F2204">
            <v>608005</v>
          </cell>
          <cell r="G2204" t="str">
            <v>Juli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</row>
        <row r="2205">
          <cell r="B2205">
            <v>608005</v>
          </cell>
          <cell r="C2205" t="str">
            <v>Astek</v>
          </cell>
          <cell r="D2205" t="str">
            <v>Agustus</v>
          </cell>
          <cell r="F2205">
            <v>608005</v>
          </cell>
          <cell r="G2205" t="str">
            <v>Agustus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</row>
        <row r="2206">
          <cell r="B2206">
            <v>608005</v>
          </cell>
          <cell r="C2206" t="str">
            <v>Astek</v>
          </cell>
          <cell r="D2206" t="str">
            <v>September</v>
          </cell>
          <cell r="F2206">
            <v>608005</v>
          </cell>
          <cell r="G2206" t="str">
            <v>September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</row>
        <row r="2207">
          <cell r="B2207">
            <v>608005</v>
          </cell>
          <cell r="C2207" t="str">
            <v>Astek</v>
          </cell>
          <cell r="D2207" t="str">
            <v>Oktober</v>
          </cell>
          <cell r="F2207">
            <v>608005</v>
          </cell>
          <cell r="G2207" t="str">
            <v>Oktober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</row>
        <row r="2208">
          <cell r="B2208">
            <v>608005</v>
          </cell>
          <cell r="C2208" t="str">
            <v>Astek</v>
          </cell>
          <cell r="D2208" t="str">
            <v>November</v>
          </cell>
          <cell r="F2208">
            <v>608005</v>
          </cell>
          <cell r="G2208" t="str">
            <v>November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0</v>
          </cell>
          <cell r="AD2208">
            <v>0</v>
          </cell>
          <cell r="AE2208">
            <v>0</v>
          </cell>
        </row>
        <row r="2209">
          <cell r="B2209">
            <v>608005</v>
          </cell>
          <cell r="C2209" t="str">
            <v>Astek</v>
          </cell>
          <cell r="D2209" t="str">
            <v>Desember</v>
          </cell>
          <cell r="F2209">
            <v>608005</v>
          </cell>
          <cell r="G2209" t="str">
            <v>Desember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</row>
        <row r="2210">
          <cell r="B2210">
            <v>608007</v>
          </cell>
          <cell r="C2210" t="str">
            <v>Telpon</v>
          </cell>
          <cell r="E2210">
            <v>608007</v>
          </cell>
          <cell r="F2210">
            <v>608007</v>
          </cell>
          <cell r="G2210" t="str">
            <v>Telpon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  <cell r="Z2210">
            <v>0</v>
          </cell>
          <cell r="AA2210">
            <v>0</v>
          </cell>
          <cell r="AB2210">
            <v>0</v>
          </cell>
          <cell r="AC2210">
            <v>0</v>
          </cell>
          <cell r="AD2210">
            <v>0</v>
          </cell>
          <cell r="AE2210">
            <v>0</v>
          </cell>
        </row>
        <row r="2211">
          <cell r="B2211">
            <v>608007</v>
          </cell>
          <cell r="C2211" t="str">
            <v>Telpon</v>
          </cell>
          <cell r="D2211" t="str">
            <v>Januari</v>
          </cell>
          <cell r="F2211">
            <v>608007</v>
          </cell>
          <cell r="G2211" t="str">
            <v>Januari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</row>
        <row r="2212">
          <cell r="B2212">
            <v>608007</v>
          </cell>
          <cell r="C2212" t="str">
            <v>Telpon</v>
          </cell>
          <cell r="D2212" t="str">
            <v>Februari</v>
          </cell>
          <cell r="F2212">
            <v>608007</v>
          </cell>
          <cell r="G2212" t="str">
            <v>Februari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</row>
        <row r="2213">
          <cell r="B2213">
            <v>608007</v>
          </cell>
          <cell r="C2213" t="str">
            <v>Telpon</v>
          </cell>
          <cell r="D2213" t="str">
            <v>Maret</v>
          </cell>
          <cell r="F2213">
            <v>608007</v>
          </cell>
          <cell r="G2213" t="str">
            <v>Maret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</row>
        <row r="2214">
          <cell r="B2214">
            <v>608007</v>
          </cell>
          <cell r="C2214" t="str">
            <v>Telpon</v>
          </cell>
          <cell r="D2214" t="str">
            <v>April</v>
          </cell>
          <cell r="F2214">
            <v>608007</v>
          </cell>
          <cell r="G2214" t="str">
            <v>April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</row>
        <row r="2215">
          <cell r="B2215">
            <v>608007</v>
          </cell>
          <cell r="C2215" t="str">
            <v>Telpon</v>
          </cell>
          <cell r="D2215" t="str">
            <v>Mei</v>
          </cell>
          <cell r="F2215">
            <v>608007</v>
          </cell>
          <cell r="G2215" t="str">
            <v>Mei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</row>
        <row r="2216">
          <cell r="B2216">
            <v>608007</v>
          </cell>
          <cell r="C2216" t="str">
            <v>Telpon</v>
          </cell>
          <cell r="D2216" t="str">
            <v>Juni</v>
          </cell>
          <cell r="F2216">
            <v>608007</v>
          </cell>
          <cell r="G2216" t="str">
            <v>Juni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  <cell r="Z2216">
            <v>0</v>
          </cell>
          <cell r="AA2216">
            <v>0</v>
          </cell>
          <cell r="AB2216">
            <v>0</v>
          </cell>
          <cell r="AC2216">
            <v>0</v>
          </cell>
          <cell r="AD2216">
            <v>0</v>
          </cell>
          <cell r="AE2216">
            <v>0</v>
          </cell>
        </row>
        <row r="2217">
          <cell r="B2217">
            <v>608007</v>
          </cell>
          <cell r="C2217" t="str">
            <v>Telpon</v>
          </cell>
          <cell r="D2217" t="str">
            <v>Juli</v>
          </cell>
          <cell r="F2217">
            <v>608007</v>
          </cell>
          <cell r="G2217" t="str">
            <v>Juli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</row>
        <row r="2218">
          <cell r="B2218">
            <v>608007</v>
          </cell>
          <cell r="C2218" t="str">
            <v>Telpon</v>
          </cell>
          <cell r="D2218" t="str">
            <v>Agustus</v>
          </cell>
          <cell r="F2218">
            <v>608007</v>
          </cell>
          <cell r="G2218" t="str">
            <v>Agustus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0</v>
          </cell>
        </row>
        <row r="2219">
          <cell r="B2219">
            <v>608007</v>
          </cell>
          <cell r="C2219" t="str">
            <v>Telpon</v>
          </cell>
          <cell r="D2219" t="str">
            <v>September</v>
          </cell>
          <cell r="F2219">
            <v>608007</v>
          </cell>
          <cell r="G2219" t="str">
            <v>September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</row>
        <row r="2220">
          <cell r="B2220">
            <v>608007</v>
          </cell>
          <cell r="C2220" t="str">
            <v>Telpon</v>
          </cell>
          <cell r="D2220" t="str">
            <v>Oktober</v>
          </cell>
          <cell r="F2220">
            <v>608007</v>
          </cell>
          <cell r="G2220" t="str">
            <v>Oktober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</row>
        <row r="2221">
          <cell r="B2221">
            <v>608007</v>
          </cell>
          <cell r="C2221" t="str">
            <v>Telpon</v>
          </cell>
          <cell r="D2221" t="str">
            <v>November</v>
          </cell>
          <cell r="F2221">
            <v>608007</v>
          </cell>
          <cell r="G2221" t="str">
            <v>November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</row>
        <row r="2222">
          <cell r="B2222">
            <v>608007</v>
          </cell>
          <cell r="C2222" t="str">
            <v>Telpon</v>
          </cell>
          <cell r="D2222" t="str">
            <v>Desember</v>
          </cell>
          <cell r="F2222">
            <v>608007</v>
          </cell>
          <cell r="G2222" t="str">
            <v>Desember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</row>
        <row r="2223">
          <cell r="B2223">
            <v>608008</v>
          </cell>
          <cell r="C2223" t="str">
            <v>Listrik</v>
          </cell>
          <cell r="E2223">
            <v>608008</v>
          </cell>
          <cell r="F2223">
            <v>608008</v>
          </cell>
          <cell r="G2223" t="str">
            <v>Listrik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</row>
        <row r="2224">
          <cell r="B2224">
            <v>608008</v>
          </cell>
          <cell r="C2224" t="str">
            <v>Listrik</v>
          </cell>
          <cell r="D2224" t="str">
            <v>Januari</v>
          </cell>
          <cell r="F2224">
            <v>608008</v>
          </cell>
          <cell r="G2224" t="str">
            <v>Januari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</row>
        <row r="2225">
          <cell r="B2225">
            <v>608008</v>
          </cell>
          <cell r="C2225" t="str">
            <v>Listrik</v>
          </cell>
          <cell r="D2225" t="str">
            <v>Februari</v>
          </cell>
          <cell r="F2225">
            <v>608008</v>
          </cell>
          <cell r="G2225" t="str">
            <v>Februari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</row>
        <row r="2226">
          <cell r="B2226">
            <v>608008</v>
          </cell>
          <cell r="C2226" t="str">
            <v>Listrik</v>
          </cell>
          <cell r="D2226" t="str">
            <v>Maret</v>
          </cell>
          <cell r="F2226">
            <v>608008</v>
          </cell>
          <cell r="G2226" t="str">
            <v>Maret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</row>
        <row r="2227">
          <cell r="B2227">
            <v>608008</v>
          </cell>
          <cell r="C2227" t="str">
            <v>Listrik</v>
          </cell>
          <cell r="D2227" t="str">
            <v>April</v>
          </cell>
          <cell r="F2227">
            <v>608008</v>
          </cell>
          <cell r="G2227" t="str">
            <v>April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</row>
        <row r="2228">
          <cell r="B2228">
            <v>608008</v>
          </cell>
          <cell r="C2228" t="str">
            <v>Listrik</v>
          </cell>
          <cell r="D2228" t="str">
            <v>Mei</v>
          </cell>
          <cell r="F2228">
            <v>608008</v>
          </cell>
          <cell r="G2228" t="str">
            <v>Mei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</row>
        <row r="2229">
          <cell r="B2229">
            <v>608008</v>
          </cell>
          <cell r="C2229" t="str">
            <v>Listrik</v>
          </cell>
          <cell r="D2229" t="str">
            <v>Juni</v>
          </cell>
          <cell r="F2229">
            <v>608008</v>
          </cell>
          <cell r="G2229" t="str">
            <v>Juni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</row>
        <row r="2230">
          <cell r="B2230">
            <v>608008</v>
          </cell>
          <cell r="C2230" t="str">
            <v>Listrik</v>
          </cell>
          <cell r="D2230" t="str">
            <v>Juli</v>
          </cell>
          <cell r="F2230">
            <v>608008</v>
          </cell>
          <cell r="G2230" t="str">
            <v>Juli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</row>
        <row r="2231">
          <cell r="B2231">
            <v>608008</v>
          </cell>
          <cell r="C2231" t="str">
            <v>Listrik</v>
          </cell>
          <cell r="D2231" t="str">
            <v>Agustus</v>
          </cell>
          <cell r="F2231">
            <v>608008</v>
          </cell>
          <cell r="G2231" t="str">
            <v>Agustus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</row>
        <row r="2232">
          <cell r="B2232">
            <v>608008</v>
          </cell>
          <cell r="C2232" t="str">
            <v>Listrik</v>
          </cell>
          <cell r="D2232" t="str">
            <v>September</v>
          </cell>
          <cell r="F2232">
            <v>608008</v>
          </cell>
          <cell r="G2232" t="str">
            <v>September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</row>
        <row r="2233">
          <cell r="B2233">
            <v>608008</v>
          </cell>
          <cell r="C2233" t="str">
            <v>Listrik</v>
          </cell>
          <cell r="D2233" t="str">
            <v>Oktober</v>
          </cell>
          <cell r="F2233">
            <v>608008</v>
          </cell>
          <cell r="G2233" t="str">
            <v>Oktober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</row>
        <row r="2234">
          <cell r="B2234">
            <v>608008</v>
          </cell>
          <cell r="C2234" t="str">
            <v>Listrik</v>
          </cell>
          <cell r="D2234" t="str">
            <v>November</v>
          </cell>
          <cell r="F2234">
            <v>608008</v>
          </cell>
          <cell r="G2234" t="str">
            <v>November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</row>
        <row r="2235">
          <cell r="B2235">
            <v>608008</v>
          </cell>
          <cell r="C2235" t="str">
            <v>Listrik</v>
          </cell>
          <cell r="D2235" t="str">
            <v>Desember</v>
          </cell>
          <cell r="F2235">
            <v>608008</v>
          </cell>
          <cell r="G2235" t="str">
            <v>Desember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</row>
        <row r="2236">
          <cell r="B2236">
            <v>608009</v>
          </cell>
          <cell r="C2236" t="str">
            <v>Penyusutan Peralatan</v>
          </cell>
          <cell r="E2236">
            <v>608009</v>
          </cell>
          <cell r="F2236">
            <v>608009</v>
          </cell>
          <cell r="G2236" t="str">
            <v>Penyusutan Peralatan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</row>
        <row r="2237">
          <cell r="B2237">
            <v>608009</v>
          </cell>
          <cell r="C2237" t="str">
            <v>Penyusutan Peralatan</v>
          </cell>
          <cell r="D2237" t="str">
            <v>Januari</v>
          </cell>
          <cell r="F2237">
            <v>608009</v>
          </cell>
          <cell r="G2237" t="str">
            <v>Januari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</row>
        <row r="2238">
          <cell r="B2238">
            <v>608009</v>
          </cell>
          <cell r="C2238" t="str">
            <v>Penyusutan Peralatan</v>
          </cell>
          <cell r="D2238" t="str">
            <v>Februari</v>
          </cell>
          <cell r="F2238">
            <v>608009</v>
          </cell>
          <cell r="G2238" t="str">
            <v>Februari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</row>
        <row r="2239">
          <cell r="B2239">
            <v>608009</v>
          </cell>
          <cell r="C2239" t="str">
            <v>Penyusutan Peralatan</v>
          </cell>
          <cell r="D2239" t="str">
            <v>Maret</v>
          </cell>
          <cell r="F2239">
            <v>608009</v>
          </cell>
          <cell r="G2239" t="str">
            <v>Maret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</row>
        <row r="2240">
          <cell r="B2240">
            <v>608009</v>
          </cell>
          <cell r="C2240" t="str">
            <v>Penyusutan Peralatan</v>
          </cell>
          <cell r="D2240" t="str">
            <v>April</v>
          </cell>
          <cell r="F2240">
            <v>608009</v>
          </cell>
          <cell r="G2240" t="str">
            <v>April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</row>
        <row r="2241">
          <cell r="B2241">
            <v>608009</v>
          </cell>
          <cell r="C2241" t="str">
            <v>Penyusutan Peralatan</v>
          </cell>
          <cell r="D2241" t="str">
            <v>Mei</v>
          </cell>
          <cell r="F2241">
            <v>608009</v>
          </cell>
          <cell r="G2241" t="str">
            <v>Mei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</row>
        <row r="2242">
          <cell r="B2242">
            <v>608009</v>
          </cell>
          <cell r="C2242" t="str">
            <v>Penyusutan Peralatan</v>
          </cell>
          <cell r="D2242" t="str">
            <v>Juni</v>
          </cell>
          <cell r="F2242">
            <v>608009</v>
          </cell>
          <cell r="G2242" t="str">
            <v>Juni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</row>
        <row r="2243">
          <cell r="B2243">
            <v>608009</v>
          </cell>
          <cell r="C2243" t="str">
            <v>Penyusutan Peralatan</v>
          </cell>
          <cell r="D2243" t="str">
            <v>Juli</v>
          </cell>
          <cell r="F2243">
            <v>608009</v>
          </cell>
          <cell r="G2243" t="str">
            <v>Juli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</row>
        <row r="2244">
          <cell r="B2244">
            <v>608009</v>
          </cell>
          <cell r="C2244" t="str">
            <v>Penyusutan Peralatan</v>
          </cell>
          <cell r="D2244" t="str">
            <v>Agustus</v>
          </cell>
          <cell r="F2244">
            <v>608009</v>
          </cell>
          <cell r="G2244" t="str">
            <v>Agustus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</row>
        <row r="2245">
          <cell r="B2245">
            <v>608009</v>
          </cell>
          <cell r="C2245" t="str">
            <v>Penyusutan Peralatan</v>
          </cell>
          <cell r="D2245" t="str">
            <v>September</v>
          </cell>
          <cell r="F2245">
            <v>608009</v>
          </cell>
          <cell r="G2245" t="str">
            <v>September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</row>
        <row r="2246">
          <cell r="B2246">
            <v>608009</v>
          </cell>
          <cell r="C2246" t="str">
            <v>Penyusutan Peralatan</v>
          </cell>
          <cell r="D2246" t="str">
            <v>Oktober</v>
          </cell>
          <cell r="F2246">
            <v>608009</v>
          </cell>
          <cell r="G2246" t="str">
            <v>Oktober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</row>
        <row r="2247">
          <cell r="B2247">
            <v>608009</v>
          </cell>
          <cell r="C2247" t="str">
            <v>Penyusutan Peralatan</v>
          </cell>
          <cell r="D2247" t="str">
            <v>November</v>
          </cell>
          <cell r="F2247">
            <v>608009</v>
          </cell>
          <cell r="G2247" t="str">
            <v>November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</row>
        <row r="2248">
          <cell r="B2248">
            <v>608009</v>
          </cell>
          <cell r="C2248" t="str">
            <v>Penyusutan Peralatan</v>
          </cell>
          <cell r="D2248" t="str">
            <v>Desember</v>
          </cell>
          <cell r="F2248">
            <v>608009</v>
          </cell>
          <cell r="G2248" t="str">
            <v>Desember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</row>
        <row r="2249">
          <cell r="B2249">
            <v>608011</v>
          </cell>
          <cell r="C2249" t="str">
            <v>Material</v>
          </cell>
          <cell r="E2249">
            <v>608011</v>
          </cell>
          <cell r="F2249">
            <v>608011</v>
          </cell>
          <cell r="G2249" t="str">
            <v>Material</v>
          </cell>
          <cell r="H2249">
            <v>130500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130500</v>
          </cell>
          <cell r="AC2249">
            <v>0</v>
          </cell>
          <cell r="AD2249">
            <v>0</v>
          </cell>
          <cell r="AE2249">
            <v>0</v>
          </cell>
        </row>
        <row r="2250">
          <cell r="B2250">
            <v>608011</v>
          </cell>
          <cell r="C2250" t="str">
            <v>Material</v>
          </cell>
          <cell r="D2250" t="str">
            <v>Januari</v>
          </cell>
          <cell r="F2250">
            <v>608011</v>
          </cell>
          <cell r="G2250" t="str">
            <v>Januari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0</v>
          </cell>
          <cell r="AD2250">
            <v>0</v>
          </cell>
          <cell r="AE2250">
            <v>0</v>
          </cell>
        </row>
        <row r="2251">
          <cell r="B2251">
            <v>608011</v>
          </cell>
          <cell r="C2251" t="str">
            <v>Material</v>
          </cell>
          <cell r="D2251" t="str">
            <v>Februari</v>
          </cell>
          <cell r="F2251">
            <v>608011</v>
          </cell>
          <cell r="G2251" t="str">
            <v>Februari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</row>
        <row r="2252">
          <cell r="B2252">
            <v>608011</v>
          </cell>
          <cell r="C2252" t="str">
            <v>Material</v>
          </cell>
          <cell r="D2252" t="str">
            <v>Maret</v>
          </cell>
          <cell r="F2252">
            <v>608011</v>
          </cell>
          <cell r="G2252" t="str">
            <v>Maret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0</v>
          </cell>
          <cell r="AE2252">
            <v>0</v>
          </cell>
        </row>
        <row r="2253">
          <cell r="B2253">
            <v>608011</v>
          </cell>
          <cell r="C2253" t="str">
            <v>Material</v>
          </cell>
          <cell r="D2253" t="str">
            <v>April</v>
          </cell>
          <cell r="F2253">
            <v>608011</v>
          </cell>
          <cell r="G2253" t="str">
            <v>April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</row>
        <row r="2254">
          <cell r="B2254">
            <v>608011</v>
          </cell>
          <cell r="C2254" t="str">
            <v>Material</v>
          </cell>
          <cell r="D2254" t="str">
            <v>Mei</v>
          </cell>
          <cell r="F2254">
            <v>608011</v>
          </cell>
          <cell r="G2254" t="str">
            <v>Mei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</row>
        <row r="2255">
          <cell r="B2255">
            <v>608011</v>
          </cell>
          <cell r="C2255" t="str">
            <v>Material</v>
          </cell>
          <cell r="D2255" t="str">
            <v>Juni</v>
          </cell>
          <cell r="F2255">
            <v>608011</v>
          </cell>
          <cell r="G2255" t="str">
            <v>Juni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</row>
        <row r="2256">
          <cell r="B2256">
            <v>608011</v>
          </cell>
          <cell r="C2256" t="str">
            <v>Material</v>
          </cell>
          <cell r="D2256" t="str">
            <v>Juli</v>
          </cell>
          <cell r="F2256">
            <v>608011</v>
          </cell>
          <cell r="G2256" t="str">
            <v>Juli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</row>
        <row r="2257">
          <cell r="B2257">
            <v>608011</v>
          </cell>
          <cell r="C2257" t="str">
            <v>Material</v>
          </cell>
          <cell r="D2257" t="str">
            <v>Agustus</v>
          </cell>
          <cell r="F2257">
            <v>608011</v>
          </cell>
          <cell r="G2257" t="str">
            <v>Agustus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</row>
        <row r="2258">
          <cell r="B2258">
            <v>608011</v>
          </cell>
          <cell r="C2258" t="str">
            <v>Material</v>
          </cell>
          <cell r="D2258" t="str">
            <v>September</v>
          </cell>
          <cell r="F2258">
            <v>608011</v>
          </cell>
          <cell r="G2258" t="str">
            <v>September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</row>
        <row r="2259">
          <cell r="B2259">
            <v>608011</v>
          </cell>
          <cell r="C2259" t="str">
            <v>Material</v>
          </cell>
          <cell r="D2259" t="str">
            <v>Oktober</v>
          </cell>
          <cell r="F2259">
            <v>608011</v>
          </cell>
          <cell r="G2259" t="str">
            <v>Oktober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</row>
        <row r="2260">
          <cell r="B2260">
            <v>608011</v>
          </cell>
          <cell r="C2260" t="str">
            <v>Material</v>
          </cell>
          <cell r="D2260" t="str">
            <v>November</v>
          </cell>
          <cell r="F2260">
            <v>608011</v>
          </cell>
          <cell r="G2260" t="str">
            <v>November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</row>
        <row r="2261">
          <cell r="B2261">
            <v>608011</v>
          </cell>
          <cell r="C2261" t="str">
            <v>Material</v>
          </cell>
          <cell r="D2261" t="str">
            <v>Desember</v>
          </cell>
          <cell r="F2261">
            <v>608011</v>
          </cell>
          <cell r="G2261" t="str">
            <v>Desember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</row>
        <row r="2262">
          <cell r="B2262">
            <v>608012</v>
          </cell>
          <cell r="C2262" t="str">
            <v>Dinas Luar</v>
          </cell>
          <cell r="E2262">
            <v>608012</v>
          </cell>
          <cell r="F2262">
            <v>608012</v>
          </cell>
          <cell r="G2262" t="str">
            <v>Dinas Luar</v>
          </cell>
          <cell r="H2262">
            <v>1313390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1313390</v>
          </cell>
          <cell r="AC2262">
            <v>0</v>
          </cell>
          <cell r="AD2262">
            <v>0</v>
          </cell>
          <cell r="AE2262">
            <v>0</v>
          </cell>
        </row>
        <row r="2263">
          <cell r="B2263">
            <v>608012</v>
          </cell>
          <cell r="C2263" t="str">
            <v>Dinas Luar</v>
          </cell>
          <cell r="D2263" t="str">
            <v>Januari</v>
          </cell>
          <cell r="F2263">
            <v>608012</v>
          </cell>
          <cell r="G2263" t="str">
            <v>Januari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</row>
        <row r="2264">
          <cell r="B2264">
            <v>608012</v>
          </cell>
          <cell r="C2264" t="str">
            <v>Dinas Luar</v>
          </cell>
          <cell r="D2264" t="str">
            <v>Februari</v>
          </cell>
          <cell r="F2264">
            <v>608012</v>
          </cell>
          <cell r="G2264" t="str">
            <v>Februari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</row>
        <row r="2265">
          <cell r="B2265">
            <v>608012</v>
          </cell>
          <cell r="C2265" t="str">
            <v>Dinas Luar</v>
          </cell>
          <cell r="D2265" t="str">
            <v>Maret</v>
          </cell>
          <cell r="F2265">
            <v>608012</v>
          </cell>
          <cell r="G2265" t="str">
            <v>Maret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</row>
        <row r="2266">
          <cell r="B2266">
            <v>608012</v>
          </cell>
          <cell r="C2266" t="str">
            <v>Dinas Luar</v>
          </cell>
          <cell r="D2266" t="str">
            <v>April</v>
          </cell>
          <cell r="F2266">
            <v>608012</v>
          </cell>
          <cell r="G2266" t="str">
            <v>April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0</v>
          </cell>
          <cell r="AE2266">
            <v>0</v>
          </cell>
        </row>
        <row r="2267">
          <cell r="B2267">
            <v>608012</v>
          </cell>
          <cell r="C2267" t="str">
            <v>Dinas Luar</v>
          </cell>
          <cell r="D2267" t="str">
            <v>Mei</v>
          </cell>
          <cell r="F2267">
            <v>608012</v>
          </cell>
          <cell r="G2267" t="str">
            <v>Mei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</row>
        <row r="2268">
          <cell r="B2268">
            <v>608012</v>
          </cell>
          <cell r="C2268" t="str">
            <v>Dinas Luar</v>
          </cell>
          <cell r="D2268" t="str">
            <v>Juni</v>
          </cell>
          <cell r="F2268">
            <v>608012</v>
          </cell>
          <cell r="G2268" t="str">
            <v>Juni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</row>
        <row r="2269">
          <cell r="B2269">
            <v>608012</v>
          </cell>
          <cell r="C2269" t="str">
            <v>Dinas Luar</v>
          </cell>
          <cell r="D2269" t="str">
            <v>Juli</v>
          </cell>
          <cell r="F2269">
            <v>608012</v>
          </cell>
          <cell r="G2269" t="str">
            <v>Juli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</row>
        <row r="2270">
          <cell r="B2270">
            <v>608012</v>
          </cell>
          <cell r="C2270" t="str">
            <v>Dinas Luar</v>
          </cell>
          <cell r="D2270" t="str">
            <v>Agustus</v>
          </cell>
          <cell r="F2270">
            <v>608012</v>
          </cell>
          <cell r="G2270" t="str">
            <v>Agustus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</row>
        <row r="2271">
          <cell r="B2271">
            <v>608012</v>
          </cell>
          <cell r="C2271" t="str">
            <v>Dinas Luar</v>
          </cell>
          <cell r="D2271" t="str">
            <v>September</v>
          </cell>
          <cell r="F2271">
            <v>608012</v>
          </cell>
          <cell r="G2271" t="str">
            <v>September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</row>
        <row r="2272">
          <cell r="B2272">
            <v>608012</v>
          </cell>
          <cell r="C2272" t="str">
            <v>Dinas Luar</v>
          </cell>
          <cell r="D2272" t="str">
            <v>Oktober</v>
          </cell>
          <cell r="F2272">
            <v>608012</v>
          </cell>
          <cell r="G2272" t="str">
            <v>Oktober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</row>
        <row r="2273">
          <cell r="B2273">
            <v>608012</v>
          </cell>
          <cell r="C2273" t="str">
            <v>Dinas Luar</v>
          </cell>
          <cell r="D2273" t="str">
            <v>November</v>
          </cell>
          <cell r="F2273">
            <v>608012</v>
          </cell>
          <cell r="G2273" t="str">
            <v>November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</row>
        <row r="2274">
          <cell r="B2274">
            <v>608012</v>
          </cell>
          <cell r="C2274" t="str">
            <v>Dinas Luar</v>
          </cell>
          <cell r="D2274" t="str">
            <v>Desember</v>
          </cell>
          <cell r="F2274">
            <v>608012</v>
          </cell>
          <cell r="G2274" t="str">
            <v>Desember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</row>
        <row r="2275">
          <cell r="B2275">
            <v>608038</v>
          </cell>
          <cell r="C2275" t="str">
            <v>Perlengkapan Kantor</v>
          </cell>
          <cell r="E2275">
            <v>608038</v>
          </cell>
          <cell r="F2275">
            <v>608038</v>
          </cell>
          <cell r="G2275" t="str">
            <v>Perlengkapan Kantor</v>
          </cell>
          <cell r="H2275">
            <v>26000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26000</v>
          </cell>
          <cell r="AC2275">
            <v>0</v>
          </cell>
          <cell r="AD2275">
            <v>0</v>
          </cell>
          <cell r="AE2275">
            <v>0</v>
          </cell>
        </row>
        <row r="2276">
          <cell r="B2276">
            <v>608038</v>
          </cell>
          <cell r="C2276" t="str">
            <v>Perlengkapan Kantor</v>
          </cell>
          <cell r="D2276" t="str">
            <v>Januari</v>
          </cell>
          <cell r="F2276">
            <v>608038</v>
          </cell>
          <cell r="G2276" t="str">
            <v>Januari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</row>
        <row r="2277">
          <cell r="B2277">
            <v>608038</v>
          </cell>
          <cell r="C2277" t="str">
            <v>Perlengkapan Kantor</v>
          </cell>
          <cell r="D2277" t="str">
            <v>Februari</v>
          </cell>
          <cell r="F2277">
            <v>608038</v>
          </cell>
          <cell r="G2277" t="str">
            <v>Februari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</row>
        <row r="2278">
          <cell r="B2278">
            <v>608038</v>
          </cell>
          <cell r="C2278" t="str">
            <v>Perlengkapan Kantor</v>
          </cell>
          <cell r="D2278" t="str">
            <v>Maret</v>
          </cell>
          <cell r="F2278">
            <v>608038</v>
          </cell>
          <cell r="G2278" t="str">
            <v>Maret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</row>
        <row r="2279">
          <cell r="B2279">
            <v>608038</v>
          </cell>
          <cell r="C2279" t="str">
            <v>Perlengkapan Kantor</v>
          </cell>
          <cell r="D2279" t="str">
            <v>April</v>
          </cell>
          <cell r="F2279">
            <v>608038</v>
          </cell>
          <cell r="G2279" t="str">
            <v>April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</row>
        <row r="2280">
          <cell r="B2280">
            <v>608038</v>
          </cell>
          <cell r="C2280" t="str">
            <v>Perlengkapan Kantor</v>
          </cell>
          <cell r="D2280" t="str">
            <v>Mei</v>
          </cell>
          <cell r="F2280">
            <v>608038</v>
          </cell>
          <cell r="G2280" t="str">
            <v>Mei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</row>
        <row r="2281">
          <cell r="B2281">
            <v>608038</v>
          </cell>
          <cell r="C2281" t="str">
            <v>Perlengkapan Kantor</v>
          </cell>
          <cell r="D2281" t="str">
            <v>Juni</v>
          </cell>
          <cell r="F2281">
            <v>608038</v>
          </cell>
          <cell r="G2281" t="str">
            <v>Juni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</row>
        <row r="2282">
          <cell r="B2282">
            <v>608038</v>
          </cell>
          <cell r="C2282" t="str">
            <v>Perlengkapan Kantor</v>
          </cell>
          <cell r="D2282" t="str">
            <v>Juli</v>
          </cell>
          <cell r="F2282">
            <v>608038</v>
          </cell>
          <cell r="G2282" t="str">
            <v>Juli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</row>
        <row r="2283">
          <cell r="B2283">
            <v>608038</v>
          </cell>
          <cell r="C2283" t="str">
            <v>Perlengkapan Kantor</v>
          </cell>
          <cell r="D2283" t="str">
            <v>Agustus</v>
          </cell>
          <cell r="F2283">
            <v>608038</v>
          </cell>
          <cell r="G2283" t="str">
            <v>Agustus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</row>
        <row r="2284">
          <cell r="B2284">
            <v>608038</v>
          </cell>
          <cell r="C2284" t="str">
            <v>Perlengkapan Kantor</v>
          </cell>
          <cell r="D2284" t="str">
            <v>September</v>
          </cell>
          <cell r="F2284">
            <v>608038</v>
          </cell>
          <cell r="G2284" t="str">
            <v>September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0</v>
          </cell>
        </row>
        <row r="2285">
          <cell r="B2285">
            <v>608038</v>
          </cell>
          <cell r="C2285" t="str">
            <v>Perlengkapan Kantor</v>
          </cell>
          <cell r="D2285" t="str">
            <v>Oktober</v>
          </cell>
          <cell r="F2285">
            <v>608038</v>
          </cell>
          <cell r="G2285" t="str">
            <v>Oktober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</row>
        <row r="2286">
          <cell r="B2286">
            <v>608038</v>
          </cell>
          <cell r="C2286" t="str">
            <v>Perlengkapan Kantor</v>
          </cell>
          <cell r="D2286" t="str">
            <v>November</v>
          </cell>
          <cell r="F2286">
            <v>608038</v>
          </cell>
          <cell r="G2286" t="str">
            <v>November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0</v>
          </cell>
        </row>
        <row r="2287">
          <cell r="B2287">
            <v>608038</v>
          </cell>
          <cell r="C2287" t="str">
            <v>Perlengkapan Kantor</v>
          </cell>
          <cell r="D2287" t="str">
            <v>Desember</v>
          </cell>
          <cell r="F2287">
            <v>608038</v>
          </cell>
          <cell r="G2287" t="str">
            <v>Desember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</row>
        <row r="2288">
          <cell r="B2288">
            <v>608013</v>
          </cell>
          <cell r="C2288" t="str">
            <v>Jasa Pihak ke 3</v>
          </cell>
          <cell r="E2288">
            <v>608013</v>
          </cell>
          <cell r="F2288">
            <v>608013</v>
          </cell>
          <cell r="G2288" t="str">
            <v>Jasa Pihak ke 3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</row>
        <row r="2289">
          <cell r="B2289">
            <v>608013</v>
          </cell>
          <cell r="C2289" t="str">
            <v>Jasa Pihak ke 3</v>
          </cell>
          <cell r="D2289" t="str">
            <v>Januari</v>
          </cell>
          <cell r="F2289">
            <v>608013</v>
          </cell>
          <cell r="G2289" t="str">
            <v>Januari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0</v>
          </cell>
          <cell r="AE2289">
            <v>0</v>
          </cell>
        </row>
        <row r="2290">
          <cell r="B2290">
            <v>608013</v>
          </cell>
          <cell r="C2290" t="str">
            <v>Jasa Pihak ke 3</v>
          </cell>
          <cell r="D2290" t="str">
            <v>Februari</v>
          </cell>
          <cell r="F2290">
            <v>608013</v>
          </cell>
          <cell r="G2290" t="str">
            <v>Februari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</row>
        <row r="2291">
          <cell r="B2291">
            <v>608013</v>
          </cell>
          <cell r="C2291" t="str">
            <v>Jasa Pihak ke 3</v>
          </cell>
          <cell r="D2291" t="str">
            <v>Maret</v>
          </cell>
          <cell r="F2291">
            <v>608013</v>
          </cell>
          <cell r="G2291" t="str">
            <v>Maret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</row>
        <row r="2292">
          <cell r="B2292">
            <v>608013</v>
          </cell>
          <cell r="C2292" t="str">
            <v>Jasa Pihak ke 3</v>
          </cell>
          <cell r="D2292" t="str">
            <v>April</v>
          </cell>
          <cell r="F2292">
            <v>608013</v>
          </cell>
          <cell r="G2292" t="str">
            <v>April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</row>
        <row r="2293">
          <cell r="B2293">
            <v>608013</v>
          </cell>
          <cell r="C2293" t="str">
            <v>Jasa Pihak ke 3</v>
          </cell>
          <cell r="D2293" t="str">
            <v>Mei</v>
          </cell>
          <cell r="F2293">
            <v>608013</v>
          </cell>
          <cell r="G2293" t="str">
            <v>Mei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0</v>
          </cell>
        </row>
        <row r="2294">
          <cell r="B2294">
            <v>608013</v>
          </cell>
          <cell r="C2294" t="str">
            <v>Jasa Pihak ke 3</v>
          </cell>
          <cell r="D2294" t="str">
            <v>Juni</v>
          </cell>
          <cell r="F2294">
            <v>608013</v>
          </cell>
          <cell r="G2294" t="str">
            <v>Juni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</row>
        <row r="2295">
          <cell r="B2295">
            <v>608013</v>
          </cell>
          <cell r="C2295" t="str">
            <v>Jasa Pihak ke 3</v>
          </cell>
          <cell r="D2295" t="str">
            <v>Juli</v>
          </cell>
          <cell r="F2295">
            <v>608013</v>
          </cell>
          <cell r="G2295" t="str">
            <v>Juli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</row>
        <row r="2296">
          <cell r="B2296">
            <v>608013</v>
          </cell>
          <cell r="C2296" t="str">
            <v>Jasa Pihak ke 3</v>
          </cell>
          <cell r="D2296" t="str">
            <v>Agustus</v>
          </cell>
          <cell r="F2296">
            <v>608013</v>
          </cell>
          <cell r="G2296" t="str">
            <v>Agustus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</row>
        <row r="2297">
          <cell r="B2297">
            <v>608013</v>
          </cell>
          <cell r="C2297" t="str">
            <v>Jasa Pihak ke 3</v>
          </cell>
          <cell r="D2297" t="str">
            <v>September</v>
          </cell>
          <cell r="F2297">
            <v>608013</v>
          </cell>
          <cell r="G2297" t="str">
            <v>September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</row>
        <row r="2298">
          <cell r="B2298">
            <v>608013</v>
          </cell>
          <cell r="C2298" t="str">
            <v>Jasa Pihak ke 3</v>
          </cell>
          <cell r="D2298" t="str">
            <v>Oktober</v>
          </cell>
          <cell r="F2298">
            <v>608013</v>
          </cell>
          <cell r="G2298" t="str">
            <v>Oktober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</row>
        <row r="2299">
          <cell r="B2299">
            <v>608013</v>
          </cell>
          <cell r="C2299" t="str">
            <v>Jasa Pihak ke 3</v>
          </cell>
          <cell r="D2299" t="str">
            <v>November</v>
          </cell>
          <cell r="F2299">
            <v>608013</v>
          </cell>
          <cell r="G2299" t="str">
            <v>November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</row>
        <row r="2300">
          <cell r="B2300">
            <v>608013</v>
          </cell>
          <cell r="C2300" t="str">
            <v>Jasa Pihak ke 3</v>
          </cell>
          <cell r="D2300" t="str">
            <v>Desember</v>
          </cell>
          <cell r="F2300">
            <v>608013</v>
          </cell>
          <cell r="G2300" t="str">
            <v>Desember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</row>
        <row r="2301">
          <cell r="B2301">
            <v>608014</v>
          </cell>
          <cell r="C2301" t="str">
            <v>BBM</v>
          </cell>
          <cell r="E2301">
            <v>608014</v>
          </cell>
          <cell r="F2301">
            <v>608014</v>
          </cell>
          <cell r="G2301" t="str">
            <v>BBM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</row>
        <row r="2302">
          <cell r="B2302">
            <v>608014</v>
          </cell>
          <cell r="C2302" t="str">
            <v>BBM</v>
          </cell>
          <cell r="D2302" t="str">
            <v>Januari</v>
          </cell>
          <cell r="F2302">
            <v>608014</v>
          </cell>
          <cell r="G2302" t="str">
            <v>Januari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</row>
        <row r="2303">
          <cell r="B2303">
            <v>608014</v>
          </cell>
          <cell r="C2303" t="str">
            <v>BBM</v>
          </cell>
          <cell r="D2303" t="str">
            <v>Februari</v>
          </cell>
          <cell r="F2303">
            <v>608014</v>
          </cell>
          <cell r="G2303" t="str">
            <v>Februari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</row>
        <row r="2304">
          <cell r="B2304">
            <v>608014</v>
          </cell>
          <cell r="C2304" t="str">
            <v>BBM</v>
          </cell>
          <cell r="D2304" t="str">
            <v>Maret</v>
          </cell>
          <cell r="F2304">
            <v>608014</v>
          </cell>
          <cell r="G2304" t="str">
            <v>Maret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</row>
        <row r="2305">
          <cell r="B2305">
            <v>608014</v>
          </cell>
          <cell r="C2305" t="str">
            <v>BBM</v>
          </cell>
          <cell r="D2305" t="str">
            <v>April</v>
          </cell>
          <cell r="F2305">
            <v>608014</v>
          </cell>
          <cell r="G2305" t="str">
            <v>April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</row>
        <row r="2306">
          <cell r="B2306">
            <v>608014</v>
          </cell>
          <cell r="C2306" t="str">
            <v>BBM</v>
          </cell>
          <cell r="D2306" t="str">
            <v>Mei</v>
          </cell>
          <cell r="F2306">
            <v>608014</v>
          </cell>
          <cell r="G2306" t="str">
            <v>Mei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</row>
        <row r="2307">
          <cell r="B2307">
            <v>608014</v>
          </cell>
          <cell r="C2307" t="str">
            <v>BBM</v>
          </cell>
          <cell r="D2307" t="str">
            <v>Juni</v>
          </cell>
          <cell r="F2307">
            <v>608014</v>
          </cell>
          <cell r="G2307" t="str">
            <v>Juni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</row>
        <row r="2308">
          <cell r="B2308">
            <v>608014</v>
          </cell>
          <cell r="C2308" t="str">
            <v>BBM</v>
          </cell>
          <cell r="D2308" t="str">
            <v>Juli</v>
          </cell>
          <cell r="F2308">
            <v>608014</v>
          </cell>
          <cell r="G2308" t="str">
            <v>Juli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</row>
        <row r="2309">
          <cell r="B2309">
            <v>608014</v>
          </cell>
          <cell r="C2309" t="str">
            <v>BBM</v>
          </cell>
          <cell r="D2309" t="str">
            <v>Agustus</v>
          </cell>
          <cell r="F2309">
            <v>608014</v>
          </cell>
          <cell r="G2309" t="str">
            <v>Agustus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</row>
        <row r="2310">
          <cell r="B2310">
            <v>608014</v>
          </cell>
          <cell r="C2310" t="str">
            <v>BBM</v>
          </cell>
          <cell r="D2310" t="str">
            <v>September</v>
          </cell>
          <cell r="F2310">
            <v>608014</v>
          </cell>
          <cell r="G2310" t="str">
            <v>September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</row>
        <row r="2311">
          <cell r="B2311">
            <v>608014</v>
          </cell>
          <cell r="C2311" t="str">
            <v>BBM</v>
          </cell>
          <cell r="D2311" t="str">
            <v>Oktober</v>
          </cell>
          <cell r="F2311">
            <v>608014</v>
          </cell>
          <cell r="G2311" t="str">
            <v>Oktober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</row>
        <row r="2312">
          <cell r="B2312">
            <v>608014</v>
          </cell>
          <cell r="C2312" t="str">
            <v>BBM</v>
          </cell>
          <cell r="D2312" t="str">
            <v>November</v>
          </cell>
          <cell r="F2312">
            <v>608014</v>
          </cell>
          <cell r="G2312" t="str">
            <v>November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</row>
        <row r="2313">
          <cell r="B2313">
            <v>608014</v>
          </cell>
          <cell r="C2313" t="str">
            <v>BBM</v>
          </cell>
          <cell r="D2313" t="str">
            <v>Desember</v>
          </cell>
          <cell r="F2313">
            <v>608014</v>
          </cell>
          <cell r="G2313" t="str">
            <v>Desember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</row>
        <row r="2314">
          <cell r="B2314">
            <v>608015</v>
          </cell>
          <cell r="C2314" t="str">
            <v>Perawatan Peralatan &amp; Kendaraan</v>
          </cell>
          <cell r="E2314">
            <v>608015</v>
          </cell>
          <cell r="F2314">
            <v>608015</v>
          </cell>
          <cell r="G2314" t="str">
            <v>Perawatan Peralatan &amp; Kendaraan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</row>
        <row r="2315">
          <cell r="B2315">
            <v>608015</v>
          </cell>
          <cell r="C2315" t="str">
            <v>Perawatan Peralatan &amp; Kendaraan</v>
          </cell>
          <cell r="D2315" t="str">
            <v>Januari</v>
          </cell>
          <cell r="F2315">
            <v>608015</v>
          </cell>
          <cell r="G2315" t="str">
            <v>Januari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</row>
        <row r="2316">
          <cell r="B2316">
            <v>608015</v>
          </cell>
          <cell r="C2316" t="str">
            <v>Perawatan Peralatan &amp; Kendaraan</v>
          </cell>
          <cell r="D2316" t="str">
            <v>Februari</v>
          </cell>
          <cell r="F2316">
            <v>608015</v>
          </cell>
          <cell r="G2316" t="str">
            <v>Februari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</row>
        <row r="2317">
          <cell r="B2317">
            <v>608015</v>
          </cell>
          <cell r="C2317" t="str">
            <v>Perawatan Peralatan &amp; Kendaraan</v>
          </cell>
          <cell r="D2317" t="str">
            <v>Maret</v>
          </cell>
          <cell r="F2317">
            <v>608015</v>
          </cell>
          <cell r="G2317" t="str">
            <v>Maret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</row>
        <row r="2318">
          <cell r="B2318">
            <v>608015</v>
          </cell>
          <cell r="C2318" t="str">
            <v>Perawatan Peralatan &amp; Kendaraan</v>
          </cell>
          <cell r="D2318" t="str">
            <v>April</v>
          </cell>
          <cell r="F2318">
            <v>608015</v>
          </cell>
          <cell r="G2318" t="str">
            <v>April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</row>
        <row r="2319">
          <cell r="B2319">
            <v>608015</v>
          </cell>
          <cell r="C2319" t="str">
            <v>Perawatan Peralatan &amp; Kendaraan</v>
          </cell>
          <cell r="D2319" t="str">
            <v>Mei</v>
          </cell>
          <cell r="F2319">
            <v>608015</v>
          </cell>
          <cell r="G2319" t="str">
            <v>Mei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</row>
        <row r="2320">
          <cell r="B2320">
            <v>608015</v>
          </cell>
          <cell r="C2320" t="str">
            <v>Perawatan Peralatan &amp; Kendaraan</v>
          </cell>
          <cell r="D2320" t="str">
            <v>Juni</v>
          </cell>
          <cell r="F2320">
            <v>608015</v>
          </cell>
          <cell r="G2320" t="str">
            <v>Juni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</row>
        <row r="2321">
          <cell r="B2321">
            <v>608015</v>
          </cell>
          <cell r="C2321" t="str">
            <v>Perawatan Peralatan &amp; Kendaraan</v>
          </cell>
          <cell r="D2321" t="str">
            <v>Juli</v>
          </cell>
          <cell r="F2321">
            <v>608015</v>
          </cell>
          <cell r="G2321" t="str">
            <v>Juli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</row>
        <row r="2322">
          <cell r="B2322">
            <v>608015</v>
          </cell>
          <cell r="C2322" t="str">
            <v>Perawatan Peralatan &amp; Kendaraan</v>
          </cell>
          <cell r="D2322" t="str">
            <v>Agustus</v>
          </cell>
          <cell r="F2322">
            <v>608015</v>
          </cell>
          <cell r="G2322" t="str">
            <v>Agustus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</row>
        <row r="2323">
          <cell r="B2323">
            <v>608015</v>
          </cell>
          <cell r="C2323" t="str">
            <v>Perawatan Peralatan &amp; Kendaraan</v>
          </cell>
          <cell r="D2323" t="str">
            <v>September</v>
          </cell>
          <cell r="F2323">
            <v>608015</v>
          </cell>
          <cell r="G2323" t="str">
            <v>September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</row>
        <row r="2324">
          <cell r="B2324">
            <v>608015</v>
          </cell>
          <cell r="C2324" t="str">
            <v>Perawatan Peralatan &amp; Kendaraan</v>
          </cell>
          <cell r="D2324" t="str">
            <v>Oktober</v>
          </cell>
          <cell r="F2324">
            <v>608015</v>
          </cell>
          <cell r="G2324" t="str">
            <v>Oktober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</row>
        <row r="2325">
          <cell r="B2325">
            <v>608015</v>
          </cell>
          <cell r="C2325" t="str">
            <v>Perawatan Peralatan &amp; Kendaraan</v>
          </cell>
          <cell r="D2325" t="str">
            <v>November</v>
          </cell>
          <cell r="F2325">
            <v>608015</v>
          </cell>
          <cell r="G2325" t="str">
            <v>November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</row>
        <row r="2326">
          <cell r="B2326">
            <v>608015</v>
          </cell>
          <cell r="C2326" t="str">
            <v>Perawatan Peralatan &amp; Kendaraan</v>
          </cell>
          <cell r="D2326" t="str">
            <v>Desember</v>
          </cell>
          <cell r="F2326">
            <v>608015</v>
          </cell>
          <cell r="G2326" t="str">
            <v>Desember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</row>
        <row r="2327">
          <cell r="B2327">
            <v>608016</v>
          </cell>
          <cell r="C2327" t="str">
            <v>Insentif</v>
          </cell>
          <cell r="E2327">
            <v>608016</v>
          </cell>
          <cell r="F2327">
            <v>608016</v>
          </cell>
          <cell r="G2327" t="str">
            <v>Insentif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</row>
        <row r="2328">
          <cell r="B2328">
            <v>608016</v>
          </cell>
          <cell r="C2328" t="str">
            <v>Insentif</v>
          </cell>
          <cell r="D2328" t="str">
            <v>Januari</v>
          </cell>
          <cell r="F2328">
            <v>608016</v>
          </cell>
          <cell r="G2328" t="str">
            <v>Januari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</row>
        <row r="2329">
          <cell r="B2329">
            <v>608016</v>
          </cell>
          <cell r="C2329" t="str">
            <v>Insentif</v>
          </cell>
          <cell r="D2329" t="str">
            <v>Februari</v>
          </cell>
          <cell r="F2329">
            <v>608016</v>
          </cell>
          <cell r="G2329" t="str">
            <v>Februari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</row>
        <row r="2330">
          <cell r="B2330">
            <v>608016</v>
          </cell>
          <cell r="C2330" t="str">
            <v>Insentif</v>
          </cell>
          <cell r="D2330" t="str">
            <v>Maret</v>
          </cell>
          <cell r="F2330">
            <v>608016</v>
          </cell>
          <cell r="G2330" t="str">
            <v>Maret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</row>
        <row r="2331">
          <cell r="B2331">
            <v>608016</v>
          </cell>
          <cell r="C2331" t="str">
            <v>Insentif</v>
          </cell>
          <cell r="D2331" t="str">
            <v>April</v>
          </cell>
          <cell r="F2331">
            <v>608016</v>
          </cell>
          <cell r="G2331" t="str">
            <v>April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</row>
        <row r="2332">
          <cell r="B2332">
            <v>608016</v>
          </cell>
          <cell r="C2332" t="str">
            <v>Insentif</v>
          </cell>
          <cell r="D2332" t="str">
            <v>Mei</v>
          </cell>
          <cell r="F2332">
            <v>608016</v>
          </cell>
          <cell r="G2332" t="str">
            <v>Mei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</row>
        <row r="2333">
          <cell r="B2333">
            <v>608016</v>
          </cell>
          <cell r="C2333" t="str">
            <v>Insentif</v>
          </cell>
          <cell r="D2333" t="str">
            <v>Juni</v>
          </cell>
          <cell r="F2333">
            <v>608016</v>
          </cell>
          <cell r="G2333" t="str">
            <v>Juni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</row>
        <row r="2334">
          <cell r="B2334">
            <v>608016</v>
          </cell>
          <cell r="C2334" t="str">
            <v>Insentif</v>
          </cell>
          <cell r="D2334" t="str">
            <v>Juli</v>
          </cell>
          <cell r="F2334">
            <v>608016</v>
          </cell>
          <cell r="G2334" t="str">
            <v>Juli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0</v>
          </cell>
        </row>
        <row r="2335">
          <cell r="B2335">
            <v>608016</v>
          </cell>
          <cell r="C2335" t="str">
            <v>Insentif</v>
          </cell>
          <cell r="D2335" t="str">
            <v>Agustus</v>
          </cell>
          <cell r="F2335">
            <v>608016</v>
          </cell>
          <cell r="G2335" t="str">
            <v>Agustus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</row>
        <row r="2336">
          <cell r="B2336">
            <v>608016</v>
          </cell>
          <cell r="C2336" t="str">
            <v>Insentif</v>
          </cell>
          <cell r="D2336" t="str">
            <v>September</v>
          </cell>
          <cell r="F2336">
            <v>608016</v>
          </cell>
          <cell r="G2336" t="str">
            <v>September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</row>
        <row r="2337">
          <cell r="B2337">
            <v>608016</v>
          </cell>
          <cell r="C2337" t="str">
            <v>Insentif</v>
          </cell>
          <cell r="D2337" t="str">
            <v>Oktober</v>
          </cell>
          <cell r="F2337">
            <v>608016</v>
          </cell>
          <cell r="G2337" t="str">
            <v>Oktober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0</v>
          </cell>
          <cell r="AC2337">
            <v>0</v>
          </cell>
          <cell r="AD2337">
            <v>0</v>
          </cell>
          <cell r="AE2337">
            <v>0</v>
          </cell>
        </row>
        <row r="2338">
          <cell r="B2338">
            <v>608016</v>
          </cell>
          <cell r="C2338" t="str">
            <v>Insentif</v>
          </cell>
          <cell r="D2338" t="str">
            <v>November</v>
          </cell>
          <cell r="F2338">
            <v>608016</v>
          </cell>
          <cell r="G2338" t="str">
            <v>November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</row>
        <row r="2339">
          <cell r="B2339">
            <v>608016</v>
          </cell>
          <cell r="C2339" t="str">
            <v>Insentif</v>
          </cell>
          <cell r="D2339" t="str">
            <v>Desember</v>
          </cell>
          <cell r="F2339">
            <v>608016</v>
          </cell>
          <cell r="G2339" t="str">
            <v>Desember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</row>
        <row r="2340">
          <cell r="B2340">
            <v>608016</v>
          </cell>
          <cell r="F2340">
            <v>608016</v>
          </cell>
          <cell r="H2340">
            <v>0</v>
          </cell>
          <cell r="I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</row>
        <row r="2341">
          <cell r="B2341">
            <v>609000</v>
          </cell>
          <cell r="C2341" t="str">
            <v>Beban Usaha Ganti Oli</v>
          </cell>
          <cell r="E2341">
            <v>609</v>
          </cell>
          <cell r="F2341">
            <v>609000</v>
          </cell>
          <cell r="G2341" t="str">
            <v>Beban Usaha Ganti Oli</v>
          </cell>
          <cell r="H2341">
            <v>0</v>
          </cell>
          <cell r="I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</row>
        <row r="2342">
          <cell r="B2342">
            <v>609001</v>
          </cell>
          <cell r="C2342" t="str">
            <v>Gaji</v>
          </cell>
          <cell r="E2342" t="str">
            <v>609,001</v>
          </cell>
          <cell r="F2342">
            <v>609001</v>
          </cell>
          <cell r="G2342" t="str">
            <v>Gaji</v>
          </cell>
          <cell r="H2342">
            <v>15960000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15960000</v>
          </cell>
          <cell r="AC2342">
            <v>0</v>
          </cell>
          <cell r="AD2342">
            <v>0</v>
          </cell>
          <cell r="AE2342">
            <v>0</v>
          </cell>
        </row>
        <row r="2343">
          <cell r="B2343">
            <v>609001</v>
          </cell>
          <cell r="C2343" t="str">
            <v>Gaji</v>
          </cell>
          <cell r="D2343" t="str">
            <v>Januari</v>
          </cell>
          <cell r="F2343">
            <v>609001</v>
          </cell>
          <cell r="G2343" t="str">
            <v>Januari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</row>
        <row r="2344">
          <cell r="B2344">
            <v>609001</v>
          </cell>
          <cell r="C2344" t="str">
            <v>Gaji</v>
          </cell>
          <cell r="D2344" t="str">
            <v>Februari</v>
          </cell>
          <cell r="F2344">
            <v>609001</v>
          </cell>
          <cell r="G2344" t="str">
            <v>Februari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</row>
        <row r="2345">
          <cell r="B2345">
            <v>609001</v>
          </cell>
          <cell r="C2345" t="str">
            <v>Gaji</v>
          </cell>
          <cell r="D2345" t="str">
            <v>Maret</v>
          </cell>
          <cell r="F2345">
            <v>609001</v>
          </cell>
          <cell r="G2345" t="str">
            <v>Maret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</row>
        <row r="2346">
          <cell r="B2346">
            <v>609001</v>
          </cell>
          <cell r="C2346" t="str">
            <v>Gaji</v>
          </cell>
          <cell r="D2346" t="str">
            <v>April</v>
          </cell>
          <cell r="F2346">
            <v>609001</v>
          </cell>
          <cell r="G2346" t="str">
            <v>April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</row>
        <row r="2347">
          <cell r="B2347">
            <v>609001</v>
          </cell>
          <cell r="C2347" t="str">
            <v>Gaji</v>
          </cell>
          <cell r="D2347" t="str">
            <v>Mei</v>
          </cell>
          <cell r="F2347">
            <v>609001</v>
          </cell>
          <cell r="G2347" t="str">
            <v>Mei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</row>
        <row r="2348">
          <cell r="B2348">
            <v>609001</v>
          </cell>
          <cell r="C2348" t="str">
            <v>Gaji</v>
          </cell>
          <cell r="D2348" t="str">
            <v>Juni</v>
          </cell>
          <cell r="F2348">
            <v>609001</v>
          </cell>
          <cell r="G2348" t="str">
            <v>Juni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</row>
        <row r="2349">
          <cell r="B2349">
            <v>609001</v>
          </cell>
          <cell r="C2349" t="str">
            <v>Gaji</v>
          </cell>
          <cell r="D2349" t="str">
            <v>Juli</v>
          </cell>
          <cell r="F2349">
            <v>609001</v>
          </cell>
          <cell r="G2349" t="str">
            <v>Juli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</row>
        <row r="2350">
          <cell r="B2350">
            <v>609001</v>
          </cell>
          <cell r="C2350" t="str">
            <v>Gaji</v>
          </cell>
          <cell r="D2350" t="str">
            <v>Agustus</v>
          </cell>
          <cell r="F2350">
            <v>609001</v>
          </cell>
          <cell r="G2350" t="str">
            <v>Agustus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</row>
        <row r="2351">
          <cell r="B2351">
            <v>609001</v>
          </cell>
          <cell r="C2351" t="str">
            <v>Gaji</v>
          </cell>
          <cell r="D2351" t="str">
            <v>September</v>
          </cell>
          <cell r="F2351">
            <v>609001</v>
          </cell>
          <cell r="G2351" t="str">
            <v>September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</row>
        <row r="2352">
          <cell r="B2352">
            <v>609001</v>
          </cell>
          <cell r="C2352" t="str">
            <v>Gaji</v>
          </cell>
          <cell r="D2352" t="str">
            <v>Oktober</v>
          </cell>
          <cell r="F2352">
            <v>609001</v>
          </cell>
          <cell r="G2352" t="str">
            <v>Oktober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</row>
        <row r="2353">
          <cell r="B2353">
            <v>609001</v>
          </cell>
          <cell r="C2353" t="str">
            <v>Gaji</v>
          </cell>
          <cell r="D2353" t="str">
            <v>November</v>
          </cell>
          <cell r="F2353">
            <v>609001</v>
          </cell>
          <cell r="G2353" t="str">
            <v>November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</row>
        <row r="2354">
          <cell r="B2354">
            <v>609001</v>
          </cell>
          <cell r="C2354" t="str">
            <v>Gaji</v>
          </cell>
          <cell r="D2354" t="str">
            <v>Desember</v>
          </cell>
          <cell r="F2354">
            <v>609001</v>
          </cell>
          <cell r="G2354" t="str">
            <v>Desember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</row>
        <row r="2355">
          <cell r="B2355">
            <v>609002</v>
          </cell>
          <cell r="C2355" t="str">
            <v>Tunjangan makan</v>
          </cell>
          <cell r="E2355" t="str">
            <v>609,002</v>
          </cell>
          <cell r="F2355">
            <v>609002</v>
          </cell>
          <cell r="G2355" t="str">
            <v>Tunjangan makan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</row>
        <row r="2356">
          <cell r="B2356">
            <v>609002</v>
          </cell>
          <cell r="C2356" t="str">
            <v>Tunjangan makan</v>
          </cell>
          <cell r="D2356" t="str">
            <v>Januari</v>
          </cell>
          <cell r="F2356">
            <v>609002</v>
          </cell>
          <cell r="G2356" t="str">
            <v>Januari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</row>
        <row r="2357">
          <cell r="B2357">
            <v>609002</v>
          </cell>
          <cell r="C2357" t="str">
            <v>Tunjangan makan</v>
          </cell>
          <cell r="D2357" t="str">
            <v>Februari</v>
          </cell>
          <cell r="F2357">
            <v>609002</v>
          </cell>
          <cell r="G2357" t="str">
            <v>Februari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</row>
        <row r="2358">
          <cell r="B2358">
            <v>609002</v>
          </cell>
          <cell r="C2358" t="str">
            <v>Tunjangan makan</v>
          </cell>
          <cell r="D2358" t="str">
            <v>Maret</v>
          </cell>
          <cell r="F2358">
            <v>609002</v>
          </cell>
          <cell r="G2358" t="str">
            <v>Maret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</row>
        <row r="2359">
          <cell r="B2359">
            <v>609002</v>
          </cell>
          <cell r="C2359" t="str">
            <v>Tunjangan makan</v>
          </cell>
          <cell r="D2359" t="str">
            <v>April</v>
          </cell>
          <cell r="F2359">
            <v>609002</v>
          </cell>
          <cell r="G2359" t="str">
            <v>April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</row>
        <row r="2360">
          <cell r="B2360">
            <v>609002</v>
          </cell>
          <cell r="C2360" t="str">
            <v>Tunjangan makan</v>
          </cell>
          <cell r="D2360" t="str">
            <v>Mei</v>
          </cell>
          <cell r="F2360">
            <v>609002</v>
          </cell>
          <cell r="G2360" t="str">
            <v>Mei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</row>
        <row r="2361">
          <cell r="B2361">
            <v>609002</v>
          </cell>
          <cell r="C2361" t="str">
            <v>Tunjangan makan</v>
          </cell>
          <cell r="D2361" t="str">
            <v>Juni</v>
          </cell>
          <cell r="F2361">
            <v>609002</v>
          </cell>
          <cell r="G2361" t="str">
            <v>Juni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0</v>
          </cell>
        </row>
        <row r="2362">
          <cell r="B2362">
            <v>609002</v>
          </cell>
          <cell r="C2362" t="str">
            <v>Tunjangan makan</v>
          </cell>
          <cell r="D2362" t="str">
            <v>Juli</v>
          </cell>
          <cell r="F2362">
            <v>609002</v>
          </cell>
          <cell r="G2362" t="str">
            <v>Juli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</row>
        <row r="2363">
          <cell r="B2363">
            <v>609002</v>
          </cell>
          <cell r="C2363" t="str">
            <v>Tunjangan makan</v>
          </cell>
          <cell r="D2363" t="str">
            <v>Agustus</v>
          </cell>
          <cell r="F2363">
            <v>609002</v>
          </cell>
          <cell r="G2363" t="str">
            <v>Agustus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</row>
        <row r="2364">
          <cell r="B2364">
            <v>609002</v>
          </cell>
          <cell r="C2364" t="str">
            <v>Tunjangan makan</v>
          </cell>
          <cell r="D2364" t="str">
            <v>September</v>
          </cell>
          <cell r="F2364">
            <v>609002</v>
          </cell>
          <cell r="G2364" t="str">
            <v>September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0</v>
          </cell>
          <cell r="AB2364">
            <v>0</v>
          </cell>
          <cell r="AC2364">
            <v>0</v>
          </cell>
          <cell r="AD2364">
            <v>0</v>
          </cell>
          <cell r="AE2364">
            <v>0</v>
          </cell>
        </row>
        <row r="2365">
          <cell r="B2365">
            <v>609002</v>
          </cell>
          <cell r="C2365" t="str">
            <v>Tunjangan makan</v>
          </cell>
          <cell r="D2365" t="str">
            <v>Oktober</v>
          </cell>
          <cell r="F2365">
            <v>609002</v>
          </cell>
          <cell r="G2365" t="str">
            <v>Oktober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</row>
        <row r="2366">
          <cell r="B2366">
            <v>609002</v>
          </cell>
          <cell r="C2366" t="str">
            <v>Tunjangan makan</v>
          </cell>
          <cell r="D2366" t="str">
            <v>November</v>
          </cell>
          <cell r="F2366">
            <v>609002</v>
          </cell>
          <cell r="G2366" t="str">
            <v>November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</row>
        <row r="2367">
          <cell r="B2367">
            <v>609002</v>
          </cell>
          <cell r="C2367" t="str">
            <v>Tunjangan makan</v>
          </cell>
          <cell r="D2367" t="str">
            <v>Desember</v>
          </cell>
          <cell r="F2367">
            <v>609002</v>
          </cell>
          <cell r="G2367" t="str">
            <v>Desember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</row>
        <row r="2368">
          <cell r="B2368">
            <v>609003</v>
          </cell>
          <cell r="C2368" t="str">
            <v>Lembur</v>
          </cell>
          <cell r="E2368" t="str">
            <v>609,003</v>
          </cell>
          <cell r="F2368">
            <v>609003</v>
          </cell>
          <cell r="G2368" t="str">
            <v>Lembur</v>
          </cell>
          <cell r="H2368">
            <v>1638583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1638583</v>
          </cell>
          <cell r="AC2368">
            <v>0</v>
          </cell>
          <cell r="AD2368">
            <v>0</v>
          </cell>
          <cell r="AE2368">
            <v>0</v>
          </cell>
        </row>
        <row r="2369">
          <cell r="B2369">
            <v>609003</v>
          </cell>
          <cell r="C2369" t="str">
            <v>Lembur</v>
          </cell>
          <cell r="D2369" t="str">
            <v>Januari</v>
          </cell>
          <cell r="F2369">
            <v>609003</v>
          </cell>
          <cell r="G2369" t="str">
            <v>Januari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</row>
        <row r="2370">
          <cell r="B2370">
            <v>609003</v>
          </cell>
          <cell r="C2370" t="str">
            <v>Lembur</v>
          </cell>
          <cell r="D2370" t="str">
            <v>Februari</v>
          </cell>
          <cell r="F2370">
            <v>609003</v>
          </cell>
          <cell r="G2370" t="str">
            <v>Februari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</row>
        <row r="2371">
          <cell r="B2371">
            <v>609003</v>
          </cell>
          <cell r="C2371" t="str">
            <v>Lembur</v>
          </cell>
          <cell r="D2371" t="str">
            <v>Maret</v>
          </cell>
          <cell r="F2371">
            <v>609003</v>
          </cell>
          <cell r="G2371" t="str">
            <v>Maret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</row>
        <row r="2372">
          <cell r="B2372">
            <v>609003</v>
          </cell>
          <cell r="C2372" t="str">
            <v>Lembur</v>
          </cell>
          <cell r="D2372" t="str">
            <v>April</v>
          </cell>
          <cell r="F2372">
            <v>609003</v>
          </cell>
          <cell r="G2372" t="str">
            <v>April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</row>
        <row r="2373">
          <cell r="B2373">
            <v>609003</v>
          </cell>
          <cell r="C2373" t="str">
            <v>Lembur</v>
          </cell>
          <cell r="D2373" t="str">
            <v>Mei</v>
          </cell>
          <cell r="F2373">
            <v>609003</v>
          </cell>
          <cell r="G2373" t="str">
            <v>Mei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</row>
        <row r="2374">
          <cell r="B2374">
            <v>609003</v>
          </cell>
          <cell r="C2374" t="str">
            <v>Lembur</v>
          </cell>
          <cell r="D2374" t="str">
            <v>Juni</v>
          </cell>
          <cell r="F2374">
            <v>609003</v>
          </cell>
          <cell r="G2374" t="str">
            <v>Juni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</row>
        <row r="2375">
          <cell r="B2375">
            <v>609003</v>
          </cell>
          <cell r="C2375" t="str">
            <v>Lembur</v>
          </cell>
          <cell r="D2375" t="str">
            <v>Juli</v>
          </cell>
          <cell r="F2375">
            <v>609003</v>
          </cell>
          <cell r="G2375" t="str">
            <v>Juli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W2375">
            <v>0</v>
          </cell>
          <cell r="X2375">
            <v>0</v>
          </cell>
          <cell r="Y2375">
            <v>0</v>
          </cell>
          <cell r="Z2375">
            <v>0</v>
          </cell>
          <cell r="AA2375">
            <v>0</v>
          </cell>
          <cell r="AB2375">
            <v>0</v>
          </cell>
          <cell r="AC2375">
            <v>0</v>
          </cell>
          <cell r="AD2375">
            <v>0</v>
          </cell>
          <cell r="AE2375">
            <v>0</v>
          </cell>
        </row>
        <row r="2376">
          <cell r="B2376">
            <v>609003</v>
          </cell>
          <cell r="C2376" t="str">
            <v>Lembur</v>
          </cell>
          <cell r="D2376" t="str">
            <v>Agustus</v>
          </cell>
          <cell r="F2376">
            <v>609003</v>
          </cell>
          <cell r="G2376" t="str">
            <v>Agustus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</row>
        <row r="2377">
          <cell r="B2377">
            <v>609003</v>
          </cell>
          <cell r="C2377" t="str">
            <v>Lembur</v>
          </cell>
          <cell r="D2377" t="str">
            <v>September</v>
          </cell>
          <cell r="F2377">
            <v>609003</v>
          </cell>
          <cell r="G2377" t="str">
            <v>September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</row>
        <row r="2378">
          <cell r="B2378">
            <v>609003</v>
          </cell>
          <cell r="C2378" t="str">
            <v>Lembur</v>
          </cell>
          <cell r="D2378" t="str">
            <v>Oktober</v>
          </cell>
          <cell r="F2378">
            <v>609003</v>
          </cell>
          <cell r="G2378" t="str">
            <v>Oktober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</row>
        <row r="2379">
          <cell r="B2379">
            <v>609003</v>
          </cell>
          <cell r="C2379" t="str">
            <v>Lembur</v>
          </cell>
          <cell r="D2379" t="str">
            <v>November</v>
          </cell>
          <cell r="F2379">
            <v>609003</v>
          </cell>
          <cell r="G2379" t="str">
            <v>November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</row>
        <row r="2380">
          <cell r="B2380">
            <v>609003</v>
          </cell>
          <cell r="C2380" t="str">
            <v>Lembur</v>
          </cell>
          <cell r="D2380" t="str">
            <v>Desember</v>
          </cell>
          <cell r="F2380">
            <v>609003</v>
          </cell>
          <cell r="G2380" t="str">
            <v>Desember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</row>
        <row r="2381">
          <cell r="B2381">
            <v>609004</v>
          </cell>
          <cell r="C2381" t="str">
            <v>THR</v>
          </cell>
          <cell r="E2381" t="str">
            <v>609,004</v>
          </cell>
          <cell r="F2381">
            <v>609004</v>
          </cell>
          <cell r="G2381" t="str">
            <v>THR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0</v>
          </cell>
          <cell r="AE2381">
            <v>0</v>
          </cell>
        </row>
        <row r="2382">
          <cell r="B2382">
            <v>609004</v>
          </cell>
          <cell r="C2382" t="str">
            <v>THR</v>
          </cell>
          <cell r="D2382" t="str">
            <v>Januari</v>
          </cell>
          <cell r="F2382">
            <v>609004</v>
          </cell>
          <cell r="G2382" t="str">
            <v>Januari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</row>
        <row r="2383">
          <cell r="B2383">
            <v>609004</v>
          </cell>
          <cell r="C2383" t="str">
            <v>THR</v>
          </cell>
          <cell r="D2383" t="str">
            <v>Februari</v>
          </cell>
          <cell r="F2383">
            <v>609004</v>
          </cell>
          <cell r="G2383" t="str">
            <v>Februari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</row>
        <row r="2384">
          <cell r="B2384">
            <v>609004</v>
          </cell>
          <cell r="C2384" t="str">
            <v>THR</v>
          </cell>
          <cell r="D2384" t="str">
            <v>Maret</v>
          </cell>
          <cell r="F2384">
            <v>609004</v>
          </cell>
          <cell r="G2384" t="str">
            <v>Maret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</row>
        <row r="2385">
          <cell r="B2385">
            <v>609004</v>
          </cell>
          <cell r="C2385" t="str">
            <v>THR</v>
          </cell>
          <cell r="D2385" t="str">
            <v>April</v>
          </cell>
          <cell r="F2385">
            <v>609004</v>
          </cell>
          <cell r="G2385" t="str">
            <v>April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</row>
        <row r="2386">
          <cell r="B2386">
            <v>609004</v>
          </cell>
          <cell r="C2386" t="str">
            <v>THR</v>
          </cell>
          <cell r="D2386" t="str">
            <v>Mei</v>
          </cell>
          <cell r="F2386">
            <v>609004</v>
          </cell>
          <cell r="G2386" t="str">
            <v>Mei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0</v>
          </cell>
        </row>
        <row r="2387">
          <cell r="B2387">
            <v>609004</v>
          </cell>
          <cell r="C2387" t="str">
            <v>THR</v>
          </cell>
          <cell r="D2387" t="str">
            <v>Juni</v>
          </cell>
          <cell r="F2387">
            <v>609004</v>
          </cell>
          <cell r="G2387" t="str">
            <v>Juni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</row>
        <row r="2388">
          <cell r="B2388">
            <v>609004</v>
          </cell>
          <cell r="C2388" t="str">
            <v>THR</v>
          </cell>
          <cell r="D2388" t="str">
            <v>Juli</v>
          </cell>
          <cell r="F2388">
            <v>609004</v>
          </cell>
          <cell r="G2388" t="str">
            <v>Juli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</row>
        <row r="2389">
          <cell r="B2389">
            <v>609004</v>
          </cell>
          <cell r="C2389" t="str">
            <v>THR</v>
          </cell>
          <cell r="D2389" t="str">
            <v>Agustus</v>
          </cell>
          <cell r="F2389">
            <v>609004</v>
          </cell>
          <cell r="G2389" t="str">
            <v>Agustus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</row>
        <row r="2390">
          <cell r="B2390">
            <v>609004</v>
          </cell>
          <cell r="C2390" t="str">
            <v>THR</v>
          </cell>
          <cell r="D2390" t="str">
            <v>September</v>
          </cell>
          <cell r="F2390">
            <v>609004</v>
          </cell>
          <cell r="G2390" t="str">
            <v>September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</row>
        <row r="2391">
          <cell r="B2391">
            <v>609004</v>
          </cell>
          <cell r="C2391" t="str">
            <v>THR</v>
          </cell>
          <cell r="D2391" t="str">
            <v>Oktober</v>
          </cell>
          <cell r="F2391">
            <v>609004</v>
          </cell>
          <cell r="G2391" t="str">
            <v>Oktober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</row>
        <row r="2392">
          <cell r="B2392">
            <v>609004</v>
          </cell>
          <cell r="C2392" t="str">
            <v>THR</v>
          </cell>
          <cell r="D2392" t="str">
            <v>November</v>
          </cell>
          <cell r="F2392">
            <v>609004</v>
          </cell>
          <cell r="G2392" t="str">
            <v>November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</row>
        <row r="2393">
          <cell r="B2393">
            <v>609004</v>
          </cell>
          <cell r="C2393" t="str">
            <v>THR</v>
          </cell>
          <cell r="D2393" t="str">
            <v>Desember</v>
          </cell>
          <cell r="F2393">
            <v>609004</v>
          </cell>
          <cell r="G2393" t="str">
            <v>Desember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</row>
        <row r="2394">
          <cell r="B2394">
            <v>609005</v>
          </cell>
          <cell r="C2394" t="str">
            <v>Astek</v>
          </cell>
          <cell r="E2394" t="str">
            <v>609,005</v>
          </cell>
          <cell r="F2394">
            <v>609005</v>
          </cell>
          <cell r="G2394" t="str">
            <v>Astek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</row>
        <row r="2395">
          <cell r="B2395">
            <v>609005</v>
          </cell>
          <cell r="C2395" t="str">
            <v>Astek</v>
          </cell>
          <cell r="D2395" t="str">
            <v>Januari</v>
          </cell>
          <cell r="F2395">
            <v>609005</v>
          </cell>
          <cell r="G2395" t="str">
            <v>Januari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</row>
        <row r="2396">
          <cell r="B2396">
            <v>609005</v>
          </cell>
          <cell r="C2396" t="str">
            <v>Astek</v>
          </cell>
          <cell r="D2396" t="str">
            <v>Februari</v>
          </cell>
          <cell r="F2396">
            <v>609005</v>
          </cell>
          <cell r="G2396" t="str">
            <v>Februari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</row>
        <row r="2397">
          <cell r="B2397">
            <v>609005</v>
          </cell>
          <cell r="C2397" t="str">
            <v>Astek</v>
          </cell>
          <cell r="D2397" t="str">
            <v>Maret</v>
          </cell>
          <cell r="F2397">
            <v>609005</v>
          </cell>
          <cell r="G2397" t="str">
            <v>Maret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</row>
        <row r="2398">
          <cell r="B2398">
            <v>609005</v>
          </cell>
          <cell r="C2398" t="str">
            <v>Astek</v>
          </cell>
          <cell r="D2398" t="str">
            <v>April</v>
          </cell>
          <cell r="F2398">
            <v>609005</v>
          </cell>
          <cell r="G2398" t="str">
            <v>April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</row>
        <row r="2399">
          <cell r="B2399">
            <v>609005</v>
          </cell>
          <cell r="C2399" t="str">
            <v>Astek</v>
          </cell>
          <cell r="D2399" t="str">
            <v>Mei</v>
          </cell>
          <cell r="F2399">
            <v>609005</v>
          </cell>
          <cell r="G2399" t="str">
            <v>Mei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</row>
        <row r="2400">
          <cell r="B2400">
            <v>609005</v>
          </cell>
          <cell r="C2400" t="str">
            <v>Astek</v>
          </cell>
          <cell r="D2400" t="str">
            <v>Juni</v>
          </cell>
          <cell r="F2400">
            <v>609005</v>
          </cell>
          <cell r="G2400" t="str">
            <v>Juni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</row>
        <row r="2401">
          <cell r="B2401">
            <v>609005</v>
          </cell>
          <cell r="C2401" t="str">
            <v>Astek</v>
          </cell>
          <cell r="D2401" t="str">
            <v>Juli</v>
          </cell>
          <cell r="F2401">
            <v>609005</v>
          </cell>
          <cell r="G2401" t="str">
            <v>Juli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</row>
        <row r="2402">
          <cell r="B2402">
            <v>609005</v>
          </cell>
          <cell r="C2402" t="str">
            <v>Astek</v>
          </cell>
          <cell r="D2402" t="str">
            <v>Agustus</v>
          </cell>
          <cell r="F2402">
            <v>609005</v>
          </cell>
          <cell r="G2402" t="str">
            <v>Agustus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</row>
        <row r="2403">
          <cell r="B2403">
            <v>609005</v>
          </cell>
          <cell r="C2403" t="str">
            <v>Astek</v>
          </cell>
          <cell r="D2403" t="str">
            <v>September</v>
          </cell>
          <cell r="F2403">
            <v>609005</v>
          </cell>
          <cell r="G2403" t="str">
            <v>September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</row>
        <row r="2404">
          <cell r="B2404">
            <v>609005</v>
          </cell>
          <cell r="C2404" t="str">
            <v>Astek</v>
          </cell>
          <cell r="D2404" t="str">
            <v>Oktober</v>
          </cell>
          <cell r="F2404">
            <v>609005</v>
          </cell>
          <cell r="G2404" t="str">
            <v>Oktober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</row>
        <row r="2405">
          <cell r="B2405">
            <v>609005</v>
          </cell>
          <cell r="C2405" t="str">
            <v>Astek</v>
          </cell>
          <cell r="D2405" t="str">
            <v>November</v>
          </cell>
          <cell r="F2405">
            <v>609005</v>
          </cell>
          <cell r="G2405" t="str">
            <v>November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</row>
        <row r="2406">
          <cell r="B2406">
            <v>609005</v>
          </cell>
          <cell r="C2406" t="str">
            <v>Astek</v>
          </cell>
          <cell r="D2406" t="str">
            <v>Desember</v>
          </cell>
          <cell r="F2406">
            <v>609005</v>
          </cell>
          <cell r="G2406" t="str">
            <v>Desember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</row>
        <row r="2407">
          <cell r="B2407">
            <v>609007</v>
          </cell>
          <cell r="C2407" t="str">
            <v>Telpon</v>
          </cell>
          <cell r="E2407" t="str">
            <v>609,007</v>
          </cell>
          <cell r="F2407">
            <v>609007</v>
          </cell>
          <cell r="G2407" t="str">
            <v>Telpon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</row>
        <row r="2408">
          <cell r="B2408">
            <v>609007</v>
          </cell>
          <cell r="C2408" t="str">
            <v>Telpon</v>
          </cell>
          <cell r="D2408" t="str">
            <v>Januari</v>
          </cell>
          <cell r="F2408">
            <v>609007</v>
          </cell>
          <cell r="G2408" t="str">
            <v>Januari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</row>
        <row r="2409">
          <cell r="B2409">
            <v>609007</v>
          </cell>
          <cell r="C2409" t="str">
            <v>Telpon</v>
          </cell>
          <cell r="D2409" t="str">
            <v>Februari</v>
          </cell>
          <cell r="F2409">
            <v>609007</v>
          </cell>
          <cell r="G2409" t="str">
            <v>Februari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</row>
        <row r="2410">
          <cell r="B2410">
            <v>609007</v>
          </cell>
          <cell r="C2410" t="str">
            <v>Telpon</v>
          </cell>
          <cell r="D2410" t="str">
            <v>Maret</v>
          </cell>
          <cell r="F2410">
            <v>609007</v>
          </cell>
          <cell r="G2410" t="str">
            <v>Maret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</row>
        <row r="2411">
          <cell r="B2411">
            <v>609007</v>
          </cell>
          <cell r="C2411" t="str">
            <v>Telpon</v>
          </cell>
          <cell r="D2411" t="str">
            <v>April</v>
          </cell>
          <cell r="F2411">
            <v>609007</v>
          </cell>
          <cell r="G2411" t="str">
            <v>April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</row>
        <row r="2412">
          <cell r="B2412">
            <v>609007</v>
          </cell>
          <cell r="C2412" t="str">
            <v>Telpon</v>
          </cell>
          <cell r="D2412" t="str">
            <v>Mei</v>
          </cell>
          <cell r="F2412">
            <v>609007</v>
          </cell>
          <cell r="G2412" t="str">
            <v>Mei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</row>
        <row r="2413">
          <cell r="B2413">
            <v>609007</v>
          </cell>
          <cell r="C2413" t="str">
            <v>Telpon</v>
          </cell>
          <cell r="D2413" t="str">
            <v>Juni</v>
          </cell>
          <cell r="F2413">
            <v>609007</v>
          </cell>
          <cell r="G2413" t="str">
            <v>Juni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</row>
        <row r="2414">
          <cell r="B2414">
            <v>609007</v>
          </cell>
          <cell r="C2414" t="str">
            <v>Telpon</v>
          </cell>
          <cell r="D2414" t="str">
            <v>Juli</v>
          </cell>
          <cell r="F2414">
            <v>609007</v>
          </cell>
          <cell r="G2414" t="str">
            <v>Juli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</row>
        <row r="2415">
          <cell r="B2415">
            <v>609007</v>
          </cell>
          <cell r="C2415" t="str">
            <v>Telpon</v>
          </cell>
          <cell r="D2415" t="str">
            <v>Agustus</v>
          </cell>
          <cell r="F2415">
            <v>609007</v>
          </cell>
          <cell r="G2415" t="str">
            <v>Agustus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</row>
        <row r="2416">
          <cell r="B2416">
            <v>609007</v>
          </cell>
          <cell r="C2416" t="str">
            <v>Telpon</v>
          </cell>
          <cell r="D2416" t="str">
            <v>September</v>
          </cell>
          <cell r="F2416">
            <v>609007</v>
          </cell>
          <cell r="G2416" t="str">
            <v>September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0</v>
          </cell>
        </row>
        <row r="2417">
          <cell r="B2417">
            <v>609007</v>
          </cell>
          <cell r="C2417" t="str">
            <v>Telpon</v>
          </cell>
          <cell r="D2417" t="str">
            <v>Oktober</v>
          </cell>
          <cell r="F2417">
            <v>609007</v>
          </cell>
          <cell r="G2417" t="str">
            <v>Oktober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</row>
        <row r="2418">
          <cell r="B2418">
            <v>609007</v>
          </cell>
          <cell r="C2418" t="str">
            <v>Telpon</v>
          </cell>
          <cell r="D2418" t="str">
            <v>November</v>
          </cell>
          <cell r="F2418">
            <v>609007</v>
          </cell>
          <cell r="G2418" t="str">
            <v>November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</row>
        <row r="2419">
          <cell r="B2419">
            <v>609007</v>
          </cell>
          <cell r="C2419" t="str">
            <v>Telpon</v>
          </cell>
          <cell r="D2419" t="str">
            <v>Desember</v>
          </cell>
          <cell r="F2419">
            <v>609007</v>
          </cell>
          <cell r="G2419" t="str">
            <v>Desember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0</v>
          </cell>
          <cell r="AE2419">
            <v>0</v>
          </cell>
        </row>
        <row r="2420">
          <cell r="B2420">
            <v>609008</v>
          </cell>
          <cell r="C2420" t="str">
            <v>Listrik</v>
          </cell>
          <cell r="E2420" t="str">
            <v>609,008</v>
          </cell>
          <cell r="F2420">
            <v>609008</v>
          </cell>
          <cell r="G2420" t="str">
            <v>Listrik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</row>
        <row r="2421">
          <cell r="B2421">
            <v>609008</v>
          </cell>
          <cell r="C2421" t="str">
            <v>Listrik</v>
          </cell>
          <cell r="D2421" t="str">
            <v>Januari</v>
          </cell>
          <cell r="F2421">
            <v>609008</v>
          </cell>
          <cell r="G2421" t="str">
            <v>Januari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</row>
        <row r="2422">
          <cell r="B2422">
            <v>609008</v>
          </cell>
          <cell r="C2422" t="str">
            <v>Listrik</v>
          </cell>
          <cell r="D2422" t="str">
            <v>Februari</v>
          </cell>
          <cell r="F2422">
            <v>609008</v>
          </cell>
          <cell r="G2422" t="str">
            <v>Februari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</row>
        <row r="2423">
          <cell r="B2423">
            <v>609008</v>
          </cell>
          <cell r="C2423" t="str">
            <v>Listrik</v>
          </cell>
          <cell r="D2423" t="str">
            <v>Maret</v>
          </cell>
          <cell r="F2423">
            <v>609008</v>
          </cell>
          <cell r="G2423" t="str">
            <v>Maret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</row>
        <row r="2424">
          <cell r="B2424">
            <v>609008</v>
          </cell>
          <cell r="C2424" t="str">
            <v>Listrik</v>
          </cell>
          <cell r="D2424" t="str">
            <v>April</v>
          </cell>
          <cell r="F2424">
            <v>609008</v>
          </cell>
          <cell r="G2424" t="str">
            <v>April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</row>
        <row r="2425">
          <cell r="B2425">
            <v>609008</v>
          </cell>
          <cell r="C2425" t="str">
            <v>Listrik</v>
          </cell>
          <cell r="D2425" t="str">
            <v>Mei</v>
          </cell>
          <cell r="F2425">
            <v>609008</v>
          </cell>
          <cell r="G2425" t="str">
            <v>Mei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</row>
        <row r="2426">
          <cell r="B2426">
            <v>609008</v>
          </cell>
          <cell r="C2426" t="str">
            <v>Listrik</v>
          </cell>
          <cell r="D2426" t="str">
            <v>Juni</v>
          </cell>
          <cell r="F2426">
            <v>609008</v>
          </cell>
          <cell r="G2426" t="str">
            <v>Juni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</row>
        <row r="2427">
          <cell r="B2427">
            <v>609008</v>
          </cell>
          <cell r="C2427" t="str">
            <v>Listrik</v>
          </cell>
          <cell r="D2427" t="str">
            <v>Juli</v>
          </cell>
          <cell r="F2427">
            <v>609008</v>
          </cell>
          <cell r="G2427" t="str">
            <v>Juli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</row>
        <row r="2428">
          <cell r="B2428">
            <v>609008</v>
          </cell>
          <cell r="C2428" t="str">
            <v>Listrik</v>
          </cell>
          <cell r="D2428" t="str">
            <v>Agustus</v>
          </cell>
          <cell r="F2428">
            <v>609008</v>
          </cell>
          <cell r="G2428" t="str">
            <v>Agustus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</row>
        <row r="2429">
          <cell r="B2429">
            <v>609008</v>
          </cell>
          <cell r="C2429" t="str">
            <v>Listrik</v>
          </cell>
          <cell r="D2429" t="str">
            <v>September</v>
          </cell>
          <cell r="F2429">
            <v>609008</v>
          </cell>
          <cell r="G2429" t="str">
            <v>September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</row>
        <row r="2430">
          <cell r="B2430">
            <v>609008</v>
          </cell>
          <cell r="C2430" t="str">
            <v>Listrik</v>
          </cell>
          <cell r="D2430" t="str">
            <v>Oktober</v>
          </cell>
          <cell r="F2430">
            <v>609008</v>
          </cell>
          <cell r="G2430" t="str">
            <v>Oktober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</row>
        <row r="2431">
          <cell r="B2431">
            <v>609008</v>
          </cell>
          <cell r="C2431" t="str">
            <v>Listrik</v>
          </cell>
          <cell r="D2431" t="str">
            <v>November</v>
          </cell>
          <cell r="F2431">
            <v>609008</v>
          </cell>
          <cell r="G2431" t="str">
            <v>November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</row>
        <row r="2432">
          <cell r="B2432">
            <v>609008</v>
          </cell>
          <cell r="C2432" t="str">
            <v>Listrik</v>
          </cell>
          <cell r="D2432" t="str">
            <v>Desember</v>
          </cell>
          <cell r="F2432">
            <v>609008</v>
          </cell>
          <cell r="G2432" t="str">
            <v>Desember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</row>
        <row r="2433">
          <cell r="B2433">
            <v>609009</v>
          </cell>
          <cell r="C2433" t="str">
            <v>Penyusutan Peralatan</v>
          </cell>
          <cell r="E2433" t="str">
            <v>609,009</v>
          </cell>
          <cell r="F2433">
            <v>609009</v>
          </cell>
          <cell r="G2433" t="str">
            <v>Penyusutan Peralatan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</row>
        <row r="2434">
          <cell r="B2434">
            <v>609009</v>
          </cell>
          <cell r="C2434" t="str">
            <v>Penyusutan Peralatan</v>
          </cell>
          <cell r="D2434" t="str">
            <v>Januari</v>
          </cell>
          <cell r="F2434">
            <v>609009</v>
          </cell>
          <cell r="G2434" t="str">
            <v>Januari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</row>
        <row r="2435">
          <cell r="B2435">
            <v>609009</v>
          </cell>
          <cell r="C2435" t="str">
            <v>Penyusutan Peralatan</v>
          </cell>
          <cell r="D2435" t="str">
            <v>Februari</v>
          </cell>
          <cell r="F2435">
            <v>609009</v>
          </cell>
          <cell r="G2435" t="str">
            <v>Februari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</row>
        <row r="2436">
          <cell r="B2436">
            <v>609009</v>
          </cell>
          <cell r="C2436" t="str">
            <v>Penyusutan Peralatan</v>
          </cell>
          <cell r="D2436" t="str">
            <v>Maret</v>
          </cell>
          <cell r="F2436">
            <v>609009</v>
          </cell>
          <cell r="G2436" t="str">
            <v>Maret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</row>
        <row r="2437">
          <cell r="B2437">
            <v>609009</v>
          </cell>
          <cell r="C2437" t="str">
            <v>Penyusutan Peralatan</v>
          </cell>
          <cell r="D2437" t="str">
            <v>April</v>
          </cell>
          <cell r="F2437">
            <v>609009</v>
          </cell>
          <cell r="G2437" t="str">
            <v>April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</row>
        <row r="2438">
          <cell r="B2438">
            <v>609009</v>
          </cell>
          <cell r="C2438" t="str">
            <v>Penyusutan Peralatan</v>
          </cell>
          <cell r="D2438" t="str">
            <v>Mei</v>
          </cell>
          <cell r="F2438">
            <v>609009</v>
          </cell>
          <cell r="G2438" t="str">
            <v>Mei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</row>
        <row r="2439">
          <cell r="B2439">
            <v>609009</v>
          </cell>
          <cell r="C2439" t="str">
            <v>Penyusutan Peralatan</v>
          </cell>
          <cell r="D2439" t="str">
            <v>Juni</v>
          </cell>
          <cell r="F2439">
            <v>609009</v>
          </cell>
          <cell r="G2439" t="str">
            <v>Juni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</row>
        <row r="2440">
          <cell r="B2440">
            <v>609009</v>
          </cell>
          <cell r="C2440" t="str">
            <v>Penyusutan Peralatan</v>
          </cell>
          <cell r="D2440" t="str">
            <v>Juli</v>
          </cell>
          <cell r="F2440">
            <v>609009</v>
          </cell>
          <cell r="G2440" t="str">
            <v>Juli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</row>
        <row r="2441">
          <cell r="B2441">
            <v>609009</v>
          </cell>
          <cell r="C2441" t="str">
            <v>Penyusutan Peralatan</v>
          </cell>
          <cell r="D2441" t="str">
            <v>Agustus</v>
          </cell>
          <cell r="F2441">
            <v>609009</v>
          </cell>
          <cell r="G2441" t="str">
            <v>Agustus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</row>
        <row r="2442">
          <cell r="B2442">
            <v>609009</v>
          </cell>
          <cell r="C2442" t="str">
            <v>Penyusutan Peralatan</v>
          </cell>
          <cell r="D2442" t="str">
            <v>September</v>
          </cell>
          <cell r="F2442">
            <v>609009</v>
          </cell>
          <cell r="G2442" t="str">
            <v>September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</row>
        <row r="2443">
          <cell r="B2443">
            <v>609009</v>
          </cell>
          <cell r="C2443" t="str">
            <v>Penyusutan Peralatan</v>
          </cell>
          <cell r="D2443" t="str">
            <v>Oktober</v>
          </cell>
          <cell r="F2443">
            <v>609009</v>
          </cell>
          <cell r="G2443" t="str">
            <v>Oktober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</row>
        <row r="2444">
          <cell r="B2444">
            <v>609009</v>
          </cell>
          <cell r="C2444" t="str">
            <v>Penyusutan Peralatan</v>
          </cell>
          <cell r="D2444" t="str">
            <v>November</v>
          </cell>
          <cell r="F2444">
            <v>609009</v>
          </cell>
          <cell r="G2444" t="str">
            <v>November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</row>
        <row r="2445">
          <cell r="B2445">
            <v>609009</v>
          </cell>
          <cell r="C2445" t="str">
            <v>Penyusutan Peralatan</v>
          </cell>
          <cell r="D2445" t="str">
            <v>Desember</v>
          </cell>
          <cell r="F2445">
            <v>609009</v>
          </cell>
          <cell r="G2445" t="str">
            <v>Desember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</row>
        <row r="2446">
          <cell r="B2446">
            <v>609011</v>
          </cell>
          <cell r="C2446" t="str">
            <v>Material</v>
          </cell>
          <cell r="E2446" t="str">
            <v>609,011</v>
          </cell>
          <cell r="F2446">
            <v>609011</v>
          </cell>
          <cell r="G2446" t="str">
            <v>Material</v>
          </cell>
          <cell r="H2446">
            <v>51000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375000</v>
          </cell>
          <cell r="AA2446">
            <v>0</v>
          </cell>
          <cell r="AB2446">
            <v>426000</v>
          </cell>
          <cell r="AC2446">
            <v>0</v>
          </cell>
          <cell r="AD2446">
            <v>375000</v>
          </cell>
          <cell r="AE2446">
            <v>0</v>
          </cell>
        </row>
        <row r="2447">
          <cell r="B2447">
            <v>609011</v>
          </cell>
          <cell r="C2447" t="str">
            <v>Material</v>
          </cell>
          <cell r="D2447" t="str">
            <v>Januari</v>
          </cell>
          <cell r="F2447">
            <v>609011</v>
          </cell>
          <cell r="G2447" t="str">
            <v>Januari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</row>
        <row r="2448">
          <cell r="B2448">
            <v>609011</v>
          </cell>
          <cell r="C2448" t="str">
            <v>Material</v>
          </cell>
          <cell r="D2448" t="str">
            <v>Februari</v>
          </cell>
          <cell r="F2448">
            <v>609011</v>
          </cell>
          <cell r="G2448" t="str">
            <v>Februari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</row>
        <row r="2449">
          <cell r="B2449">
            <v>609011</v>
          </cell>
          <cell r="C2449" t="str">
            <v>Material</v>
          </cell>
          <cell r="D2449" t="str">
            <v>Maret</v>
          </cell>
          <cell r="F2449">
            <v>609011</v>
          </cell>
          <cell r="G2449" t="str">
            <v>Maret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</row>
        <row r="2450">
          <cell r="B2450">
            <v>609011</v>
          </cell>
          <cell r="C2450" t="str">
            <v>Material</v>
          </cell>
          <cell r="D2450" t="str">
            <v>April</v>
          </cell>
          <cell r="F2450">
            <v>609011</v>
          </cell>
          <cell r="G2450" t="str">
            <v>April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</row>
        <row r="2451">
          <cell r="B2451">
            <v>609011</v>
          </cell>
          <cell r="C2451" t="str">
            <v>Material</v>
          </cell>
          <cell r="D2451" t="str">
            <v>Mei</v>
          </cell>
          <cell r="F2451">
            <v>609011</v>
          </cell>
          <cell r="G2451" t="str">
            <v>Mei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</row>
        <row r="2452">
          <cell r="B2452">
            <v>609011</v>
          </cell>
          <cell r="C2452" t="str">
            <v>Material</v>
          </cell>
          <cell r="D2452" t="str">
            <v>Juni</v>
          </cell>
          <cell r="F2452">
            <v>609011</v>
          </cell>
          <cell r="G2452" t="str">
            <v>Juni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375000</v>
          </cell>
          <cell r="AA2452">
            <v>0</v>
          </cell>
          <cell r="AB2452">
            <v>375000</v>
          </cell>
          <cell r="AC2452">
            <v>0</v>
          </cell>
          <cell r="AD2452">
            <v>375000</v>
          </cell>
          <cell r="AE2452">
            <v>0</v>
          </cell>
        </row>
        <row r="2453">
          <cell r="B2453">
            <v>609011</v>
          </cell>
          <cell r="C2453" t="str">
            <v>Material</v>
          </cell>
          <cell r="D2453" t="str">
            <v>Juli</v>
          </cell>
          <cell r="F2453">
            <v>609011</v>
          </cell>
          <cell r="G2453" t="str">
            <v>Juli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</row>
        <row r="2454">
          <cell r="B2454">
            <v>609011</v>
          </cell>
          <cell r="C2454" t="str">
            <v>Material</v>
          </cell>
          <cell r="D2454" t="str">
            <v>Agustus</v>
          </cell>
          <cell r="F2454">
            <v>609011</v>
          </cell>
          <cell r="G2454" t="str">
            <v>Agustus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</row>
        <row r="2455">
          <cell r="B2455">
            <v>609011</v>
          </cell>
          <cell r="C2455" t="str">
            <v>Material</v>
          </cell>
          <cell r="D2455" t="str">
            <v>September</v>
          </cell>
          <cell r="F2455">
            <v>609011</v>
          </cell>
          <cell r="G2455" t="str">
            <v>September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</row>
        <row r="2456">
          <cell r="B2456">
            <v>609011</v>
          </cell>
          <cell r="C2456" t="str">
            <v>Material</v>
          </cell>
          <cell r="D2456" t="str">
            <v>Oktober</v>
          </cell>
          <cell r="F2456">
            <v>609011</v>
          </cell>
          <cell r="G2456" t="str">
            <v>Oktober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</row>
        <row r="2457">
          <cell r="B2457">
            <v>609011</v>
          </cell>
          <cell r="C2457" t="str">
            <v>Material</v>
          </cell>
          <cell r="D2457" t="str">
            <v>November</v>
          </cell>
          <cell r="F2457">
            <v>609011</v>
          </cell>
          <cell r="G2457" t="str">
            <v>November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</row>
        <row r="2458">
          <cell r="B2458">
            <v>609011</v>
          </cell>
          <cell r="C2458" t="str">
            <v>Material</v>
          </cell>
          <cell r="D2458" t="str">
            <v>Desember</v>
          </cell>
          <cell r="F2458">
            <v>609011</v>
          </cell>
          <cell r="G2458" t="str">
            <v>Desember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</row>
        <row r="2459">
          <cell r="B2459">
            <v>609012</v>
          </cell>
          <cell r="C2459" t="str">
            <v>Dinas Luar</v>
          </cell>
          <cell r="E2459" t="str">
            <v>609,012</v>
          </cell>
          <cell r="F2459">
            <v>609012</v>
          </cell>
          <cell r="G2459" t="str">
            <v>Dinas Luar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0</v>
          </cell>
          <cell r="AD2459">
            <v>0</v>
          </cell>
          <cell r="AE2459">
            <v>0</v>
          </cell>
        </row>
        <row r="2460">
          <cell r="B2460">
            <v>609012</v>
          </cell>
          <cell r="C2460" t="str">
            <v>Dinas Luar</v>
          </cell>
          <cell r="D2460" t="str">
            <v>Januari</v>
          </cell>
          <cell r="F2460">
            <v>609012</v>
          </cell>
          <cell r="G2460" t="str">
            <v>Januari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</row>
        <row r="2461">
          <cell r="B2461">
            <v>609012</v>
          </cell>
          <cell r="C2461" t="str">
            <v>Dinas Luar</v>
          </cell>
          <cell r="D2461" t="str">
            <v>Februari</v>
          </cell>
          <cell r="F2461">
            <v>609012</v>
          </cell>
          <cell r="G2461" t="str">
            <v>Februari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</row>
        <row r="2462">
          <cell r="B2462">
            <v>609012</v>
          </cell>
          <cell r="C2462" t="str">
            <v>Dinas Luar</v>
          </cell>
          <cell r="D2462" t="str">
            <v>Maret</v>
          </cell>
          <cell r="F2462">
            <v>609012</v>
          </cell>
          <cell r="G2462" t="str">
            <v>Maret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</row>
        <row r="2463">
          <cell r="B2463">
            <v>609012</v>
          </cell>
          <cell r="C2463" t="str">
            <v>Dinas Luar</v>
          </cell>
          <cell r="D2463" t="str">
            <v>April</v>
          </cell>
          <cell r="F2463">
            <v>609012</v>
          </cell>
          <cell r="G2463" t="str">
            <v>April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</row>
        <row r="2464">
          <cell r="B2464">
            <v>609012</v>
          </cell>
          <cell r="C2464" t="str">
            <v>Dinas Luar</v>
          </cell>
          <cell r="D2464" t="str">
            <v>Mei</v>
          </cell>
          <cell r="F2464">
            <v>609012</v>
          </cell>
          <cell r="G2464" t="str">
            <v>Mei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</row>
        <row r="2465">
          <cell r="B2465">
            <v>609012</v>
          </cell>
          <cell r="C2465" t="str">
            <v>Dinas Luar</v>
          </cell>
          <cell r="D2465" t="str">
            <v>Juni</v>
          </cell>
          <cell r="F2465">
            <v>609012</v>
          </cell>
          <cell r="G2465" t="str">
            <v>Juni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</row>
        <row r="2466">
          <cell r="B2466">
            <v>609012</v>
          </cell>
          <cell r="C2466" t="str">
            <v>Dinas Luar</v>
          </cell>
          <cell r="D2466" t="str">
            <v>Juli</v>
          </cell>
          <cell r="F2466">
            <v>609012</v>
          </cell>
          <cell r="G2466" t="str">
            <v>Juli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</row>
        <row r="2467">
          <cell r="B2467">
            <v>609012</v>
          </cell>
          <cell r="C2467" t="str">
            <v>Dinas Luar</v>
          </cell>
          <cell r="D2467" t="str">
            <v>Agustus</v>
          </cell>
          <cell r="F2467">
            <v>609012</v>
          </cell>
          <cell r="G2467" t="str">
            <v>Agustus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</row>
        <row r="2468">
          <cell r="B2468">
            <v>609012</v>
          </cell>
          <cell r="C2468" t="str">
            <v>Dinas Luar</v>
          </cell>
          <cell r="D2468" t="str">
            <v>September</v>
          </cell>
          <cell r="F2468">
            <v>609012</v>
          </cell>
          <cell r="G2468" t="str">
            <v>September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</row>
        <row r="2469">
          <cell r="B2469">
            <v>609012</v>
          </cell>
          <cell r="C2469" t="str">
            <v>Dinas Luar</v>
          </cell>
          <cell r="D2469" t="str">
            <v>Oktober</v>
          </cell>
          <cell r="F2469">
            <v>609012</v>
          </cell>
          <cell r="G2469" t="str">
            <v>Oktober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</row>
        <row r="2470">
          <cell r="B2470">
            <v>609012</v>
          </cell>
          <cell r="C2470" t="str">
            <v>Dinas Luar</v>
          </cell>
          <cell r="D2470" t="str">
            <v>November</v>
          </cell>
          <cell r="F2470">
            <v>609012</v>
          </cell>
          <cell r="G2470" t="str">
            <v>November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</row>
        <row r="2471">
          <cell r="B2471">
            <v>609012</v>
          </cell>
          <cell r="C2471" t="str">
            <v>Dinas Luar</v>
          </cell>
          <cell r="D2471" t="str">
            <v>Desember</v>
          </cell>
          <cell r="F2471">
            <v>609012</v>
          </cell>
          <cell r="G2471" t="str">
            <v>Desember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</row>
        <row r="2472">
          <cell r="B2472">
            <v>609013</v>
          </cell>
          <cell r="C2472" t="str">
            <v>Jasa Pihak ke 3</v>
          </cell>
          <cell r="E2472" t="str">
            <v>609,013</v>
          </cell>
          <cell r="F2472">
            <v>609013</v>
          </cell>
          <cell r="G2472" t="str">
            <v>Jasa Pihak ke 3</v>
          </cell>
          <cell r="H2472">
            <v>475500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475500</v>
          </cell>
          <cell r="AC2472">
            <v>0</v>
          </cell>
          <cell r="AD2472">
            <v>0</v>
          </cell>
          <cell r="AE2472">
            <v>0</v>
          </cell>
        </row>
        <row r="2473">
          <cell r="B2473">
            <v>609013</v>
          </cell>
          <cell r="C2473" t="str">
            <v>Jasa Pihak ke 3</v>
          </cell>
          <cell r="D2473" t="str">
            <v>Januari</v>
          </cell>
          <cell r="F2473">
            <v>609013</v>
          </cell>
          <cell r="G2473" t="str">
            <v>Januari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</row>
        <row r="2474">
          <cell r="B2474">
            <v>609013</v>
          </cell>
          <cell r="C2474" t="str">
            <v>Jasa Pihak ke 3</v>
          </cell>
          <cell r="D2474" t="str">
            <v>Februari</v>
          </cell>
          <cell r="F2474">
            <v>609013</v>
          </cell>
          <cell r="G2474" t="str">
            <v>Februari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</row>
        <row r="2475">
          <cell r="B2475">
            <v>609013</v>
          </cell>
          <cell r="C2475" t="str">
            <v>Jasa Pihak ke 3</v>
          </cell>
          <cell r="D2475" t="str">
            <v>Maret</v>
          </cell>
          <cell r="F2475">
            <v>609013</v>
          </cell>
          <cell r="G2475" t="str">
            <v>Maret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</row>
        <row r="2476">
          <cell r="B2476">
            <v>609013</v>
          </cell>
          <cell r="C2476" t="str">
            <v>Jasa Pihak ke 3</v>
          </cell>
          <cell r="D2476" t="str">
            <v>April</v>
          </cell>
          <cell r="F2476">
            <v>609013</v>
          </cell>
          <cell r="G2476" t="str">
            <v>April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</row>
        <row r="2477">
          <cell r="B2477">
            <v>609013</v>
          </cell>
          <cell r="C2477" t="str">
            <v>Jasa Pihak ke 3</v>
          </cell>
          <cell r="D2477" t="str">
            <v>Mei</v>
          </cell>
          <cell r="F2477">
            <v>609013</v>
          </cell>
          <cell r="G2477" t="str">
            <v>Mei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</row>
        <row r="2478">
          <cell r="B2478">
            <v>609013</v>
          </cell>
          <cell r="C2478" t="str">
            <v>Jasa Pihak ke 3</v>
          </cell>
          <cell r="D2478" t="str">
            <v>Juni</v>
          </cell>
          <cell r="F2478">
            <v>609013</v>
          </cell>
          <cell r="G2478" t="str">
            <v>Juni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</row>
        <row r="2479">
          <cell r="B2479">
            <v>609013</v>
          </cell>
          <cell r="C2479" t="str">
            <v>Jasa Pihak ke 3</v>
          </cell>
          <cell r="D2479" t="str">
            <v>Juli</v>
          </cell>
          <cell r="F2479">
            <v>609013</v>
          </cell>
          <cell r="G2479" t="str">
            <v>Juli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</row>
        <row r="2480">
          <cell r="B2480">
            <v>609013</v>
          </cell>
          <cell r="C2480" t="str">
            <v>Jasa Pihak ke 3</v>
          </cell>
          <cell r="D2480" t="str">
            <v>Agustus</v>
          </cell>
          <cell r="F2480">
            <v>609013</v>
          </cell>
          <cell r="G2480" t="str">
            <v>Agustus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</row>
        <row r="2481">
          <cell r="B2481">
            <v>609013</v>
          </cell>
          <cell r="C2481" t="str">
            <v>Jasa Pihak ke 3</v>
          </cell>
          <cell r="D2481" t="str">
            <v>September</v>
          </cell>
          <cell r="F2481">
            <v>609013</v>
          </cell>
          <cell r="G2481" t="str">
            <v>September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</row>
        <row r="2482">
          <cell r="B2482">
            <v>609013</v>
          </cell>
          <cell r="C2482" t="str">
            <v>Jasa Pihak ke 3</v>
          </cell>
          <cell r="D2482" t="str">
            <v>Oktober</v>
          </cell>
          <cell r="F2482">
            <v>609013</v>
          </cell>
          <cell r="G2482" t="str">
            <v>Oktober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</row>
        <row r="2483">
          <cell r="B2483">
            <v>609013</v>
          </cell>
          <cell r="C2483" t="str">
            <v>Jasa Pihak ke 3</v>
          </cell>
          <cell r="D2483" t="str">
            <v>November</v>
          </cell>
          <cell r="F2483">
            <v>609013</v>
          </cell>
          <cell r="G2483" t="str">
            <v>November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</row>
        <row r="2484">
          <cell r="B2484">
            <v>609013</v>
          </cell>
          <cell r="C2484" t="str">
            <v>Jasa Pihak ke 3</v>
          </cell>
          <cell r="D2484" t="str">
            <v>Desember</v>
          </cell>
          <cell r="F2484">
            <v>609013</v>
          </cell>
          <cell r="G2484" t="str">
            <v>Desember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</row>
        <row r="2485">
          <cell r="B2485">
            <v>609038</v>
          </cell>
          <cell r="C2485" t="str">
            <v>Perlengkapan Kantor</v>
          </cell>
          <cell r="E2485" t="str">
            <v>609,038</v>
          </cell>
          <cell r="F2485">
            <v>609038</v>
          </cell>
          <cell r="G2485" t="str">
            <v>Perlengkapan Kantor</v>
          </cell>
          <cell r="H2485">
            <v>70000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70000</v>
          </cell>
          <cell r="AC2485">
            <v>0</v>
          </cell>
          <cell r="AD2485">
            <v>0</v>
          </cell>
          <cell r="AE2485">
            <v>0</v>
          </cell>
        </row>
        <row r="2486">
          <cell r="B2486">
            <v>609038</v>
          </cell>
          <cell r="C2486" t="str">
            <v>Perlengkapan Kantor</v>
          </cell>
          <cell r="D2486" t="str">
            <v>Januari</v>
          </cell>
          <cell r="F2486">
            <v>609038</v>
          </cell>
          <cell r="G2486" t="str">
            <v>Januari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</row>
        <row r="2487">
          <cell r="B2487">
            <v>609038</v>
          </cell>
          <cell r="C2487" t="str">
            <v>Perlengkapan Kantor</v>
          </cell>
          <cell r="D2487" t="str">
            <v>Februari</v>
          </cell>
          <cell r="F2487">
            <v>609038</v>
          </cell>
          <cell r="G2487" t="str">
            <v>Februari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</row>
        <row r="2488">
          <cell r="B2488">
            <v>609038</v>
          </cell>
          <cell r="C2488" t="str">
            <v>Perlengkapan Kantor</v>
          </cell>
          <cell r="D2488" t="str">
            <v>Maret</v>
          </cell>
          <cell r="F2488">
            <v>609038</v>
          </cell>
          <cell r="G2488" t="str">
            <v>Maret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</row>
        <row r="2489">
          <cell r="B2489">
            <v>609038</v>
          </cell>
          <cell r="C2489" t="str">
            <v>Perlengkapan Kantor</v>
          </cell>
          <cell r="D2489" t="str">
            <v>April</v>
          </cell>
          <cell r="F2489">
            <v>609038</v>
          </cell>
          <cell r="G2489" t="str">
            <v>April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</row>
        <row r="2490">
          <cell r="B2490">
            <v>609038</v>
          </cell>
          <cell r="C2490" t="str">
            <v>Perlengkapan Kantor</v>
          </cell>
          <cell r="D2490" t="str">
            <v>Mei</v>
          </cell>
          <cell r="F2490">
            <v>609038</v>
          </cell>
          <cell r="G2490" t="str">
            <v>Mei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</row>
        <row r="2491">
          <cell r="B2491">
            <v>609038</v>
          </cell>
          <cell r="C2491" t="str">
            <v>Perlengkapan Kantor</v>
          </cell>
          <cell r="D2491" t="str">
            <v>Juni</v>
          </cell>
          <cell r="F2491">
            <v>609038</v>
          </cell>
          <cell r="G2491" t="str">
            <v>Juni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</row>
        <row r="2492">
          <cell r="B2492">
            <v>609038</v>
          </cell>
          <cell r="C2492" t="str">
            <v>Perlengkapan Kantor</v>
          </cell>
          <cell r="D2492" t="str">
            <v>Juli</v>
          </cell>
          <cell r="F2492">
            <v>609038</v>
          </cell>
          <cell r="G2492" t="str">
            <v>Juli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</row>
        <row r="2493">
          <cell r="B2493">
            <v>609038</v>
          </cell>
          <cell r="C2493" t="str">
            <v>Perlengkapan Kantor</v>
          </cell>
          <cell r="D2493" t="str">
            <v>Agustus</v>
          </cell>
          <cell r="F2493">
            <v>609038</v>
          </cell>
          <cell r="G2493" t="str">
            <v>Agustus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</row>
        <row r="2494">
          <cell r="B2494">
            <v>609038</v>
          </cell>
          <cell r="C2494" t="str">
            <v>Perlengkapan Kantor</v>
          </cell>
          <cell r="D2494" t="str">
            <v>September</v>
          </cell>
          <cell r="F2494">
            <v>609038</v>
          </cell>
          <cell r="G2494" t="str">
            <v>September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</row>
        <row r="2495">
          <cell r="B2495">
            <v>609038</v>
          </cell>
          <cell r="C2495" t="str">
            <v>Perlengkapan Kantor</v>
          </cell>
          <cell r="D2495" t="str">
            <v>Oktober</v>
          </cell>
          <cell r="F2495">
            <v>609038</v>
          </cell>
          <cell r="G2495" t="str">
            <v>Oktober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</row>
        <row r="2496">
          <cell r="B2496">
            <v>609038</v>
          </cell>
          <cell r="C2496" t="str">
            <v>Perlengkapan Kantor</v>
          </cell>
          <cell r="D2496" t="str">
            <v>November</v>
          </cell>
          <cell r="F2496">
            <v>609038</v>
          </cell>
          <cell r="G2496" t="str">
            <v>November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</row>
        <row r="2497">
          <cell r="B2497">
            <v>609038</v>
          </cell>
          <cell r="C2497" t="str">
            <v>Perlengkapan Kantor</v>
          </cell>
          <cell r="D2497" t="str">
            <v>Desember</v>
          </cell>
          <cell r="F2497">
            <v>609038</v>
          </cell>
          <cell r="G2497" t="str">
            <v>Desember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</row>
        <row r="2498">
          <cell r="B2498">
            <v>609014</v>
          </cell>
          <cell r="C2498" t="str">
            <v>BBM</v>
          </cell>
          <cell r="E2498" t="str">
            <v>609,014</v>
          </cell>
          <cell r="F2498">
            <v>609014</v>
          </cell>
          <cell r="G2498" t="str">
            <v>BBM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</row>
        <row r="2499">
          <cell r="B2499">
            <v>609014</v>
          </cell>
          <cell r="C2499" t="str">
            <v>BBM</v>
          </cell>
          <cell r="D2499" t="str">
            <v>Januari</v>
          </cell>
          <cell r="F2499">
            <v>609014</v>
          </cell>
          <cell r="G2499" t="str">
            <v>Januari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</row>
        <row r="2500">
          <cell r="B2500">
            <v>609014</v>
          </cell>
          <cell r="C2500" t="str">
            <v>BBM</v>
          </cell>
          <cell r="D2500" t="str">
            <v>Februari</v>
          </cell>
          <cell r="F2500">
            <v>609014</v>
          </cell>
          <cell r="G2500" t="str">
            <v>Februari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</row>
        <row r="2501">
          <cell r="B2501">
            <v>609014</v>
          </cell>
          <cell r="C2501" t="str">
            <v>BBM</v>
          </cell>
          <cell r="D2501" t="str">
            <v>Maret</v>
          </cell>
          <cell r="F2501">
            <v>609014</v>
          </cell>
          <cell r="G2501" t="str">
            <v>Maret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</row>
        <row r="2502">
          <cell r="B2502">
            <v>609014</v>
          </cell>
          <cell r="C2502" t="str">
            <v>BBM</v>
          </cell>
          <cell r="D2502" t="str">
            <v>April</v>
          </cell>
          <cell r="F2502">
            <v>609014</v>
          </cell>
          <cell r="G2502" t="str">
            <v>April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</row>
        <row r="2503">
          <cell r="B2503">
            <v>609014</v>
          </cell>
          <cell r="C2503" t="str">
            <v>BBM</v>
          </cell>
          <cell r="D2503" t="str">
            <v>Mei</v>
          </cell>
          <cell r="F2503">
            <v>609014</v>
          </cell>
          <cell r="G2503" t="str">
            <v>Mei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</row>
        <row r="2504">
          <cell r="B2504">
            <v>609014</v>
          </cell>
          <cell r="C2504" t="str">
            <v>BBM</v>
          </cell>
          <cell r="D2504" t="str">
            <v>Juni</v>
          </cell>
          <cell r="F2504">
            <v>609014</v>
          </cell>
          <cell r="G2504" t="str">
            <v>Juni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</row>
        <row r="2505">
          <cell r="B2505">
            <v>609014</v>
          </cell>
          <cell r="C2505" t="str">
            <v>BBM</v>
          </cell>
          <cell r="D2505" t="str">
            <v>Juli</v>
          </cell>
          <cell r="F2505">
            <v>609014</v>
          </cell>
          <cell r="G2505" t="str">
            <v>Juli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</row>
        <row r="2506">
          <cell r="B2506">
            <v>609014</v>
          </cell>
          <cell r="C2506" t="str">
            <v>BBM</v>
          </cell>
          <cell r="D2506" t="str">
            <v>Agustus</v>
          </cell>
          <cell r="F2506">
            <v>609014</v>
          </cell>
          <cell r="G2506" t="str">
            <v>Agustus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</row>
        <row r="2507">
          <cell r="B2507">
            <v>609014</v>
          </cell>
          <cell r="C2507" t="str">
            <v>BBM</v>
          </cell>
          <cell r="D2507" t="str">
            <v>September</v>
          </cell>
          <cell r="F2507">
            <v>609014</v>
          </cell>
          <cell r="G2507" t="str">
            <v>September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</row>
        <row r="2508">
          <cell r="B2508">
            <v>609014</v>
          </cell>
          <cell r="C2508" t="str">
            <v>BBM</v>
          </cell>
          <cell r="D2508" t="str">
            <v>Oktober</v>
          </cell>
          <cell r="F2508">
            <v>609014</v>
          </cell>
          <cell r="G2508" t="str">
            <v>Oktober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</row>
        <row r="2509">
          <cell r="B2509">
            <v>609014</v>
          </cell>
          <cell r="C2509" t="str">
            <v>BBM</v>
          </cell>
          <cell r="D2509" t="str">
            <v>November</v>
          </cell>
          <cell r="F2509">
            <v>609014</v>
          </cell>
          <cell r="G2509" t="str">
            <v>November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</row>
        <row r="2510">
          <cell r="B2510">
            <v>609014</v>
          </cell>
          <cell r="C2510" t="str">
            <v>BBM</v>
          </cell>
          <cell r="D2510" t="str">
            <v>Desember</v>
          </cell>
          <cell r="F2510">
            <v>609014</v>
          </cell>
          <cell r="G2510" t="str">
            <v>Desember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</row>
        <row r="2511">
          <cell r="B2511">
            <v>609015</v>
          </cell>
          <cell r="C2511" t="str">
            <v>Perawatan Peralatan &amp; Kendaraan</v>
          </cell>
          <cell r="E2511" t="str">
            <v>609,015</v>
          </cell>
          <cell r="F2511">
            <v>609015</v>
          </cell>
          <cell r="G2511" t="str">
            <v>Perawatan Peralatan &amp; Kendaraan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</row>
        <row r="2512">
          <cell r="B2512">
            <v>609015</v>
          </cell>
          <cell r="C2512" t="str">
            <v>Perawatan Peralatan &amp; Kendaraan</v>
          </cell>
          <cell r="D2512" t="str">
            <v>Januari</v>
          </cell>
          <cell r="F2512">
            <v>609015</v>
          </cell>
          <cell r="G2512" t="str">
            <v>Januari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</row>
        <row r="2513">
          <cell r="B2513">
            <v>609015</v>
          </cell>
          <cell r="C2513" t="str">
            <v>Perawatan Peralatan &amp; Kendaraan</v>
          </cell>
          <cell r="D2513" t="str">
            <v>Februari</v>
          </cell>
          <cell r="F2513">
            <v>609015</v>
          </cell>
          <cell r="G2513" t="str">
            <v>Februari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</row>
        <row r="2514">
          <cell r="B2514">
            <v>609015</v>
          </cell>
          <cell r="C2514" t="str">
            <v>Perawatan Peralatan &amp; Kendaraan</v>
          </cell>
          <cell r="D2514" t="str">
            <v>Maret</v>
          </cell>
          <cell r="F2514">
            <v>609015</v>
          </cell>
          <cell r="G2514" t="str">
            <v>Maret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</row>
        <row r="2515">
          <cell r="B2515">
            <v>609015</v>
          </cell>
          <cell r="C2515" t="str">
            <v>Perawatan Peralatan &amp; Kendaraan</v>
          </cell>
          <cell r="D2515" t="str">
            <v>April</v>
          </cell>
          <cell r="F2515">
            <v>609015</v>
          </cell>
          <cell r="G2515" t="str">
            <v>April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</row>
        <row r="2516">
          <cell r="B2516">
            <v>609015</v>
          </cell>
          <cell r="C2516" t="str">
            <v>Perawatan Peralatan &amp; Kendaraan</v>
          </cell>
          <cell r="D2516" t="str">
            <v>Mei</v>
          </cell>
          <cell r="F2516">
            <v>609015</v>
          </cell>
          <cell r="G2516" t="str">
            <v>Mei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</row>
        <row r="2517">
          <cell r="B2517">
            <v>609015</v>
          </cell>
          <cell r="C2517" t="str">
            <v>Perawatan Peralatan &amp; Kendaraan</v>
          </cell>
          <cell r="D2517" t="str">
            <v>Juni</v>
          </cell>
          <cell r="F2517">
            <v>609015</v>
          </cell>
          <cell r="G2517" t="str">
            <v>Juni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</row>
        <row r="2518">
          <cell r="B2518">
            <v>609015</v>
          </cell>
          <cell r="C2518" t="str">
            <v>Perawatan Peralatan &amp; Kendaraan</v>
          </cell>
          <cell r="D2518" t="str">
            <v>Juli</v>
          </cell>
          <cell r="F2518">
            <v>609015</v>
          </cell>
          <cell r="G2518" t="str">
            <v>Juli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</row>
        <row r="2519">
          <cell r="B2519">
            <v>609015</v>
          </cell>
          <cell r="C2519" t="str">
            <v>Perawatan Peralatan &amp; Kendaraan</v>
          </cell>
          <cell r="D2519" t="str">
            <v>Agustus</v>
          </cell>
          <cell r="F2519">
            <v>609015</v>
          </cell>
          <cell r="G2519" t="str">
            <v>Agustus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</row>
        <row r="2520">
          <cell r="B2520">
            <v>609015</v>
          </cell>
          <cell r="C2520" t="str">
            <v>Perawatan Peralatan &amp; Kendaraan</v>
          </cell>
          <cell r="D2520" t="str">
            <v>September</v>
          </cell>
          <cell r="F2520">
            <v>609015</v>
          </cell>
          <cell r="G2520" t="str">
            <v>September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</row>
        <row r="2521">
          <cell r="B2521">
            <v>609015</v>
          </cell>
          <cell r="C2521" t="str">
            <v>Perawatan Peralatan &amp; Kendaraan</v>
          </cell>
          <cell r="D2521" t="str">
            <v>Oktober</v>
          </cell>
          <cell r="F2521">
            <v>609015</v>
          </cell>
          <cell r="G2521" t="str">
            <v>Oktober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</row>
        <row r="2522">
          <cell r="B2522">
            <v>609015</v>
          </cell>
          <cell r="C2522" t="str">
            <v>Perawatan Peralatan &amp; Kendaraan</v>
          </cell>
          <cell r="D2522" t="str">
            <v>November</v>
          </cell>
          <cell r="F2522">
            <v>609015</v>
          </cell>
          <cell r="G2522" t="str">
            <v>November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  <cell r="Z2522">
            <v>0</v>
          </cell>
          <cell r="AA2522">
            <v>0</v>
          </cell>
          <cell r="AB2522">
            <v>0</v>
          </cell>
          <cell r="AC2522">
            <v>0</v>
          </cell>
          <cell r="AD2522">
            <v>0</v>
          </cell>
          <cell r="AE2522">
            <v>0</v>
          </cell>
        </row>
        <row r="2523">
          <cell r="B2523">
            <v>609015</v>
          </cell>
          <cell r="C2523" t="str">
            <v>Perawatan Peralatan &amp; Kendaraan</v>
          </cell>
          <cell r="D2523" t="str">
            <v>Desember</v>
          </cell>
          <cell r="F2523">
            <v>609015</v>
          </cell>
          <cell r="G2523" t="str">
            <v>Desember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</row>
        <row r="2524">
          <cell r="B2524">
            <v>609016</v>
          </cell>
          <cell r="C2524" t="str">
            <v>Insentif</v>
          </cell>
          <cell r="E2524" t="str">
            <v>609,016</v>
          </cell>
          <cell r="F2524">
            <v>609016</v>
          </cell>
          <cell r="G2524" t="str">
            <v>Insentif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</row>
        <row r="2525">
          <cell r="B2525">
            <v>609016</v>
          </cell>
          <cell r="C2525" t="str">
            <v>Insentif</v>
          </cell>
          <cell r="D2525" t="str">
            <v>Januari</v>
          </cell>
          <cell r="F2525">
            <v>609016</v>
          </cell>
          <cell r="G2525" t="str">
            <v>Januari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</row>
        <row r="2526">
          <cell r="B2526">
            <v>609016</v>
          </cell>
          <cell r="C2526" t="str">
            <v>Insentif</v>
          </cell>
          <cell r="D2526" t="str">
            <v>Februari</v>
          </cell>
          <cell r="F2526">
            <v>609016</v>
          </cell>
          <cell r="G2526" t="str">
            <v>Februari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</row>
        <row r="2527">
          <cell r="B2527">
            <v>609016</v>
          </cell>
          <cell r="C2527" t="str">
            <v>Insentif</v>
          </cell>
          <cell r="D2527" t="str">
            <v>Maret</v>
          </cell>
          <cell r="F2527">
            <v>609016</v>
          </cell>
          <cell r="G2527" t="str">
            <v>Maret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</row>
        <row r="2528">
          <cell r="B2528">
            <v>609016</v>
          </cell>
          <cell r="C2528" t="str">
            <v>Insentif</v>
          </cell>
          <cell r="D2528" t="str">
            <v>April</v>
          </cell>
          <cell r="F2528">
            <v>609016</v>
          </cell>
          <cell r="G2528" t="str">
            <v>April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</row>
        <row r="2529">
          <cell r="B2529">
            <v>609016</v>
          </cell>
          <cell r="C2529" t="str">
            <v>Insentif</v>
          </cell>
          <cell r="D2529" t="str">
            <v>Mei</v>
          </cell>
          <cell r="F2529">
            <v>609016</v>
          </cell>
          <cell r="G2529" t="str">
            <v>Mei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</row>
        <row r="2530">
          <cell r="B2530">
            <v>609016</v>
          </cell>
          <cell r="C2530" t="str">
            <v>Insentif</v>
          </cell>
          <cell r="D2530" t="str">
            <v>Juni</v>
          </cell>
          <cell r="F2530">
            <v>609016</v>
          </cell>
          <cell r="G2530" t="str">
            <v>Juni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</row>
        <row r="2531">
          <cell r="B2531">
            <v>609016</v>
          </cell>
          <cell r="C2531" t="str">
            <v>Insentif</v>
          </cell>
          <cell r="D2531" t="str">
            <v>Juli</v>
          </cell>
          <cell r="F2531">
            <v>609016</v>
          </cell>
          <cell r="G2531" t="str">
            <v>Juli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</row>
        <row r="2532">
          <cell r="B2532">
            <v>609016</v>
          </cell>
          <cell r="C2532" t="str">
            <v>Insentif</v>
          </cell>
          <cell r="D2532" t="str">
            <v>Agustus</v>
          </cell>
          <cell r="F2532">
            <v>609016</v>
          </cell>
          <cell r="G2532" t="str">
            <v>Agustus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</row>
        <row r="2533">
          <cell r="B2533">
            <v>609016</v>
          </cell>
          <cell r="C2533" t="str">
            <v>Insentif</v>
          </cell>
          <cell r="D2533" t="str">
            <v>September</v>
          </cell>
          <cell r="F2533">
            <v>609016</v>
          </cell>
          <cell r="G2533" t="str">
            <v>September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</row>
        <row r="2534">
          <cell r="B2534">
            <v>609016</v>
          </cell>
          <cell r="C2534" t="str">
            <v>Insentif</v>
          </cell>
          <cell r="D2534" t="str">
            <v>Oktober</v>
          </cell>
          <cell r="F2534">
            <v>609016</v>
          </cell>
          <cell r="G2534" t="str">
            <v>Oktober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</row>
        <row r="2535">
          <cell r="B2535">
            <v>609016</v>
          </cell>
          <cell r="C2535" t="str">
            <v>Insentif</v>
          </cell>
          <cell r="D2535" t="str">
            <v>November</v>
          </cell>
          <cell r="F2535">
            <v>609016</v>
          </cell>
          <cell r="G2535" t="str">
            <v>November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</row>
        <row r="2536">
          <cell r="B2536">
            <v>609016</v>
          </cell>
          <cell r="C2536" t="str">
            <v>Insentif</v>
          </cell>
          <cell r="D2536" t="str">
            <v>Desember</v>
          </cell>
          <cell r="F2536">
            <v>609016</v>
          </cell>
          <cell r="G2536" t="str">
            <v>Desember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</row>
        <row r="2537">
          <cell r="B2537">
            <v>609016</v>
          </cell>
          <cell r="F2537">
            <v>609016</v>
          </cell>
          <cell r="H2537">
            <v>0</v>
          </cell>
          <cell r="I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</row>
        <row r="2538">
          <cell r="B2538">
            <v>610000</v>
          </cell>
          <cell r="C2538" t="str">
            <v>Beban Usaha Cucian</v>
          </cell>
          <cell r="E2538">
            <v>610</v>
          </cell>
          <cell r="F2538">
            <v>610000</v>
          </cell>
          <cell r="G2538" t="str">
            <v>Beban Usaha Cucian</v>
          </cell>
          <cell r="H2538">
            <v>0</v>
          </cell>
          <cell r="I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</row>
        <row r="2539">
          <cell r="B2539">
            <v>610001</v>
          </cell>
          <cell r="C2539" t="str">
            <v>Gaji</v>
          </cell>
          <cell r="E2539">
            <v>610.00099999999998</v>
          </cell>
          <cell r="F2539">
            <v>610001</v>
          </cell>
          <cell r="G2539" t="str">
            <v>Gaji</v>
          </cell>
          <cell r="H2539">
            <v>10100000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10100000</v>
          </cell>
          <cell r="AC2539">
            <v>0</v>
          </cell>
          <cell r="AD2539">
            <v>0</v>
          </cell>
          <cell r="AE2539">
            <v>0</v>
          </cell>
        </row>
        <row r="2540">
          <cell r="B2540">
            <v>610001</v>
          </cell>
          <cell r="C2540" t="str">
            <v>Gaji</v>
          </cell>
          <cell r="D2540" t="str">
            <v>Januari</v>
          </cell>
          <cell r="F2540">
            <v>610001</v>
          </cell>
          <cell r="G2540" t="str">
            <v>Januari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</row>
        <row r="2541">
          <cell r="B2541">
            <v>610001</v>
          </cell>
          <cell r="C2541" t="str">
            <v>Gaji</v>
          </cell>
          <cell r="D2541" t="str">
            <v>Februari</v>
          </cell>
          <cell r="F2541">
            <v>610001</v>
          </cell>
          <cell r="G2541" t="str">
            <v>Februari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</row>
        <row r="2542">
          <cell r="B2542">
            <v>610001</v>
          </cell>
          <cell r="C2542" t="str">
            <v>Gaji</v>
          </cell>
          <cell r="D2542" t="str">
            <v>Maret</v>
          </cell>
          <cell r="F2542">
            <v>610001</v>
          </cell>
          <cell r="G2542" t="str">
            <v>Maret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</row>
        <row r="2543">
          <cell r="B2543">
            <v>610001</v>
          </cell>
          <cell r="C2543" t="str">
            <v>Gaji</v>
          </cell>
          <cell r="D2543" t="str">
            <v>April</v>
          </cell>
          <cell r="F2543">
            <v>610001</v>
          </cell>
          <cell r="G2543" t="str">
            <v>April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</row>
        <row r="2544">
          <cell r="B2544">
            <v>610001</v>
          </cell>
          <cell r="C2544" t="str">
            <v>Gaji</v>
          </cell>
          <cell r="D2544" t="str">
            <v>Mei</v>
          </cell>
          <cell r="F2544">
            <v>610001</v>
          </cell>
          <cell r="G2544" t="str">
            <v>Mei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</row>
        <row r="2545">
          <cell r="B2545">
            <v>610001</v>
          </cell>
          <cell r="C2545" t="str">
            <v>Gaji</v>
          </cell>
          <cell r="D2545" t="str">
            <v>Juni</v>
          </cell>
          <cell r="F2545">
            <v>610001</v>
          </cell>
          <cell r="G2545" t="str">
            <v>Juni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</row>
        <row r="2546">
          <cell r="B2546">
            <v>610001</v>
          </cell>
          <cell r="C2546" t="str">
            <v>Gaji</v>
          </cell>
          <cell r="D2546" t="str">
            <v>Juli</v>
          </cell>
          <cell r="F2546">
            <v>610001</v>
          </cell>
          <cell r="G2546" t="str">
            <v>Juli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</row>
        <row r="2547">
          <cell r="B2547">
            <v>610001</v>
          </cell>
          <cell r="C2547" t="str">
            <v>Gaji</v>
          </cell>
          <cell r="D2547" t="str">
            <v>Agustus</v>
          </cell>
          <cell r="F2547">
            <v>610001</v>
          </cell>
          <cell r="G2547" t="str">
            <v>Agustus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</row>
        <row r="2548">
          <cell r="B2548">
            <v>610001</v>
          </cell>
          <cell r="C2548" t="str">
            <v>Gaji</v>
          </cell>
          <cell r="D2548" t="str">
            <v>September</v>
          </cell>
          <cell r="F2548">
            <v>610001</v>
          </cell>
          <cell r="G2548" t="str">
            <v>September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</row>
        <row r="2549">
          <cell r="B2549">
            <v>610001</v>
          </cell>
          <cell r="C2549" t="str">
            <v>Gaji</v>
          </cell>
          <cell r="D2549" t="str">
            <v>Oktober</v>
          </cell>
          <cell r="F2549">
            <v>610001</v>
          </cell>
          <cell r="G2549" t="str">
            <v>Oktober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</row>
        <row r="2550">
          <cell r="B2550">
            <v>610001</v>
          </cell>
          <cell r="C2550" t="str">
            <v>Gaji</v>
          </cell>
          <cell r="D2550" t="str">
            <v>November</v>
          </cell>
          <cell r="F2550">
            <v>610001</v>
          </cell>
          <cell r="G2550" t="str">
            <v>November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</row>
        <row r="2551">
          <cell r="B2551">
            <v>610001</v>
          </cell>
          <cell r="C2551" t="str">
            <v>Gaji</v>
          </cell>
          <cell r="D2551" t="str">
            <v>Desember</v>
          </cell>
          <cell r="F2551">
            <v>610001</v>
          </cell>
          <cell r="G2551" t="str">
            <v>Desember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</row>
        <row r="2552">
          <cell r="B2552">
            <v>610002</v>
          </cell>
          <cell r="C2552" t="str">
            <v>Tunjangan makan</v>
          </cell>
          <cell r="E2552">
            <v>610.00199999999995</v>
          </cell>
          <cell r="F2552">
            <v>610002</v>
          </cell>
          <cell r="G2552" t="str">
            <v>Tunjangan makan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</row>
        <row r="2553">
          <cell r="B2553">
            <v>610002</v>
          </cell>
          <cell r="C2553" t="str">
            <v>Tunjangan makan</v>
          </cell>
          <cell r="D2553" t="str">
            <v>Januari</v>
          </cell>
          <cell r="F2553">
            <v>610002</v>
          </cell>
          <cell r="G2553" t="str">
            <v>Januari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</row>
        <row r="2554">
          <cell r="B2554">
            <v>610002</v>
          </cell>
          <cell r="C2554" t="str">
            <v>Tunjangan makan</v>
          </cell>
          <cell r="D2554" t="str">
            <v>Februari</v>
          </cell>
          <cell r="F2554">
            <v>610002</v>
          </cell>
          <cell r="G2554" t="str">
            <v>Februari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</row>
        <row r="2555">
          <cell r="B2555">
            <v>610002</v>
          </cell>
          <cell r="C2555" t="str">
            <v>Tunjangan makan</v>
          </cell>
          <cell r="D2555" t="str">
            <v>Maret</v>
          </cell>
          <cell r="F2555">
            <v>610002</v>
          </cell>
          <cell r="G2555" t="str">
            <v>Maret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</row>
        <row r="2556">
          <cell r="B2556">
            <v>610002</v>
          </cell>
          <cell r="C2556" t="str">
            <v>Tunjangan makan</v>
          </cell>
          <cell r="D2556" t="str">
            <v>April</v>
          </cell>
          <cell r="F2556">
            <v>610002</v>
          </cell>
          <cell r="G2556" t="str">
            <v>April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</row>
        <row r="2557">
          <cell r="B2557">
            <v>610002</v>
          </cell>
          <cell r="C2557" t="str">
            <v>Tunjangan makan</v>
          </cell>
          <cell r="D2557" t="str">
            <v>Mei</v>
          </cell>
          <cell r="F2557">
            <v>610002</v>
          </cell>
          <cell r="G2557" t="str">
            <v>Mei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</row>
        <row r="2558">
          <cell r="B2558">
            <v>610002</v>
          </cell>
          <cell r="C2558" t="str">
            <v>Tunjangan makan</v>
          </cell>
          <cell r="D2558" t="str">
            <v>Juni</v>
          </cell>
          <cell r="F2558">
            <v>610002</v>
          </cell>
          <cell r="G2558" t="str">
            <v>Juni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</row>
        <row r="2559">
          <cell r="B2559">
            <v>610002</v>
          </cell>
          <cell r="C2559" t="str">
            <v>Tunjangan makan</v>
          </cell>
          <cell r="D2559" t="str">
            <v>Juli</v>
          </cell>
          <cell r="F2559">
            <v>610002</v>
          </cell>
          <cell r="G2559" t="str">
            <v>Juli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</row>
        <row r="2560">
          <cell r="B2560">
            <v>610002</v>
          </cell>
          <cell r="C2560" t="str">
            <v>Tunjangan makan</v>
          </cell>
          <cell r="D2560" t="str">
            <v>Agustus</v>
          </cell>
          <cell r="F2560">
            <v>610002</v>
          </cell>
          <cell r="G2560" t="str">
            <v>Agustus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0</v>
          </cell>
          <cell r="AD2560">
            <v>0</v>
          </cell>
          <cell r="AE2560">
            <v>0</v>
          </cell>
        </row>
        <row r="2561">
          <cell r="B2561">
            <v>610002</v>
          </cell>
          <cell r="C2561" t="str">
            <v>Tunjangan makan</v>
          </cell>
          <cell r="D2561" t="str">
            <v>September</v>
          </cell>
          <cell r="F2561">
            <v>610002</v>
          </cell>
          <cell r="G2561" t="str">
            <v>September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</row>
        <row r="2562">
          <cell r="B2562">
            <v>610002</v>
          </cell>
          <cell r="C2562" t="str">
            <v>Tunjangan makan</v>
          </cell>
          <cell r="D2562" t="str">
            <v>Oktober</v>
          </cell>
          <cell r="F2562">
            <v>610002</v>
          </cell>
          <cell r="G2562" t="str">
            <v>Oktober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</row>
        <row r="2563">
          <cell r="B2563">
            <v>610002</v>
          </cell>
          <cell r="C2563" t="str">
            <v>Tunjangan makan</v>
          </cell>
          <cell r="D2563" t="str">
            <v>November</v>
          </cell>
          <cell r="F2563">
            <v>610002</v>
          </cell>
          <cell r="G2563" t="str">
            <v>November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</row>
        <row r="2564">
          <cell r="B2564">
            <v>610002</v>
          </cell>
          <cell r="C2564" t="str">
            <v>Tunjangan makan</v>
          </cell>
          <cell r="D2564" t="str">
            <v>Desember</v>
          </cell>
          <cell r="F2564">
            <v>610002</v>
          </cell>
          <cell r="G2564" t="str">
            <v>Desember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</row>
        <row r="2565">
          <cell r="B2565">
            <v>610003</v>
          </cell>
          <cell r="C2565" t="str">
            <v>Lembur</v>
          </cell>
          <cell r="E2565">
            <v>610.00300000000004</v>
          </cell>
          <cell r="F2565">
            <v>610003</v>
          </cell>
          <cell r="G2565" t="str">
            <v>Lembur</v>
          </cell>
          <cell r="H2565">
            <v>1455564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1455564</v>
          </cell>
          <cell r="AC2565">
            <v>0</v>
          </cell>
          <cell r="AD2565">
            <v>0</v>
          </cell>
          <cell r="AE2565">
            <v>0</v>
          </cell>
        </row>
        <row r="2566">
          <cell r="B2566">
            <v>610003</v>
          </cell>
          <cell r="C2566" t="str">
            <v>Lembur</v>
          </cell>
          <cell r="D2566" t="str">
            <v>Januari</v>
          </cell>
          <cell r="F2566">
            <v>610003</v>
          </cell>
          <cell r="G2566" t="str">
            <v>Januari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</row>
        <row r="2567">
          <cell r="B2567">
            <v>610003</v>
          </cell>
          <cell r="C2567" t="str">
            <v>Lembur</v>
          </cell>
          <cell r="D2567" t="str">
            <v>Februari</v>
          </cell>
          <cell r="F2567">
            <v>610003</v>
          </cell>
          <cell r="G2567" t="str">
            <v>Februari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</row>
        <row r="2568">
          <cell r="B2568">
            <v>610003</v>
          </cell>
          <cell r="C2568" t="str">
            <v>Lembur</v>
          </cell>
          <cell r="D2568" t="str">
            <v>Maret</v>
          </cell>
          <cell r="F2568">
            <v>610003</v>
          </cell>
          <cell r="G2568" t="str">
            <v>Maret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</row>
        <row r="2569">
          <cell r="B2569">
            <v>610003</v>
          </cell>
          <cell r="C2569" t="str">
            <v>Lembur</v>
          </cell>
          <cell r="D2569" t="str">
            <v>April</v>
          </cell>
          <cell r="F2569">
            <v>610003</v>
          </cell>
          <cell r="G2569" t="str">
            <v>April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</row>
        <row r="2570">
          <cell r="B2570">
            <v>610003</v>
          </cell>
          <cell r="C2570" t="str">
            <v>Lembur</v>
          </cell>
          <cell r="D2570" t="str">
            <v>Mei</v>
          </cell>
          <cell r="F2570">
            <v>610003</v>
          </cell>
          <cell r="G2570" t="str">
            <v>Mei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</row>
        <row r="2571">
          <cell r="B2571">
            <v>610003</v>
          </cell>
          <cell r="C2571" t="str">
            <v>Lembur</v>
          </cell>
          <cell r="D2571" t="str">
            <v>Juni</v>
          </cell>
          <cell r="F2571">
            <v>610003</v>
          </cell>
          <cell r="G2571" t="str">
            <v>Juni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</row>
        <row r="2572">
          <cell r="B2572">
            <v>610003</v>
          </cell>
          <cell r="C2572" t="str">
            <v>Lembur</v>
          </cell>
          <cell r="D2572" t="str">
            <v>Juli</v>
          </cell>
          <cell r="F2572">
            <v>610003</v>
          </cell>
          <cell r="G2572" t="str">
            <v>Juli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</row>
        <row r="2573">
          <cell r="B2573">
            <v>610003</v>
          </cell>
          <cell r="C2573" t="str">
            <v>Lembur</v>
          </cell>
          <cell r="D2573" t="str">
            <v>Agustus</v>
          </cell>
          <cell r="F2573">
            <v>610003</v>
          </cell>
          <cell r="G2573" t="str">
            <v>Agustus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0</v>
          </cell>
        </row>
        <row r="2574">
          <cell r="B2574">
            <v>610003</v>
          </cell>
          <cell r="C2574" t="str">
            <v>Lembur</v>
          </cell>
          <cell r="D2574" t="str">
            <v>September</v>
          </cell>
          <cell r="F2574">
            <v>610003</v>
          </cell>
          <cell r="G2574" t="str">
            <v>September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0</v>
          </cell>
        </row>
        <row r="2575">
          <cell r="B2575">
            <v>610003</v>
          </cell>
          <cell r="C2575" t="str">
            <v>Lembur</v>
          </cell>
          <cell r="D2575" t="str">
            <v>Oktober</v>
          </cell>
          <cell r="F2575">
            <v>610003</v>
          </cell>
          <cell r="G2575" t="str">
            <v>Oktober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0</v>
          </cell>
        </row>
        <row r="2576">
          <cell r="B2576">
            <v>610003</v>
          </cell>
          <cell r="C2576" t="str">
            <v>Lembur</v>
          </cell>
          <cell r="D2576" t="str">
            <v>November</v>
          </cell>
          <cell r="F2576">
            <v>610003</v>
          </cell>
          <cell r="G2576" t="str">
            <v>November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</row>
        <row r="2577">
          <cell r="B2577">
            <v>610003</v>
          </cell>
          <cell r="C2577" t="str">
            <v>Lembur</v>
          </cell>
          <cell r="D2577" t="str">
            <v>Desember</v>
          </cell>
          <cell r="F2577">
            <v>610003</v>
          </cell>
          <cell r="G2577" t="str">
            <v>Desember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</row>
        <row r="2578">
          <cell r="B2578">
            <v>610004</v>
          </cell>
          <cell r="C2578" t="str">
            <v>THR</v>
          </cell>
          <cell r="E2578">
            <v>610.00400000000002</v>
          </cell>
          <cell r="F2578">
            <v>610004</v>
          </cell>
          <cell r="G2578" t="str">
            <v>THR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</row>
        <row r="2579">
          <cell r="B2579">
            <v>610004</v>
          </cell>
          <cell r="C2579" t="str">
            <v>THR</v>
          </cell>
          <cell r="D2579" t="str">
            <v>Januari</v>
          </cell>
          <cell r="F2579">
            <v>610004</v>
          </cell>
          <cell r="G2579" t="str">
            <v>Januari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</row>
        <row r="2580">
          <cell r="B2580">
            <v>610004</v>
          </cell>
          <cell r="C2580" t="str">
            <v>THR</v>
          </cell>
          <cell r="D2580" t="str">
            <v>Februari</v>
          </cell>
          <cell r="F2580">
            <v>610004</v>
          </cell>
          <cell r="G2580" t="str">
            <v>Februari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</row>
        <row r="2581">
          <cell r="B2581">
            <v>610004</v>
          </cell>
          <cell r="C2581" t="str">
            <v>THR</v>
          </cell>
          <cell r="D2581" t="str">
            <v>Maret</v>
          </cell>
          <cell r="F2581">
            <v>610004</v>
          </cell>
          <cell r="G2581" t="str">
            <v>Maret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</row>
        <row r="2582">
          <cell r="B2582">
            <v>610004</v>
          </cell>
          <cell r="C2582" t="str">
            <v>THR</v>
          </cell>
          <cell r="D2582" t="str">
            <v>April</v>
          </cell>
          <cell r="F2582">
            <v>610004</v>
          </cell>
          <cell r="G2582" t="str">
            <v>April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</row>
        <row r="2583">
          <cell r="B2583">
            <v>610004</v>
          </cell>
          <cell r="C2583" t="str">
            <v>THR</v>
          </cell>
          <cell r="D2583" t="str">
            <v>Mei</v>
          </cell>
          <cell r="F2583">
            <v>610004</v>
          </cell>
          <cell r="G2583" t="str">
            <v>Mei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</row>
        <row r="2584">
          <cell r="B2584">
            <v>610004</v>
          </cell>
          <cell r="C2584" t="str">
            <v>THR</v>
          </cell>
          <cell r="D2584" t="str">
            <v>Juni</v>
          </cell>
          <cell r="F2584">
            <v>610004</v>
          </cell>
          <cell r="G2584" t="str">
            <v>Juni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0</v>
          </cell>
          <cell r="AD2584">
            <v>0</v>
          </cell>
          <cell r="AE2584">
            <v>0</v>
          </cell>
        </row>
        <row r="2585">
          <cell r="B2585">
            <v>610004</v>
          </cell>
          <cell r="C2585" t="str">
            <v>THR</v>
          </cell>
          <cell r="D2585" t="str">
            <v>Juli</v>
          </cell>
          <cell r="F2585">
            <v>610004</v>
          </cell>
          <cell r="G2585" t="str">
            <v>Juli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</row>
        <row r="2586">
          <cell r="B2586">
            <v>610004</v>
          </cell>
          <cell r="C2586" t="str">
            <v>THR</v>
          </cell>
          <cell r="D2586" t="str">
            <v>Agustus</v>
          </cell>
          <cell r="F2586">
            <v>610004</v>
          </cell>
          <cell r="G2586" t="str">
            <v>Agustus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</row>
        <row r="2587">
          <cell r="B2587">
            <v>610004</v>
          </cell>
          <cell r="C2587" t="str">
            <v>THR</v>
          </cell>
          <cell r="D2587" t="str">
            <v>September</v>
          </cell>
          <cell r="F2587">
            <v>610004</v>
          </cell>
          <cell r="G2587" t="str">
            <v>September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</row>
        <row r="2588">
          <cell r="B2588">
            <v>610004</v>
          </cell>
          <cell r="C2588" t="str">
            <v>THR</v>
          </cell>
          <cell r="D2588" t="str">
            <v>Oktober</v>
          </cell>
          <cell r="F2588">
            <v>610004</v>
          </cell>
          <cell r="G2588" t="str">
            <v>Oktober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</row>
        <row r="2589">
          <cell r="B2589">
            <v>610004</v>
          </cell>
          <cell r="C2589" t="str">
            <v>THR</v>
          </cell>
          <cell r="D2589" t="str">
            <v>November</v>
          </cell>
          <cell r="F2589">
            <v>610004</v>
          </cell>
          <cell r="G2589" t="str">
            <v>November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</row>
        <row r="2590">
          <cell r="B2590">
            <v>610004</v>
          </cell>
          <cell r="C2590" t="str">
            <v>THR</v>
          </cell>
          <cell r="D2590" t="str">
            <v>Desember</v>
          </cell>
          <cell r="F2590">
            <v>610004</v>
          </cell>
          <cell r="G2590" t="str">
            <v>Desember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</row>
        <row r="2591">
          <cell r="B2591">
            <v>610005</v>
          </cell>
          <cell r="C2591" t="str">
            <v>Astek</v>
          </cell>
          <cell r="E2591">
            <v>610.005</v>
          </cell>
          <cell r="F2591">
            <v>610005</v>
          </cell>
          <cell r="G2591" t="str">
            <v>Astek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</row>
        <row r="2592">
          <cell r="B2592">
            <v>610005</v>
          </cell>
          <cell r="C2592" t="str">
            <v>Astek</v>
          </cell>
          <cell r="D2592" t="str">
            <v>Januari</v>
          </cell>
          <cell r="F2592">
            <v>610005</v>
          </cell>
          <cell r="G2592" t="str">
            <v>Januari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</row>
        <row r="2593">
          <cell r="B2593">
            <v>610005</v>
          </cell>
          <cell r="C2593" t="str">
            <v>Astek</v>
          </cell>
          <cell r="D2593" t="str">
            <v>Februari</v>
          </cell>
          <cell r="F2593">
            <v>610005</v>
          </cell>
          <cell r="G2593" t="str">
            <v>Februari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</row>
        <row r="2594">
          <cell r="B2594">
            <v>610005</v>
          </cell>
          <cell r="C2594" t="str">
            <v>Astek</v>
          </cell>
          <cell r="D2594" t="str">
            <v>Maret</v>
          </cell>
          <cell r="F2594">
            <v>610005</v>
          </cell>
          <cell r="G2594" t="str">
            <v>Maret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</row>
        <row r="2595">
          <cell r="B2595">
            <v>610005</v>
          </cell>
          <cell r="C2595" t="str">
            <v>Astek</v>
          </cell>
          <cell r="D2595" t="str">
            <v>April</v>
          </cell>
          <cell r="F2595">
            <v>610005</v>
          </cell>
          <cell r="G2595" t="str">
            <v>April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</row>
        <row r="2596">
          <cell r="B2596">
            <v>610005</v>
          </cell>
          <cell r="C2596" t="str">
            <v>Astek</v>
          </cell>
          <cell r="D2596" t="str">
            <v>Mei</v>
          </cell>
          <cell r="F2596">
            <v>610005</v>
          </cell>
          <cell r="G2596" t="str">
            <v>Mei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</row>
        <row r="2597">
          <cell r="B2597">
            <v>610005</v>
          </cell>
          <cell r="C2597" t="str">
            <v>Astek</v>
          </cell>
          <cell r="D2597" t="str">
            <v>Juni</v>
          </cell>
          <cell r="F2597">
            <v>610005</v>
          </cell>
          <cell r="G2597" t="str">
            <v>Juni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</row>
        <row r="2598">
          <cell r="B2598">
            <v>610005</v>
          </cell>
          <cell r="C2598" t="str">
            <v>Astek</v>
          </cell>
          <cell r="D2598" t="str">
            <v>Juli</v>
          </cell>
          <cell r="F2598">
            <v>610005</v>
          </cell>
          <cell r="G2598" t="str">
            <v>Juli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</row>
        <row r="2599">
          <cell r="B2599">
            <v>610005</v>
          </cell>
          <cell r="C2599" t="str">
            <v>Astek</v>
          </cell>
          <cell r="D2599" t="str">
            <v>Agustus</v>
          </cell>
          <cell r="F2599">
            <v>610005</v>
          </cell>
          <cell r="G2599" t="str">
            <v>Agustus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</row>
        <row r="2600">
          <cell r="B2600">
            <v>610005</v>
          </cell>
          <cell r="C2600" t="str">
            <v>Astek</v>
          </cell>
          <cell r="D2600" t="str">
            <v>September</v>
          </cell>
          <cell r="F2600">
            <v>610005</v>
          </cell>
          <cell r="G2600" t="str">
            <v>September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</row>
        <row r="2601">
          <cell r="B2601">
            <v>610005</v>
          </cell>
          <cell r="C2601" t="str">
            <v>Astek</v>
          </cell>
          <cell r="D2601" t="str">
            <v>Oktober</v>
          </cell>
          <cell r="F2601">
            <v>610005</v>
          </cell>
          <cell r="G2601" t="str">
            <v>Oktober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</row>
        <row r="2602">
          <cell r="B2602">
            <v>610005</v>
          </cell>
          <cell r="C2602" t="str">
            <v>Astek</v>
          </cell>
          <cell r="D2602" t="str">
            <v>November</v>
          </cell>
          <cell r="F2602">
            <v>610005</v>
          </cell>
          <cell r="G2602" t="str">
            <v>November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</row>
        <row r="2603">
          <cell r="B2603">
            <v>610005</v>
          </cell>
          <cell r="C2603" t="str">
            <v>Astek</v>
          </cell>
          <cell r="D2603" t="str">
            <v>Desember</v>
          </cell>
          <cell r="F2603">
            <v>610005</v>
          </cell>
          <cell r="G2603" t="str">
            <v>Desember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</row>
        <row r="2604">
          <cell r="B2604">
            <v>610007</v>
          </cell>
          <cell r="C2604" t="str">
            <v>Telpon</v>
          </cell>
          <cell r="E2604">
            <v>610.00699999999995</v>
          </cell>
          <cell r="F2604">
            <v>610007</v>
          </cell>
          <cell r="G2604" t="str">
            <v>Telpon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</row>
        <row r="2605">
          <cell r="B2605">
            <v>610007</v>
          </cell>
          <cell r="C2605" t="str">
            <v>Telpon</v>
          </cell>
          <cell r="D2605" t="str">
            <v>Januari</v>
          </cell>
          <cell r="F2605">
            <v>610007</v>
          </cell>
          <cell r="G2605" t="str">
            <v>Januari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</row>
        <row r="2606">
          <cell r="B2606">
            <v>610007</v>
          </cell>
          <cell r="C2606" t="str">
            <v>Telpon</v>
          </cell>
          <cell r="D2606" t="str">
            <v>Februari</v>
          </cell>
          <cell r="F2606">
            <v>610007</v>
          </cell>
          <cell r="G2606" t="str">
            <v>Februari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</row>
        <row r="2607">
          <cell r="B2607">
            <v>610007</v>
          </cell>
          <cell r="C2607" t="str">
            <v>Telpon</v>
          </cell>
          <cell r="D2607" t="str">
            <v>Maret</v>
          </cell>
          <cell r="F2607">
            <v>610007</v>
          </cell>
          <cell r="G2607" t="str">
            <v>Maret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</row>
        <row r="2608">
          <cell r="B2608">
            <v>610007</v>
          </cell>
          <cell r="C2608" t="str">
            <v>Telpon</v>
          </cell>
          <cell r="D2608" t="str">
            <v>April</v>
          </cell>
          <cell r="F2608">
            <v>610007</v>
          </cell>
          <cell r="G2608" t="str">
            <v>April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</row>
        <row r="2609">
          <cell r="B2609">
            <v>610007</v>
          </cell>
          <cell r="C2609" t="str">
            <v>Telpon</v>
          </cell>
          <cell r="D2609" t="str">
            <v>Mei</v>
          </cell>
          <cell r="F2609">
            <v>610007</v>
          </cell>
          <cell r="G2609" t="str">
            <v>Mei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</row>
        <row r="2610">
          <cell r="B2610">
            <v>610007</v>
          </cell>
          <cell r="C2610" t="str">
            <v>Telpon</v>
          </cell>
          <cell r="D2610" t="str">
            <v>Juni</v>
          </cell>
          <cell r="F2610">
            <v>610007</v>
          </cell>
          <cell r="G2610" t="str">
            <v>Juni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</row>
        <row r="2611">
          <cell r="B2611">
            <v>610007</v>
          </cell>
          <cell r="C2611" t="str">
            <v>Telpon</v>
          </cell>
          <cell r="D2611" t="str">
            <v>Juli</v>
          </cell>
          <cell r="F2611">
            <v>610007</v>
          </cell>
          <cell r="G2611" t="str">
            <v>Juli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</row>
        <row r="2612">
          <cell r="B2612">
            <v>610007</v>
          </cell>
          <cell r="C2612" t="str">
            <v>Telpon</v>
          </cell>
          <cell r="D2612" t="str">
            <v>Agustus</v>
          </cell>
          <cell r="F2612">
            <v>610007</v>
          </cell>
          <cell r="G2612" t="str">
            <v>Agustus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</row>
        <row r="2613">
          <cell r="B2613">
            <v>610007</v>
          </cell>
          <cell r="C2613" t="str">
            <v>Telpon</v>
          </cell>
          <cell r="D2613" t="str">
            <v>September</v>
          </cell>
          <cell r="F2613">
            <v>610007</v>
          </cell>
          <cell r="G2613" t="str">
            <v>September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</row>
        <row r="2614">
          <cell r="B2614">
            <v>610007</v>
          </cell>
          <cell r="C2614" t="str">
            <v>Telpon</v>
          </cell>
          <cell r="D2614" t="str">
            <v>Oktober</v>
          </cell>
          <cell r="F2614">
            <v>610007</v>
          </cell>
          <cell r="G2614" t="str">
            <v>Oktober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</row>
        <row r="2615">
          <cell r="B2615">
            <v>610007</v>
          </cell>
          <cell r="C2615" t="str">
            <v>Telpon</v>
          </cell>
          <cell r="D2615" t="str">
            <v>November</v>
          </cell>
          <cell r="F2615">
            <v>610007</v>
          </cell>
          <cell r="G2615" t="str">
            <v>November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</row>
        <row r="2616">
          <cell r="B2616">
            <v>610007</v>
          </cell>
          <cell r="C2616" t="str">
            <v>Telpon</v>
          </cell>
          <cell r="D2616" t="str">
            <v>Desember</v>
          </cell>
          <cell r="F2616">
            <v>610007</v>
          </cell>
          <cell r="G2616" t="str">
            <v>Desember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</row>
        <row r="2617">
          <cell r="B2617">
            <v>610008</v>
          </cell>
          <cell r="C2617" t="str">
            <v>Listrik</v>
          </cell>
          <cell r="E2617">
            <v>610.00800000000004</v>
          </cell>
          <cell r="F2617">
            <v>610008</v>
          </cell>
          <cell r="G2617" t="str">
            <v>Listrik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</row>
        <row r="2618">
          <cell r="B2618">
            <v>610008</v>
          </cell>
          <cell r="C2618" t="str">
            <v>Listrik</v>
          </cell>
          <cell r="D2618" t="str">
            <v>Januari</v>
          </cell>
          <cell r="F2618">
            <v>610008</v>
          </cell>
          <cell r="G2618" t="str">
            <v>Januari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</row>
        <row r="2619">
          <cell r="B2619">
            <v>610008</v>
          </cell>
          <cell r="C2619" t="str">
            <v>Listrik</v>
          </cell>
          <cell r="D2619" t="str">
            <v>Februari</v>
          </cell>
          <cell r="F2619">
            <v>610008</v>
          </cell>
          <cell r="G2619" t="str">
            <v>Februari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</row>
        <row r="2620">
          <cell r="B2620">
            <v>610008</v>
          </cell>
          <cell r="C2620" t="str">
            <v>Listrik</v>
          </cell>
          <cell r="D2620" t="str">
            <v>Maret</v>
          </cell>
          <cell r="F2620">
            <v>610008</v>
          </cell>
          <cell r="G2620" t="str">
            <v>Maret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</row>
        <row r="2621">
          <cell r="B2621">
            <v>610008</v>
          </cell>
          <cell r="C2621" t="str">
            <v>Listrik</v>
          </cell>
          <cell r="D2621" t="str">
            <v>April</v>
          </cell>
          <cell r="F2621">
            <v>610008</v>
          </cell>
          <cell r="G2621" t="str">
            <v>April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</row>
        <row r="2622">
          <cell r="B2622">
            <v>610008</v>
          </cell>
          <cell r="C2622" t="str">
            <v>Listrik</v>
          </cell>
          <cell r="D2622" t="str">
            <v>Mei</v>
          </cell>
          <cell r="F2622">
            <v>610008</v>
          </cell>
          <cell r="G2622" t="str">
            <v>Mei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</row>
        <row r="2623">
          <cell r="B2623">
            <v>610008</v>
          </cell>
          <cell r="C2623" t="str">
            <v>Listrik</v>
          </cell>
          <cell r="D2623" t="str">
            <v>Juni</v>
          </cell>
          <cell r="F2623">
            <v>610008</v>
          </cell>
          <cell r="G2623" t="str">
            <v>Juni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</row>
        <row r="2624">
          <cell r="B2624">
            <v>610008</v>
          </cell>
          <cell r="C2624" t="str">
            <v>Listrik</v>
          </cell>
          <cell r="D2624" t="str">
            <v>Juli</v>
          </cell>
          <cell r="F2624">
            <v>610008</v>
          </cell>
          <cell r="G2624" t="str">
            <v>Juli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</row>
        <row r="2625">
          <cell r="B2625">
            <v>610008</v>
          </cell>
          <cell r="C2625" t="str">
            <v>Listrik</v>
          </cell>
          <cell r="D2625" t="str">
            <v>Agustus</v>
          </cell>
          <cell r="F2625">
            <v>610008</v>
          </cell>
          <cell r="G2625" t="str">
            <v>Agustus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</row>
        <row r="2626">
          <cell r="B2626">
            <v>610008</v>
          </cell>
          <cell r="C2626" t="str">
            <v>Listrik</v>
          </cell>
          <cell r="D2626" t="str">
            <v>September</v>
          </cell>
          <cell r="F2626">
            <v>610008</v>
          </cell>
          <cell r="G2626" t="str">
            <v>September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</row>
        <row r="2627">
          <cell r="B2627">
            <v>610008</v>
          </cell>
          <cell r="C2627" t="str">
            <v>Listrik</v>
          </cell>
          <cell r="D2627" t="str">
            <v>Oktober</v>
          </cell>
          <cell r="F2627">
            <v>610008</v>
          </cell>
          <cell r="G2627" t="str">
            <v>Oktober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</row>
        <row r="2628">
          <cell r="B2628">
            <v>610008</v>
          </cell>
          <cell r="C2628" t="str">
            <v>Listrik</v>
          </cell>
          <cell r="D2628" t="str">
            <v>November</v>
          </cell>
          <cell r="F2628">
            <v>610008</v>
          </cell>
          <cell r="G2628" t="str">
            <v>November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</row>
        <row r="2629">
          <cell r="B2629">
            <v>610008</v>
          </cell>
          <cell r="C2629" t="str">
            <v>Listrik</v>
          </cell>
          <cell r="D2629" t="str">
            <v>Desember</v>
          </cell>
          <cell r="F2629">
            <v>610008</v>
          </cell>
          <cell r="G2629" t="str">
            <v>Desember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</row>
        <row r="2630">
          <cell r="B2630">
            <v>610009</v>
          </cell>
          <cell r="C2630" t="str">
            <v>Penyusutan Peralatan</v>
          </cell>
          <cell r="E2630">
            <v>610.00900000000001</v>
          </cell>
          <cell r="F2630">
            <v>610009</v>
          </cell>
          <cell r="G2630" t="str">
            <v>Penyusutan Peralatan</v>
          </cell>
          <cell r="H2630">
            <v>2379596.6975000002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2379596.6975000002</v>
          </cell>
          <cell r="AC2630">
            <v>0</v>
          </cell>
          <cell r="AD2630">
            <v>0</v>
          </cell>
          <cell r="AE2630">
            <v>0</v>
          </cell>
        </row>
        <row r="2631">
          <cell r="B2631">
            <v>610009</v>
          </cell>
          <cell r="C2631" t="str">
            <v>Penyusutan Peralatan</v>
          </cell>
          <cell r="D2631" t="str">
            <v>Januari</v>
          </cell>
          <cell r="F2631">
            <v>610009</v>
          </cell>
          <cell r="G2631" t="str">
            <v>Januari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</row>
        <row r="2632">
          <cell r="B2632">
            <v>610009</v>
          </cell>
          <cell r="C2632" t="str">
            <v>Penyusutan Peralatan</v>
          </cell>
          <cell r="D2632" t="str">
            <v>Februari</v>
          </cell>
          <cell r="F2632">
            <v>610009</v>
          </cell>
          <cell r="G2632" t="str">
            <v>Februari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</row>
        <row r="2633">
          <cell r="B2633">
            <v>610009</v>
          </cell>
          <cell r="C2633" t="str">
            <v>Penyusutan Peralatan</v>
          </cell>
          <cell r="D2633" t="str">
            <v>Maret</v>
          </cell>
          <cell r="F2633">
            <v>610009</v>
          </cell>
          <cell r="G2633" t="str">
            <v>Maret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</row>
        <row r="2634">
          <cell r="B2634">
            <v>610009</v>
          </cell>
          <cell r="C2634" t="str">
            <v>Penyusutan Peralatan</v>
          </cell>
          <cell r="D2634" t="str">
            <v>April</v>
          </cell>
          <cell r="F2634">
            <v>610009</v>
          </cell>
          <cell r="G2634" t="str">
            <v>April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0</v>
          </cell>
          <cell r="AE2634">
            <v>0</v>
          </cell>
        </row>
        <row r="2635">
          <cell r="B2635">
            <v>610009</v>
          </cell>
          <cell r="C2635" t="str">
            <v>Penyusutan Peralatan</v>
          </cell>
          <cell r="D2635" t="str">
            <v>Mei</v>
          </cell>
          <cell r="F2635">
            <v>610009</v>
          </cell>
          <cell r="G2635" t="str">
            <v>Mei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0</v>
          </cell>
        </row>
        <row r="2636">
          <cell r="B2636">
            <v>610009</v>
          </cell>
          <cell r="C2636" t="str">
            <v>Penyusutan Peralatan</v>
          </cell>
          <cell r="D2636" t="str">
            <v>Juni</v>
          </cell>
          <cell r="F2636">
            <v>610009</v>
          </cell>
          <cell r="G2636" t="str">
            <v>Juni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</row>
        <row r="2637">
          <cell r="B2637">
            <v>610009</v>
          </cell>
          <cell r="C2637" t="str">
            <v>Penyusutan Peralatan</v>
          </cell>
          <cell r="D2637" t="str">
            <v>Juli</v>
          </cell>
          <cell r="F2637">
            <v>610009</v>
          </cell>
          <cell r="G2637" t="str">
            <v>Juli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</row>
        <row r="2638">
          <cell r="B2638">
            <v>610009</v>
          </cell>
          <cell r="C2638" t="str">
            <v>Penyusutan Peralatan</v>
          </cell>
          <cell r="D2638" t="str">
            <v>Agustus</v>
          </cell>
          <cell r="F2638">
            <v>610009</v>
          </cell>
          <cell r="G2638" t="str">
            <v>Agustus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</row>
        <row r="2639">
          <cell r="B2639">
            <v>610009</v>
          </cell>
          <cell r="C2639" t="str">
            <v>Penyusutan Peralatan</v>
          </cell>
          <cell r="D2639" t="str">
            <v>September</v>
          </cell>
          <cell r="F2639">
            <v>610009</v>
          </cell>
          <cell r="G2639" t="str">
            <v>September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</row>
        <row r="2640">
          <cell r="B2640">
            <v>610009</v>
          </cell>
          <cell r="C2640" t="str">
            <v>Penyusutan Peralatan</v>
          </cell>
          <cell r="D2640" t="str">
            <v>Oktober</v>
          </cell>
          <cell r="F2640">
            <v>610009</v>
          </cell>
          <cell r="G2640" t="str">
            <v>Oktober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</row>
        <row r="2641">
          <cell r="B2641">
            <v>610009</v>
          </cell>
          <cell r="C2641" t="str">
            <v>Penyusutan Peralatan</v>
          </cell>
          <cell r="D2641" t="str">
            <v>November</v>
          </cell>
          <cell r="F2641">
            <v>610009</v>
          </cell>
          <cell r="G2641" t="str">
            <v>November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</row>
        <row r="2642">
          <cell r="B2642">
            <v>610009</v>
          </cell>
          <cell r="C2642" t="str">
            <v>Penyusutan Peralatan</v>
          </cell>
          <cell r="D2642" t="str">
            <v>Desember</v>
          </cell>
          <cell r="F2642">
            <v>610009</v>
          </cell>
          <cell r="G2642" t="str">
            <v>Desember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</row>
        <row r="2643">
          <cell r="B2643">
            <v>610013</v>
          </cell>
          <cell r="C2643" t="str">
            <v>Jasa Pihak ke 3</v>
          </cell>
          <cell r="E2643">
            <v>610.01300000000003</v>
          </cell>
          <cell r="F2643">
            <v>610013</v>
          </cell>
          <cell r="G2643" t="str">
            <v>Jasa Pihak ke 3</v>
          </cell>
          <cell r="H2643">
            <v>1881000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1881000</v>
          </cell>
          <cell r="AC2643">
            <v>0</v>
          </cell>
          <cell r="AD2643">
            <v>0</v>
          </cell>
          <cell r="AE2643">
            <v>0</v>
          </cell>
        </row>
        <row r="2644">
          <cell r="B2644">
            <v>610013</v>
          </cell>
          <cell r="C2644" t="str">
            <v>Jasa Pihak ke 3</v>
          </cell>
          <cell r="D2644" t="str">
            <v>Januari</v>
          </cell>
          <cell r="F2644">
            <v>610013</v>
          </cell>
          <cell r="G2644" t="str">
            <v>Januari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</row>
        <row r="2645">
          <cell r="B2645">
            <v>610013</v>
          </cell>
          <cell r="C2645" t="str">
            <v>Jasa Pihak ke 3</v>
          </cell>
          <cell r="D2645" t="str">
            <v>Februari</v>
          </cell>
          <cell r="F2645">
            <v>610013</v>
          </cell>
          <cell r="G2645" t="str">
            <v>Februari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0</v>
          </cell>
          <cell r="AE2645">
            <v>0</v>
          </cell>
        </row>
        <row r="2646">
          <cell r="B2646">
            <v>610013</v>
          </cell>
          <cell r="C2646" t="str">
            <v>Jasa Pihak ke 3</v>
          </cell>
          <cell r="D2646" t="str">
            <v>Maret</v>
          </cell>
          <cell r="F2646">
            <v>610013</v>
          </cell>
          <cell r="G2646" t="str">
            <v>Maret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</row>
        <row r="2647">
          <cell r="B2647">
            <v>610013</v>
          </cell>
          <cell r="C2647" t="str">
            <v>Jasa Pihak ke 3</v>
          </cell>
          <cell r="D2647" t="str">
            <v>April</v>
          </cell>
          <cell r="F2647">
            <v>610013</v>
          </cell>
          <cell r="G2647" t="str">
            <v>April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</row>
        <row r="2648">
          <cell r="B2648">
            <v>610013</v>
          </cell>
          <cell r="C2648" t="str">
            <v>Jasa Pihak ke 3</v>
          </cell>
          <cell r="D2648" t="str">
            <v>Mei</v>
          </cell>
          <cell r="F2648">
            <v>610013</v>
          </cell>
          <cell r="G2648" t="str">
            <v>Mei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</row>
        <row r="2649">
          <cell r="B2649">
            <v>610013</v>
          </cell>
          <cell r="C2649" t="str">
            <v>Jasa Pihak ke 3</v>
          </cell>
          <cell r="D2649" t="str">
            <v>Juni</v>
          </cell>
          <cell r="F2649">
            <v>610013</v>
          </cell>
          <cell r="G2649" t="str">
            <v>Juni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</row>
        <row r="2650">
          <cell r="B2650">
            <v>610013</v>
          </cell>
          <cell r="C2650" t="str">
            <v>Jasa Pihak ke 3</v>
          </cell>
          <cell r="D2650" t="str">
            <v>Juli</v>
          </cell>
          <cell r="F2650">
            <v>610013</v>
          </cell>
          <cell r="G2650" t="str">
            <v>Juli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</row>
        <row r="2651">
          <cell r="B2651">
            <v>610013</v>
          </cell>
          <cell r="C2651" t="str">
            <v>Jasa Pihak ke 3</v>
          </cell>
          <cell r="D2651" t="str">
            <v>Agustus</v>
          </cell>
          <cell r="F2651">
            <v>610013</v>
          </cell>
          <cell r="G2651" t="str">
            <v>Agustus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</row>
        <row r="2652">
          <cell r="B2652">
            <v>610013</v>
          </cell>
          <cell r="C2652" t="str">
            <v>Jasa Pihak ke 3</v>
          </cell>
          <cell r="D2652" t="str">
            <v>September</v>
          </cell>
          <cell r="F2652">
            <v>610013</v>
          </cell>
          <cell r="G2652" t="str">
            <v>September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</row>
        <row r="2653">
          <cell r="B2653">
            <v>610013</v>
          </cell>
          <cell r="C2653" t="str">
            <v>Jasa Pihak ke 3</v>
          </cell>
          <cell r="D2653" t="str">
            <v>Oktober</v>
          </cell>
          <cell r="F2653">
            <v>610013</v>
          </cell>
          <cell r="G2653" t="str">
            <v>Oktober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</row>
        <row r="2654">
          <cell r="B2654">
            <v>610013</v>
          </cell>
          <cell r="C2654" t="str">
            <v>Jasa Pihak ke 3</v>
          </cell>
          <cell r="D2654" t="str">
            <v>November</v>
          </cell>
          <cell r="F2654">
            <v>610013</v>
          </cell>
          <cell r="G2654" t="str">
            <v>November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</row>
        <row r="2655">
          <cell r="B2655">
            <v>610013</v>
          </cell>
          <cell r="C2655" t="str">
            <v>Jasa Pihak ke 3</v>
          </cell>
          <cell r="D2655" t="str">
            <v>Desember</v>
          </cell>
          <cell r="F2655">
            <v>610013</v>
          </cell>
          <cell r="G2655" t="str">
            <v>Desember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</row>
        <row r="2656">
          <cell r="B2656">
            <v>610011</v>
          </cell>
          <cell r="C2656" t="str">
            <v xml:space="preserve">Material </v>
          </cell>
          <cell r="E2656">
            <v>610.01099999999997</v>
          </cell>
          <cell r="F2656">
            <v>610011</v>
          </cell>
          <cell r="G2656" t="str">
            <v xml:space="preserve">Material </v>
          </cell>
          <cell r="H2656">
            <v>2898050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4610625</v>
          </cell>
          <cell r="AA2656">
            <v>0</v>
          </cell>
          <cell r="AB2656">
            <v>7508675</v>
          </cell>
          <cell r="AC2656">
            <v>0</v>
          </cell>
          <cell r="AD2656">
            <v>4610625</v>
          </cell>
          <cell r="AE2656">
            <v>0</v>
          </cell>
        </row>
        <row r="2657">
          <cell r="B2657">
            <v>610011</v>
          </cell>
          <cell r="C2657" t="str">
            <v xml:space="preserve">Material </v>
          </cell>
          <cell r="D2657" t="str">
            <v>Januari</v>
          </cell>
          <cell r="F2657">
            <v>610011</v>
          </cell>
          <cell r="G2657" t="str">
            <v>Januari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288050</v>
          </cell>
          <cell r="AA2657">
            <v>0</v>
          </cell>
          <cell r="AB2657">
            <v>288050</v>
          </cell>
          <cell r="AC2657">
            <v>0</v>
          </cell>
          <cell r="AD2657">
            <v>288050</v>
          </cell>
          <cell r="AE2657">
            <v>0</v>
          </cell>
        </row>
        <row r="2658">
          <cell r="B2658">
            <v>610011</v>
          </cell>
          <cell r="C2658" t="str">
            <v xml:space="preserve">Material </v>
          </cell>
          <cell r="D2658" t="str">
            <v>Februari</v>
          </cell>
          <cell r="F2658">
            <v>610011</v>
          </cell>
          <cell r="G2658" t="str">
            <v>Februari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304400</v>
          </cell>
          <cell r="AA2658">
            <v>0</v>
          </cell>
          <cell r="AB2658">
            <v>304400</v>
          </cell>
          <cell r="AC2658">
            <v>0</v>
          </cell>
          <cell r="AD2658">
            <v>304400</v>
          </cell>
          <cell r="AE2658">
            <v>0</v>
          </cell>
        </row>
        <row r="2659">
          <cell r="B2659">
            <v>610011</v>
          </cell>
          <cell r="C2659" t="str">
            <v xml:space="preserve">Material </v>
          </cell>
          <cell r="D2659" t="str">
            <v>Maret</v>
          </cell>
          <cell r="F2659">
            <v>610011</v>
          </cell>
          <cell r="G2659" t="str">
            <v>Maret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180000</v>
          </cell>
          <cell r="AA2659">
            <v>0</v>
          </cell>
          <cell r="AB2659">
            <v>180000</v>
          </cell>
          <cell r="AC2659">
            <v>0</v>
          </cell>
          <cell r="AD2659">
            <v>180000</v>
          </cell>
          <cell r="AE2659">
            <v>0</v>
          </cell>
        </row>
        <row r="2660">
          <cell r="B2660">
            <v>610011</v>
          </cell>
          <cell r="C2660" t="str">
            <v xml:space="preserve">Material </v>
          </cell>
          <cell r="D2660" t="str">
            <v>April</v>
          </cell>
          <cell r="F2660">
            <v>610011</v>
          </cell>
          <cell r="G2660" t="str">
            <v>April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200000</v>
          </cell>
          <cell r="AA2660">
            <v>0</v>
          </cell>
          <cell r="AB2660">
            <v>200000</v>
          </cell>
          <cell r="AC2660">
            <v>0</v>
          </cell>
          <cell r="AD2660">
            <v>200000</v>
          </cell>
          <cell r="AE2660">
            <v>0</v>
          </cell>
        </row>
        <row r="2661">
          <cell r="B2661">
            <v>610011</v>
          </cell>
          <cell r="C2661" t="str">
            <v xml:space="preserve">Material </v>
          </cell>
          <cell r="D2661" t="str">
            <v>Mei</v>
          </cell>
          <cell r="F2661">
            <v>610011</v>
          </cell>
          <cell r="G2661" t="str">
            <v>Mei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318950</v>
          </cell>
          <cell r="AA2661">
            <v>0</v>
          </cell>
          <cell r="AB2661">
            <v>318950</v>
          </cell>
          <cell r="AC2661">
            <v>0</v>
          </cell>
          <cell r="AD2661">
            <v>318950</v>
          </cell>
          <cell r="AE2661">
            <v>0</v>
          </cell>
        </row>
        <row r="2662">
          <cell r="B2662">
            <v>610011</v>
          </cell>
          <cell r="C2662" t="str">
            <v xml:space="preserve">Material </v>
          </cell>
          <cell r="D2662" t="str">
            <v>Juni</v>
          </cell>
          <cell r="F2662">
            <v>610011</v>
          </cell>
          <cell r="G2662" t="str">
            <v>Juni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510125</v>
          </cell>
          <cell r="AA2662">
            <v>0</v>
          </cell>
          <cell r="AB2662">
            <v>510125</v>
          </cell>
          <cell r="AC2662">
            <v>0</v>
          </cell>
          <cell r="AD2662">
            <v>510125</v>
          </cell>
          <cell r="AE2662">
            <v>0</v>
          </cell>
        </row>
        <row r="2663">
          <cell r="B2663">
            <v>610011</v>
          </cell>
          <cell r="C2663" t="str">
            <v xml:space="preserve">Material </v>
          </cell>
          <cell r="D2663" t="str">
            <v>Juli</v>
          </cell>
          <cell r="F2663">
            <v>610011</v>
          </cell>
          <cell r="G2663" t="str">
            <v>Juli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447250</v>
          </cell>
          <cell r="AA2663">
            <v>0</v>
          </cell>
          <cell r="AB2663">
            <v>447250</v>
          </cell>
          <cell r="AC2663">
            <v>0</v>
          </cell>
          <cell r="AD2663">
            <v>447250</v>
          </cell>
          <cell r="AE2663">
            <v>0</v>
          </cell>
        </row>
        <row r="2664">
          <cell r="B2664">
            <v>610011</v>
          </cell>
          <cell r="C2664" t="str">
            <v xml:space="preserve">Material </v>
          </cell>
          <cell r="D2664" t="str">
            <v>Agustus</v>
          </cell>
          <cell r="F2664">
            <v>610011</v>
          </cell>
          <cell r="G2664" t="str">
            <v>Agustus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552075</v>
          </cell>
          <cell r="AA2664">
            <v>0</v>
          </cell>
          <cell r="AB2664">
            <v>552075</v>
          </cell>
          <cell r="AC2664">
            <v>0</v>
          </cell>
          <cell r="AD2664">
            <v>552075</v>
          </cell>
          <cell r="AE2664">
            <v>0</v>
          </cell>
        </row>
        <row r="2665">
          <cell r="B2665">
            <v>610011</v>
          </cell>
          <cell r="C2665" t="str">
            <v xml:space="preserve">Material </v>
          </cell>
          <cell r="D2665" t="str">
            <v>September</v>
          </cell>
          <cell r="F2665">
            <v>610011</v>
          </cell>
          <cell r="G2665" t="str">
            <v>September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482775</v>
          </cell>
          <cell r="AA2665">
            <v>0</v>
          </cell>
          <cell r="AB2665">
            <v>482775</v>
          </cell>
          <cell r="AC2665">
            <v>0</v>
          </cell>
          <cell r="AD2665">
            <v>482775</v>
          </cell>
          <cell r="AE2665">
            <v>0</v>
          </cell>
        </row>
        <row r="2666">
          <cell r="B2666">
            <v>610011</v>
          </cell>
          <cell r="C2666" t="str">
            <v xml:space="preserve">Material </v>
          </cell>
          <cell r="D2666" t="str">
            <v>Oktober</v>
          </cell>
          <cell r="F2666">
            <v>610011</v>
          </cell>
          <cell r="G2666" t="str">
            <v>Oktober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538000</v>
          </cell>
          <cell r="AA2666">
            <v>0</v>
          </cell>
          <cell r="AB2666">
            <v>538000</v>
          </cell>
          <cell r="AC2666">
            <v>0</v>
          </cell>
          <cell r="AD2666">
            <v>538000</v>
          </cell>
          <cell r="AE2666">
            <v>0</v>
          </cell>
        </row>
        <row r="2667">
          <cell r="B2667">
            <v>610011</v>
          </cell>
          <cell r="C2667" t="str">
            <v xml:space="preserve">Material </v>
          </cell>
          <cell r="D2667" t="str">
            <v>November</v>
          </cell>
          <cell r="F2667">
            <v>610011</v>
          </cell>
          <cell r="G2667" t="str">
            <v>November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584000</v>
          </cell>
          <cell r="AA2667">
            <v>0</v>
          </cell>
          <cell r="AB2667">
            <v>584000</v>
          </cell>
          <cell r="AC2667">
            <v>0</v>
          </cell>
          <cell r="AD2667">
            <v>584000</v>
          </cell>
          <cell r="AE2667">
            <v>0</v>
          </cell>
        </row>
        <row r="2668">
          <cell r="B2668">
            <v>610011</v>
          </cell>
          <cell r="C2668" t="str">
            <v xml:space="preserve">Material </v>
          </cell>
          <cell r="D2668" t="str">
            <v>Desember</v>
          </cell>
          <cell r="F2668">
            <v>610011</v>
          </cell>
          <cell r="G2668" t="str">
            <v>Desember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0</v>
          </cell>
          <cell r="Y2668">
            <v>0</v>
          </cell>
          <cell r="Z2668">
            <v>205000</v>
          </cell>
          <cell r="AA2668">
            <v>0</v>
          </cell>
          <cell r="AB2668">
            <v>205000</v>
          </cell>
          <cell r="AC2668">
            <v>0</v>
          </cell>
          <cell r="AD2668">
            <v>205000</v>
          </cell>
          <cell r="AE2668">
            <v>0</v>
          </cell>
        </row>
        <row r="2669">
          <cell r="B2669">
            <v>610017</v>
          </cell>
          <cell r="C2669" t="str">
            <v>Upah Borongan</v>
          </cell>
          <cell r="E2669">
            <v>610.01700000000005</v>
          </cell>
          <cell r="F2669">
            <v>610017</v>
          </cell>
          <cell r="G2669" t="str">
            <v>Upah Borongan</v>
          </cell>
          <cell r="H2669">
            <v>37039250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2006300</v>
          </cell>
          <cell r="AA2669">
            <v>0</v>
          </cell>
          <cell r="AB2669">
            <v>39045550</v>
          </cell>
          <cell r="AC2669">
            <v>0</v>
          </cell>
          <cell r="AD2669">
            <v>2006300</v>
          </cell>
          <cell r="AE2669">
            <v>0</v>
          </cell>
        </row>
        <row r="2670">
          <cell r="B2670">
            <v>610017</v>
          </cell>
          <cell r="C2670" t="str">
            <v>Upah Borongan</v>
          </cell>
          <cell r="D2670" t="str">
            <v>Januari</v>
          </cell>
          <cell r="F2670">
            <v>610017</v>
          </cell>
          <cell r="G2670" t="str">
            <v>Januari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1906300</v>
          </cell>
          <cell r="AA2670">
            <v>0</v>
          </cell>
          <cell r="AB2670">
            <v>1906300</v>
          </cell>
          <cell r="AC2670">
            <v>0</v>
          </cell>
          <cell r="AD2670">
            <v>1906300</v>
          </cell>
          <cell r="AE2670">
            <v>0</v>
          </cell>
        </row>
        <row r="2671">
          <cell r="B2671">
            <v>610017</v>
          </cell>
          <cell r="C2671" t="str">
            <v>Upah Borongan</v>
          </cell>
          <cell r="D2671" t="str">
            <v>Februari</v>
          </cell>
          <cell r="F2671">
            <v>610017</v>
          </cell>
          <cell r="G2671" t="str">
            <v>Februari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</row>
        <row r="2672">
          <cell r="B2672">
            <v>610017</v>
          </cell>
          <cell r="C2672" t="str">
            <v>Upah Borongan</v>
          </cell>
          <cell r="D2672" t="str">
            <v>Maret</v>
          </cell>
          <cell r="F2672">
            <v>610017</v>
          </cell>
          <cell r="G2672" t="str">
            <v>Maret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100000</v>
          </cell>
          <cell r="AA2672">
            <v>0</v>
          </cell>
          <cell r="AB2672">
            <v>100000</v>
          </cell>
          <cell r="AC2672">
            <v>0</v>
          </cell>
          <cell r="AD2672">
            <v>100000</v>
          </cell>
          <cell r="AE2672">
            <v>0</v>
          </cell>
        </row>
        <row r="2673">
          <cell r="B2673">
            <v>610017</v>
          </cell>
          <cell r="C2673" t="str">
            <v>Upah Borongan</v>
          </cell>
          <cell r="D2673" t="str">
            <v>April</v>
          </cell>
          <cell r="F2673">
            <v>610017</v>
          </cell>
          <cell r="G2673" t="str">
            <v>April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</row>
        <row r="2674">
          <cell r="B2674">
            <v>610017</v>
          </cell>
          <cell r="C2674" t="str">
            <v>Upah Borongan</v>
          </cell>
          <cell r="D2674" t="str">
            <v>Mei</v>
          </cell>
          <cell r="F2674">
            <v>610017</v>
          </cell>
          <cell r="G2674" t="str">
            <v>Mei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</row>
        <row r="2675">
          <cell r="B2675">
            <v>610017</v>
          </cell>
          <cell r="C2675" t="str">
            <v>Upah Borongan</v>
          </cell>
          <cell r="D2675" t="str">
            <v>Juni</v>
          </cell>
          <cell r="F2675">
            <v>610017</v>
          </cell>
          <cell r="G2675" t="str">
            <v>Juni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</row>
        <row r="2676">
          <cell r="B2676">
            <v>610017</v>
          </cell>
          <cell r="C2676" t="str">
            <v>Upah Borongan</v>
          </cell>
          <cell r="D2676" t="str">
            <v>Juli</v>
          </cell>
          <cell r="F2676">
            <v>610017</v>
          </cell>
          <cell r="G2676" t="str">
            <v>Juli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</row>
        <row r="2677">
          <cell r="B2677">
            <v>610017</v>
          </cell>
          <cell r="C2677" t="str">
            <v>Upah Borongan</v>
          </cell>
          <cell r="D2677" t="str">
            <v>Agustus</v>
          </cell>
          <cell r="F2677">
            <v>610017</v>
          </cell>
          <cell r="G2677" t="str">
            <v>Agustus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</row>
        <row r="2678">
          <cell r="B2678">
            <v>610017</v>
          </cell>
          <cell r="C2678" t="str">
            <v>Upah Borongan</v>
          </cell>
          <cell r="D2678" t="str">
            <v>September</v>
          </cell>
          <cell r="F2678">
            <v>610017</v>
          </cell>
          <cell r="G2678" t="str">
            <v>September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</row>
        <row r="2679">
          <cell r="B2679">
            <v>610017</v>
          </cell>
          <cell r="C2679" t="str">
            <v>Upah Borongan</v>
          </cell>
          <cell r="D2679" t="str">
            <v>Oktober</v>
          </cell>
          <cell r="F2679">
            <v>610017</v>
          </cell>
          <cell r="G2679" t="str">
            <v>Oktober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</row>
        <row r="2680">
          <cell r="B2680">
            <v>610017</v>
          </cell>
          <cell r="C2680" t="str">
            <v>Upah Borongan</v>
          </cell>
          <cell r="D2680" t="str">
            <v>November</v>
          </cell>
          <cell r="F2680">
            <v>610017</v>
          </cell>
          <cell r="G2680" t="str">
            <v>November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</row>
        <row r="2681">
          <cell r="B2681">
            <v>610017</v>
          </cell>
          <cell r="C2681" t="str">
            <v>Upah Borongan</v>
          </cell>
          <cell r="D2681" t="str">
            <v>Desember</v>
          </cell>
          <cell r="F2681">
            <v>610017</v>
          </cell>
          <cell r="G2681" t="str">
            <v>Desember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</row>
        <row r="2682">
          <cell r="B2682">
            <v>610014</v>
          </cell>
          <cell r="C2682" t="str">
            <v xml:space="preserve">BBM </v>
          </cell>
          <cell r="E2682">
            <v>610.01400000000001</v>
          </cell>
          <cell r="F2682">
            <v>610014</v>
          </cell>
          <cell r="G2682" t="str">
            <v xml:space="preserve">BBM 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</row>
        <row r="2683">
          <cell r="B2683">
            <v>610014</v>
          </cell>
          <cell r="C2683" t="str">
            <v xml:space="preserve">BBM </v>
          </cell>
          <cell r="D2683" t="str">
            <v>Januari</v>
          </cell>
          <cell r="F2683">
            <v>610014</v>
          </cell>
          <cell r="G2683" t="str">
            <v>Januari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</row>
        <row r="2684">
          <cell r="B2684">
            <v>610014</v>
          </cell>
          <cell r="C2684" t="str">
            <v xml:space="preserve">BBM </v>
          </cell>
          <cell r="D2684" t="str">
            <v>Februari</v>
          </cell>
          <cell r="F2684">
            <v>610014</v>
          </cell>
          <cell r="G2684" t="str">
            <v>Februari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</row>
        <row r="2685">
          <cell r="B2685">
            <v>610014</v>
          </cell>
          <cell r="C2685" t="str">
            <v xml:space="preserve">BBM </v>
          </cell>
          <cell r="D2685" t="str">
            <v>Maret</v>
          </cell>
          <cell r="F2685">
            <v>610014</v>
          </cell>
          <cell r="G2685" t="str">
            <v>Maret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</row>
        <row r="2686">
          <cell r="B2686">
            <v>610014</v>
          </cell>
          <cell r="C2686" t="str">
            <v xml:space="preserve">BBM </v>
          </cell>
          <cell r="D2686" t="str">
            <v>April</v>
          </cell>
          <cell r="F2686">
            <v>610014</v>
          </cell>
          <cell r="G2686" t="str">
            <v>April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</row>
        <row r="2687">
          <cell r="B2687">
            <v>610014</v>
          </cell>
          <cell r="C2687" t="str">
            <v xml:space="preserve">BBM </v>
          </cell>
          <cell r="D2687" t="str">
            <v>Mei</v>
          </cell>
          <cell r="F2687">
            <v>610014</v>
          </cell>
          <cell r="G2687" t="str">
            <v>Mei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</row>
        <row r="2688">
          <cell r="B2688">
            <v>610014</v>
          </cell>
          <cell r="C2688" t="str">
            <v xml:space="preserve">BBM </v>
          </cell>
          <cell r="D2688" t="str">
            <v>Juni</v>
          </cell>
          <cell r="F2688">
            <v>610014</v>
          </cell>
          <cell r="G2688" t="str">
            <v>Juni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</row>
        <row r="2689">
          <cell r="B2689">
            <v>610014</v>
          </cell>
          <cell r="C2689" t="str">
            <v xml:space="preserve">BBM </v>
          </cell>
          <cell r="D2689" t="str">
            <v>Juli</v>
          </cell>
          <cell r="F2689">
            <v>610014</v>
          </cell>
          <cell r="G2689" t="str">
            <v>Juli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</row>
        <row r="2690">
          <cell r="B2690">
            <v>610014</v>
          </cell>
          <cell r="C2690" t="str">
            <v xml:space="preserve">BBM </v>
          </cell>
          <cell r="D2690" t="str">
            <v>Agustus</v>
          </cell>
          <cell r="F2690">
            <v>610014</v>
          </cell>
          <cell r="G2690" t="str">
            <v>Agustus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</row>
        <row r="2691">
          <cell r="B2691">
            <v>610014</v>
          </cell>
          <cell r="C2691" t="str">
            <v xml:space="preserve">BBM </v>
          </cell>
          <cell r="D2691" t="str">
            <v>September</v>
          </cell>
          <cell r="F2691">
            <v>610014</v>
          </cell>
          <cell r="G2691" t="str">
            <v>September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</row>
        <row r="2692">
          <cell r="B2692">
            <v>610014</v>
          </cell>
          <cell r="C2692" t="str">
            <v xml:space="preserve">BBM </v>
          </cell>
          <cell r="D2692" t="str">
            <v>Oktober</v>
          </cell>
          <cell r="F2692">
            <v>610014</v>
          </cell>
          <cell r="G2692" t="str">
            <v>Oktober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</row>
        <row r="2693">
          <cell r="B2693">
            <v>610014</v>
          </cell>
          <cell r="C2693" t="str">
            <v xml:space="preserve">BBM </v>
          </cell>
          <cell r="D2693" t="str">
            <v>November</v>
          </cell>
          <cell r="F2693">
            <v>610014</v>
          </cell>
          <cell r="G2693" t="str">
            <v>November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0</v>
          </cell>
          <cell r="AE2693">
            <v>0</v>
          </cell>
        </row>
        <row r="2694">
          <cell r="B2694">
            <v>610014</v>
          </cell>
          <cell r="C2694" t="str">
            <v xml:space="preserve">BBM </v>
          </cell>
          <cell r="D2694" t="str">
            <v>Desember</v>
          </cell>
          <cell r="F2694">
            <v>610014</v>
          </cell>
          <cell r="G2694" t="str">
            <v>Desember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</row>
        <row r="2695">
          <cell r="B2695">
            <v>610015</v>
          </cell>
          <cell r="C2695" t="str">
            <v>Perawatan Peralatan &amp; Kendaraan</v>
          </cell>
          <cell r="E2695">
            <v>610.01499999999999</v>
          </cell>
          <cell r="F2695">
            <v>610015</v>
          </cell>
          <cell r="G2695" t="str">
            <v>Perawatan Peralatan &amp; Kendaraan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</row>
        <row r="2696">
          <cell r="B2696">
            <v>610015</v>
          </cell>
          <cell r="C2696" t="str">
            <v>Perawatan Peralatan &amp; Kendaraan</v>
          </cell>
          <cell r="D2696" t="str">
            <v>Januari</v>
          </cell>
          <cell r="F2696">
            <v>610015</v>
          </cell>
          <cell r="G2696" t="str">
            <v>Januari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</row>
        <row r="2697">
          <cell r="B2697">
            <v>610015</v>
          </cell>
          <cell r="C2697" t="str">
            <v>Perawatan Peralatan &amp; Kendaraan</v>
          </cell>
          <cell r="D2697" t="str">
            <v>Februari</v>
          </cell>
          <cell r="F2697">
            <v>610015</v>
          </cell>
          <cell r="G2697" t="str">
            <v>Februari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</row>
        <row r="2698">
          <cell r="B2698">
            <v>610015</v>
          </cell>
          <cell r="C2698" t="str">
            <v>Perawatan Peralatan &amp; Kendaraan</v>
          </cell>
          <cell r="D2698" t="str">
            <v>Maret</v>
          </cell>
          <cell r="F2698">
            <v>610015</v>
          </cell>
          <cell r="G2698" t="str">
            <v>Maret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</row>
        <row r="2699">
          <cell r="B2699">
            <v>610015</v>
          </cell>
          <cell r="C2699" t="str">
            <v>Perawatan Peralatan &amp; Kendaraan</v>
          </cell>
          <cell r="D2699" t="str">
            <v>April</v>
          </cell>
          <cell r="F2699">
            <v>610015</v>
          </cell>
          <cell r="G2699" t="str">
            <v>April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</row>
        <row r="2700">
          <cell r="B2700">
            <v>610015</v>
          </cell>
          <cell r="C2700" t="str">
            <v>Perawatan Peralatan &amp; Kendaraan</v>
          </cell>
          <cell r="D2700" t="str">
            <v>Mei</v>
          </cell>
          <cell r="F2700">
            <v>610015</v>
          </cell>
          <cell r="G2700" t="str">
            <v>Mei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</row>
        <row r="2701">
          <cell r="B2701">
            <v>610015</v>
          </cell>
          <cell r="C2701" t="str">
            <v>Perawatan Peralatan &amp; Kendaraan</v>
          </cell>
          <cell r="D2701" t="str">
            <v>Juni</v>
          </cell>
          <cell r="F2701">
            <v>610015</v>
          </cell>
          <cell r="G2701" t="str">
            <v>Juni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</row>
        <row r="2702">
          <cell r="B2702">
            <v>610015</v>
          </cell>
          <cell r="C2702" t="str">
            <v>Perawatan Peralatan &amp; Kendaraan</v>
          </cell>
          <cell r="D2702" t="str">
            <v>Juli</v>
          </cell>
          <cell r="F2702">
            <v>610015</v>
          </cell>
          <cell r="G2702" t="str">
            <v>Juli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</row>
        <row r="2703">
          <cell r="B2703">
            <v>610015</v>
          </cell>
          <cell r="C2703" t="str">
            <v>Perawatan Peralatan &amp; Kendaraan</v>
          </cell>
          <cell r="D2703" t="str">
            <v>Agustus</v>
          </cell>
          <cell r="F2703">
            <v>610015</v>
          </cell>
          <cell r="G2703" t="str">
            <v>Agustus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</row>
        <row r="2704">
          <cell r="B2704">
            <v>610015</v>
          </cell>
          <cell r="C2704" t="str">
            <v>Perawatan Peralatan &amp; Kendaraan</v>
          </cell>
          <cell r="D2704" t="str">
            <v>September</v>
          </cell>
          <cell r="F2704">
            <v>610015</v>
          </cell>
          <cell r="G2704" t="str">
            <v>September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0</v>
          </cell>
          <cell r="AB2704">
            <v>0</v>
          </cell>
          <cell r="AC2704">
            <v>0</v>
          </cell>
          <cell r="AD2704">
            <v>0</v>
          </cell>
          <cell r="AE2704">
            <v>0</v>
          </cell>
        </row>
        <row r="2705">
          <cell r="B2705">
            <v>610015</v>
          </cell>
          <cell r="C2705" t="str">
            <v>Perawatan Peralatan &amp; Kendaraan</v>
          </cell>
          <cell r="D2705" t="str">
            <v>Oktober</v>
          </cell>
          <cell r="F2705">
            <v>610015</v>
          </cell>
          <cell r="G2705" t="str">
            <v>Oktober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</row>
        <row r="2706">
          <cell r="B2706">
            <v>610015</v>
          </cell>
          <cell r="C2706" t="str">
            <v>Perawatan Peralatan &amp; Kendaraan</v>
          </cell>
          <cell r="D2706" t="str">
            <v>November</v>
          </cell>
          <cell r="F2706">
            <v>610015</v>
          </cell>
          <cell r="G2706" t="str">
            <v>November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</row>
        <row r="2707">
          <cell r="B2707">
            <v>610015</v>
          </cell>
          <cell r="C2707" t="str">
            <v>Perawatan Peralatan &amp; Kendaraan</v>
          </cell>
          <cell r="D2707" t="str">
            <v>Desember</v>
          </cell>
          <cell r="F2707">
            <v>610015</v>
          </cell>
          <cell r="G2707" t="str">
            <v>Desember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</row>
        <row r="2708">
          <cell r="B2708">
            <v>610016</v>
          </cell>
          <cell r="C2708" t="str">
            <v>Insentif</v>
          </cell>
          <cell r="E2708">
            <v>610.01599999999996</v>
          </cell>
          <cell r="F2708">
            <v>610016</v>
          </cell>
          <cell r="G2708" t="str">
            <v>Insentif</v>
          </cell>
          <cell r="H2708">
            <v>6667500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6667500</v>
          </cell>
          <cell r="AC2708">
            <v>0</v>
          </cell>
          <cell r="AD2708">
            <v>0</v>
          </cell>
          <cell r="AE2708">
            <v>0</v>
          </cell>
        </row>
        <row r="2709">
          <cell r="B2709">
            <v>610016</v>
          </cell>
          <cell r="C2709" t="str">
            <v>Insentif</v>
          </cell>
          <cell r="D2709" t="str">
            <v>Januari</v>
          </cell>
          <cell r="F2709">
            <v>610016</v>
          </cell>
          <cell r="G2709" t="str">
            <v>Januari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</row>
        <row r="2710">
          <cell r="B2710">
            <v>610016</v>
          </cell>
          <cell r="C2710" t="str">
            <v>Insentif</v>
          </cell>
          <cell r="D2710" t="str">
            <v>Februari</v>
          </cell>
          <cell r="F2710">
            <v>610016</v>
          </cell>
          <cell r="G2710" t="str">
            <v>Februari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</row>
        <row r="2711">
          <cell r="B2711">
            <v>610016</v>
          </cell>
          <cell r="C2711" t="str">
            <v>Insentif</v>
          </cell>
          <cell r="D2711" t="str">
            <v>Maret</v>
          </cell>
          <cell r="F2711">
            <v>610016</v>
          </cell>
          <cell r="G2711" t="str">
            <v>Maret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</row>
        <row r="2712">
          <cell r="B2712">
            <v>610016</v>
          </cell>
          <cell r="C2712" t="str">
            <v>Insentif</v>
          </cell>
          <cell r="D2712" t="str">
            <v>April</v>
          </cell>
          <cell r="F2712">
            <v>610016</v>
          </cell>
          <cell r="G2712" t="str">
            <v>April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</row>
        <row r="2713">
          <cell r="B2713">
            <v>610016</v>
          </cell>
          <cell r="C2713" t="str">
            <v>Insentif</v>
          </cell>
          <cell r="D2713" t="str">
            <v>Mei</v>
          </cell>
          <cell r="F2713">
            <v>610016</v>
          </cell>
          <cell r="G2713" t="str">
            <v>Mei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</row>
        <row r="2714">
          <cell r="B2714">
            <v>610016</v>
          </cell>
          <cell r="C2714" t="str">
            <v>Insentif</v>
          </cell>
          <cell r="D2714" t="str">
            <v>Juni</v>
          </cell>
          <cell r="F2714">
            <v>610016</v>
          </cell>
          <cell r="G2714" t="str">
            <v>Juni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</row>
        <row r="2715">
          <cell r="B2715">
            <v>610016</v>
          </cell>
          <cell r="C2715" t="str">
            <v>Insentif</v>
          </cell>
          <cell r="D2715" t="str">
            <v>Juli</v>
          </cell>
          <cell r="F2715">
            <v>610016</v>
          </cell>
          <cell r="G2715" t="str">
            <v>Juli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</row>
        <row r="2716">
          <cell r="B2716">
            <v>610016</v>
          </cell>
          <cell r="C2716" t="str">
            <v>Insentif</v>
          </cell>
          <cell r="D2716" t="str">
            <v>Agustus</v>
          </cell>
          <cell r="F2716">
            <v>610016</v>
          </cell>
          <cell r="G2716" t="str">
            <v>Agustus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</row>
        <row r="2717">
          <cell r="B2717">
            <v>610016</v>
          </cell>
          <cell r="C2717" t="str">
            <v>Insentif</v>
          </cell>
          <cell r="D2717" t="str">
            <v>September</v>
          </cell>
          <cell r="F2717">
            <v>610016</v>
          </cell>
          <cell r="G2717" t="str">
            <v>September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</row>
        <row r="2718">
          <cell r="B2718">
            <v>610016</v>
          </cell>
          <cell r="C2718" t="str">
            <v>Insentif</v>
          </cell>
          <cell r="D2718" t="str">
            <v>Oktober</v>
          </cell>
          <cell r="F2718">
            <v>610016</v>
          </cell>
          <cell r="G2718" t="str">
            <v>Oktober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</row>
        <row r="2719">
          <cell r="B2719">
            <v>610016</v>
          </cell>
          <cell r="C2719" t="str">
            <v>Insentif</v>
          </cell>
          <cell r="D2719" t="str">
            <v>November</v>
          </cell>
          <cell r="F2719">
            <v>610016</v>
          </cell>
          <cell r="G2719" t="str">
            <v>November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</row>
        <row r="2720">
          <cell r="B2720">
            <v>610016</v>
          </cell>
          <cell r="C2720" t="str">
            <v>Insentif</v>
          </cell>
          <cell r="D2720" t="str">
            <v>Desember</v>
          </cell>
          <cell r="F2720">
            <v>610016</v>
          </cell>
          <cell r="G2720" t="str">
            <v>Desember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</row>
        <row r="2721">
          <cell r="B2721">
            <v>610016</v>
          </cell>
          <cell r="F2721">
            <v>610016</v>
          </cell>
          <cell r="H2721">
            <v>0</v>
          </cell>
          <cell r="I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</row>
        <row r="2722">
          <cell r="B2722">
            <v>611000</v>
          </cell>
          <cell r="C2722" t="str">
            <v>Beban Usaha Salon</v>
          </cell>
          <cell r="E2722">
            <v>611</v>
          </cell>
          <cell r="F2722">
            <v>611000</v>
          </cell>
          <cell r="G2722" t="str">
            <v>Beban Usaha Salon</v>
          </cell>
          <cell r="H2722">
            <v>0</v>
          </cell>
          <cell r="I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</row>
        <row r="2723">
          <cell r="B2723">
            <v>611001</v>
          </cell>
          <cell r="C2723" t="str">
            <v>Gaji</v>
          </cell>
          <cell r="E2723">
            <v>611.00099999999998</v>
          </cell>
          <cell r="F2723">
            <v>611001</v>
          </cell>
          <cell r="G2723" t="str">
            <v>Gaji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  <cell r="Z2723">
            <v>0</v>
          </cell>
          <cell r="AA2723">
            <v>0</v>
          </cell>
          <cell r="AB2723">
            <v>0</v>
          </cell>
          <cell r="AC2723">
            <v>0</v>
          </cell>
          <cell r="AD2723">
            <v>0</v>
          </cell>
          <cell r="AE2723">
            <v>0</v>
          </cell>
        </row>
        <row r="2724">
          <cell r="B2724">
            <v>611001</v>
          </cell>
          <cell r="C2724" t="str">
            <v>Gaji</v>
          </cell>
          <cell r="D2724" t="str">
            <v>Januari</v>
          </cell>
          <cell r="F2724">
            <v>611001</v>
          </cell>
          <cell r="G2724" t="str">
            <v>Januari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</row>
        <row r="2725">
          <cell r="B2725">
            <v>611001</v>
          </cell>
          <cell r="C2725" t="str">
            <v>Gaji</v>
          </cell>
          <cell r="D2725" t="str">
            <v>Februari</v>
          </cell>
          <cell r="F2725">
            <v>611001</v>
          </cell>
          <cell r="G2725" t="str">
            <v>Februari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</row>
        <row r="2726">
          <cell r="B2726">
            <v>611001</v>
          </cell>
          <cell r="C2726" t="str">
            <v>Gaji</v>
          </cell>
          <cell r="D2726" t="str">
            <v>Maret</v>
          </cell>
          <cell r="F2726">
            <v>611001</v>
          </cell>
          <cell r="G2726" t="str">
            <v>Maret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</row>
        <row r="2727">
          <cell r="B2727">
            <v>611001</v>
          </cell>
          <cell r="C2727" t="str">
            <v>Gaji</v>
          </cell>
          <cell r="D2727" t="str">
            <v>April</v>
          </cell>
          <cell r="F2727">
            <v>611001</v>
          </cell>
          <cell r="G2727" t="str">
            <v>April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</row>
        <row r="2728">
          <cell r="B2728">
            <v>611001</v>
          </cell>
          <cell r="C2728" t="str">
            <v>Gaji</v>
          </cell>
          <cell r="D2728" t="str">
            <v>Mei</v>
          </cell>
          <cell r="F2728">
            <v>611001</v>
          </cell>
          <cell r="G2728" t="str">
            <v>Mei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</row>
        <row r="2729">
          <cell r="B2729">
            <v>611001</v>
          </cell>
          <cell r="C2729" t="str">
            <v>Gaji</v>
          </cell>
          <cell r="D2729" t="str">
            <v>Juni</v>
          </cell>
          <cell r="F2729">
            <v>611001</v>
          </cell>
          <cell r="G2729" t="str">
            <v>Juni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</row>
        <row r="2730">
          <cell r="B2730">
            <v>611001</v>
          </cell>
          <cell r="C2730" t="str">
            <v>Gaji</v>
          </cell>
          <cell r="D2730" t="str">
            <v>Juli</v>
          </cell>
          <cell r="F2730">
            <v>611001</v>
          </cell>
          <cell r="G2730" t="str">
            <v>Juli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</row>
        <row r="2731">
          <cell r="B2731">
            <v>611001</v>
          </cell>
          <cell r="C2731" t="str">
            <v>Gaji</v>
          </cell>
          <cell r="D2731" t="str">
            <v>Agustus</v>
          </cell>
          <cell r="F2731">
            <v>611001</v>
          </cell>
          <cell r="G2731" t="str">
            <v>Agustus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</row>
        <row r="2732">
          <cell r="B2732">
            <v>611001</v>
          </cell>
          <cell r="C2732" t="str">
            <v>Gaji</v>
          </cell>
          <cell r="D2732" t="str">
            <v>September</v>
          </cell>
          <cell r="F2732">
            <v>611001</v>
          </cell>
          <cell r="G2732" t="str">
            <v>September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</row>
        <row r="2733">
          <cell r="B2733">
            <v>611001</v>
          </cell>
          <cell r="C2733" t="str">
            <v>Gaji</v>
          </cell>
          <cell r="D2733" t="str">
            <v>Oktober</v>
          </cell>
          <cell r="F2733">
            <v>611001</v>
          </cell>
          <cell r="G2733" t="str">
            <v>Oktober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</row>
        <row r="2734">
          <cell r="B2734">
            <v>611001</v>
          </cell>
          <cell r="C2734" t="str">
            <v>Gaji</v>
          </cell>
          <cell r="D2734" t="str">
            <v>November</v>
          </cell>
          <cell r="F2734">
            <v>611001</v>
          </cell>
          <cell r="G2734" t="str">
            <v>November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</row>
        <row r="2735">
          <cell r="B2735">
            <v>611001</v>
          </cell>
          <cell r="C2735" t="str">
            <v>Gaji</v>
          </cell>
          <cell r="D2735" t="str">
            <v>Desember</v>
          </cell>
          <cell r="F2735">
            <v>611001</v>
          </cell>
          <cell r="G2735" t="str">
            <v>Desember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</row>
        <row r="2736">
          <cell r="B2736">
            <v>611002</v>
          </cell>
          <cell r="C2736" t="str">
            <v>Tunjangan makan</v>
          </cell>
          <cell r="E2736">
            <v>611.00199999999995</v>
          </cell>
          <cell r="F2736">
            <v>611002</v>
          </cell>
          <cell r="G2736" t="str">
            <v>Tunjangan makan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</row>
        <row r="2737">
          <cell r="B2737">
            <v>611002</v>
          </cell>
          <cell r="C2737" t="str">
            <v>Tunjangan makan</v>
          </cell>
          <cell r="D2737" t="str">
            <v>Januari</v>
          </cell>
          <cell r="F2737">
            <v>611002</v>
          </cell>
          <cell r="G2737" t="str">
            <v>Januari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</row>
        <row r="2738">
          <cell r="B2738">
            <v>611002</v>
          </cell>
          <cell r="C2738" t="str">
            <v>Tunjangan makan</v>
          </cell>
          <cell r="D2738" t="str">
            <v>Februari</v>
          </cell>
          <cell r="F2738">
            <v>611002</v>
          </cell>
          <cell r="G2738" t="str">
            <v>Februari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</row>
        <row r="2739">
          <cell r="B2739">
            <v>611002</v>
          </cell>
          <cell r="C2739" t="str">
            <v>Tunjangan makan</v>
          </cell>
          <cell r="D2739" t="str">
            <v>Maret</v>
          </cell>
          <cell r="F2739">
            <v>611002</v>
          </cell>
          <cell r="G2739" t="str">
            <v>Maret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</row>
        <row r="2740">
          <cell r="B2740">
            <v>611002</v>
          </cell>
          <cell r="C2740" t="str">
            <v>Tunjangan makan</v>
          </cell>
          <cell r="D2740" t="str">
            <v>April</v>
          </cell>
          <cell r="F2740">
            <v>611002</v>
          </cell>
          <cell r="G2740" t="str">
            <v>April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</row>
        <row r="2741">
          <cell r="B2741">
            <v>611002</v>
          </cell>
          <cell r="C2741" t="str">
            <v>Tunjangan makan</v>
          </cell>
          <cell r="D2741" t="str">
            <v>Mei</v>
          </cell>
          <cell r="F2741">
            <v>611002</v>
          </cell>
          <cell r="G2741" t="str">
            <v>Mei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</row>
        <row r="2742">
          <cell r="B2742">
            <v>611002</v>
          </cell>
          <cell r="C2742" t="str">
            <v>Tunjangan makan</v>
          </cell>
          <cell r="D2742" t="str">
            <v>Juni</v>
          </cell>
          <cell r="F2742">
            <v>611002</v>
          </cell>
          <cell r="G2742" t="str">
            <v>Juni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</row>
        <row r="2743">
          <cell r="B2743">
            <v>611002</v>
          </cell>
          <cell r="C2743" t="str">
            <v>Tunjangan makan</v>
          </cell>
          <cell r="D2743" t="str">
            <v>Juli</v>
          </cell>
          <cell r="F2743">
            <v>611002</v>
          </cell>
          <cell r="G2743" t="str">
            <v>Juli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</row>
        <row r="2744">
          <cell r="B2744">
            <v>611002</v>
          </cell>
          <cell r="C2744" t="str">
            <v>Tunjangan makan</v>
          </cell>
          <cell r="D2744" t="str">
            <v>Agustus</v>
          </cell>
          <cell r="F2744">
            <v>611002</v>
          </cell>
          <cell r="G2744" t="str">
            <v>Agustus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</row>
        <row r="2745">
          <cell r="B2745">
            <v>611002</v>
          </cell>
          <cell r="C2745" t="str">
            <v>Tunjangan makan</v>
          </cell>
          <cell r="D2745" t="str">
            <v>September</v>
          </cell>
          <cell r="F2745">
            <v>611002</v>
          </cell>
          <cell r="G2745" t="str">
            <v>September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</row>
        <row r="2746">
          <cell r="B2746">
            <v>611002</v>
          </cell>
          <cell r="C2746" t="str">
            <v>Tunjangan makan</v>
          </cell>
          <cell r="D2746" t="str">
            <v>Oktober</v>
          </cell>
          <cell r="F2746">
            <v>611002</v>
          </cell>
          <cell r="G2746" t="str">
            <v>Oktober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</row>
        <row r="2747">
          <cell r="B2747">
            <v>611002</v>
          </cell>
          <cell r="C2747" t="str">
            <v>Tunjangan makan</v>
          </cell>
          <cell r="D2747" t="str">
            <v>November</v>
          </cell>
          <cell r="F2747">
            <v>611002</v>
          </cell>
          <cell r="G2747" t="str">
            <v>November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</row>
        <row r="2748">
          <cell r="B2748">
            <v>611002</v>
          </cell>
          <cell r="C2748" t="str">
            <v>Tunjangan makan</v>
          </cell>
          <cell r="D2748" t="str">
            <v>Desember</v>
          </cell>
          <cell r="F2748">
            <v>611002</v>
          </cell>
          <cell r="G2748" t="str">
            <v>Desember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</row>
        <row r="2749">
          <cell r="B2749">
            <v>611003</v>
          </cell>
          <cell r="C2749" t="str">
            <v>Lembur</v>
          </cell>
          <cell r="E2749">
            <v>611.00300000000004</v>
          </cell>
          <cell r="F2749">
            <v>611003</v>
          </cell>
          <cell r="G2749" t="str">
            <v>Lembur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</row>
        <row r="2750">
          <cell r="B2750">
            <v>611003</v>
          </cell>
          <cell r="C2750" t="str">
            <v>Lembur</v>
          </cell>
          <cell r="D2750" t="str">
            <v>Januari</v>
          </cell>
          <cell r="F2750">
            <v>611003</v>
          </cell>
          <cell r="G2750" t="str">
            <v>Januari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</row>
        <row r="2751">
          <cell r="B2751">
            <v>611003</v>
          </cell>
          <cell r="C2751" t="str">
            <v>Lembur</v>
          </cell>
          <cell r="D2751" t="str">
            <v>Februari</v>
          </cell>
          <cell r="F2751">
            <v>611003</v>
          </cell>
          <cell r="G2751" t="str">
            <v>Februari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</row>
        <row r="2752">
          <cell r="B2752">
            <v>611003</v>
          </cell>
          <cell r="C2752" t="str">
            <v>Lembur</v>
          </cell>
          <cell r="D2752" t="str">
            <v>Maret</v>
          </cell>
          <cell r="F2752">
            <v>611003</v>
          </cell>
          <cell r="G2752" t="str">
            <v>Maret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</row>
        <row r="2753">
          <cell r="B2753">
            <v>611003</v>
          </cell>
          <cell r="C2753" t="str">
            <v>Lembur</v>
          </cell>
          <cell r="D2753" t="str">
            <v>April</v>
          </cell>
          <cell r="F2753">
            <v>611003</v>
          </cell>
          <cell r="G2753" t="str">
            <v>April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</row>
        <row r="2754">
          <cell r="B2754">
            <v>611003</v>
          </cell>
          <cell r="C2754" t="str">
            <v>Lembur</v>
          </cell>
          <cell r="D2754" t="str">
            <v>Mei</v>
          </cell>
          <cell r="F2754">
            <v>611003</v>
          </cell>
          <cell r="G2754" t="str">
            <v>Mei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</row>
        <row r="2755">
          <cell r="B2755">
            <v>611003</v>
          </cell>
          <cell r="C2755" t="str">
            <v>Lembur</v>
          </cell>
          <cell r="D2755" t="str">
            <v>Juni</v>
          </cell>
          <cell r="F2755">
            <v>611003</v>
          </cell>
          <cell r="G2755" t="str">
            <v>Juni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</row>
        <row r="2756">
          <cell r="B2756">
            <v>611003</v>
          </cell>
          <cell r="C2756" t="str">
            <v>Lembur</v>
          </cell>
          <cell r="D2756" t="str">
            <v>Juli</v>
          </cell>
          <cell r="F2756">
            <v>611003</v>
          </cell>
          <cell r="G2756" t="str">
            <v>Juli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</row>
        <row r="2757">
          <cell r="B2757">
            <v>611003</v>
          </cell>
          <cell r="C2757" t="str">
            <v>Lembur</v>
          </cell>
          <cell r="D2757" t="str">
            <v>Agustus</v>
          </cell>
          <cell r="F2757">
            <v>611003</v>
          </cell>
          <cell r="G2757" t="str">
            <v>Agustus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</row>
        <row r="2758">
          <cell r="B2758">
            <v>611003</v>
          </cell>
          <cell r="C2758" t="str">
            <v>Lembur</v>
          </cell>
          <cell r="D2758" t="str">
            <v>September</v>
          </cell>
          <cell r="F2758">
            <v>611003</v>
          </cell>
          <cell r="G2758" t="str">
            <v>September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</row>
        <row r="2759">
          <cell r="B2759">
            <v>611003</v>
          </cell>
          <cell r="C2759" t="str">
            <v>Lembur</v>
          </cell>
          <cell r="D2759" t="str">
            <v>Oktober</v>
          </cell>
          <cell r="F2759">
            <v>611003</v>
          </cell>
          <cell r="G2759" t="str">
            <v>Oktober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</row>
        <row r="2760">
          <cell r="B2760">
            <v>611003</v>
          </cell>
          <cell r="C2760" t="str">
            <v>Lembur</v>
          </cell>
          <cell r="D2760" t="str">
            <v>November</v>
          </cell>
          <cell r="F2760">
            <v>611003</v>
          </cell>
          <cell r="G2760" t="str">
            <v>November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</row>
        <row r="2761">
          <cell r="B2761">
            <v>611003</v>
          </cell>
          <cell r="C2761" t="str">
            <v>Lembur</v>
          </cell>
          <cell r="D2761" t="str">
            <v>Desember</v>
          </cell>
          <cell r="F2761">
            <v>611003</v>
          </cell>
          <cell r="G2761" t="str">
            <v>Desember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</row>
        <row r="2762">
          <cell r="B2762">
            <v>611004</v>
          </cell>
          <cell r="C2762" t="str">
            <v>THR</v>
          </cell>
          <cell r="E2762">
            <v>611.00400000000002</v>
          </cell>
          <cell r="F2762">
            <v>611004</v>
          </cell>
          <cell r="G2762" t="str">
            <v>THR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</row>
        <row r="2763">
          <cell r="B2763">
            <v>611004</v>
          </cell>
          <cell r="C2763" t="str">
            <v>THR</v>
          </cell>
          <cell r="D2763" t="str">
            <v>Januari</v>
          </cell>
          <cell r="F2763">
            <v>611004</v>
          </cell>
          <cell r="G2763" t="str">
            <v>Januari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</row>
        <row r="2764">
          <cell r="B2764">
            <v>611004</v>
          </cell>
          <cell r="C2764" t="str">
            <v>THR</v>
          </cell>
          <cell r="D2764" t="str">
            <v>Februari</v>
          </cell>
          <cell r="F2764">
            <v>611004</v>
          </cell>
          <cell r="G2764" t="str">
            <v>Februari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</row>
        <row r="2765">
          <cell r="B2765">
            <v>611004</v>
          </cell>
          <cell r="C2765" t="str">
            <v>THR</v>
          </cell>
          <cell r="D2765" t="str">
            <v>Maret</v>
          </cell>
          <cell r="F2765">
            <v>611004</v>
          </cell>
          <cell r="G2765" t="str">
            <v>Maret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</row>
        <row r="2766">
          <cell r="B2766">
            <v>611004</v>
          </cell>
          <cell r="C2766" t="str">
            <v>THR</v>
          </cell>
          <cell r="D2766" t="str">
            <v>April</v>
          </cell>
          <cell r="F2766">
            <v>611004</v>
          </cell>
          <cell r="G2766" t="str">
            <v>April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</row>
        <row r="2767">
          <cell r="B2767">
            <v>611004</v>
          </cell>
          <cell r="C2767" t="str">
            <v>THR</v>
          </cell>
          <cell r="D2767" t="str">
            <v>Mei</v>
          </cell>
          <cell r="F2767">
            <v>611004</v>
          </cell>
          <cell r="G2767" t="str">
            <v>Mei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</row>
        <row r="2768">
          <cell r="B2768">
            <v>611004</v>
          </cell>
          <cell r="C2768" t="str">
            <v>THR</v>
          </cell>
          <cell r="D2768" t="str">
            <v>Juni</v>
          </cell>
          <cell r="F2768">
            <v>611004</v>
          </cell>
          <cell r="G2768" t="str">
            <v>Juni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</row>
        <row r="2769">
          <cell r="B2769">
            <v>611004</v>
          </cell>
          <cell r="C2769" t="str">
            <v>THR</v>
          </cell>
          <cell r="D2769" t="str">
            <v>Juli</v>
          </cell>
          <cell r="F2769">
            <v>611004</v>
          </cell>
          <cell r="G2769" t="str">
            <v>Juli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</row>
        <row r="2770">
          <cell r="B2770">
            <v>611004</v>
          </cell>
          <cell r="C2770" t="str">
            <v>THR</v>
          </cell>
          <cell r="D2770" t="str">
            <v>Agustus</v>
          </cell>
          <cell r="F2770">
            <v>611004</v>
          </cell>
          <cell r="G2770" t="str">
            <v>Agustus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</row>
        <row r="2771">
          <cell r="B2771">
            <v>611004</v>
          </cell>
          <cell r="C2771" t="str">
            <v>THR</v>
          </cell>
          <cell r="D2771" t="str">
            <v>September</v>
          </cell>
          <cell r="F2771">
            <v>611004</v>
          </cell>
          <cell r="G2771" t="str">
            <v>September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</row>
        <row r="2772">
          <cell r="B2772">
            <v>611004</v>
          </cell>
          <cell r="C2772" t="str">
            <v>THR</v>
          </cell>
          <cell r="D2772" t="str">
            <v>Oktober</v>
          </cell>
          <cell r="F2772">
            <v>611004</v>
          </cell>
          <cell r="G2772" t="str">
            <v>Oktober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</row>
        <row r="2773">
          <cell r="B2773">
            <v>611004</v>
          </cell>
          <cell r="C2773" t="str">
            <v>THR</v>
          </cell>
          <cell r="D2773" t="str">
            <v>November</v>
          </cell>
          <cell r="F2773">
            <v>611004</v>
          </cell>
          <cell r="G2773" t="str">
            <v>November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</row>
        <row r="2774">
          <cell r="B2774">
            <v>611004</v>
          </cell>
          <cell r="C2774" t="str">
            <v>THR</v>
          </cell>
          <cell r="D2774" t="str">
            <v>Desember</v>
          </cell>
          <cell r="F2774">
            <v>611004</v>
          </cell>
          <cell r="G2774" t="str">
            <v>Desember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</row>
        <row r="2775">
          <cell r="B2775">
            <v>611005</v>
          </cell>
          <cell r="C2775" t="str">
            <v>Astek</v>
          </cell>
          <cell r="E2775">
            <v>611.005</v>
          </cell>
          <cell r="F2775">
            <v>611005</v>
          </cell>
          <cell r="G2775" t="str">
            <v>Astek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</row>
        <row r="2776">
          <cell r="B2776">
            <v>611005</v>
          </cell>
          <cell r="C2776" t="str">
            <v>Astek</v>
          </cell>
          <cell r="D2776" t="str">
            <v>Januari</v>
          </cell>
          <cell r="F2776">
            <v>611005</v>
          </cell>
          <cell r="G2776" t="str">
            <v>Januari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</row>
        <row r="2777">
          <cell r="B2777">
            <v>611005</v>
          </cell>
          <cell r="C2777" t="str">
            <v>Astek</v>
          </cell>
          <cell r="D2777" t="str">
            <v>Februari</v>
          </cell>
          <cell r="F2777">
            <v>611005</v>
          </cell>
          <cell r="G2777" t="str">
            <v>Februari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</row>
        <row r="2778">
          <cell r="B2778">
            <v>611005</v>
          </cell>
          <cell r="C2778" t="str">
            <v>Astek</v>
          </cell>
          <cell r="D2778" t="str">
            <v>Maret</v>
          </cell>
          <cell r="F2778">
            <v>611005</v>
          </cell>
          <cell r="G2778" t="str">
            <v>Maret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</row>
        <row r="2779">
          <cell r="B2779">
            <v>611005</v>
          </cell>
          <cell r="C2779" t="str">
            <v>Astek</v>
          </cell>
          <cell r="D2779" t="str">
            <v>April</v>
          </cell>
          <cell r="F2779">
            <v>611005</v>
          </cell>
          <cell r="G2779" t="str">
            <v>April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</row>
        <row r="2780">
          <cell r="B2780">
            <v>611005</v>
          </cell>
          <cell r="C2780" t="str">
            <v>Astek</v>
          </cell>
          <cell r="D2780" t="str">
            <v>Mei</v>
          </cell>
          <cell r="F2780">
            <v>611005</v>
          </cell>
          <cell r="G2780" t="str">
            <v>Mei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</row>
        <row r="2781">
          <cell r="B2781">
            <v>611005</v>
          </cell>
          <cell r="C2781" t="str">
            <v>Astek</v>
          </cell>
          <cell r="D2781" t="str">
            <v>Juni</v>
          </cell>
          <cell r="F2781">
            <v>611005</v>
          </cell>
          <cell r="G2781" t="str">
            <v>Juni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0</v>
          </cell>
          <cell r="AB2781">
            <v>0</v>
          </cell>
          <cell r="AC2781">
            <v>0</v>
          </cell>
          <cell r="AD2781">
            <v>0</v>
          </cell>
          <cell r="AE2781">
            <v>0</v>
          </cell>
        </row>
        <row r="2782">
          <cell r="B2782">
            <v>611005</v>
          </cell>
          <cell r="C2782" t="str">
            <v>Astek</v>
          </cell>
          <cell r="D2782" t="str">
            <v>Juli</v>
          </cell>
          <cell r="F2782">
            <v>611005</v>
          </cell>
          <cell r="G2782" t="str">
            <v>Juli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</row>
        <row r="2783">
          <cell r="B2783">
            <v>611005</v>
          </cell>
          <cell r="C2783" t="str">
            <v>Astek</v>
          </cell>
          <cell r="D2783" t="str">
            <v>Agustus</v>
          </cell>
          <cell r="F2783">
            <v>611005</v>
          </cell>
          <cell r="G2783" t="str">
            <v>Agustus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</row>
        <row r="2784">
          <cell r="B2784">
            <v>611005</v>
          </cell>
          <cell r="C2784" t="str">
            <v>Astek</v>
          </cell>
          <cell r="D2784" t="str">
            <v>September</v>
          </cell>
          <cell r="F2784">
            <v>611005</v>
          </cell>
          <cell r="G2784" t="str">
            <v>September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</row>
        <row r="2785">
          <cell r="B2785">
            <v>611005</v>
          </cell>
          <cell r="C2785" t="str">
            <v>Astek</v>
          </cell>
          <cell r="D2785" t="str">
            <v>Oktober</v>
          </cell>
          <cell r="F2785">
            <v>611005</v>
          </cell>
          <cell r="G2785" t="str">
            <v>Oktober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</row>
        <row r="2786">
          <cell r="B2786">
            <v>611005</v>
          </cell>
          <cell r="C2786" t="str">
            <v>Astek</v>
          </cell>
          <cell r="D2786" t="str">
            <v>November</v>
          </cell>
          <cell r="F2786">
            <v>611005</v>
          </cell>
          <cell r="G2786" t="str">
            <v>November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</row>
        <row r="2787">
          <cell r="B2787">
            <v>611005</v>
          </cell>
          <cell r="C2787" t="str">
            <v>Astek</v>
          </cell>
          <cell r="D2787" t="str">
            <v>Desember</v>
          </cell>
          <cell r="F2787">
            <v>611005</v>
          </cell>
          <cell r="G2787" t="str">
            <v>Desember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</row>
        <row r="2788">
          <cell r="B2788">
            <v>611007</v>
          </cell>
          <cell r="C2788" t="str">
            <v>Telpon</v>
          </cell>
          <cell r="E2788">
            <v>611.00699999999995</v>
          </cell>
          <cell r="F2788">
            <v>611007</v>
          </cell>
          <cell r="G2788" t="str">
            <v>Telpon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</row>
        <row r="2789">
          <cell r="B2789">
            <v>611007</v>
          </cell>
          <cell r="C2789" t="str">
            <v>Telpon</v>
          </cell>
          <cell r="D2789" t="str">
            <v>Januari</v>
          </cell>
          <cell r="F2789">
            <v>611007</v>
          </cell>
          <cell r="G2789" t="str">
            <v>Januari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</row>
        <row r="2790">
          <cell r="B2790">
            <v>611007</v>
          </cell>
          <cell r="C2790" t="str">
            <v>Telpon</v>
          </cell>
          <cell r="D2790" t="str">
            <v>Februari</v>
          </cell>
          <cell r="F2790">
            <v>611007</v>
          </cell>
          <cell r="G2790" t="str">
            <v>Februari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</row>
        <row r="2791">
          <cell r="B2791">
            <v>611007</v>
          </cell>
          <cell r="C2791" t="str">
            <v>Telpon</v>
          </cell>
          <cell r="D2791" t="str">
            <v>Maret</v>
          </cell>
          <cell r="F2791">
            <v>611007</v>
          </cell>
          <cell r="G2791" t="str">
            <v>Maret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</row>
        <row r="2792">
          <cell r="B2792">
            <v>611007</v>
          </cell>
          <cell r="C2792" t="str">
            <v>Telpon</v>
          </cell>
          <cell r="D2792" t="str">
            <v>April</v>
          </cell>
          <cell r="F2792">
            <v>611007</v>
          </cell>
          <cell r="G2792" t="str">
            <v>April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</row>
        <row r="2793">
          <cell r="B2793">
            <v>611007</v>
          </cell>
          <cell r="C2793" t="str">
            <v>Telpon</v>
          </cell>
          <cell r="D2793" t="str">
            <v>Mei</v>
          </cell>
          <cell r="F2793">
            <v>611007</v>
          </cell>
          <cell r="G2793" t="str">
            <v>Mei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</row>
        <row r="2794">
          <cell r="B2794">
            <v>611007</v>
          </cell>
          <cell r="C2794" t="str">
            <v>Telpon</v>
          </cell>
          <cell r="D2794" t="str">
            <v>Juni</v>
          </cell>
          <cell r="F2794">
            <v>611007</v>
          </cell>
          <cell r="G2794" t="str">
            <v>Juni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</row>
        <row r="2795">
          <cell r="B2795">
            <v>611007</v>
          </cell>
          <cell r="C2795" t="str">
            <v>Telpon</v>
          </cell>
          <cell r="D2795" t="str">
            <v>Juli</v>
          </cell>
          <cell r="F2795">
            <v>611007</v>
          </cell>
          <cell r="G2795" t="str">
            <v>Juli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</row>
        <row r="2796">
          <cell r="B2796">
            <v>611007</v>
          </cell>
          <cell r="C2796" t="str">
            <v>Telpon</v>
          </cell>
          <cell r="D2796" t="str">
            <v>Agustus</v>
          </cell>
          <cell r="F2796">
            <v>611007</v>
          </cell>
          <cell r="G2796" t="str">
            <v>Agustus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</row>
        <row r="2797">
          <cell r="B2797">
            <v>611007</v>
          </cell>
          <cell r="C2797" t="str">
            <v>Telpon</v>
          </cell>
          <cell r="D2797" t="str">
            <v>September</v>
          </cell>
          <cell r="F2797">
            <v>611007</v>
          </cell>
          <cell r="G2797" t="str">
            <v>September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</row>
        <row r="2798">
          <cell r="B2798">
            <v>611007</v>
          </cell>
          <cell r="C2798" t="str">
            <v>Telpon</v>
          </cell>
          <cell r="D2798" t="str">
            <v>Oktober</v>
          </cell>
          <cell r="F2798">
            <v>611007</v>
          </cell>
          <cell r="G2798" t="str">
            <v>Oktober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</row>
        <row r="2799">
          <cell r="B2799">
            <v>611007</v>
          </cell>
          <cell r="C2799" t="str">
            <v>Telpon</v>
          </cell>
          <cell r="D2799" t="str">
            <v>November</v>
          </cell>
          <cell r="F2799">
            <v>611007</v>
          </cell>
          <cell r="G2799" t="str">
            <v>November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</row>
        <row r="2800">
          <cell r="B2800">
            <v>611007</v>
          </cell>
          <cell r="C2800" t="str">
            <v>Telpon</v>
          </cell>
          <cell r="D2800" t="str">
            <v>Desember</v>
          </cell>
          <cell r="F2800">
            <v>611007</v>
          </cell>
          <cell r="G2800" t="str">
            <v>Desember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</row>
        <row r="2801">
          <cell r="B2801">
            <v>611008</v>
          </cell>
          <cell r="C2801" t="str">
            <v>Listrik</v>
          </cell>
          <cell r="E2801">
            <v>611.00800000000004</v>
          </cell>
          <cell r="F2801">
            <v>611008</v>
          </cell>
          <cell r="G2801" t="str">
            <v>Listrik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</row>
        <row r="2802">
          <cell r="B2802">
            <v>611008</v>
          </cell>
          <cell r="C2802" t="str">
            <v>Listrik</v>
          </cell>
          <cell r="D2802" t="str">
            <v>Januari</v>
          </cell>
          <cell r="F2802">
            <v>611008</v>
          </cell>
          <cell r="G2802" t="str">
            <v>Januari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</row>
        <row r="2803">
          <cell r="B2803">
            <v>611008</v>
          </cell>
          <cell r="C2803" t="str">
            <v>Listrik</v>
          </cell>
          <cell r="D2803" t="str">
            <v>Februari</v>
          </cell>
          <cell r="F2803">
            <v>611008</v>
          </cell>
          <cell r="G2803" t="str">
            <v>Februari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</row>
        <row r="2804">
          <cell r="B2804">
            <v>611008</v>
          </cell>
          <cell r="C2804" t="str">
            <v>Listrik</v>
          </cell>
          <cell r="D2804" t="str">
            <v>Maret</v>
          </cell>
          <cell r="F2804">
            <v>611008</v>
          </cell>
          <cell r="G2804" t="str">
            <v>Maret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</row>
        <row r="2805">
          <cell r="B2805">
            <v>611008</v>
          </cell>
          <cell r="C2805" t="str">
            <v>Listrik</v>
          </cell>
          <cell r="D2805" t="str">
            <v>April</v>
          </cell>
          <cell r="F2805">
            <v>611008</v>
          </cell>
          <cell r="G2805" t="str">
            <v>April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</row>
        <row r="2806">
          <cell r="B2806">
            <v>611008</v>
          </cell>
          <cell r="C2806" t="str">
            <v>Listrik</v>
          </cell>
          <cell r="D2806" t="str">
            <v>Mei</v>
          </cell>
          <cell r="F2806">
            <v>611008</v>
          </cell>
          <cell r="G2806" t="str">
            <v>Mei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</row>
        <row r="2807">
          <cell r="B2807">
            <v>611008</v>
          </cell>
          <cell r="C2807" t="str">
            <v>Listrik</v>
          </cell>
          <cell r="D2807" t="str">
            <v>Juni</v>
          </cell>
          <cell r="F2807">
            <v>611008</v>
          </cell>
          <cell r="G2807" t="str">
            <v>Juni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</row>
        <row r="2808">
          <cell r="B2808">
            <v>611008</v>
          </cell>
          <cell r="C2808" t="str">
            <v>Listrik</v>
          </cell>
          <cell r="D2808" t="str">
            <v>Juli</v>
          </cell>
          <cell r="F2808">
            <v>611008</v>
          </cell>
          <cell r="G2808" t="str">
            <v>Juli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</row>
        <row r="2809">
          <cell r="B2809">
            <v>611008</v>
          </cell>
          <cell r="C2809" t="str">
            <v>Listrik</v>
          </cell>
          <cell r="D2809" t="str">
            <v>Agustus</v>
          </cell>
          <cell r="F2809">
            <v>611008</v>
          </cell>
          <cell r="G2809" t="str">
            <v>Agustus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</row>
        <row r="2810">
          <cell r="B2810">
            <v>611008</v>
          </cell>
          <cell r="C2810" t="str">
            <v>Listrik</v>
          </cell>
          <cell r="D2810" t="str">
            <v>September</v>
          </cell>
          <cell r="F2810">
            <v>611008</v>
          </cell>
          <cell r="G2810" t="str">
            <v>September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</row>
        <row r="2811">
          <cell r="B2811">
            <v>611008</v>
          </cell>
          <cell r="C2811" t="str">
            <v>Listrik</v>
          </cell>
          <cell r="D2811" t="str">
            <v>Oktober</v>
          </cell>
          <cell r="F2811">
            <v>611008</v>
          </cell>
          <cell r="G2811" t="str">
            <v>Oktober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</row>
        <row r="2812">
          <cell r="B2812">
            <v>611008</v>
          </cell>
          <cell r="C2812" t="str">
            <v>Listrik</v>
          </cell>
          <cell r="D2812" t="str">
            <v>November</v>
          </cell>
          <cell r="F2812">
            <v>611008</v>
          </cell>
          <cell r="G2812" t="str">
            <v>November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</row>
        <row r="2813">
          <cell r="B2813">
            <v>611008</v>
          </cell>
          <cell r="C2813" t="str">
            <v>Listrik</v>
          </cell>
          <cell r="D2813" t="str">
            <v>Desember</v>
          </cell>
          <cell r="F2813">
            <v>611008</v>
          </cell>
          <cell r="G2813" t="str">
            <v>Desember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</row>
        <row r="2814">
          <cell r="B2814">
            <v>611009</v>
          </cell>
          <cell r="C2814" t="str">
            <v>Penyusutan Peralatan</v>
          </cell>
          <cell r="E2814">
            <v>611.00900000000001</v>
          </cell>
          <cell r="F2814">
            <v>611009</v>
          </cell>
          <cell r="G2814" t="str">
            <v>Penyusutan Peralatan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</row>
        <row r="2815">
          <cell r="B2815">
            <v>611009</v>
          </cell>
          <cell r="C2815" t="str">
            <v>Penyusutan Peralatan</v>
          </cell>
          <cell r="D2815" t="str">
            <v>Januari</v>
          </cell>
          <cell r="F2815">
            <v>611009</v>
          </cell>
          <cell r="G2815" t="str">
            <v>Januari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</row>
        <row r="2816">
          <cell r="B2816">
            <v>611009</v>
          </cell>
          <cell r="C2816" t="str">
            <v>Penyusutan Peralatan</v>
          </cell>
          <cell r="D2816" t="str">
            <v>Februari</v>
          </cell>
          <cell r="F2816">
            <v>611009</v>
          </cell>
          <cell r="G2816" t="str">
            <v>Februari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</row>
        <row r="2817">
          <cell r="B2817">
            <v>611009</v>
          </cell>
          <cell r="C2817" t="str">
            <v>Penyusutan Peralatan</v>
          </cell>
          <cell r="D2817" t="str">
            <v>Maret</v>
          </cell>
          <cell r="F2817">
            <v>611009</v>
          </cell>
          <cell r="G2817" t="str">
            <v>Maret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</row>
        <row r="2818">
          <cell r="B2818">
            <v>611009</v>
          </cell>
          <cell r="C2818" t="str">
            <v>Penyusutan Peralatan</v>
          </cell>
          <cell r="D2818" t="str">
            <v>April</v>
          </cell>
          <cell r="F2818">
            <v>611009</v>
          </cell>
          <cell r="G2818" t="str">
            <v>April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</row>
        <row r="2819">
          <cell r="B2819">
            <v>611009</v>
          </cell>
          <cell r="C2819" t="str">
            <v>Penyusutan Peralatan</v>
          </cell>
          <cell r="D2819" t="str">
            <v>Mei</v>
          </cell>
          <cell r="F2819">
            <v>611009</v>
          </cell>
          <cell r="G2819" t="str">
            <v>Mei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</row>
        <row r="2820">
          <cell r="B2820">
            <v>611009</v>
          </cell>
          <cell r="C2820" t="str">
            <v>Penyusutan Peralatan</v>
          </cell>
          <cell r="D2820" t="str">
            <v>Juni</v>
          </cell>
          <cell r="F2820">
            <v>611009</v>
          </cell>
          <cell r="G2820" t="str">
            <v>Juni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</row>
        <row r="2821">
          <cell r="B2821">
            <v>611009</v>
          </cell>
          <cell r="C2821" t="str">
            <v>Penyusutan Peralatan</v>
          </cell>
          <cell r="D2821" t="str">
            <v>Juli</v>
          </cell>
          <cell r="F2821">
            <v>611009</v>
          </cell>
          <cell r="G2821" t="str">
            <v>Juli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</row>
        <row r="2822">
          <cell r="B2822">
            <v>611009</v>
          </cell>
          <cell r="C2822" t="str">
            <v>Penyusutan Peralatan</v>
          </cell>
          <cell r="D2822" t="str">
            <v>Agustus</v>
          </cell>
          <cell r="F2822">
            <v>611009</v>
          </cell>
          <cell r="G2822" t="str">
            <v>Agustus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</row>
        <row r="2823">
          <cell r="B2823">
            <v>611009</v>
          </cell>
          <cell r="C2823" t="str">
            <v>Penyusutan Peralatan</v>
          </cell>
          <cell r="D2823" t="str">
            <v>September</v>
          </cell>
          <cell r="F2823">
            <v>611009</v>
          </cell>
          <cell r="G2823" t="str">
            <v>September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0</v>
          </cell>
          <cell r="AE2823">
            <v>0</v>
          </cell>
        </row>
        <row r="2824">
          <cell r="B2824">
            <v>611009</v>
          </cell>
          <cell r="C2824" t="str">
            <v>Penyusutan Peralatan</v>
          </cell>
          <cell r="D2824" t="str">
            <v>Oktober</v>
          </cell>
          <cell r="F2824">
            <v>611009</v>
          </cell>
          <cell r="G2824" t="str">
            <v>Oktober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</row>
        <row r="2825">
          <cell r="B2825">
            <v>611009</v>
          </cell>
          <cell r="C2825" t="str">
            <v>Penyusutan Peralatan</v>
          </cell>
          <cell r="D2825" t="str">
            <v>November</v>
          </cell>
          <cell r="F2825">
            <v>611009</v>
          </cell>
          <cell r="G2825" t="str">
            <v>November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</row>
        <row r="2826">
          <cell r="B2826">
            <v>611009</v>
          </cell>
          <cell r="C2826" t="str">
            <v>Penyusutan Peralatan</v>
          </cell>
          <cell r="D2826" t="str">
            <v>Desember</v>
          </cell>
          <cell r="F2826">
            <v>611009</v>
          </cell>
          <cell r="G2826" t="str">
            <v>Desember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</row>
        <row r="2827">
          <cell r="B2827">
            <v>611013</v>
          </cell>
          <cell r="C2827" t="str">
            <v>Jasa Pihak ke 3</v>
          </cell>
          <cell r="E2827">
            <v>611.01300000000003</v>
          </cell>
          <cell r="F2827">
            <v>611013</v>
          </cell>
          <cell r="G2827" t="str">
            <v>Jasa Pihak ke 3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</row>
        <row r="2828">
          <cell r="B2828">
            <v>611013</v>
          </cell>
          <cell r="C2828" t="str">
            <v>Jasa Pihak ke 3</v>
          </cell>
          <cell r="D2828" t="str">
            <v>Januari</v>
          </cell>
          <cell r="F2828">
            <v>611013</v>
          </cell>
          <cell r="G2828" t="str">
            <v>Januari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</row>
        <row r="2829">
          <cell r="B2829">
            <v>611013</v>
          </cell>
          <cell r="C2829" t="str">
            <v>Jasa Pihak ke 3</v>
          </cell>
          <cell r="D2829" t="str">
            <v>Februari</v>
          </cell>
          <cell r="F2829">
            <v>611013</v>
          </cell>
          <cell r="G2829" t="str">
            <v>Februari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</row>
        <row r="2830">
          <cell r="B2830">
            <v>611013</v>
          </cell>
          <cell r="C2830" t="str">
            <v>Jasa Pihak ke 3</v>
          </cell>
          <cell r="D2830" t="str">
            <v>Maret</v>
          </cell>
          <cell r="F2830">
            <v>611013</v>
          </cell>
          <cell r="G2830" t="str">
            <v>Maret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</row>
        <row r="2831">
          <cell r="B2831">
            <v>611013</v>
          </cell>
          <cell r="C2831" t="str">
            <v>Jasa Pihak ke 3</v>
          </cell>
          <cell r="D2831" t="str">
            <v>April</v>
          </cell>
          <cell r="F2831">
            <v>611013</v>
          </cell>
          <cell r="G2831" t="str">
            <v>April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</row>
        <row r="2832">
          <cell r="B2832">
            <v>611013</v>
          </cell>
          <cell r="C2832" t="str">
            <v>Jasa Pihak ke 3</v>
          </cell>
          <cell r="D2832" t="str">
            <v>Mei</v>
          </cell>
          <cell r="F2832">
            <v>611013</v>
          </cell>
          <cell r="G2832" t="str">
            <v>Mei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</row>
        <row r="2833">
          <cell r="B2833">
            <v>611013</v>
          </cell>
          <cell r="C2833" t="str">
            <v>Jasa Pihak ke 3</v>
          </cell>
          <cell r="D2833" t="str">
            <v>Juni</v>
          </cell>
          <cell r="F2833">
            <v>611013</v>
          </cell>
          <cell r="G2833" t="str">
            <v>Juni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</row>
        <row r="2834">
          <cell r="B2834">
            <v>611013</v>
          </cell>
          <cell r="C2834" t="str">
            <v>Jasa Pihak ke 3</v>
          </cell>
          <cell r="D2834" t="str">
            <v>Juli</v>
          </cell>
          <cell r="F2834">
            <v>611013</v>
          </cell>
          <cell r="G2834" t="str">
            <v>Juli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</row>
        <row r="2835">
          <cell r="B2835">
            <v>611013</v>
          </cell>
          <cell r="C2835" t="str">
            <v>Jasa Pihak ke 3</v>
          </cell>
          <cell r="D2835" t="str">
            <v>Agustus</v>
          </cell>
          <cell r="F2835">
            <v>611013</v>
          </cell>
          <cell r="G2835" t="str">
            <v>Agustus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</row>
        <row r="2836">
          <cell r="B2836">
            <v>611013</v>
          </cell>
          <cell r="C2836" t="str">
            <v>Jasa Pihak ke 3</v>
          </cell>
          <cell r="D2836" t="str">
            <v>September</v>
          </cell>
          <cell r="F2836">
            <v>611013</v>
          </cell>
          <cell r="G2836" t="str">
            <v>September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</row>
        <row r="2837">
          <cell r="B2837">
            <v>611013</v>
          </cell>
          <cell r="C2837" t="str">
            <v>Jasa Pihak ke 3</v>
          </cell>
          <cell r="D2837" t="str">
            <v>Oktober</v>
          </cell>
          <cell r="F2837">
            <v>611013</v>
          </cell>
          <cell r="G2837" t="str">
            <v>Oktober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</row>
        <row r="2838">
          <cell r="B2838">
            <v>611013</v>
          </cell>
          <cell r="C2838" t="str">
            <v>Jasa Pihak ke 3</v>
          </cell>
          <cell r="D2838" t="str">
            <v>November</v>
          </cell>
          <cell r="F2838">
            <v>611013</v>
          </cell>
          <cell r="G2838" t="str">
            <v>November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</row>
        <row r="2839">
          <cell r="B2839">
            <v>611013</v>
          </cell>
          <cell r="C2839" t="str">
            <v>Jasa Pihak ke 3</v>
          </cell>
          <cell r="D2839" t="str">
            <v>Desember</v>
          </cell>
          <cell r="F2839">
            <v>611013</v>
          </cell>
          <cell r="G2839" t="str">
            <v>Desember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</row>
        <row r="2840">
          <cell r="B2840">
            <v>611011</v>
          </cell>
          <cell r="C2840" t="str">
            <v xml:space="preserve">Material </v>
          </cell>
          <cell r="E2840">
            <v>611.01099999999997</v>
          </cell>
          <cell r="F2840">
            <v>611011</v>
          </cell>
          <cell r="G2840" t="str">
            <v xml:space="preserve">Material 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20000</v>
          </cell>
          <cell r="AA2840">
            <v>0</v>
          </cell>
          <cell r="AB2840">
            <v>20000</v>
          </cell>
          <cell r="AC2840">
            <v>0</v>
          </cell>
          <cell r="AD2840">
            <v>20000</v>
          </cell>
          <cell r="AE2840">
            <v>0</v>
          </cell>
        </row>
        <row r="2841">
          <cell r="B2841">
            <v>611011</v>
          </cell>
          <cell r="C2841" t="str">
            <v xml:space="preserve">Material </v>
          </cell>
          <cell r="D2841" t="str">
            <v>Januari</v>
          </cell>
          <cell r="F2841">
            <v>611011</v>
          </cell>
          <cell r="G2841" t="str">
            <v>Januari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</row>
        <row r="2842">
          <cell r="B2842">
            <v>611011</v>
          </cell>
          <cell r="C2842" t="str">
            <v xml:space="preserve">Material </v>
          </cell>
          <cell r="D2842" t="str">
            <v>Februari</v>
          </cell>
          <cell r="F2842">
            <v>611011</v>
          </cell>
          <cell r="G2842" t="str">
            <v>Februari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</row>
        <row r="2843">
          <cell r="B2843">
            <v>611011</v>
          </cell>
          <cell r="C2843" t="str">
            <v xml:space="preserve">Material </v>
          </cell>
          <cell r="D2843" t="str">
            <v>Maret</v>
          </cell>
          <cell r="F2843">
            <v>611011</v>
          </cell>
          <cell r="G2843" t="str">
            <v>Maret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</row>
        <row r="2844">
          <cell r="B2844">
            <v>611011</v>
          </cell>
          <cell r="C2844" t="str">
            <v xml:space="preserve">Material </v>
          </cell>
          <cell r="D2844" t="str">
            <v>April</v>
          </cell>
          <cell r="F2844">
            <v>611011</v>
          </cell>
          <cell r="G2844" t="str">
            <v>April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</row>
        <row r="2845">
          <cell r="B2845">
            <v>611011</v>
          </cell>
          <cell r="C2845" t="str">
            <v xml:space="preserve">Material </v>
          </cell>
          <cell r="D2845" t="str">
            <v>Mei</v>
          </cell>
          <cell r="F2845">
            <v>611011</v>
          </cell>
          <cell r="G2845" t="str">
            <v>Mei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</row>
        <row r="2846">
          <cell r="B2846">
            <v>611011</v>
          </cell>
          <cell r="C2846" t="str">
            <v xml:space="preserve">Material </v>
          </cell>
          <cell r="D2846" t="str">
            <v>Juni</v>
          </cell>
          <cell r="F2846">
            <v>611011</v>
          </cell>
          <cell r="G2846" t="str">
            <v>Juni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20000</v>
          </cell>
          <cell r="AA2846">
            <v>0</v>
          </cell>
          <cell r="AB2846">
            <v>20000</v>
          </cell>
          <cell r="AC2846">
            <v>0</v>
          </cell>
          <cell r="AD2846">
            <v>20000</v>
          </cell>
          <cell r="AE2846">
            <v>0</v>
          </cell>
        </row>
        <row r="2847">
          <cell r="B2847">
            <v>611011</v>
          </cell>
          <cell r="C2847" t="str">
            <v xml:space="preserve">Material </v>
          </cell>
          <cell r="D2847" t="str">
            <v>Juli</v>
          </cell>
          <cell r="F2847">
            <v>611011</v>
          </cell>
          <cell r="G2847" t="str">
            <v>Juli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</row>
        <row r="2848">
          <cell r="B2848">
            <v>611011</v>
          </cell>
          <cell r="C2848" t="str">
            <v xml:space="preserve">Material </v>
          </cell>
          <cell r="D2848" t="str">
            <v>Agustus</v>
          </cell>
          <cell r="F2848">
            <v>611011</v>
          </cell>
          <cell r="G2848" t="str">
            <v>Agustus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</row>
        <row r="2849">
          <cell r="B2849">
            <v>611011</v>
          </cell>
          <cell r="C2849" t="str">
            <v xml:space="preserve">Material </v>
          </cell>
          <cell r="D2849" t="str">
            <v>September</v>
          </cell>
          <cell r="F2849">
            <v>611011</v>
          </cell>
          <cell r="G2849" t="str">
            <v>September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</row>
        <row r="2850">
          <cell r="B2850">
            <v>611011</v>
          </cell>
          <cell r="C2850" t="str">
            <v xml:space="preserve">Material </v>
          </cell>
          <cell r="D2850" t="str">
            <v>Oktober</v>
          </cell>
          <cell r="F2850">
            <v>611011</v>
          </cell>
          <cell r="G2850" t="str">
            <v>Oktober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</row>
        <row r="2851">
          <cell r="B2851">
            <v>611011</v>
          </cell>
          <cell r="C2851" t="str">
            <v xml:space="preserve">Material </v>
          </cell>
          <cell r="D2851" t="str">
            <v>November</v>
          </cell>
          <cell r="F2851">
            <v>611011</v>
          </cell>
          <cell r="G2851" t="str">
            <v>November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</row>
        <row r="2852">
          <cell r="B2852">
            <v>611011</v>
          </cell>
          <cell r="C2852" t="str">
            <v xml:space="preserve">Material </v>
          </cell>
          <cell r="D2852" t="str">
            <v>Desember</v>
          </cell>
          <cell r="F2852">
            <v>611011</v>
          </cell>
          <cell r="G2852" t="str">
            <v>Desember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</row>
        <row r="2853">
          <cell r="B2853">
            <v>611012</v>
          </cell>
          <cell r="C2853" t="str">
            <v>Dinas Luar</v>
          </cell>
          <cell r="E2853">
            <v>611.01199999999994</v>
          </cell>
          <cell r="F2853">
            <v>611012</v>
          </cell>
          <cell r="G2853" t="str">
            <v>Dinas Luar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</row>
        <row r="2854">
          <cell r="B2854">
            <v>611012</v>
          </cell>
          <cell r="C2854" t="str">
            <v>Dinas Luar</v>
          </cell>
          <cell r="D2854" t="str">
            <v>Januari</v>
          </cell>
          <cell r="F2854">
            <v>611012</v>
          </cell>
          <cell r="G2854" t="str">
            <v>Januari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</row>
        <row r="2855">
          <cell r="B2855">
            <v>611012</v>
          </cell>
          <cell r="C2855" t="str">
            <v>Dinas Luar</v>
          </cell>
          <cell r="D2855" t="str">
            <v>Februari</v>
          </cell>
          <cell r="F2855">
            <v>611012</v>
          </cell>
          <cell r="G2855" t="str">
            <v>Februari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</row>
        <row r="2856">
          <cell r="B2856">
            <v>611012</v>
          </cell>
          <cell r="C2856" t="str">
            <v>Dinas Luar</v>
          </cell>
          <cell r="D2856" t="str">
            <v>Maret</v>
          </cell>
          <cell r="F2856">
            <v>611012</v>
          </cell>
          <cell r="G2856" t="str">
            <v>Maret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</row>
        <row r="2857">
          <cell r="B2857">
            <v>611012</v>
          </cell>
          <cell r="C2857" t="str">
            <v>Dinas Luar</v>
          </cell>
          <cell r="D2857" t="str">
            <v>April</v>
          </cell>
          <cell r="F2857">
            <v>611012</v>
          </cell>
          <cell r="G2857" t="str">
            <v>April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</row>
        <row r="2858">
          <cell r="B2858">
            <v>611012</v>
          </cell>
          <cell r="C2858" t="str">
            <v>Dinas Luar</v>
          </cell>
          <cell r="D2858" t="str">
            <v>Mei</v>
          </cell>
          <cell r="F2858">
            <v>611012</v>
          </cell>
          <cell r="G2858" t="str">
            <v>Mei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</row>
        <row r="2859">
          <cell r="B2859">
            <v>611012</v>
          </cell>
          <cell r="C2859" t="str">
            <v>Dinas Luar</v>
          </cell>
          <cell r="D2859" t="str">
            <v>Juni</v>
          </cell>
          <cell r="F2859">
            <v>611012</v>
          </cell>
          <cell r="G2859" t="str">
            <v>Juni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</row>
        <row r="2860">
          <cell r="B2860">
            <v>611012</v>
          </cell>
          <cell r="C2860" t="str">
            <v>Dinas Luar</v>
          </cell>
          <cell r="D2860" t="str">
            <v>Juli</v>
          </cell>
          <cell r="F2860">
            <v>611012</v>
          </cell>
          <cell r="G2860" t="str">
            <v>Juli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</row>
        <row r="2861">
          <cell r="B2861">
            <v>611012</v>
          </cell>
          <cell r="C2861" t="str">
            <v>Dinas Luar</v>
          </cell>
          <cell r="D2861" t="str">
            <v>Agustus</v>
          </cell>
          <cell r="F2861">
            <v>611012</v>
          </cell>
          <cell r="G2861" t="str">
            <v>Agustus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</row>
        <row r="2862">
          <cell r="B2862">
            <v>611012</v>
          </cell>
          <cell r="C2862" t="str">
            <v>Dinas Luar</v>
          </cell>
          <cell r="D2862" t="str">
            <v>September</v>
          </cell>
          <cell r="F2862">
            <v>611012</v>
          </cell>
          <cell r="G2862" t="str">
            <v>September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</row>
        <row r="2863">
          <cell r="B2863">
            <v>611012</v>
          </cell>
          <cell r="C2863" t="str">
            <v>Dinas Luar</v>
          </cell>
          <cell r="D2863" t="str">
            <v>Oktober</v>
          </cell>
          <cell r="F2863">
            <v>611012</v>
          </cell>
          <cell r="G2863" t="str">
            <v>Oktober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</row>
        <row r="2864">
          <cell r="B2864">
            <v>611012</v>
          </cell>
          <cell r="C2864" t="str">
            <v>Dinas Luar</v>
          </cell>
          <cell r="D2864" t="str">
            <v>November</v>
          </cell>
          <cell r="F2864">
            <v>611012</v>
          </cell>
          <cell r="G2864" t="str">
            <v>November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</row>
        <row r="2865">
          <cell r="B2865">
            <v>611012</v>
          </cell>
          <cell r="C2865" t="str">
            <v>Dinas Luar</v>
          </cell>
          <cell r="D2865" t="str">
            <v>Desember</v>
          </cell>
          <cell r="F2865">
            <v>611012</v>
          </cell>
          <cell r="G2865" t="str">
            <v>Desember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</row>
        <row r="2866">
          <cell r="B2866">
            <v>611017</v>
          </cell>
          <cell r="C2866" t="str">
            <v>Upah Borongan</v>
          </cell>
          <cell r="E2866">
            <v>611.01700000000005</v>
          </cell>
          <cell r="F2866">
            <v>611017</v>
          </cell>
          <cell r="G2866" t="str">
            <v>Upah Borongan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</row>
        <row r="2867">
          <cell r="B2867">
            <v>611017</v>
          </cell>
          <cell r="C2867" t="str">
            <v>Upah Borongan</v>
          </cell>
          <cell r="D2867" t="str">
            <v>Januari</v>
          </cell>
          <cell r="F2867">
            <v>611017</v>
          </cell>
          <cell r="G2867" t="str">
            <v>Januari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</row>
        <row r="2868">
          <cell r="B2868">
            <v>611017</v>
          </cell>
          <cell r="C2868" t="str">
            <v>Upah Borongan</v>
          </cell>
          <cell r="D2868" t="str">
            <v>Februari</v>
          </cell>
          <cell r="F2868">
            <v>611017</v>
          </cell>
          <cell r="G2868" t="str">
            <v>Februari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</row>
        <row r="2869">
          <cell r="B2869">
            <v>611017</v>
          </cell>
          <cell r="C2869" t="str">
            <v>Upah Borongan</v>
          </cell>
          <cell r="D2869" t="str">
            <v>Maret</v>
          </cell>
          <cell r="F2869">
            <v>611017</v>
          </cell>
          <cell r="G2869" t="str">
            <v>Maret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</row>
        <row r="2870">
          <cell r="B2870">
            <v>611017</v>
          </cell>
          <cell r="C2870" t="str">
            <v>Upah Borongan</v>
          </cell>
          <cell r="D2870" t="str">
            <v>April</v>
          </cell>
          <cell r="F2870">
            <v>611017</v>
          </cell>
          <cell r="G2870" t="str">
            <v>April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</row>
        <row r="2871">
          <cell r="B2871">
            <v>611017</v>
          </cell>
          <cell r="C2871" t="str">
            <v>Upah Borongan</v>
          </cell>
          <cell r="D2871" t="str">
            <v>Mei</v>
          </cell>
          <cell r="F2871">
            <v>611017</v>
          </cell>
          <cell r="G2871" t="str">
            <v>Mei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</row>
        <row r="2872">
          <cell r="B2872">
            <v>611017</v>
          </cell>
          <cell r="C2872" t="str">
            <v>Upah Borongan</v>
          </cell>
          <cell r="D2872" t="str">
            <v>Juni</v>
          </cell>
          <cell r="F2872">
            <v>611017</v>
          </cell>
          <cell r="G2872" t="str">
            <v>Juni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</row>
        <row r="2873">
          <cell r="B2873">
            <v>611017</v>
          </cell>
          <cell r="C2873" t="str">
            <v>Upah Borongan</v>
          </cell>
          <cell r="D2873" t="str">
            <v>Juli</v>
          </cell>
          <cell r="F2873">
            <v>611017</v>
          </cell>
          <cell r="G2873" t="str">
            <v>Juli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</row>
        <row r="2874">
          <cell r="B2874">
            <v>611017</v>
          </cell>
          <cell r="C2874" t="str">
            <v>Upah Borongan</v>
          </cell>
          <cell r="D2874" t="str">
            <v>Agustus</v>
          </cell>
          <cell r="F2874">
            <v>611017</v>
          </cell>
          <cell r="G2874" t="str">
            <v>Agustus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</row>
        <row r="2875">
          <cell r="B2875">
            <v>611017</v>
          </cell>
          <cell r="C2875" t="str">
            <v>Upah Borongan</v>
          </cell>
          <cell r="D2875" t="str">
            <v>September</v>
          </cell>
          <cell r="F2875">
            <v>611017</v>
          </cell>
          <cell r="G2875" t="str">
            <v>September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</row>
        <row r="2876">
          <cell r="B2876">
            <v>611017</v>
          </cell>
          <cell r="C2876" t="str">
            <v>Upah Borongan</v>
          </cell>
          <cell r="D2876" t="str">
            <v>Oktober</v>
          </cell>
          <cell r="F2876">
            <v>611017</v>
          </cell>
          <cell r="G2876" t="str">
            <v>Oktober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</row>
        <row r="2877">
          <cell r="B2877">
            <v>611017</v>
          </cell>
          <cell r="C2877" t="str">
            <v>Upah Borongan</v>
          </cell>
          <cell r="D2877" t="str">
            <v>November</v>
          </cell>
          <cell r="F2877">
            <v>611017</v>
          </cell>
          <cell r="G2877" t="str">
            <v>November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</row>
        <row r="2878">
          <cell r="B2878">
            <v>611017</v>
          </cell>
          <cell r="C2878" t="str">
            <v>Upah Borongan</v>
          </cell>
          <cell r="D2878" t="str">
            <v>Desember</v>
          </cell>
          <cell r="F2878">
            <v>611017</v>
          </cell>
          <cell r="G2878" t="str">
            <v>Desember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</row>
        <row r="2879">
          <cell r="B2879">
            <v>611014</v>
          </cell>
          <cell r="C2879" t="str">
            <v>BBM</v>
          </cell>
          <cell r="E2879">
            <v>611.01400000000001</v>
          </cell>
          <cell r="F2879">
            <v>611014</v>
          </cell>
          <cell r="G2879" t="str">
            <v>BBM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</row>
        <row r="2880">
          <cell r="B2880">
            <v>611014</v>
          </cell>
          <cell r="C2880" t="str">
            <v>BBM</v>
          </cell>
          <cell r="D2880" t="str">
            <v>Januari</v>
          </cell>
          <cell r="F2880">
            <v>611014</v>
          </cell>
          <cell r="G2880" t="str">
            <v>Januari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</row>
        <row r="2881">
          <cell r="B2881">
            <v>611014</v>
          </cell>
          <cell r="C2881" t="str">
            <v>BBM</v>
          </cell>
          <cell r="D2881" t="str">
            <v>Februari</v>
          </cell>
          <cell r="F2881">
            <v>611014</v>
          </cell>
          <cell r="G2881" t="str">
            <v>Februari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</row>
        <row r="2882">
          <cell r="B2882">
            <v>611014</v>
          </cell>
          <cell r="C2882" t="str">
            <v>BBM</v>
          </cell>
          <cell r="D2882" t="str">
            <v>Maret</v>
          </cell>
          <cell r="F2882">
            <v>611014</v>
          </cell>
          <cell r="G2882" t="str">
            <v>Maret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</row>
        <row r="2883">
          <cell r="B2883">
            <v>611014</v>
          </cell>
          <cell r="C2883" t="str">
            <v>BBM</v>
          </cell>
          <cell r="D2883" t="str">
            <v>April</v>
          </cell>
          <cell r="F2883">
            <v>611014</v>
          </cell>
          <cell r="G2883" t="str">
            <v>April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</row>
        <row r="2884">
          <cell r="B2884">
            <v>611014</v>
          </cell>
          <cell r="C2884" t="str">
            <v>BBM</v>
          </cell>
          <cell r="D2884" t="str">
            <v>Mei</v>
          </cell>
          <cell r="F2884">
            <v>611014</v>
          </cell>
          <cell r="G2884" t="str">
            <v>Mei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</row>
        <row r="2885">
          <cell r="B2885">
            <v>611014</v>
          </cell>
          <cell r="C2885" t="str">
            <v>BBM</v>
          </cell>
          <cell r="D2885" t="str">
            <v>Juni</v>
          </cell>
          <cell r="F2885">
            <v>611014</v>
          </cell>
          <cell r="G2885" t="str">
            <v>Juni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</row>
        <row r="2886">
          <cell r="B2886">
            <v>611014</v>
          </cell>
          <cell r="C2886" t="str">
            <v>BBM</v>
          </cell>
          <cell r="D2886" t="str">
            <v>Juli</v>
          </cell>
          <cell r="F2886">
            <v>611014</v>
          </cell>
          <cell r="G2886" t="str">
            <v>Juli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</row>
        <row r="2887">
          <cell r="B2887">
            <v>611014</v>
          </cell>
          <cell r="C2887" t="str">
            <v>BBM</v>
          </cell>
          <cell r="D2887" t="str">
            <v>Agustus</v>
          </cell>
          <cell r="F2887">
            <v>611014</v>
          </cell>
          <cell r="G2887" t="str">
            <v>Agustus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</row>
        <row r="2888">
          <cell r="B2888">
            <v>611014</v>
          </cell>
          <cell r="C2888" t="str">
            <v>BBM</v>
          </cell>
          <cell r="D2888" t="str">
            <v>September</v>
          </cell>
          <cell r="F2888">
            <v>611014</v>
          </cell>
          <cell r="G2888" t="str">
            <v>September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</row>
        <row r="2889">
          <cell r="B2889">
            <v>611014</v>
          </cell>
          <cell r="C2889" t="str">
            <v>BBM</v>
          </cell>
          <cell r="D2889" t="str">
            <v>Oktober</v>
          </cell>
          <cell r="F2889">
            <v>611014</v>
          </cell>
          <cell r="G2889" t="str">
            <v>Oktober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</row>
        <row r="2890">
          <cell r="B2890">
            <v>611014</v>
          </cell>
          <cell r="C2890" t="str">
            <v>BBM</v>
          </cell>
          <cell r="D2890" t="str">
            <v>November</v>
          </cell>
          <cell r="F2890">
            <v>611014</v>
          </cell>
          <cell r="G2890" t="str">
            <v>November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</row>
        <row r="2891">
          <cell r="B2891">
            <v>611014</v>
          </cell>
          <cell r="C2891" t="str">
            <v>BBM</v>
          </cell>
          <cell r="D2891" t="str">
            <v>Desember</v>
          </cell>
          <cell r="F2891">
            <v>611014</v>
          </cell>
          <cell r="G2891" t="str">
            <v>Desember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</row>
        <row r="2892">
          <cell r="B2892">
            <v>611015</v>
          </cell>
          <cell r="C2892" t="str">
            <v>Perawatan Peralatan &amp; Kendaraan</v>
          </cell>
          <cell r="E2892">
            <v>611.01499999999999</v>
          </cell>
          <cell r="F2892">
            <v>611015</v>
          </cell>
          <cell r="G2892" t="str">
            <v>Perawatan Peralatan &amp; Kendaraan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</row>
        <row r="2893">
          <cell r="B2893">
            <v>611015</v>
          </cell>
          <cell r="C2893" t="str">
            <v>Perawatan Peralatan &amp; Kendaraan</v>
          </cell>
          <cell r="D2893" t="str">
            <v>Januari</v>
          </cell>
          <cell r="F2893">
            <v>611015</v>
          </cell>
          <cell r="G2893" t="str">
            <v>Januari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</row>
        <row r="2894">
          <cell r="B2894">
            <v>611015</v>
          </cell>
          <cell r="C2894" t="str">
            <v>Perawatan Peralatan &amp; Kendaraan</v>
          </cell>
          <cell r="D2894" t="str">
            <v>Februari</v>
          </cell>
          <cell r="F2894">
            <v>611015</v>
          </cell>
          <cell r="G2894" t="str">
            <v>Februari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</row>
        <row r="2895">
          <cell r="B2895">
            <v>611015</v>
          </cell>
          <cell r="C2895" t="str">
            <v>Perawatan Peralatan &amp; Kendaraan</v>
          </cell>
          <cell r="D2895" t="str">
            <v>Maret</v>
          </cell>
          <cell r="F2895">
            <v>611015</v>
          </cell>
          <cell r="G2895" t="str">
            <v>Maret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</row>
        <row r="2896">
          <cell r="B2896">
            <v>611015</v>
          </cell>
          <cell r="C2896" t="str">
            <v>Perawatan Peralatan &amp; Kendaraan</v>
          </cell>
          <cell r="D2896" t="str">
            <v>April</v>
          </cell>
          <cell r="F2896">
            <v>611015</v>
          </cell>
          <cell r="G2896" t="str">
            <v>April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</row>
        <row r="2897">
          <cell r="B2897">
            <v>611015</v>
          </cell>
          <cell r="C2897" t="str">
            <v>Perawatan Peralatan &amp; Kendaraan</v>
          </cell>
          <cell r="D2897" t="str">
            <v>Mei</v>
          </cell>
          <cell r="F2897">
            <v>611015</v>
          </cell>
          <cell r="G2897" t="str">
            <v>Mei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</row>
        <row r="2898">
          <cell r="B2898">
            <v>611015</v>
          </cell>
          <cell r="C2898" t="str">
            <v>Perawatan Peralatan &amp; Kendaraan</v>
          </cell>
          <cell r="D2898" t="str">
            <v>Juni</v>
          </cell>
          <cell r="F2898">
            <v>611015</v>
          </cell>
          <cell r="G2898" t="str">
            <v>Juni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</row>
        <row r="2899">
          <cell r="B2899">
            <v>611015</v>
          </cell>
          <cell r="C2899" t="str">
            <v>Perawatan Peralatan &amp; Kendaraan</v>
          </cell>
          <cell r="D2899" t="str">
            <v>Juli</v>
          </cell>
          <cell r="F2899">
            <v>611015</v>
          </cell>
          <cell r="G2899" t="str">
            <v>Juli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</row>
        <row r="2900">
          <cell r="B2900">
            <v>611015</v>
          </cell>
          <cell r="C2900" t="str">
            <v>Perawatan Peralatan &amp; Kendaraan</v>
          </cell>
          <cell r="D2900" t="str">
            <v>Agustus</v>
          </cell>
          <cell r="F2900">
            <v>611015</v>
          </cell>
          <cell r="G2900" t="str">
            <v>Agustus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</row>
        <row r="2901">
          <cell r="B2901">
            <v>611015</v>
          </cell>
          <cell r="C2901" t="str">
            <v>Perawatan Peralatan &amp; Kendaraan</v>
          </cell>
          <cell r="D2901" t="str">
            <v>September</v>
          </cell>
          <cell r="F2901">
            <v>611015</v>
          </cell>
          <cell r="G2901" t="str">
            <v>September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</row>
        <row r="2902">
          <cell r="B2902">
            <v>611015</v>
          </cell>
          <cell r="C2902" t="str">
            <v>Perawatan Peralatan &amp; Kendaraan</v>
          </cell>
          <cell r="D2902" t="str">
            <v>Oktober</v>
          </cell>
          <cell r="F2902">
            <v>611015</v>
          </cell>
          <cell r="G2902" t="str">
            <v>Oktober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</row>
        <row r="2903">
          <cell r="B2903">
            <v>611015</v>
          </cell>
          <cell r="C2903" t="str">
            <v>Perawatan Peralatan &amp; Kendaraan</v>
          </cell>
          <cell r="D2903" t="str">
            <v>November</v>
          </cell>
          <cell r="F2903">
            <v>611015</v>
          </cell>
          <cell r="G2903" t="str">
            <v>November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</row>
        <row r="2904">
          <cell r="B2904">
            <v>611015</v>
          </cell>
          <cell r="C2904" t="str">
            <v>Perawatan Peralatan &amp; Kendaraan</v>
          </cell>
          <cell r="D2904" t="str">
            <v>Desember</v>
          </cell>
          <cell r="F2904">
            <v>611015</v>
          </cell>
          <cell r="G2904" t="str">
            <v>Desember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</row>
        <row r="2905">
          <cell r="B2905">
            <v>611016</v>
          </cell>
          <cell r="C2905" t="str">
            <v>Insentif</v>
          </cell>
          <cell r="E2905">
            <v>611.01599999999996</v>
          </cell>
          <cell r="F2905">
            <v>611016</v>
          </cell>
          <cell r="G2905" t="str">
            <v>Insentif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</row>
        <row r="2906">
          <cell r="B2906">
            <v>611016</v>
          </cell>
          <cell r="C2906" t="str">
            <v>Insentif</v>
          </cell>
          <cell r="D2906" t="str">
            <v>Januari</v>
          </cell>
          <cell r="F2906">
            <v>611016</v>
          </cell>
          <cell r="G2906" t="str">
            <v>Januari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</row>
        <row r="2907">
          <cell r="B2907">
            <v>611016</v>
          </cell>
          <cell r="C2907" t="str">
            <v>Insentif</v>
          </cell>
          <cell r="D2907" t="str">
            <v>Februari</v>
          </cell>
          <cell r="F2907">
            <v>611016</v>
          </cell>
          <cell r="G2907" t="str">
            <v>Februari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</row>
        <row r="2908">
          <cell r="B2908">
            <v>611016</v>
          </cell>
          <cell r="C2908" t="str">
            <v>Insentif</v>
          </cell>
          <cell r="D2908" t="str">
            <v>Maret</v>
          </cell>
          <cell r="F2908">
            <v>611016</v>
          </cell>
          <cell r="G2908" t="str">
            <v>Maret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</row>
        <row r="2909">
          <cell r="B2909">
            <v>611016</v>
          </cell>
          <cell r="C2909" t="str">
            <v>Insentif</v>
          </cell>
          <cell r="D2909" t="str">
            <v>April</v>
          </cell>
          <cell r="F2909">
            <v>611016</v>
          </cell>
          <cell r="G2909" t="str">
            <v>April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</row>
        <row r="2910">
          <cell r="B2910">
            <v>611016</v>
          </cell>
          <cell r="C2910" t="str">
            <v>Insentif</v>
          </cell>
          <cell r="D2910" t="str">
            <v>Mei</v>
          </cell>
          <cell r="F2910">
            <v>611016</v>
          </cell>
          <cell r="G2910" t="str">
            <v>Mei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</row>
        <row r="2911">
          <cell r="B2911">
            <v>611016</v>
          </cell>
          <cell r="C2911" t="str">
            <v>Insentif</v>
          </cell>
          <cell r="D2911" t="str">
            <v>Juni</v>
          </cell>
          <cell r="F2911">
            <v>611016</v>
          </cell>
          <cell r="G2911" t="str">
            <v>Juni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</row>
        <row r="2912">
          <cell r="B2912">
            <v>611016</v>
          </cell>
          <cell r="C2912" t="str">
            <v>Insentif</v>
          </cell>
          <cell r="D2912" t="str">
            <v>Juli</v>
          </cell>
          <cell r="F2912">
            <v>611016</v>
          </cell>
          <cell r="G2912" t="str">
            <v>Juli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</row>
        <row r="2913">
          <cell r="B2913">
            <v>611016</v>
          </cell>
          <cell r="C2913" t="str">
            <v>Insentif</v>
          </cell>
          <cell r="D2913" t="str">
            <v>Agustus</v>
          </cell>
          <cell r="F2913">
            <v>611016</v>
          </cell>
          <cell r="G2913" t="str">
            <v>Agustus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</row>
        <row r="2914">
          <cell r="B2914">
            <v>611016</v>
          </cell>
          <cell r="C2914" t="str">
            <v>Insentif</v>
          </cell>
          <cell r="D2914" t="str">
            <v>September</v>
          </cell>
          <cell r="F2914">
            <v>611016</v>
          </cell>
          <cell r="G2914" t="str">
            <v>September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</row>
        <row r="2915">
          <cell r="B2915">
            <v>611016</v>
          </cell>
          <cell r="C2915" t="str">
            <v>Insentif</v>
          </cell>
          <cell r="D2915" t="str">
            <v>Oktober</v>
          </cell>
          <cell r="F2915">
            <v>611016</v>
          </cell>
          <cell r="G2915" t="str">
            <v>Oktober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</row>
        <row r="2916">
          <cell r="B2916">
            <v>611016</v>
          </cell>
          <cell r="C2916" t="str">
            <v>Insentif</v>
          </cell>
          <cell r="D2916" t="str">
            <v>November</v>
          </cell>
          <cell r="F2916">
            <v>611016</v>
          </cell>
          <cell r="G2916" t="str">
            <v>November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</row>
        <row r="2917">
          <cell r="B2917">
            <v>611016</v>
          </cell>
          <cell r="C2917" t="str">
            <v>Insentif</v>
          </cell>
          <cell r="D2917" t="str">
            <v>Desember</v>
          </cell>
          <cell r="F2917">
            <v>611016</v>
          </cell>
          <cell r="G2917" t="str">
            <v>Desember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</row>
        <row r="2918">
          <cell r="B2918">
            <v>611016</v>
          </cell>
          <cell r="F2918">
            <v>611016</v>
          </cell>
          <cell r="H2918">
            <v>0</v>
          </cell>
          <cell r="I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</row>
        <row r="2919">
          <cell r="B2919">
            <v>612000</v>
          </cell>
          <cell r="C2919" t="str">
            <v>Beban Usaha Sporing</v>
          </cell>
          <cell r="E2919">
            <v>612</v>
          </cell>
          <cell r="F2919">
            <v>612000</v>
          </cell>
          <cell r="G2919" t="str">
            <v>Beban Usaha Sporing</v>
          </cell>
          <cell r="H2919">
            <v>0</v>
          </cell>
          <cell r="I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</row>
        <row r="2920">
          <cell r="B2920">
            <v>612001</v>
          </cell>
          <cell r="C2920" t="str">
            <v>Gaji</v>
          </cell>
          <cell r="E2920">
            <v>612.00099999999998</v>
          </cell>
          <cell r="F2920">
            <v>612001</v>
          </cell>
          <cell r="G2920" t="str">
            <v>Gaji</v>
          </cell>
          <cell r="H2920">
            <v>17520000</v>
          </cell>
          <cell r="I2920">
            <v>0</v>
          </cell>
          <cell r="AB2920">
            <v>17520000</v>
          </cell>
          <cell r="AC2920">
            <v>0</v>
          </cell>
          <cell r="AD2920">
            <v>0</v>
          </cell>
          <cell r="AE2920">
            <v>0</v>
          </cell>
        </row>
        <row r="2921">
          <cell r="B2921">
            <v>612002</v>
          </cell>
          <cell r="C2921" t="str">
            <v>Tunjangan makan</v>
          </cell>
          <cell r="E2921">
            <v>612.00199999999995</v>
          </cell>
          <cell r="F2921">
            <v>612002</v>
          </cell>
          <cell r="G2921" t="str">
            <v>Tunjangan makan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</row>
        <row r="2922">
          <cell r="B2922">
            <v>612002</v>
          </cell>
          <cell r="C2922" t="str">
            <v>Tunjangan makan</v>
          </cell>
          <cell r="D2922" t="str">
            <v>Januari</v>
          </cell>
          <cell r="F2922">
            <v>612002</v>
          </cell>
          <cell r="G2922" t="str">
            <v>Januari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</row>
        <row r="2923">
          <cell r="B2923">
            <v>612002</v>
          </cell>
          <cell r="C2923" t="str">
            <v>Tunjangan makan</v>
          </cell>
          <cell r="D2923" t="str">
            <v>Februari</v>
          </cell>
          <cell r="F2923">
            <v>612002</v>
          </cell>
          <cell r="G2923" t="str">
            <v>Februari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</row>
        <row r="2924">
          <cell r="B2924">
            <v>612002</v>
          </cell>
          <cell r="C2924" t="str">
            <v>Tunjangan makan</v>
          </cell>
          <cell r="D2924" t="str">
            <v>Maret</v>
          </cell>
          <cell r="F2924">
            <v>612002</v>
          </cell>
          <cell r="G2924" t="str">
            <v>Maret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</row>
        <row r="2925">
          <cell r="B2925">
            <v>612002</v>
          </cell>
          <cell r="C2925" t="str">
            <v>Tunjangan makan</v>
          </cell>
          <cell r="D2925" t="str">
            <v>April</v>
          </cell>
          <cell r="F2925">
            <v>612002</v>
          </cell>
          <cell r="G2925" t="str">
            <v>April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</row>
        <row r="2926">
          <cell r="B2926">
            <v>612002</v>
          </cell>
          <cell r="C2926" t="str">
            <v>Tunjangan makan</v>
          </cell>
          <cell r="D2926" t="str">
            <v>Mei</v>
          </cell>
          <cell r="F2926">
            <v>612002</v>
          </cell>
          <cell r="G2926" t="str">
            <v>Mei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</row>
        <row r="2927">
          <cell r="B2927">
            <v>612002</v>
          </cell>
          <cell r="C2927" t="str">
            <v>Tunjangan makan</v>
          </cell>
          <cell r="D2927" t="str">
            <v>Juni</v>
          </cell>
          <cell r="F2927">
            <v>612002</v>
          </cell>
          <cell r="G2927" t="str">
            <v>Juni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</row>
        <row r="2928">
          <cell r="B2928">
            <v>612002</v>
          </cell>
          <cell r="C2928" t="str">
            <v>Tunjangan makan</v>
          </cell>
          <cell r="D2928" t="str">
            <v>Juli</v>
          </cell>
          <cell r="F2928">
            <v>612002</v>
          </cell>
          <cell r="G2928" t="str">
            <v>Juli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</row>
        <row r="2929">
          <cell r="B2929">
            <v>612002</v>
          </cell>
          <cell r="C2929" t="str">
            <v>Tunjangan makan</v>
          </cell>
          <cell r="D2929" t="str">
            <v>Agustus</v>
          </cell>
          <cell r="F2929">
            <v>612002</v>
          </cell>
          <cell r="G2929" t="str">
            <v>Agustus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</row>
        <row r="2930">
          <cell r="B2930">
            <v>612002</v>
          </cell>
          <cell r="C2930" t="str">
            <v>Tunjangan makan</v>
          </cell>
          <cell r="D2930" t="str">
            <v>September</v>
          </cell>
          <cell r="F2930">
            <v>612002</v>
          </cell>
          <cell r="G2930" t="str">
            <v>September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</row>
        <row r="2931">
          <cell r="B2931">
            <v>612002</v>
          </cell>
          <cell r="C2931" t="str">
            <v>Tunjangan makan</v>
          </cell>
          <cell r="D2931" t="str">
            <v>Oktober</v>
          </cell>
          <cell r="F2931">
            <v>612002</v>
          </cell>
          <cell r="G2931" t="str">
            <v>Oktober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</row>
        <row r="2932">
          <cell r="B2932">
            <v>612002</v>
          </cell>
          <cell r="C2932" t="str">
            <v>Tunjangan makan</v>
          </cell>
          <cell r="D2932" t="str">
            <v>November</v>
          </cell>
          <cell r="F2932">
            <v>612002</v>
          </cell>
          <cell r="G2932" t="str">
            <v>November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</row>
        <row r="2933">
          <cell r="B2933">
            <v>612002</v>
          </cell>
          <cell r="C2933" t="str">
            <v>Tunjangan makan</v>
          </cell>
          <cell r="D2933" t="str">
            <v>Desember</v>
          </cell>
          <cell r="F2933">
            <v>612002</v>
          </cell>
          <cell r="G2933" t="str">
            <v>Desember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</row>
        <row r="2934">
          <cell r="B2934">
            <v>612003</v>
          </cell>
          <cell r="C2934" t="str">
            <v>Lembur</v>
          </cell>
          <cell r="E2934">
            <v>612.00300000000004</v>
          </cell>
          <cell r="F2934">
            <v>612003</v>
          </cell>
          <cell r="G2934" t="str">
            <v>Lembur</v>
          </cell>
          <cell r="H2934">
            <v>2293873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0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  <cell r="Z2934">
            <v>0</v>
          </cell>
          <cell r="AA2934">
            <v>0</v>
          </cell>
          <cell r="AB2934">
            <v>2293873</v>
          </cell>
          <cell r="AC2934">
            <v>0</v>
          </cell>
          <cell r="AD2934">
            <v>0</v>
          </cell>
          <cell r="AE2934">
            <v>0</v>
          </cell>
        </row>
        <row r="2935">
          <cell r="B2935">
            <v>612003</v>
          </cell>
          <cell r="C2935" t="str">
            <v>Lembur</v>
          </cell>
          <cell r="D2935" t="str">
            <v>Januari</v>
          </cell>
          <cell r="F2935">
            <v>612003</v>
          </cell>
          <cell r="G2935" t="str">
            <v>Januari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</row>
        <row r="2936">
          <cell r="B2936">
            <v>612003</v>
          </cell>
          <cell r="C2936" t="str">
            <v>Lembur</v>
          </cell>
          <cell r="D2936" t="str">
            <v>Februari</v>
          </cell>
          <cell r="F2936">
            <v>612003</v>
          </cell>
          <cell r="G2936" t="str">
            <v>Februari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</row>
        <row r="2937">
          <cell r="B2937">
            <v>612003</v>
          </cell>
          <cell r="C2937" t="str">
            <v>Lembur</v>
          </cell>
          <cell r="D2937" t="str">
            <v>Maret</v>
          </cell>
          <cell r="F2937">
            <v>612003</v>
          </cell>
          <cell r="G2937" t="str">
            <v>Maret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</row>
        <row r="2938">
          <cell r="B2938">
            <v>612003</v>
          </cell>
          <cell r="C2938" t="str">
            <v>Lembur</v>
          </cell>
          <cell r="D2938" t="str">
            <v>April</v>
          </cell>
          <cell r="F2938">
            <v>612003</v>
          </cell>
          <cell r="G2938" t="str">
            <v>April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</row>
        <row r="2939">
          <cell r="B2939">
            <v>612003</v>
          </cell>
          <cell r="C2939" t="str">
            <v>Lembur</v>
          </cell>
          <cell r="D2939" t="str">
            <v>Mei</v>
          </cell>
          <cell r="F2939">
            <v>612003</v>
          </cell>
          <cell r="G2939" t="str">
            <v>Mei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</row>
        <row r="2940">
          <cell r="B2940">
            <v>612003</v>
          </cell>
          <cell r="C2940" t="str">
            <v>Lembur</v>
          </cell>
          <cell r="D2940" t="str">
            <v>Juni</v>
          </cell>
          <cell r="F2940">
            <v>612003</v>
          </cell>
          <cell r="G2940" t="str">
            <v>Juni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</row>
        <row r="2941">
          <cell r="B2941">
            <v>612003</v>
          </cell>
          <cell r="C2941" t="str">
            <v>Lembur</v>
          </cell>
          <cell r="D2941" t="str">
            <v>Juli</v>
          </cell>
          <cell r="F2941">
            <v>612003</v>
          </cell>
          <cell r="G2941" t="str">
            <v>Juli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</row>
        <row r="2942">
          <cell r="B2942">
            <v>612003</v>
          </cell>
          <cell r="C2942" t="str">
            <v>Lembur</v>
          </cell>
          <cell r="D2942" t="str">
            <v>Agustus</v>
          </cell>
          <cell r="F2942">
            <v>612003</v>
          </cell>
          <cell r="G2942" t="str">
            <v>Agustus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</row>
        <row r="2943">
          <cell r="B2943">
            <v>612003</v>
          </cell>
          <cell r="C2943" t="str">
            <v>Lembur</v>
          </cell>
          <cell r="D2943" t="str">
            <v>September</v>
          </cell>
          <cell r="F2943">
            <v>612003</v>
          </cell>
          <cell r="G2943" t="str">
            <v>September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</row>
        <row r="2944">
          <cell r="B2944">
            <v>612003</v>
          </cell>
          <cell r="C2944" t="str">
            <v>Lembur</v>
          </cell>
          <cell r="D2944" t="str">
            <v>Oktober</v>
          </cell>
          <cell r="F2944">
            <v>612003</v>
          </cell>
          <cell r="G2944" t="str">
            <v>Oktober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</row>
        <row r="2945">
          <cell r="B2945">
            <v>612003</v>
          </cell>
          <cell r="C2945" t="str">
            <v>Lembur</v>
          </cell>
          <cell r="D2945" t="str">
            <v>November</v>
          </cell>
          <cell r="F2945">
            <v>612003</v>
          </cell>
          <cell r="G2945" t="str">
            <v>November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</row>
        <row r="2946">
          <cell r="B2946">
            <v>612003</v>
          </cell>
          <cell r="C2946" t="str">
            <v>Lembur</v>
          </cell>
          <cell r="D2946" t="str">
            <v>Desember</v>
          </cell>
          <cell r="F2946">
            <v>612003</v>
          </cell>
          <cell r="G2946" t="str">
            <v>Desember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</row>
        <row r="2947">
          <cell r="B2947">
            <v>612004</v>
          </cell>
          <cell r="C2947" t="str">
            <v>THR</v>
          </cell>
          <cell r="E2947">
            <v>612.00400000000002</v>
          </cell>
          <cell r="F2947">
            <v>612004</v>
          </cell>
          <cell r="G2947" t="str">
            <v>THR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</row>
        <row r="2948">
          <cell r="B2948">
            <v>612004</v>
          </cell>
          <cell r="C2948" t="str">
            <v>THR</v>
          </cell>
          <cell r="D2948" t="str">
            <v>Januari</v>
          </cell>
          <cell r="F2948">
            <v>612004</v>
          </cell>
          <cell r="G2948" t="str">
            <v>Januari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</row>
        <row r="2949">
          <cell r="B2949">
            <v>612004</v>
          </cell>
          <cell r="C2949" t="str">
            <v>THR</v>
          </cell>
          <cell r="D2949" t="str">
            <v>Februari</v>
          </cell>
          <cell r="F2949">
            <v>612004</v>
          </cell>
          <cell r="G2949" t="str">
            <v>Februari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</row>
        <row r="2950">
          <cell r="B2950">
            <v>612004</v>
          </cell>
          <cell r="C2950" t="str">
            <v>THR</v>
          </cell>
          <cell r="D2950" t="str">
            <v>Maret</v>
          </cell>
          <cell r="F2950">
            <v>612004</v>
          </cell>
          <cell r="G2950" t="str">
            <v>Maret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</row>
        <row r="2951">
          <cell r="B2951">
            <v>612004</v>
          </cell>
          <cell r="C2951" t="str">
            <v>THR</v>
          </cell>
          <cell r="D2951" t="str">
            <v>April</v>
          </cell>
          <cell r="F2951">
            <v>612004</v>
          </cell>
          <cell r="G2951" t="str">
            <v>April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</row>
        <row r="2952">
          <cell r="B2952">
            <v>612004</v>
          </cell>
          <cell r="C2952" t="str">
            <v>THR</v>
          </cell>
          <cell r="D2952" t="str">
            <v>Mei</v>
          </cell>
          <cell r="F2952">
            <v>612004</v>
          </cell>
          <cell r="G2952" t="str">
            <v>Mei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</row>
        <row r="2953">
          <cell r="B2953">
            <v>612004</v>
          </cell>
          <cell r="C2953" t="str">
            <v>THR</v>
          </cell>
          <cell r="D2953" t="str">
            <v>Juni</v>
          </cell>
          <cell r="F2953">
            <v>612004</v>
          </cell>
          <cell r="G2953" t="str">
            <v>Juni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</row>
        <row r="2954">
          <cell r="B2954">
            <v>612004</v>
          </cell>
          <cell r="C2954" t="str">
            <v>THR</v>
          </cell>
          <cell r="D2954" t="str">
            <v>Juli</v>
          </cell>
          <cell r="F2954">
            <v>612004</v>
          </cell>
          <cell r="G2954" t="str">
            <v>Juli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</row>
        <row r="2955">
          <cell r="B2955">
            <v>612004</v>
          </cell>
          <cell r="C2955" t="str">
            <v>THR</v>
          </cell>
          <cell r="D2955" t="str">
            <v>Agustus</v>
          </cell>
          <cell r="F2955">
            <v>612004</v>
          </cell>
          <cell r="G2955" t="str">
            <v>Agustus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</row>
        <row r="2956">
          <cell r="B2956">
            <v>612004</v>
          </cell>
          <cell r="C2956" t="str">
            <v>THR</v>
          </cell>
          <cell r="D2956" t="str">
            <v>September</v>
          </cell>
          <cell r="F2956">
            <v>612004</v>
          </cell>
          <cell r="G2956" t="str">
            <v>September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</row>
        <row r="2957">
          <cell r="B2957">
            <v>612004</v>
          </cell>
          <cell r="C2957" t="str">
            <v>THR</v>
          </cell>
          <cell r="D2957" t="str">
            <v>Oktober</v>
          </cell>
          <cell r="F2957">
            <v>612004</v>
          </cell>
          <cell r="G2957" t="str">
            <v>Oktober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</row>
        <row r="2958">
          <cell r="B2958">
            <v>612004</v>
          </cell>
          <cell r="C2958" t="str">
            <v>THR</v>
          </cell>
          <cell r="D2958" t="str">
            <v>November</v>
          </cell>
          <cell r="F2958">
            <v>612004</v>
          </cell>
          <cell r="G2958" t="str">
            <v>November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</row>
        <row r="2959">
          <cell r="B2959">
            <v>612004</v>
          </cell>
          <cell r="C2959" t="str">
            <v>THR</v>
          </cell>
          <cell r="D2959" t="str">
            <v>Desember</v>
          </cell>
          <cell r="F2959">
            <v>612004</v>
          </cell>
          <cell r="G2959" t="str">
            <v>Desember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</row>
        <row r="2960">
          <cell r="B2960">
            <v>612005</v>
          </cell>
          <cell r="C2960" t="str">
            <v>Astek</v>
          </cell>
          <cell r="E2960">
            <v>612.005</v>
          </cell>
          <cell r="F2960">
            <v>612005</v>
          </cell>
          <cell r="G2960" t="str">
            <v>Astek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</row>
        <row r="2961">
          <cell r="B2961">
            <v>612005</v>
          </cell>
          <cell r="C2961" t="str">
            <v>Astek</v>
          </cell>
          <cell r="D2961" t="str">
            <v>Januari</v>
          </cell>
          <cell r="F2961">
            <v>612005</v>
          </cell>
          <cell r="G2961" t="str">
            <v>Januari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0</v>
          </cell>
          <cell r="AD2961">
            <v>0</v>
          </cell>
          <cell r="AE2961">
            <v>0</v>
          </cell>
        </row>
        <row r="2962">
          <cell r="B2962">
            <v>612005</v>
          </cell>
          <cell r="C2962" t="str">
            <v>Astek</v>
          </cell>
          <cell r="D2962" t="str">
            <v>Februari</v>
          </cell>
          <cell r="F2962">
            <v>612005</v>
          </cell>
          <cell r="G2962" t="str">
            <v>Februari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</row>
        <row r="2963">
          <cell r="B2963">
            <v>612005</v>
          </cell>
          <cell r="C2963" t="str">
            <v>Astek</v>
          </cell>
          <cell r="D2963" t="str">
            <v>Maret</v>
          </cell>
          <cell r="F2963">
            <v>612005</v>
          </cell>
          <cell r="G2963" t="str">
            <v>Maret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</row>
        <row r="2964">
          <cell r="B2964">
            <v>612005</v>
          </cell>
          <cell r="C2964" t="str">
            <v>Astek</v>
          </cell>
          <cell r="D2964" t="str">
            <v>April</v>
          </cell>
          <cell r="F2964">
            <v>612005</v>
          </cell>
          <cell r="G2964" t="str">
            <v>April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</row>
        <row r="2965">
          <cell r="B2965">
            <v>612005</v>
          </cell>
          <cell r="C2965" t="str">
            <v>Astek</v>
          </cell>
          <cell r="D2965" t="str">
            <v>Mei</v>
          </cell>
          <cell r="F2965">
            <v>612005</v>
          </cell>
          <cell r="G2965" t="str">
            <v>Mei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</row>
        <row r="2966">
          <cell r="B2966">
            <v>612005</v>
          </cell>
          <cell r="C2966" t="str">
            <v>Astek</v>
          </cell>
          <cell r="D2966" t="str">
            <v>Juni</v>
          </cell>
          <cell r="F2966">
            <v>612005</v>
          </cell>
          <cell r="G2966" t="str">
            <v>Juni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</row>
        <row r="2967">
          <cell r="B2967">
            <v>612005</v>
          </cell>
          <cell r="C2967" t="str">
            <v>Astek</v>
          </cell>
          <cell r="D2967" t="str">
            <v>Juli</v>
          </cell>
          <cell r="F2967">
            <v>612005</v>
          </cell>
          <cell r="G2967" t="str">
            <v>Juli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</row>
        <row r="2968">
          <cell r="B2968">
            <v>612005</v>
          </cell>
          <cell r="C2968" t="str">
            <v>Astek</v>
          </cell>
          <cell r="D2968" t="str">
            <v>Agustus</v>
          </cell>
          <cell r="F2968">
            <v>612005</v>
          </cell>
          <cell r="G2968" t="str">
            <v>Agustus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</row>
        <row r="2969">
          <cell r="B2969">
            <v>612005</v>
          </cell>
          <cell r="C2969" t="str">
            <v>Astek</v>
          </cell>
          <cell r="D2969" t="str">
            <v>September</v>
          </cell>
          <cell r="F2969">
            <v>612005</v>
          </cell>
          <cell r="G2969" t="str">
            <v>September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</row>
        <row r="2970">
          <cell r="B2970">
            <v>612005</v>
          </cell>
          <cell r="C2970" t="str">
            <v>Astek</v>
          </cell>
          <cell r="D2970" t="str">
            <v>Oktober</v>
          </cell>
          <cell r="F2970">
            <v>612005</v>
          </cell>
          <cell r="G2970" t="str">
            <v>Oktober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</row>
        <row r="2971">
          <cell r="B2971">
            <v>612005</v>
          </cell>
          <cell r="C2971" t="str">
            <v>Astek</v>
          </cell>
          <cell r="D2971" t="str">
            <v>November</v>
          </cell>
          <cell r="F2971">
            <v>612005</v>
          </cell>
          <cell r="G2971" t="str">
            <v>November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</row>
        <row r="2972">
          <cell r="B2972">
            <v>612005</v>
          </cell>
          <cell r="C2972" t="str">
            <v>Astek</v>
          </cell>
          <cell r="D2972" t="str">
            <v>Desember</v>
          </cell>
          <cell r="F2972">
            <v>612005</v>
          </cell>
          <cell r="G2972" t="str">
            <v>Desember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</row>
        <row r="2973">
          <cell r="B2973">
            <v>612007</v>
          </cell>
          <cell r="C2973" t="str">
            <v>Telpon</v>
          </cell>
          <cell r="E2973">
            <v>612.00699999999995</v>
          </cell>
          <cell r="F2973">
            <v>612007</v>
          </cell>
          <cell r="G2973" t="str">
            <v>Telpon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</row>
        <row r="2974">
          <cell r="B2974">
            <v>612007</v>
          </cell>
          <cell r="C2974" t="str">
            <v>Telpon</v>
          </cell>
          <cell r="D2974" t="str">
            <v>Januari</v>
          </cell>
          <cell r="F2974">
            <v>612007</v>
          </cell>
          <cell r="G2974" t="str">
            <v>Januari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</row>
        <row r="2975">
          <cell r="B2975">
            <v>612007</v>
          </cell>
          <cell r="C2975" t="str">
            <v>Telpon</v>
          </cell>
          <cell r="D2975" t="str">
            <v>Februari</v>
          </cell>
          <cell r="F2975">
            <v>612007</v>
          </cell>
          <cell r="G2975" t="str">
            <v>Februari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</row>
        <row r="2976">
          <cell r="B2976">
            <v>612007</v>
          </cell>
          <cell r="C2976" t="str">
            <v>Telpon</v>
          </cell>
          <cell r="D2976" t="str">
            <v>Maret</v>
          </cell>
          <cell r="F2976">
            <v>612007</v>
          </cell>
          <cell r="G2976" t="str">
            <v>Maret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</row>
        <row r="2977">
          <cell r="B2977">
            <v>612007</v>
          </cell>
          <cell r="C2977" t="str">
            <v>Telpon</v>
          </cell>
          <cell r="D2977" t="str">
            <v>April</v>
          </cell>
          <cell r="F2977">
            <v>612007</v>
          </cell>
          <cell r="G2977" t="str">
            <v>April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</row>
        <row r="2978">
          <cell r="B2978">
            <v>612007</v>
          </cell>
          <cell r="C2978" t="str">
            <v>Telpon</v>
          </cell>
          <cell r="D2978" t="str">
            <v>Mei</v>
          </cell>
          <cell r="F2978">
            <v>612007</v>
          </cell>
          <cell r="G2978" t="str">
            <v>Mei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</row>
        <row r="2979">
          <cell r="B2979">
            <v>612007</v>
          </cell>
          <cell r="C2979" t="str">
            <v>Telpon</v>
          </cell>
          <cell r="D2979" t="str">
            <v>Juni</v>
          </cell>
          <cell r="F2979">
            <v>612007</v>
          </cell>
          <cell r="G2979" t="str">
            <v>Juni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</row>
        <row r="2980">
          <cell r="B2980">
            <v>612007</v>
          </cell>
          <cell r="C2980" t="str">
            <v>Telpon</v>
          </cell>
          <cell r="D2980" t="str">
            <v>Juli</v>
          </cell>
          <cell r="F2980">
            <v>612007</v>
          </cell>
          <cell r="G2980" t="str">
            <v>Juli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</row>
        <row r="2981">
          <cell r="B2981">
            <v>612007</v>
          </cell>
          <cell r="C2981" t="str">
            <v>Telpon</v>
          </cell>
          <cell r="D2981" t="str">
            <v>Agustus</v>
          </cell>
          <cell r="F2981">
            <v>612007</v>
          </cell>
          <cell r="G2981" t="str">
            <v>Agustus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</row>
        <row r="2982">
          <cell r="B2982">
            <v>612007</v>
          </cell>
          <cell r="C2982" t="str">
            <v>Telpon</v>
          </cell>
          <cell r="D2982" t="str">
            <v>September</v>
          </cell>
          <cell r="F2982">
            <v>612007</v>
          </cell>
          <cell r="G2982" t="str">
            <v>September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</row>
        <row r="2983">
          <cell r="B2983">
            <v>612007</v>
          </cell>
          <cell r="C2983" t="str">
            <v>Telpon</v>
          </cell>
          <cell r="D2983" t="str">
            <v>Oktober</v>
          </cell>
          <cell r="F2983">
            <v>612007</v>
          </cell>
          <cell r="G2983" t="str">
            <v>Oktober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</row>
        <row r="2984">
          <cell r="B2984">
            <v>612007</v>
          </cell>
          <cell r="C2984" t="str">
            <v>Telpon</v>
          </cell>
          <cell r="D2984" t="str">
            <v>November</v>
          </cell>
          <cell r="F2984">
            <v>612007</v>
          </cell>
          <cell r="G2984" t="str">
            <v>November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</row>
        <row r="2985">
          <cell r="B2985">
            <v>612007</v>
          </cell>
          <cell r="C2985" t="str">
            <v>Telpon</v>
          </cell>
          <cell r="D2985" t="str">
            <v>Desember</v>
          </cell>
          <cell r="F2985">
            <v>612007</v>
          </cell>
          <cell r="G2985" t="str">
            <v>Desember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</row>
        <row r="2986">
          <cell r="B2986">
            <v>612008</v>
          </cell>
          <cell r="C2986" t="str">
            <v>Listrik</v>
          </cell>
          <cell r="E2986">
            <v>612.00800000000004</v>
          </cell>
          <cell r="F2986">
            <v>612008</v>
          </cell>
          <cell r="G2986" t="str">
            <v>Listrik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</row>
        <row r="2987">
          <cell r="B2987">
            <v>612008</v>
          </cell>
          <cell r="C2987" t="str">
            <v>Listrik</v>
          </cell>
          <cell r="D2987" t="str">
            <v>Januari</v>
          </cell>
          <cell r="F2987">
            <v>612008</v>
          </cell>
          <cell r="G2987" t="str">
            <v>Januari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</row>
        <row r="2988">
          <cell r="B2988">
            <v>612008</v>
          </cell>
          <cell r="C2988" t="str">
            <v>Listrik</v>
          </cell>
          <cell r="D2988" t="str">
            <v>Februari</v>
          </cell>
          <cell r="F2988">
            <v>612008</v>
          </cell>
          <cell r="G2988" t="str">
            <v>Februari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</row>
        <row r="2989">
          <cell r="B2989">
            <v>612008</v>
          </cell>
          <cell r="C2989" t="str">
            <v>Listrik</v>
          </cell>
          <cell r="D2989" t="str">
            <v>Maret</v>
          </cell>
          <cell r="F2989">
            <v>612008</v>
          </cell>
          <cell r="G2989" t="str">
            <v>Maret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</row>
        <row r="2990">
          <cell r="B2990">
            <v>612008</v>
          </cell>
          <cell r="C2990" t="str">
            <v>Listrik</v>
          </cell>
          <cell r="D2990" t="str">
            <v>April</v>
          </cell>
          <cell r="F2990">
            <v>612008</v>
          </cell>
          <cell r="G2990" t="str">
            <v>April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</row>
        <row r="2991">
          <cell r="B2991">
            <v>612008</v>
          </cell>
          <cell r="C2991" t="str">
            <v>Listrik</v>
          </cell>
          <cell r="D2991" t="str">
            <v>Mei</v>
          </cell>
          <cell r="F2991">
            <v>612008</v>
          </cell>
          <cell r="G2991" t="str">
            <v>Mei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</row>
        <row r="2992">
          <cell r="B2992">
            <v>612008</v>
          </cell>
          <cell r="C2992" t="str">
            <v>Listrik</v>
          </cell>
          <cell r="D2992" t="str">
            <v>Juni</v>
          </cell>
          <cell r="F2992">
            <v>612008</v>
          </cell>
          <cell r="G2992" t="str">
            <v>Juni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</row>
        <row r="2993">
          <cell r="B2993">
            <v>612008</v>
          </cell>
          <cell r="C2993" t="str">
            <v>Listrik</v>
          </cell>
          <cell r="D2993" t="str">
            <v>Juli</v>
          </cell>
          <cell r="F2993">
            <v>612008</v>
          </cell>
          <cell r="G2993" t="str">
            <v>Juli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</row>
        <row r="2994">
          <cell r="B2994">
            <v>612008</v>
          </cell>
          <cell r="C2994" t="str">
            <v>Listrik</v>
          </cell>
          <cell r="D2994" t="str">
            <v>Agustus</v>
          </cell>
          <cell r="F2994">
            <v>612008</v>
          </cell>
          <cell r="G2994" t="str">
            <v>Agustus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</row>
        <row r="2995">
          <cell r="B2995">
            <v>612008</v>
          </cell>
          <cell r="C2995" t="str">
            <v>Listrik</v>
          </cell>
          <cell r="D2995" t="str">
            <v>September</v>
          </cell>
          <cell r="F2995">
            <v>612008</v>
          </cell>
          <cell r="G2995" t="str">
            <v>September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</row>
        <row r="2996">
          <cell r="B2996">
            <v>612008</v>
          </cell>
          <cell r="C2996" t="str">
            <v>Listrik</v>
          </cell>
          <cell r="D2996" t="str">
            <v>Oktober</v>
          </cell>
          <cell r="F2996">
            <v>612008</v>
          </cell>
          <cell r="G2996" t="str">
            <v>Oktober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</row>
        <row r="2997">
          <cell r="B2997">
            <v>612008</v>
          </cell>
          <cell r="C2997" t="str">
            <v>Listrik</v>
          </cell>
          <cell r="D2997" t="str">
            <v>November</v>
          </cell>
          <cell r="F2997">
            <v>612008</v>
          </cell>
          <cell r="G2997" t="str">
            <v>November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</row>
        <row r="2998">
          <cell r="B2998">
            <v>612008</v>
          </cell>
          <cell r="C2998" t="str">
            <v>Listrik</v>
          </cell>
          <cell r="D2998" t="str">
            <v>Desember</v>
          </cell>
          <cell r="F2998">
            <v>612008</v>
          </cell>
          <cell r="G2998" t="str">
            <v>Desember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</row>
        <row r="2999">
          <cell r="B2999">
            <v>612009</v>
          </cell>
          <cell r="C2999" t="str">
            <v>Penyusutan Peralatan</v>
          </cell>
          <cell r="E2999">
            <v>612.00900000000001</v>
          </cell>
          <cell r="F2999">
            <v>612009</v>
          </cell>
          <cell r="G2999" t="str">
            <v>Penyusutan Peralatan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</row>
        <row r="3000">
          <cell r="B3000">
            <v>612009</v>
          </cell>
          <cell r="C3000" t="str">
            <v>Penyusutan Peralatan</v>
          </cell>
          <cell r="D3000" t="str">
            <v>Januari</v>
          </cell>
          <cell r="F3000">
            <v>612009</v>
          </cell>
          <cell r="G3000" t="str">
            <v>Januari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</row>
        <row r="3001">
          <cell r="B3001">
            <v>612009</v>
          </cell>
          <cell r="C3001" t="str">
            <v>Penyusutan Peralatan</v>
          </cell>
          <cell r="D3001" t="str">
            <v>Februari</v>
          </cell>
          <cell r="F3001">
            <v>612009</v>
          </cell>
          <cell r="G3001" t="str">
            <v>Februari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</row>
        <row r="3002">
          <cell r="B3002">
            <v>612009</v>
          </cell>
          <cell r="C3002" t="str">
            <v>Penyusutan Peralatan</v>
          </cell>
          <cell r="D3002" t="str">
            <v>Maret</v>
          </cell>
          <cell r="F3002">
            <v>612009</v>
          </cell>
          <cell r="G3002" t="str">
            <v>Maret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</row>
        <row r="3003">
          <cell r="B3003">
            <v>612009</v>
          </cell>
          <cell r="C3003" t="str">
            <v>Penyusutan Peralatan</v>
          </cell>
          <cell r="D3003" t="str">
            <v>April</v>
          </cell>
          <cell r="F3003">
            <v>612009</v>
          </cell>
          <cell r="G3003" t="str">
            <v>April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</row>
        <row r="3004">
          <cell r="B3004">
            <v>612009</v>
          </cell>
          <cell r="C3004" t="str">
            <v>Penyusutan Peralatan</v>
          </cell>
          <cell r="D3004" t="str">
            <v>Mei</v>
          </cell>
          <cell r="F3004">
            <v>612009</v>
          </cell>
          <cell r="G3004" t="str">
            <v>Mei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</row>
        <row r="3005">
          <cell r="B3005">
            <v>612009</v>
          </cell>
          <cell r="C3005" t="str">
            <v>Penyusutan Peralatan</v>
          </cell>
          <cell r="D3005" t="str">
            <v>Juni</v>
          </cell>
          <cell r="F3005">
            <v>612009</v>
          </cell>
          <cell r="G3005" t="str">
            <v>Juni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</row>
        <row r="3006">
          <cell r="B3006">
            <v>612009</v>
          </cell>
          <cell r="C3006" t="str">
            <v>Penyusutan Peralatan</v>
          </cell>
          <cell r="D3006" t="str">
            <v>Juli</v>
          </cell>
          <cell r="F3006">
            <v>612009</v>
          </cell>
          <cell r="G3006" t="str">
            <v>Juli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</row>
        <row r="3007">
          <cell r="B3007">
            <v>612009</v>
          </cell>
          <cell r="C3007" t="str">
            <v>Penyusutan Peralatan</v>
          </cell>
          <cell r="D3007" t="str">
            <v>Agustus</v>
          </cell>
          <cell r="F3007">
            <v>612009</v>
          </cell>
          <cell r="G3007" t="str">
            <v>Agustus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</row>
        <row r="3008">
          <cell r="B3008">
            <v>612009</v>
          </cell>
          <cell r="C3008" t="str">
            <v>Penyusutan Peralatan</v>
          </cell>
          <cell r="D3008" t="str">
            <v>September</v>
          </cell>
          <cell r="F3008">
            <v>612009</v>
          </cell>
          <cell r="G3008" t="str">
            <v>September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</row>
        <row r="3009">
          <cell r="B3009">
            <v>612009</v>
          </cell>
          <cell r="C3009" t="str">
            <v>Penyusutan Peralatan</v>
          </cell>
          <cell r="D3009" t="str">
            <v>Oktober</v>
          </cell>
          <cell r="F3009">
            <v>612009</v>
          </cell>
          <cell r="G3009" t="str">
            <v>Oktober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</row>
        <row r="3010">
          <cell r="B3010">
            <v>612009</v>
          </cell>
          <cell r="C3010" t="str">
            <v>Penyusutan Peralatan</v>
          </cell>
          <cell r="D3010" t="str">
            <v>November</v>
          </cell>
          <cell r="F3010">
            <v>612009</v>
          </cell>
          <cell r="G3010" t="str">
            <v>November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</row>
        <row r="3011">
          <cell r="B3011">
            <v>612009</v>
          </cell>
          <cell r="C3011" t="str">
            <v>Penyusutan Peralatan</v>
          </cell>
          <cell r="D3011" t="str">
            <v>Desember</v>
          </cell>
          <cell r="F3011">
            <v>612009</v>
          </cell>
          <cell r="G3011" t="str">
            <v>Desember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</row>
        <row r="3012">
          <cell r="B3012">
            <v>612011</v>
          </cell>
          <cell r="C3012" t="str">
            <v>Material</v>
          </cell>
          <cell r="E3012">
            <v>612.01099999999997</v>
          </cell>
          <cell r="F3012">
            <v>612011</v>
          </cell>
          <cell r="G3012" t="str">
            <v>Material</v>
          </cell>
          <cell r="H3012">
            <v>160000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160000</v>
          </cell>
          <cell r="AC3012">
            <v>0</v>
          </cell>
          <cell r="AD3012">
            <v>0</v>
          </cell>
          <cell r="AE3012">
            <v>0</v>
          </cell>
        </row>
        <row r="3013">
          <cell r="B3013">
            <v>612011</v>
          </cell>
          <cell r="C3013" t="str">
            <v>Material</v>
          </cell>
          <cell r="D3013" t="str">
            <v>Januari</v>
          </cell>
          <cell r="F3013">
            <v>612011</v>
          </cell>
          <cell r="G3013" t="str">
            <v>Januari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</row>
        <row r="3014">
          <cell r="B3014">
            <v>612011</v>
          </cell>
          <cell r="C3014" t="str">
            <v>Material</v>
          </cell>
          <cell r="D3014" t="str">
            <v>Februari</v>
          </cell>
          <cell r="F3014">
            <v>612011</v>
          </cell>
          <cell r="G3014" t="str">
            <v>Februari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</row>
        <row r="3015">
          <cell r="B3015">
            <v>612011</v>
          </cell>
          <cell r="C3015" t="str">
            <v>Material</v>
          </cell>
          <cell r="D3015" t="str">
            <v>Maret</v>
          </cell>
          <cell r="F3015">
            <v>612011</v>
          </cell>
          <cell r="G3015" t="str">
            <v>Maret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</row>
        <row r="3016">
          <cell r="B3016">
            <v>612011</v>
          </cell>
          <cell r="C3016" t="str">
            <v>Material</v>
          </cell>
          <cell r="D3016" t="str">
            <v>April</v>
          </cell>
          <cell r="F3016">
            <v>612011</v>
          </cell>
          <cell r="G3016" t="str">
            <v>April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</row>
        <row r="3017">
          <cell r="B3017">
            <v>612011</v>
          </cell>
          <cell r="C3017" t="str">
            <v>Material</v>
          </cell>
          <cell r="D3017" t="str">
            <v>Mei</v>
          </cell>
          <cell r="F3017">
            <v>612011</v>
          </cell>
          <cell r="G3017" t="str">
            <v>Mei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</row>
        <row r="3018">
          <cell r="B3018">
            <v>612011</v>
          </cell>
          <cell r="C3018" t="str">
            <v>Material</v>
          </cell>
          <cell r="D3018" t="str">
            <v>Juni</v>
          </cell>
          <cell r="F3018">
            <v>612011</v>
          </cell>
          <cell r="G3018" t="str">
            <v>Juni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</row>
        <row r="3019">
          <cell r="B3019">
            <v>612011</v>
          </cell>
          <cell r="C3019" t="str">
            <v>Material</v>
          </cell>
          <cell r="D3019" t="str">
            <v>Juli</v>
          </cell>
          <cell r="F3019">
            <v>612011</v>
          </cell>
          <cell r="G3019" t="str">
            <v>Juli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</row>
        <row r="3020">
          <cell r="B3020">
            <v>612011</v>
          </cell>
          <cell r="C3020" t="str">
            <v>Material</v>
          </cell>
          <cell r="D3020" t="str">
            <v>Agustus</v>
          </cell>
          <cell r="F3020">
            <v>612011</v>
          </cell>
          <cell r="G3020" t="str">
            <v>Agustus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</row>
        <row r="3021">
          <cell r="B3021">
            <v>612011</v>
          </cell>
          <cell r="C3021" t="str">
            <v>Material</v>
          </cell>
          <cell r="D3021" t="str">
            <v>September</v>
          </cell>
          <cell r="F3021">
            <v>612011</v>
          </cell>
          <cell r="G3021" t="str">
            <v>September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</row>
        <row r="3022">
          <cell r="B3022">
            <v>612011</v>
          </cell>
          <cell r="C3022" t="str">
            <v>Material</v>
          </cell>
          <cell r="D3022" t="str">
            <v>Oktober</v>
          </cell>
          <cell r="F3022">
            <v>612011</v>
          </cell>
          <cell r="G3022" t="str">
            <v>Oktober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</row>
        <row r="3023">
          <cell r="B3023">
            <v>612011</v>
          </cell>
          <cell r="C3023" t="str">
            <v>Material</v>
          </cell>
          <cell r="D3023" t="str">
            <v>November</v>
          </cell>
          <cell r="F3023">
            <v>612011</v>
          </cell>
          <cell r="G3023" t="str">
            <v>November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</row>
        <row r="3024">
          <cell r="B3024">
            <v>612011</v>
          </cell>
          <cell r="C3024" t="str">
            <v>Material</v>
          </cell>
          <cell r="D3024" t="str">
            <v>Desember</v>
          </cell>
          <cell r="F3024">
            <v>612011</v>
          </cell>
          <cell r="G3024" t="str">
            <v>Desember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</row>
        <row r="3025">
          <cell r="B3025">
            <v>612012</v>
          </cell>
          <cell r="C3025" t="str">
            <v>Dinas Luar</v>
          </cell>
          <cell r="E3025">
            <v>612.01199999999994</v>
          </cell>
          <cell r="F3025">
            <v>612012</v>
          </cell>
          <cell r="G3025" t="str">
            <v>Dinas Luar</v>
          </cell>
          <cell r="H3025">
            <v>615000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615000</v>
          </cell>
          <cell r="AC3025">
            <v>0</v>
          </cell>
          <cell r="AD3025">
            <v>0</v>
          </cell>
          <cell r="AE3025">
            <v>0</v>
          </cell>
        </row>
        <row r="3026">
          <cell r="B3026">
            <v>612012</v>
          </cell>
          <cell r="C3026" t="str">
            <v>Dinas Luar</v>
          </cell>
          <cell r="D3026" t="str">
            <v>Januari</v>
          </cell>
          <cell r="F3026">
            <v>612012</v>
          </cell>
          <cell r="G3026" t="str">
            <v>Januari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</row>
        <row r="3027">
          <cell r="B3027">
            <v>612012</v>
          </cell>
          <cell r="C3027" t="str">
            <v>Dinas Luar</v>
          </cell>
          <cell r="D3027" t="str">
            <v>Februari</v>
          </cell>
          <cell r="F3027">
            <v>612012</v>
          </cell>
          <cell r="G3027" t="str">
            <v>Februari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</row>
        <row r="3028">
          <cell r="B3028">
            <v>612012</v>
          </cell>
          <cell r="C3028" t="str">
            <v>Dinas Luar</v>
          </cell>
          <cell r="D3028" t="str">
            <v>Maret</v>
          </cell>
          <cell r="F3028">
            <v>612012</v>
          </cell>
          <cell r="G3028" t="str">
            <v>Maret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</row>
        <row r="3029">
          <cell r="B3029">
            <v>612012</v>
          </cell>
          <cell r="C3029" t="str">
            <v>Dinas Luar</v>
          </cell>
          <cell r="D3029" t="str">
            <v>April</v>
          </cell>
          <cell r="F3029">
            <v>612012</v>
          </cell>
          <cell r="G3029" t="str">
            <v>April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</row>
        <row r="3030">
          <cell r="B3030">
            <v>612012</v>
          </cell>
          <cell r="C3030" t="str">
            <v>Dinas Luar</v>
          </cell>
          <cell r="D3030" t="str">
            <v>Mei</v>
          </cell>
          <cell r="F3030">
            <v>612012</v>
          </cell>
          <cell r="G3030" t="str">
            <v>Mei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</row>
        <row r="3031">
          <cell r="B3031">
            <v>612012</v>
          </cell>
          <cell r="C3031" t="str">
            <v>Dinas Luar</v>
          </cell>
          <cell r="D3031" t="str">
            <v>Juni</v>
          </cell>
          <cell r="F3031">
            <v>612012</v>
          </cell>
          <cell r="G3031" t="str">
            <v>Juni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</row>
        <row r="3032">
          <cell r="B3032">
            <v>612012</v>
          </cell>
          <cell r="C3032" t="str">
            <v>Dinas Luar</v>
          </cell>
          <cell r="D3032" t="str">
            <v>Juli</v>
          </cell>
          <cell r="F3032">
            <v>612012</v>
          </cell>
          <cell r="G3032" t="str">
            <v>Juli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</row>
        <row r="3033">
          <cell r="B3033">
            <v>612012</v>
          </cell>
          <cell r="C3033" t="str">
            <v>Dinas Luar</v>
          </cell>
          <cell r="D3033" t="str">
            <v>Agustus</v>
          </cell>
          <cell r="F3033">
            <v>612012</v>
          </cell>
          <cell r="G3033" t="str">
            <v>Agustus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</row>
        <row r="3034">
          <cell r="B3034">
            <v>612012</v>
          </cell>
          <cell r="C3034" t="str">
            <v>Dinas Luar</v>
          </cell>
          <cell r="D3034" t="str">
            <v>September</v>
          </cell>
          <cell r="F3034">
            <v>612012</v>
          </cell>
          <cell r="G3034" t="str">
            <v>September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</row>
        <row r="3035">
          <cell r="B3035">
            <v>612012</v>
          </cell>
          <cell r="C3035" t="str">
            <v>Dinas Luar</v>
          </cell>
          <cell r="D3035" t="str">
            <v>Oktober</v>
          </cell>
          <cell r="F3035">
            <v>612012</v>
          </cell>
          <cell r="G3035" t="str">
            <v>Oktober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</row>
        <row r="3036">
          <cell r="B3036">
            <v>612012</v>
          </cell>
          <cell r="C3036" t="str">
            <v>Dinas Luar</v>
          </cell>
          <cell r="D3036" t="str">
            <v>November</v>
          </cell>
          <cell r="F3036">
            <v>612012</v>
          </cell>
          <cell r="G3036" t="str">
            <v>November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</row>
        <row r="3037">
          <cell r="B3037">
            <v>612012</v>
          </cell>
          <cell r="C3037" t="str">
            <v>Dinas Luar</v>
          </cell>
          <cell r="D3037" t="str">
            <v>Desember</v>
          </cell>
          <cell r="F3037">
            <v>612012</v>
          </cell>
          <cell r="G3037" t="str">
            <v>Desember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</row>
        <row r="3038">
          <cell r="B3038">
            <v>612013</v>
          </cell>
          <cell r="C3038" t="str">
            <v>Jasa Pihak ke 3</v>
          </cell>
          <cell r="E3038">
            <v>612.01300000000003</v>
          </cell>
          <cell r="F3038">
            <v>612013</v>
          </cell>
          <cell r="G3038" t="str">
            <v>Jasa Pihak ke 3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</row>
        <row r="3039">
          <cell r="B3039">
            <v>612013</v>
          </cell>
          <cell r="C3039" t="str">
            <v>Jasa Pihak ke 3</v>
          </cell>
          <cell r="D3039" t="str">
            <v>Januari</v>
          </cell>
          <cell r="F3039">
            <v>612013</v>
          </cell>
          <cell r="G3039" t="str">
            <v>Januari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</row>
        <row r="3040">
          <cell r="B3040">
            <v>612013</v>
          </cell>
          <cell r="C3040" t="str">
            <v>Jasa Pihak ke 3</v>
          </cell>
          <cell r="D3040" t="str">
            <v>Februari</v>
          </cell>
          <cell r="F3040">
            <v>612013</v>
          </cell>
          <cell r="G3040" t="str">
            <v>Februari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</row>
        <row r="3041">
          <cell r="B3041">
            <v>612013</v>
          </cell>
          <cell r="C3041" t="str">
            <v>Jasa Pihak ke 3</v>
          </cell>
          <cell r="D3041" t="str">
            <v>Maret</v>
          </cell>
          <cell r="F3041">
            <v>612013</v>
          </cell>
          <cell r="G3041" t="str">
            <v>Maret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</row>
        <row r="3042">
          <cell r="B3042">
            <v>612013</v>
          </cell>
          <cell r="C3042" t="str">
            <v>Jasa Pihak ke 3</v>
          </cell>
          <cell r="D3042" t="str">
            <v>April</v>
          </cell>
          <cell r="F3042">
            <v>612013</v>
          </cell>
          <cell r="G3042" t="str">
            <v>April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</row>
        <row r="3043">
          <cell r="B3043">
            <v>612013</v>
          </cell>
          <cell r="C3043" t="str">
            <v>Jasa Pihak ke 3</v>
          </cell>
          <cell r="D3043" t="str">
            <v>Mei</v>
          </cell>
          <cell r="F3043">
            <v>612013</v>
          </cell>
          <cell r="G3043" t="str">
            <v>Mei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</row>
        <row r="3044">
          <cell r="B3044">
            <v>612013</v>
          </cell>
          <cell r="C3044" t="str">
            <v>Jasa Pihak ke 3</v>
          </cell>
          <cell r="D3044" t="str">
            <v>Juni</v>
          </cell>
          <cell r="F3044">
            <v>612013</v>
          </cell>
          <cell r="G3044" t="str">
            <v>Juni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</row>
        <row r="3045">
          <cell r="B3045">
            <v>612013</v>
          </cell>
          <cell r="C3045" t="str">
            <v>Jasa Pihak ke 3</v>
          </cell>
          <cell r="D3045" t="str">
            <v>Juli</v>
          </cell>
          <cell r="F3045">
            <v>612013</v>
          </cell>
          <cell r="G3045" t="str">
            <v>Juli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</row>
        <row r="3046">
          <cell r="B3046">
            <v>612013</v>
          </cell>
          <cell r="C3046" t="str">
            <v>Jasa Pihak ke 3</v>
          </cell>
          <cell r="D3046" t="str">
            <v>Agustus</v>
          </cell>
          <cell r="F3046">
            <v>612013</v>
          </cell>
          <cell r="G3046" t="str">
            <v>Agustus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</row>
        <row r="3047">
          <cell r="B3047">
            <v>612013</v>
          </cell>
          <cell r="C3047" t="str">
            <v>Jasa Pihak ke 3</v>
          </cell>
          <cell r="D3047" t="str">
            <v>September</v>
          </cell>
          <cell r="F3047">
            <v>612013</v>
          </cell>
          <cell r="G3047" t="str">
            <v>September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</row>
        <row r="3048">
          <cell r="B3048">
            <v>612013</v>
          </cell>
          <cell r="C3048" t="str">
            <v>Jasa Pihak ke 3</v>
          </cell>
          <cell r="D3048" t="str">
            <v>Oktober</v>
          </cell>
          <cell r="F3048">
            <v>612013</v>
          </cell>
          <cell r="G3048" t="str">
            <v>Oktober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</row>
        <row r="3049">
          <cell r="B3049">
            <v>612013</v>
          </cell>
          <cell r="C3049" t="str">
            <v>Jasa Pihak ke 3</v>
          </cell>
          <cell r="D3049" t="str">
            <v>November</v>
          </cell>
          <cell r="F3049">
            <v>612013</v>
          </cell>
          <cell r="G3049" t="str">
            <v>November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</row>
        <row r="3050">
          <cell r="B3050">
            <v>612013</v>
          </cell>
          <cell r="C3050" t="str">
            <v>Jasa Pihak ke 3</v>
          </cell>
          <cell r="D3050" t="str">
            <v>Desember</v>
          </cell>
          <cell r="F3050">
            <v>612013</v>
          </cell>
          <cell r="G3050" t="str">
            <v>Desember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</row>
        <row r="3051">
          <cell r="B3051">
            <v>612014</v>
          </cell>
          <cell r="C3051" t="str">
            <v>BBM</v>
          </cell>
          <cell r="E3051">
            <v>612.01400000000001</v>
          </cell>
          <cell r="F3051">
            <v>612014</v>
          </cell>
          <cell r="G3051" t="str">
            <v>BBM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</row>
        <row r="3052">
          <cell r="B3052">
            <v>612014</v>
          </cell>
          <cell r="C3052" t="str">
            <v>BBM</v>
          </cell>
          <cell r="D3052" t="str">
            <v>Januari</v>
          </cell>
          <cell r="F3052">
            <v>612014</v>
          </cell>
          <cell r="G3052" t="str">
            <v>Januari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</row>
        <row r="3053">
          <cell r="B3053">
            <v>612014</v>
          </cell>
          <cell r="C3053" t="str">
            <v>BBM</v>
          </cell>
          <cell r="D3053" t="str">
            <v>Februari</v>
          </cell>
          <cell r="F3053">
            <v>612014</v>
          </cell>
          <cell r="G3053" t="str">
            <v>Februari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</row>
        <row r="3054">
          <cell r="B3054">
            <v>612014</v>
          </cell>
          <cell r="C3054" t="str">
            <v>BBM</v>
          </cell>
          <cell r="D3054" t="str">
            <v>Maret</v>
          </cell>
          <cell r="F3054">
            <v>612014</v>
          </cell>
          <cell r="G3054" t="str">
            <v>Maret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</row>
        <row r="3055">
          <cell r="B3055">
            <v>612014</v>
          </cell>
          <cell r="C3055" t="str">
            <v>BBM</v>
          </cell>
          <cell r="D3055" t="str">
            <v>April</v>
          </cell>
          <cell r="F3055">
            <v>612014</v>
          </cell>
          <cell r="G3055" t="str">
            <v>April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</row>
        <row r="3056">
          <cell r="B3056">
            <v>612014</v>
          </cell>
          <cell r="C3056" t="str">
            <v>BBM</v>
          </cell>
          <cell r="D3056" t="str">
            <v>Mei</v>
          </cell>
          <cell r="F3056">
            <v>612014</v>
          </cell>
          <cell r="G3056" t="str">
            <v>Mei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</row>
        <row r="3057">
          <cell r="B3057">
            <v>612014</v>
          </cell>
          <cell r="C3057" t="str">
            <v>BBM</v>
          </cell>
          <cell r="D3057" t="str">
            <v>Juni</v>
          </cell>
          <cell r="F3057">
            <v>612014</v>
          </cell>
          <cell r="G3057" t="str">
            <v>Juni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</row>
        <row r="3058">
          <cell r="B3058">
            <v>612014</v>
          </cell>
          <cell r="C3058" t="str">
            <v>BBM</v>
          </cell>
          <cell r="D3058" t="str">
            <v>Juli</v>
          </cell>
          <cell r="F3058">
            <v>612014</v>
          </cell>
          <cell r="G3058" t="str">
            <v>Juli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</row>
        <row r="3059">
          <cell r="B3059">
            <v>612014</v>
          </cell>
          <cell r="C3059" t="str">
            <v>BBM</v>
          </cell>
          <cell r="D3059" t="str">
            <v>Agustus</v>
          </cell>
          <cell r="F3059">
            <v>612014</v>
          </cell>
          <cell r="G3059" t="str">
            <v>Agustus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</row>
        <row r="3060">
          <cell r="B3060">
            <v>612014</v>
          </cell>
          <cell r="C3060" t="str">
            <v>BBM</v>
          </cell>
          <cell r="D3060" t="str">
            <v>September</v>
          </cell>
          <cell r="F3060">
            <v>612014</v>
          </cell>
          <cell r="G3060" t="str">
            <v>September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</row>
        <row r="3061">
          <cell r="B3061">
            <v>612014</v>
          </cell>
          <cell r="C3061" t="str">
            <v>BBM</v>
          </cell>
          <cell r="D3061" t="str">
            <v>Oktober</v>
          </cell>
          <cell r="F3061">
            <v>612014</v>
          </cell>
          <cell r="G3061" t="str">
            <v>Oktober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</row>
        <row r="3062">
          <cell r="B3062">
            <v>612014</v>
          </cell>
          <cell r="C3062" t="str">
            <v>BBM</v>
          </cell>
          <cell r="D3062" t="str">
            <v>November</v>
          </cell>
          <cell r="F3062">
            <v>612014</v>
          </cell>
          <cell r="G3062" t="str">
            <v>November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</row>
        <row r="3063">
          <cell r="B3063">
            <v>612014</v>
          </cell>
          <cell r="C3063" t="str">
            <v>BBM</v>
          </cell>
          <cell r="D3063" t="str">
            <v>Desember</v>
          </cell>
          <cell r="F3063">
            <v>612014</v>
          </cell>
          <cell r="G3063" t="str">
            <v>Desember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</row>
        <row r="3064">
          <cell r="B3064">
            <v>612015</v>
          </cell>
          <cell r="C3064" t="str">
            <v>Perawatan Peralatan &amp; Kendaraan</v>
          </cell>
          <cell r="E3064">
            <v>612.01499999999999</v>
          </cell>
          <cell r="F3064">
            <v>612015</v>
          </cell>
          <cell r="G3064" t="str">
            <v>Perawatan Peralatan &amp; Kendaraan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</row>
        <row r="3065">
          <cell r="B3065">
            <v>612015</v>
          </cell>
          <cell r="C3065" t="str">
            <v>Perawatan Peralatan &amp; Kendaraan</v>
          </cell>
          <cell r="D3065" t="str">
            <v>Januari</v>
          </cell>
          <cell r="F3065">
            <v>612015</v>
          </cell>
          <cell r="G3065" t="str">
            <v>Januari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</row>
        <row r="3066">
          <cell r="B3066">
            <v>612015</v>
          </cell>
          <cell r="C3066" t="str">
            <v>Perawatan Peralatan &amp; Kendaraan</v>
          </cell>
          <cell r="D3066" t="str">
            <v>Februari</v>
          </cell>
          <cell r="F3066">
            <v>612015</v>
          </cell>
          <cell r="G3066" t="str">
            <v>Februari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</row>
        <row r="3067">
          <cell r="B3067">
            <v>612015</v>
          </cell>
          <cell r="C3067" t="str">
            <v>Perawatan Peralatan &amp; Kendaraan</v>
          </cell>
          <cell r="D3067" t="str">
            <v>Maret</v>
          </cell>
          <cell r="F3067">
            <v>612015</v>
          </cell>
          <cell r="G3067" t="str">
            <v>Maret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</row>
        <row r="3068">
          <cell r="B3068">
            <v>612015</v>
          </cell>
          <cell r="C3068" t="str">
            <v>Perawatan Peralatan &amp; Kendaraan</v>
          </cell>
          <cell r="D3068" t="str">
            <v>April</v>
          </cell>
          <cell r="F3068">
            <v>612015</v>
          </cell>
          <cell r="G3068" t="str">
            <v>April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</row>
        <row r="3069">
          <cell r="B3069">
            <v>612015</v>
          </cell>
          <cell r="C3069" t="str">
            <v>Perawatan Peralatan &amp; Kendaraan</v>
          </cell>
          <cell r="D3069" t="str">
            <v>Mei</v>
          </cell>
          <cell r="F3069">
            <v>612015</v>
          </cell>
          <cell r="G3069" t="str">
            <v>Mei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</row>
        <row r="3070">
          <cell r="B3070">
            <v>612015</v>
          </cell>
          <cell r="C3070" t="str">
            <v>Perawatan Peralatan &amp; Kendaraan</v>
          </cell>
          <cell r="D3070" t="str">
            <v>Juni</v>
          </cell>
          <cell r="F3070">
            <v>612015</v>
          </cell>
          <cell r="G3070" t="str">
            <v>Juni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</row>
        <row r="3071">
          <cell r="B3071">
            <v>612015</v>
          </cell>
          <cell r="C3071" t="str">
            <v>Perawatan Peralatan &amp; Kendaraan</v>
          </cell>
          <cell r="D3071" t="str">
            <v>Juli</v>
          </cell>
          <cell r="F3071">
            <v>612015</v>
          </cell>
          <cell r="G3071" t="str">
            <v>Juli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</row>
        <row r="3072">
          <cell r="B3072">
            <v>612015</v>
          </cell>
          <cell r="C3072" t="str">
            <v>Perawatan Peralatan &amp; Kendaraan</v>
          </cell>
          <cell r="D3072" t="str">
            <v>Agustus</v>
          </cell>
          <cell r="F3072">
            <v>612015</v>
          </cell>
          <cell r="G3072" t="str">
            <v>Agustus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</row>
        <row r="3073">
          <cell r="B3073">
            <v>612015</v>
          </cell>
          <cell r="C3073" t="str">
            <v>Perawatan Peralatan &amp; Kendaraan</v>
          </cell>
          <cell r="D3073" t="str">
            <v>September</v>
          </cell>
          <cell r="F3073">
            <v>612015</v>
          </cell>
          <cell r="G3073" t="str">
            <v>September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</row>
        <row r="3074">
          <cell r="B3074">
            <v>612015</v>
          </cell>
          <cell r="C3074" t="str">
            <v>Perawatan Peralatan &amp; Kendaraan</v>
          </cell>
          <cell r="D3074" t="str">
            <v>Oktober</v>
          </cell>
          <cell r="F3074">
            <v>612015</v>
          </cell>
          <cell r="G3074" t="str">
            <v>Oktober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</row>
        <row r="3075">
          <cell r="B3075">
            <v>612015</v>
          </cell>
          <cell r="C3075" t="str">
            <v>Perawatan Peralatan &amp; Kendaraan</v>
          </cell>
          <cell r="D3075" t="str">
            <v>November</v>
          </cell>
          <cell r="F3075">
            <v>612015</v>
          </cell>
          <cell r="G3075" t="str">
            <v>November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</row>
        <row r="3076">
          <cell r="B3076">
            <v>612015</v>
          </cell>
          <cell r="C3076" t="str">
            <v>Perawatan Peralatan &amp; Kendaraan</v>
          </cell>
          <cell r="D3076" t="str">
            <v>Desember</v>
          </cell>
          <cell r="F3076">
            <v>612015</v>
          </cell>
          <cell r="G3076" t="str">
            <v>Desember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</row>
        <row r="3077">
          <cell r="B3077">
            <v>612016</v>
          </cell>
          <cell r="C3077" t="str">
            <v>Insentif</v>
          </cell>
          <cell r="E3077">
            <v>612.01599999999996</v>
          </cell>
          <cell r="F3077">
            <v>612016</v>
          </cell>
          <cell r="G3077" t="str">
            <v>Insentif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</row>
        <row r="3078">
          <cell r="B3078">
            <v>612016</v>
          </cell>
          <cell r="C3078" t="str">
            <v>Insentif</v>
          </cell>
          <cell r="D3078" t="str">
            <v>Januari</v>
          </cell>
          <cell r="F3078">
            <v>612016</v>
          </cell>
          <cell r="G3078" t="str">
            <v>Januari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</row>
        <row r="3079">
          <cell r="B3079">
            <v>612016</v>
          </cell>
          <cell r="C3079" t="str">
            <v>Insentif</v>
          </cell>
          <cell r="D3079" t="str">
            <v>Februari</v>
          </cell>
          <cell r="F3079">
            <v>612016</v>
          </cell>
          <cell r="G3079" t="str">
            <v>Februari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</row>
        <row r="3080">
          <cell r="B3080">
            <v>612016</v>
          </cell>
          <cell r="C3080" t="str">
            <v>Insentif</v>
          </cell>
          <cell r="D3080" t="str">
            <v>Maret</v>
          </cell>
          <cell r="F3080">
            <v>612016</v>
          </cell>
          <cell r="G3080" t="str">
            <v>Maret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</row>
        <row r="3081">
          <cell r="B3081">
            <v>612016</v>
          </cell>
          <cell r="C3081" t="str">
            <v>Insentif</v>
          </cell>
          <cell r="D3081" t="str">
            <v>April</v>
          </cell>
          <cell r="F3081">
            <v>612016</v>
          </cell>
          <cell r="G3081" t="str">
            <v>April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</row>
        <row r="3082">
          <cell r="B3082">
            <v>612016</v>
          </cell>
          <cell r="C3082" t="str">
            <v>Insentif</v>
          </cell>
          <cell r="D3082" t="str">
            <v>Mei</v>
          </cell>
          <cell r="F3082">
            <v>612016</v>
          </cell>
          <cell r="G3082" t="str">
            <v>Mei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</row>
        <row r="3083">
          <cell r="B3083">
            <v>612016</v>
          </cell>
          <cell r="C3083" t="str">
            <v>Insentif</v>
          </cell>
          <cell r="D3083" t="str">
            <v>Juni</v>
          </cell>
          <cell r="F3083">
            <v>612016</v>
          </cell>
          <cell r="G3083" t="str">
            <v>Juni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</row>
        <row r="3084">
          <cell r="B3084">
            <v>612016</v>
          </cell>
          <cell r="C3084" t="str">
            <v>Insentif</v>
          </cell>
          <cell r="D3084" t="str">
            <v>Juli</v>
          </cell>
          <cell r="F3084">
            <v>612016</v>
          </cell>
          <cell r="G3084" t="str">
            <v>Juli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</row>
        <row r="3085">
          <cell r="B3085">
            <v>612016</v>
          </cell>
          <cell r="C3085" t="str">
            <v>Insentif</v>
          </cell>
          <cell r="D3085" t="str">
            <v>Agustus</v>
          </cell>
          <cell r="F3085">
            <v>612016</v>
          </cell>
          <cell r="G3085" t="str">
            <v>Agustus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</row>
        <row r="3086">
          <cell r="B3086">
            <v>612016</v>
          </cell>
          <cell r="C3086" t="str">
            <v>Insentif</v>
          </cell>
          <cell r="D3086" t="str">
            <v>September</v>
          </cell>
          <cell r="F3086">
            <v>612016</v>
          </cell>
          <cell r="G3086" t="str">
            <v>September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</row>
        <row r="3087">
          <cell r="B3087">
            <v>612016</v>
          </cell>
          <cell r="C3087" t="str">
            <v>Insentif</v>
          </cell>
          <cell r="D3087" t="str">
            <v>Oktober</v>
          </cell>
          <cell r="F3087">
            <v>612016</v>
          </cell>
          <cell r="G3087" t="str">
            <v>Oktober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</row>
        <row r="3088">
          <cell r="B3088">
            <v>612016</v>
          </cell>
          <cell r="C3088" t="str">
            <v>Insentif</v>
          </cell>
          <cell r="D3088" t="str">
            <v>November</v>
          </cell>
          <cell r="F3088">
            <v>612016</v>
          </cell>
          <cell r="G3088" t="str">
            <v>November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</row>
        <row r="3089">
          <cell r="B3089">
            <v>612016</v>
          </cell>
          <cell r="C3089" t="str">
            <v>Insentif</v>
          </cell>
          <cell r="D3089" t="str">
            <v>Desember</v>
          </cell>
          <cell r="F3089">
            <v>612016</v>
          </cell>
          <cell r="G3089" t="str">
            <v>Desember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</row>
        <row r="3090">
          <cell r="B3090">
            <v>612016</v>
          </cell>
          <cell r="C3090" t="str">
            <v>Insentif</v>
          </cell>
          <cell r="F3090">
            <v>612016</v>
          </cell>
          <cell r="H3090">
            <v>0</v>
          </cell>
          <cell r="I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</row>
        <row r="3091">
          <cell r="B3091">
            <v>612016</v>
          </cell>
          <cell r="C3091" t="str">
            <v>Insentif</v>
          </cell>
          <cell r="F3091">
            <v>612016</v>
          </cell>
          <cell r="H3091">
            <v>0</v>
          </cell>
          <cell r="I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</row>
        <row r="3092">
          <cell r="B3092">
            <v>650000</v>
          </cell>
          <cell r="C3092" t="str">
            <v>BIAYA ADMINISTRASI DAN UMUM</v>
          </cell>
          <cell r="E3092">
            <v>650</v>
          </cell>
          <cell r="F3092">
            <v>650000</v>
          </cell>
          <cell r="G3092" t="str">
            <v>BIAYA ADMINISTRASI DAN UMUM</v>
          </cell>
          <cell r="H3092">
            <v>0</v>
          </cell>
          <cell r="I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</row>
        <row r="3093">
          <cell r="B3093">
            <v>650001</v>
          </cell>
          <cell r="C3093" t="str">
            <v>Gaji</v>
          </cell>
          <cell r="E3093">
            <v>650.00099999999998</v>
          </cell>
          <cell r="F3093">
            <v>650001</v>
          </cell>
          <cell r="G3093" t="str">
            <v>Gaji</v>
          </cell>
          <cell r="H3093">
            <v>232602966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691917500</v>
          </cell>
          <cell r="S3093">
            <v>5661700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545504633</v>
          </cell>
          <cell r="AA3093">
            <v>0</v>
          </cell>
          <cell r="AB3093">
            <v>1470025099</v>
          </cell>
          <cell r="AC3093">
            <v>5661700</v>
          </cell>
          <cell r="AD3093">
            <v>545504633</v>
          </cell>
          <cell r="AE3093">
            <v>0</v>
          </cell>
        </row>
        <row r="3094">
          <cell r="B3094">
            <v>650001</v>
          </cell>
          <cell r="C3094" t="str">
            <v>Gaji</v>
          </cell>
          <cell r="D3094" t="str">
            <v>Januari</v>
          </cell>
          <cell r="F3094">
            <v>650001</v>
          </cell>
          <cell r="G3094" t="str">
            <v>Januari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57796250</v>
          </cell>
          <cell r="S3094">
            <v>293200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48359069</v>
          </cell>
          <cell r="AA3094">
            <v>0</v>
          </cell>
          <cell r="AB3094">
            <v>106155319</v>
          </cell>
          <cell r="AC3094">
            <v>293200</v>
          </cell>
          <cell r="AD3094">
            <v>48359069</v>
          </cell>
          <cell r="AE3094">
            <v>0</v>
          </cell>
        </row>
        <row r="3095">
          <cell r="B3095">
            <v>650001</v>
          </cell>
          <cell r="C3095" t="str">
            <v>Gaji</v>
          </cell>
          <cell r="D3095" t="str">
            <v>Februari</v>
          </cell>
          <cell r="F3095">
            <v>650001</v>
          </cell>
          <cell r="G3095" t="str">
            <v>Februari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57796250</v>
          </cell>
          <cell r="S3095">
            <v>720000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47711586</v>
          </cell>
          <cell r="AA3095">
            <v>0</v>
          </cell>
          <cell r="AB3095">
            <v>105507836</v>
          </cell>
          <cell r="AC3095">
            <v>720000</v>
          </cell>
          <cell r="AD3095">
            <v>47711586</v>
          </cell>
          <cell r="AE3095">
            <v>0</v>
          </cell>
        </row>
        <row r="3096">
          <cell r="B3096">
            <v>650001</v>
          </cell>
          <cell r="C3096" t="str">
            <v>Gaji</v>
          </cell>
          <cell r="D3096" t="str">
            <v>Maret</v>
          </cell>
          <cell r="F3096">
            <v>650001</v>
          </cell>
          <cell r="G3096" t="str">
            <v>Maret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57796250</v>
          </cell>
          <cell r="S3096">
            <v>470200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47852097</v>
          </cell>
          <cell r="AA3096">
            <v>0</v>
          </cell>
          <cell r="AB3096">
            <v>105648347</v>
          </cell>
          <cell r="AC3096">
            <v>470200</v>
          </cell>
          <cell r="AD3096">
            <v>47852097</v>
          </cell>
          <cell r="AE3096">
            <v>0</v>
          </cell>
        </row>
        <row r="3097">
          <cell r="B3097">
            <v>650001</v>
          </cell>
          <cell r="C3097" t="str">
            <v>Gaji</v>
          </cell>
          <cell r="D3097" t="str">
            <v>April</v>
          </cell>
          <cell r="F3097">
            <v>650001</v>
          </cell>
          <cell r="G3097" t="str">
            <v>April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57796250</v>
          </cell>
          <cell r="S3097">
            <v>340000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46102324</v>
          </cell>
          <cell r="AA3097">
            <v>0</v>
          </cell>
          <cell r="AB3097">
            <v>103898574</v>
          </cell>
          <cell r="AC3097">
            <v>340000</v>
          </cell>
          <cell r="AD3097">
            <v>46102324</v>
          </cell>
          <cell r="AE3097">
            <v>0</v>
          </cell>
        </row>
        <row r="3098">
          <cell r="B3098">
            <v>650001</v>
          </cell>
          <cell r="C3098" t="str">
            <v>Gaji</v>
          </cell>
          <cell r="D3098" t="str">
            <v>Mei</v>
          </cell>
          <cell r="F3098">
            <v>650001</v>
          </cell>
          <cell r="G3098" t="str">
            <v>Mei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57796250</v>
          </cell>
          <cell r="S3098">
            <v>288000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43630595</v>
          </cell>
          <cell r="AA3098">
            <v>0</v>
          </cell>
          <cell r="AB3098">
            <v>101426845</v>
          </cell>
          <cell r="AC3098">
            <v>288000</v>
          </cell>
          <cell r="AD3098">
            <v>43630595</v>
          </cell>
          <cell r="AE3098">
            <v>0</v>
          </cell>
        </row>
        <row r="3099">
          <cell r="B3099">
            <v>650001</v>
          </cell>
          <cell r="C3099" t="str">
            <v>Gaji</v>
          </cell>
          <cell r="D3099" t="str">
            <v>Juni</v>
          </cell>
          <cell r="F3099">
            <v>650001</v>
          </cell>
          <cell r="G3099" t="str">
            <v>Juni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57796250</v>
          </cell>
          <cell r="S3099">
            <v>528000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43404398</v>
          </cell>
          <cell r="AA3099">
            <v>0</v>
          </cell>
          <cell r="AB3099">
            <v>101200648</v>
          </cell>
          <cell r="AC3099">
            <v>528000</v>
          </cell>
          <cell r="AD3099">
            <v>43404398</v>
          </cell>
          <cell r="AE3099">
            <v>0</v>
          </cell>
        </row>
        <row r="3100">
          <cell r="B3100">
            <v>650001</v>
          </cell>
          <cell r="C3100" t="str">
            <v>Gaji</v>
          </cell>
          <cell r="D3100" t="str">
            <v>Juli</v>
          </cell>
          <cell r="F3100">
            <v>650001</v>
          </cell>
          <cell r="G3100" t="str">
            <v>Juli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57796250</v>
          </cell>
          <cell r="S3100">
            <v>581000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43853712</v>
          </cell>
          <cell r="AA3100">
            <v>0</v>
          </cell>
          <cell r="AB3100">
            <v>101649962</v>
          </cell>
          <cell r="AC3100">
            <v>581000</v>
          </cell>
          <cell r="AD3100">
            <v>43853712</v>
          </cell>
          <cell r="AE3100">
            <v>0</v>
          </cell>
        </row>
        <row r="3101">
          <cell r="B3101">
            <v>650001</v>
          </cell>
          <cell r="C3101" t="str">
            <v>Gaji</v>
          </cell>
          <cell r="D3101" t="str">
            <v>Agustus</v>
          </cell>
          <cell r="F3101">
            <v>650001</v>
          </cell>
          <cell r="G3101" t="str">
            <v>Agustus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57796250</v>
          </cell>
          <cell r="S3101">
            <v>227700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44151413</v>
          </cell>
          <cell r="AA3101">
            <v>0</v>
          </cell>
          <cell r="AB3101">
            <v>101947663</v>
          </cell>
          <cell r="AC3101">
            <v>227700</v>
          </cell>
          <cell r="AD3101">
            <v>44151413</v>
          </cell>
          <cell r="AE3101">
            <v>0</v>
          </cell>
        </row>
        <row r="3102">
          <cell r="B3102">
            <v>650001</v>
          </cell>
          <cell r="C3102" t="str">
            <v>Gaji</v>
          </cell>
          <cell r="D3102" t="str">
            <v>September</v>
          </cell>
          <cell r="F3102">
            <v>650001</v>
          </cell>
          <cell r="G3102" t="str">
            <v>September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57796250</v>
          </cell>
          <cell r="S3102">
            <v>288000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44090278</v>
          </cell>
          <cell r="AA3102">
            <v>0</v>
          </cell>
          <cell r="AB3102">
            <v>101886528</v>
          </cell>
          <cell r="AC3102">
            <v>288000</v>
          </cell>
          <cell r="AD3102">
            <v>44090278</v>
          </cell>
          <cell r="AE3102">
            <v>0</v>
          </cell>
        </row>
        <row r="3103">
          <cell r="B3103">
            <v>650001</v>
          </cell>
          <cell r="C3103" t="str">
            <v>Gaji</v>
          </cell>
          <cell r="D3103" t="str">
            <v>Oktober</v>
          </cell>
          <cell r="F3103">
            <v>650001</v>
          </cell>
          <cell r="G3103" t="str">
            <v>Oktober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57796250</v>
          </cell>
          <cell r="S3103">
            <v>866200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42998044</v>
          </cell>
          <cell r="AA3103">
            <v>0</v>
          </cell>
          <cell r="AB3103">
            <v>100794294</v>
          </cell>
          <cell r="AC3103">
            <v>866200</v>
          </cell>
          <cell r="AD3103">
            <v>42998044</v>
          </cell>
          <cell r="AE3103">
            <v>0</v>
          </cell>
        </row>
        <row r="3104">
          <cell r="B3104">
            <v>650001</v>
          </cell>
          <cell r="C3104" t="str">
            <v>Gaji</v>
          </cell>
          <cell r="D3104" t="str">
            <v>November</v>
          </cell>
          <cell r="F3104">
            <v>650001</v>
          </cell>
          <cell r="G3104" t="str">
            <v>November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57796250</v>
          </cell>
          <cell r="S3104">
            <v>579400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50014500</v>
          </cell>
          <cell r="AA3104">
            <v>0</v>
          </cell>
          <cell r="AB3104">
            <v>107810750</v>
          </cell>
          <cell r="AC3104">
            <v>579400</v>
          </cell>
          <cell r="AD3104">
            <v>50014500</v>
          </cell>
          <cell r="AE3104">
            <v>0</v>
          </cell>
        </row>
        <row r="3105">
          <cell r="B3105">
            <v>650001</v>
          </cell>
          <cell r="C3105" t="str">
            <v>Gaji</v>
          </cell>
          <cell r="D3105" t="str">
            <v>Desember</v>
          </cell>
          <cell r="F3105">
            <v>650001</v>
          </cell>
          <cell r="G3105" t="str">
            <v>Desember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56158750</v>
          </cell>
          <cell r="S3105">
            <v>480000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43336617</v>
          </cell>
          <cell r="AA3105">
            <v>0</v>
          </cell>
          <cell r="AB3105">
            <v>99495367</v>
          </cell>
          <cell r="AC3105">
            <v>480000</v>
          </cell>
          <cell r="AD3105">
            <v>43336617</v>
          </cell>
          <cell r="AE3105">
            <v>0</v>
          </cell>
        </row>
        <row r="3106">
          <cell r="B3106">
            <v>650002</v>
          </cell>
          <cell r="C3106" t="str">
            <v>Uang Makan</v>
          </cell>
          <cell r="E3106">
            <v>650.00199999999995</v>
          </cell>
          <cell r="F3106">
            <v>650002</v>
          </cell>
          <cell r="G3106" t="str">
            <v>Uang Makan</v>
          </cell>
          <cell r="H3106">
            <v>28707450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116000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62374000</v>
          </cell>
          <cell r="AA3106">
            <v>0</v>
          </cell>
          <cell r="AB3106">
            <v>91081450</v>
          </cell>
          <cell r="AC3106">
            <v>116000</v>
          </cell>
          <cell r="AD3106">
            <v>62374000</v>
          </cell>
          <cell r="AE3106">
            <v>116000</v>
          </cell>
        </row>
        <row r="3107">
          <cell r="B3107">
            <v>650002</v>
          </cell>
          <cell r="C3107" t="str">
            <v>Uang Makan</v>
          </cell>
          <cell r="D3107" t="str">
            <v>Januari</v>
          </cell>
          <cell r="F3107">
            <v>650002</v>
          </cell>
          <cell r="G3107" t="str">
            <v>Januari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4179000</v>
          </cell>
          <cell r="AA3107">
            <v>0</v>
          </cell>
          <cell r="AB3107">
            <v>4179000</v>
          </cell>
          <cell r="AC3107">
            <v>0</v>
          </cell>
          <cell r="AD3107">
            <v>4179000</v>
          </cell>
          <cell r="AE3107">
            <v>0</v>
          </cell>
        </row>
        <row r="3108">
          <cell r="B3108">
            <v>650002</v>
          </cell>
          <cell r="C3108" t="str">
            <v>Uang Makan</v>
          </cell>
          <cell r="D3108" t="str">
            <v>Februari</v>
          </cell>
          <cell r="F3108">
            <v>650002</v>
          </cell>
          <cell r="G3108" t="str">
            <v>Februari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4782000</v>
          </cell>
          <cell r="AA3108">
            <v>0</v>
          </cell>
          <cell r="AB3108">
            <v>4782000</v>
          </cell>
          <cell r="AC3108">
            <v>0</v>
          </cell>
          <cell r="AD3108">
            <v>4782000</v>
          </cell>
          <cell r="AE3108">
            <v>0</v>
          </cell>
        </row>
        <row r="3109">
          <cell r="B3109">
            <v>650002</v>
          </cell>
          <cell r="C3109" t="str">
            <v>Uang Makan</v>
          </cell>
          <cell r="D3109" t="str">
            <v>Maret</v>
          </cell>
          <cell r="F3109">
            <v>650002</v>
          </cell>
          <cell r="G3109" t="str">
            <v>Maret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6954000</v>
          </cell>
          <cell r="AA3109">
            <v>0</v>
          </cell>
          <cell r="AB3109">
            <v>6954000</v>
          </cell>
          <cell r="AC3109">
            <v>0</v>
          </cell>
          <cell r="AD3109">
            <v>6954000</v>
          </cell>
          <cell r="AE3109">
            <v>0</v>
          </cell>
        </row>
        <row r="3110">
          <cell r="B3110">
            <v>650002</v>
          </cell>
          <cell r="C3110" t="str">
            <v>Uang Makan</v>
          </cell>
          <cell r="D3110" t="str">
            <v>April</v>
          </cell>
          <cell r="F3110">
            <v>650002</v>
          </cell>
          <cell r="G3110" t="str">
            <v>April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5111000</v>
          </cell>
          <cell r="AA3110">
            <v>0</v>
          </cell>
          <cell r="AB3110">
            <v>5111000</v>
          </cell>
          <cell r="AC3110">
            <v>0</v>
          </cell>
          <cell r="AD3110">
            <v>5111000</v>
          </cell>
          <cell r="AE3110">
            <v>0</v>
          </cell>
        </row>
        <row r="3111">
          <cell r="B3111">
            <v>650002</v>
          </cell>
          <cell r="C3111" t="str">
            <v>Uang Makan</v>
          </cell>
          <cell r="D3111" t="str">
            <v>Mei</v>
          </cell>
          <cell r="F3111">
            <v>650002</v>
          </cell>
          <cell r="G3111" t="str">
            <v>Mei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6331000</v>
          </cell>
          <cell r="AA3111">
            <v>0</v>
          </cell>
          <cell r="AB3111">
            <v>6331000</v>
          </cell>
          <cell r="AC3111">
            <v>0</v>
          </cell>
          <cell r="AD3111">
            <v>6331000</v>
          </cell>
          <cell r="AE3111">
            <v>0</v>
          </cell>
        </row>
        <row r="3112">
          <cell r="B3112">
            <v>650002</v>
          </cell>
          <cell r="C3112" t="str">
            <v>Uang Makan</v>
          </cell>
          <cell r="D3112" t="str">
            <v>Juni</v>
          </cell>
          <cell r="F3112">
            <v>650002</v>
          </cell>
          <cell r="G3112" t="str">
            <v>Juni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5564000</v>
          </cell>
          <cell r="AA3112">
            <v>0</v>
          </cell>
          <cell r="AB3112">
            <v>5564000</v>
          </cell>
          <cell r="AC3112">
            <v>0</v>
          </cell>
          <cell r="AD3112">
            <v>5564000</v>
          </cell>
          <cell r="AE3112">
            <v>0</v>
          </cell>
        </row>
        <row r="3113">
          <cell r="B3113">
            <v>650002</v>
          </cell>
          <cell r="C3113" t="str">
            <v>Uang Makan</v>
          </cell>
          <cell r="D3113" t="str">
            <v>Juli</v>
          </cell>
          <cell r="F3113">
            <v>650002</v>
          </cell>
          <cell r="G3113" t="str">
            <v>Juli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50000</v>
          </cell>
          <cell r="AA3113">
            <v>0</v>
          </cell>
          <cell r="AB3113">
            <v>50000</v>
          </cell>
          <cell r="AC3113">
            <v>0</v>
          </cell>
          <cell r="AD3113">
            <v>50000</v>
          </cell>
          <cell r="AE3113">
            <v>0</v>
          </cell>
        </row>
        <row r="3114">
          <cell r="B3114">
            <v>650002</v>
          </cell>
          <cell r="C3114" t="str">
            <v>Uang Makan</v>
          </cell>
          <cell r="D3114" t="str">
            <v>Agustus</v>
          </cell>
          <cell r="F3114">
            <v>650002</v>
          </cell>
          <cell r="G3114" t="str">
            <v>Agustus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6622000</v>
          </cell>
          <cell r="AA3114">
            <v>0</v>
          </cell>
          <cell r="AB3114">
            <v>6622000</v>
          </cell>
          <cell r="AC3114">
            <v>0</v>
          </cell>
          <cell r="AD3114">
            <v>6622000</v>
          </cell>
          <cell r="AE3114">
            <v>0</v>
          </cell>
        </row>
        <row r="3115">
          <cell r="B3115">
            <v>650002</v>
          </cell>
          <cell r="C3115" t="str">
            <v>Uang Makan</v>
          </cell>
          <cell r="D3115" t="str">
            <v>September</v>
          </cell>
          <cell r="F3115">
            <v>650002</v>
          </cell>
          <cell r="G3115" t="str">
            <v>September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5663000</v>
          </cell>
          <cell r="AA3115">
            <v>0</v>
          </cell>
          <cell r="AB3115">
            <v>5663000</v>
          </cell>
          <cell r="AC3115">
            <v>0</v>
          </cell>
          <cell r="AD3115">
            <v>5663000</v>
          </cell>
          <cell r="AE3115">
            <v>0</v>
          </cell>
        </row>
        <row r="3116">
          <cell r="B3116">
            <v>650002</v>
          </cell>
          <cell r="C3116" t="str">
            <v>Uang Makan</v>
          </cell>
          <cell r="D3116" t="str">
            <v>Oktober</v>
          </cell>
          <cell r="F3116">
            <v>650002</v>
          </cell>
          <cell r="G3116" t="str">
            <v>Oktober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5348000</v>
          </cell>
          <cell r="AA3116">
            <v>0</v>
          </cell>
          <cell r="AB3116">
            <v>5348000</v>
          </cell>
          <cell r="AC3116">
            <v>0</v>
          </cell>
          <cell r="AD3116">
            <v>5348000</v>
          </cell>
          <cell r="AE3116">
            <v>0</v>
          </cell>
        </row>
        <row r="3117">
          <cell r="B3117">
            <v>650002</v>
          </cell>
          <cell r="C3117" t="str">
            <v>Uang Makan</v>
          </cell>
          <cell r="D3117" t="str">
            <v>November</v>
          </cell>
          <cell r="F3117">
            <v>650002</v>
          </cell>
          <cell r="G3117" t="str">
            <v>November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6748000</v>
          </cell>
          <cell r="AA3117">
            <v>0</v>
          </cell>
          <cell r="AB3117">
            <v>6748000</v>
          </cell>
          <cell r="AC3117">
            <v>0</v>
          </cell>
          <cell r="AD3117">
            <v>6748000</v>
          </cell>
          <cell r="AE3117">
            <v>0</v>
          </cell>
        </row>
        <row r="3118">
          <cell r="B3118">
            <v>650002</v>
          </cell>
          <cell r="C3118" t="str">
            <v>Uang Makan</v>
          </cell>
          <cell r="D3118" t="str">
            <v>Desember</v>
          </cell>
          <cell r="F3118">
            <v>650002</v>
          </cell>
          <cell r="G3118" t="str">
            <v>Desember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116000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5022000</v>
          </cell>
          <cell r="AA3118">
            <v>0</v>
          </cell>
          <cell r="AB3118">
            <v>5022000</v>
          </cell>
          <cell r="AC3118">
            <v>116000</v>
          </cell>
          <cell r="AD3118">
            <v>5022000</v>
          </cell>
          <cell r="AE3118">
            <v>116000</v>
          </cell>
        </row>
        <row r="3119">
          <cell r="B3119">
            <v>650003</v>
          </cell>
          <cell r="C3119" t="str">
            <v>Lembur</v>
          </cell>
          <cell r="E3119">
            <v>650.00300000000004</v>
          </cell>
          <cell r="F3119">
            <v>650003</v>
          </cell>
          <cell r="G3119" t="str">
            <v>Lembur</v>
          </cell>
          <cell r="H3119">
            <v>13759672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68078130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88102237</v>
          </cell>
          <cell r="AA3119">
            <v>0</v>
          </cell>
          <cell r="AB3119">
            <v>169940039</v>
          </cell>
          <cell r="AC3119">
            <v>0</v>
          </cell>
          <cell r="AD3119">
            <v>88102237</v>
          </cell>
          <cell r="AE3119">
            <v>0</v>
          </cell>
        </row>
        <row r="3120">
          <cell r="B3120">
            <v>650003</v>
          </cell>
          <cell r="C3120" t="str">
            <v>Lembur</v>
          </cell>
          <cell r="D3120" t="str">
            <v>Januari</v>
          </cell>
          <cell r="F3120">
            <v>650003</v>
          </cell>
          <cell r="G3120" t="str">
            <v>Januari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5336931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7160921</v>
          </cell>
          <cell r="AA3120">
            <v>0</v>
          </cell>
          <cell r="AB3120">
            <v>12497852</v>
          </cell>
          <cell r="AC3120">
            <v>0</v>
          </cell>
          <cell r="AD3120">
            <v>7160921</v>
          </cell>
          <cell r="AE3120">
            <v>0</v>
          </cell>
        </row>
        <row r="3121">
          <cell r="B3121">
            <v>650003</v>
          </cell>
          <cell r="C3121" t="str">
            <v>Lembur</v>
          </cell>
          <cell r="D3121" t="str">
            <v>Februari</v>
          </cell>
          <cell r="F3121">
            <v>650003</v>
          </cell>
          <cell r="G3121" t="str">
            <v>Februari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5869914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8349229</v>
          </cell>
          <cell r="AA3121">
            <v>0</v>
          </cell>
          <cell r="AB3121">
            <v>14219143</v>
          </cell>
          <cell r="AC3121">
            <v>0</v>
          </cell>
          <cell r="AD3121">
            <v>8349229</v>
          </cell>
          <cell r="AE3121">
            <v>0</v>
          </cell>
        </row>
        <row r="3122">
          <cell r="B3122">
            <v>650003</v>
          </cell>
          <cell r="C3122" t="str">
            <v>Lembur</v>
          </cell>
          <cell r="D3122" t="str">
            <v>Maret</v>
          </cell>
          <cell r="F3122">
            <v>650003</v>
          </cell>
          <cell r="G3122" t="str">
            <v>Maret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5640963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8568073</v>
          </cell>
          <cell r="AA3122">
            <v>0</v>
          </cell>
          <cell r="AB3122">
            <v>14209036</v>
          </cell>
          <cell r="AC3122">
            <v>0</v>
          </cell>
          <cell r="AD3122">
            <v>8568073</v>
          </cell>
          <cell r="AE3122">
            <v>0</v>
          </cell>
        </row>
        <row r="3123">
          <cell r="B3123">
            <v>650003</v>
          </cell>
          <cell r="C3123" t="str">
            <v>Lembur</v>
          </cell>
          <cell r="D3123" t="str">
            <v>April</v>
          </cell>
          <cell r="F3123">
            <v>650003</v>
          </cell>
          <cell r="G3123" t="str">
            <v>April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5967176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8228439</v>
          </cell>
          <cell r="AA3123">
            <v>0</v>
          </cell>
          <cell r="AB3123">
            <v>14195615</v>
          </cell>
          <cell r="AC3123">
            <v>0</v>
          </cell>
          <cell r="AD3123">
            <v>8228439</v>
          </cell>
          <cell r="AE3123">
            <v>0</v>
          </cell>
        </row>
        <row r="3124">
          <cell r="B3124">
            <v>650003</v>
          </cell>
          <cell r="C3124" t="str">
            <v>Lembur</v>
          </cell>
          <cell r="D3124" t="str">
            <v>Mei</v>
          </cell>
          <cell r="F3124">
            <v>650003</v>
          </cell>
          <cell r="G3124" t="str">
            <v>Mei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5594905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8480354</v>
          </cell>
          <cell r="AA3124">
            <v>0</v>
          </cell>
          <cell r="AB3124">
            <v>14075259</v>
          </cell>
          <cell r="AC3124">
            <v>0</v>
          </cell>
          <cell r="AD3124">
            <v>8480354</v>
          </cell>
          <cell r="AE3124">
            <v>0</v>
          </cell>
        </row>
        <row r="3125">
          <cell r="B3125">
            <v>650003</v>
          </cell>
          <cell r="C3125" t="str">
            <v>Lembur</v>
          </cell>
          <cell r="D3125" t="str">
            <v>Juni</v>
          </cell>
          <cell r="F3125">
            <v>650003</v>
          </cell>
          <cell r="G3125" t="str">
            <v>Juni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5940102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7278827</v>
          </cell>
          <cell r="AA3125">
            <v>0</v>
          </cell>
          <cell r="AB3125">
            <v>13218929</v>
          </cell>
          <cell r="AC3125">
            <v>0</v>
          </cell>
          <cell r="AD3125">
            <v>7278827</v>
          </cell>
          <cell r="AE3125">
            <v>0</v>
          </cell>
        </row>
        <row r="3126">
          <cell r="B3126">
            <v>650003</v>
          </cell>
          <cell r="C3126" t="str">
            <v>Lembur</v>
          </cell>
          <cell r="D3126" t="str">
            <v>Juli</v>
          </cell>
          <cell r="F3126">
            <v>650003</v>
          </cell>
          <cell r="G3126" t="str">
            <v>Juli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5555788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7303759</v>
          </cell>
          <cell r="AA3126">
            <v>0</v>
          </cell>
          <cell r="AB3126">
            <v>12859547</v>
          </cell>
          <cell r="AC3126">
            <v>0</v>
          </cell>
          <cell r="AD3126">
            <v>7303759</v>
          </cell>
          <cell r="AE3126">
            <v>0</v>
          </cell>
        </row>
        <row r="3127">
          <cell r="B3127">
            <v>650003</v>
          </cell>
          <cell r="C3127" t="str">
            <v>Lembur</v>
          </cell>
          <cell r="D3127" t="str">
            <v>Agustus</v>
          </cell>
          <cell r="F3127">
            <v>650003</v>
          </cell>
          <cell r="G3127" t="str">
            <v>Agustus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4806087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6193368</v>
          </cell>
          <cell r="AA3127">
            <v>0</v>
          </cell>
          <cell r="AB3127">
            <v>10999455</v>
          </cell>
          <cell r="AC3127">
            <v>0</v>
          </cell>
          <cell r="AD3127">
            <v>6193368</v>
          </cell>
          <cell r="AE3127">
            <v>0</v>
          </cell>
        </row>
        <row r="3128">
          <cell r="B3128">
            <v>650003</v>
          </cell>
          <cell r="C3128" t="str">
            <v>Lembur</v>
          </cell>
          <cell r="D3128" t="str">
            <v>September</v>
          </cell>
          <cell r="F3128">
            <v>650003</v>
          </cell>
          <cell r="G3128" t="str">
            <v>September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6216222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7971132</v>
          </cell>
          <cell r="AA3128">
            <v>0</v>
          </cell>
          <cell r="AB3128">
            <v>14187354</v>
          </cell>
          <cell r="AC3128">
            <v>0</v>
          </cell>
          <cell r="AD3128">
            <v>7971132</v>
          </cell>
          <cell r="AE3128">
            <v>0</v>
          </cell>
        </row>
        <row r="3129">
          <cell r="B3129">
            <v>650003</v>
          </cell>
          <cell r="C3129" t="str">
            <v>Lembur</v>
          </cell>
          <cell r="D3129" t="str">
            <v>Oktober</v>
          </cell>
          <cell r="F3129">
            <v>650003</v>
          </cell>
          <cell r="G3129" t="str">
            <v>Oktober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5672956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7760818</v>
          </cell>
          <cell r="AA3129">
            <v>0</v>
          </cell>
          <cell r="AB3129">
            <v>13433774</v>
          </cell>
          <cell r="AC3129">
            <v>0</v>
          </cell>
          <cell r="AD3129">
            <v>7760818</v>
          </cell>
          <cell r="AE3129">
            <v>0</v>
          </cell>
        </row>
        <row r="3130">
          <cell r="B3130">
            <v>650003</v>
          </cell>
          <cell r="C3130" t="str">
            <v>Lembur</v>
          </cell>
          <cell r="D3130" t="str">
            <v>November</v>
          </cell>
          <cell r="F3130">
            <v>650003</v>
          </cell>
          <cell r="G3130" t="str">
            <v>November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5722203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2691280</v>
          </cell>
          <cell r="AA3130">
            <v>0</v>
          </cell>
          <cell r="AB3130">
            <v>8413483</v>
          </cell>
          <cell r="AC3130">
            <v>0</v>
          </cell>
          <cell r="AD3130">
            <v>2691280</v>
          </cell>
          <cell r="AE3130">
            <v>0</v>
          </cell>
        </row>
        <row r="3131">
          <cell r="B3131">
            <v>650003</v>
          </cell>
          <cell r="C3131" t="str">
            <v>Lembur</v>
          </cell>
          <cell r="D3131" t="str">
            <v>Desember</v>
          </cell>
          <cell r="F3131">
            <v>650003</v>
          </cell>
          <cell r="G3131" t="str">
            <v>Desember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5754883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8116037</v>
          </cell>
          <cell r="AA3131">
            <v>0</v>
          </cell>
          <cell r="AB3131">
            <v>13870920</v>
          </cell>
          <cell r="AC3131">
            <v>0</v>
          </cell>
          <cell r="AD3131">
            <v>8116037</v>
          </cell>
          <cell r="AE3131">
            <v>0</v>
          </cell>
        </row>
        <row r="3132">
          <cell r="B3132">
            <v>650039</v>
          </cell>
          <cell r="C3132" t="str">
            <v>Bonus Karyawan</v>
          </cell>
          <cell r="E3132">
            <v>650.03899999999999</v>
          </cell>
          <cell r="F3132">
            <v>650044</v>
          </cell>
          <cell r="G3132" t="str">
            <v>Bonus Karyawan</v>
          </cell>
          <cell r="H3132">
            <v>5625000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71301000</v>
          </cell>
          <cell r="AA3132">
            <v>0</v>
          </cell>
          <cell r="AB3132">
            <v>76926000</v>
          </cell>
          <cell r="AC3132">
            <v>0</v>
          </cell>
          <cell r="AD3132">
            <v>71301000</v>
          </cell>
          <cell r="AE3132">
            <v>0</v>
          </cell>
        </row>
        <row r="3133">
          <cell r="B3133">
            <v>650039</v>
          </cell>
          <cell r="C3133" t="str">
            <v>Bonus Karyawan</v>
          </cell>
          <cell r="D3133" t="str">
            <v>Januari</v>
          </cell>
          <cell r="F3133">
            <v>650039</v>
          </cell>
          <cell r="G3133" t="str">
            <v>Januari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479000</v>
          </cell>
          <cell r="AA3133">
            <v>0</v>
          </cell>
          <cell r="AB3133">
            <v>479000</v>
          </cell>
          <cell r="AC3133">
            <v>0</v>
          </cell>
          <cell r="AD3133">
            <v>479000</v>
          </cell>
          <cell r="AE3133">
            <v>0</v>
          </cell>
        </row>
        <row r="3134">
          <cell r="B3134">
            <v>650039</v>
          </cell>
          <cell r="C3134" t="str">
            <v>Bonus Karyawan</v>
          </cell>
          <cell r="D3134" t="str">
            <v>Februari</v>
          </cell>
          <cell r="F3134">
            <v>650039</v>
          </cell>
          <cell r="G3134" t="str">
            <v>Februari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</row>
        <row r="3135">
          <cell r="B3135">
            <v>650039</v>
          </cell>
          <cell r="C3135" t="str">
            <v>Bonus Karyawan</v>
          </cell>
          <cell r="D3135" t="str">
            <v>Maret</v>
          </cell>
          <cell r="F3135">
            <v>650039</v>
          </cell>
          <cell r="G3135" t="str">
            <v>Maret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</row>
        <row r="3136">
          <cell r="B3136">
            <v>650039</v>
          </cell>
          <cell r="C3136" t="str">
            <v>Bonus Karyawan</v>
          </cell>
          <cell r="D3136" t="str">
            <v>April</v>
          </cell>
          <cell r="F3136">
            <v>650039</v>
          </cell>
          <cell r="G3136" t="str">
            <v>April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</row>
        <row r="3137">
          <cell r="B3137">
            <v>650039</v>
          </cell>
          <cell r="C3137" t="str">
            <v>Bonus Karyawan</v>
          </cell>
          <cell r="D3137" t="str">
            <v>Mei</v>
          </cell>
          <cell r="F3137">
            <v>650039</v>
          </cell>
          <cell r="G3137" t="str">
            <v>Mei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</row>
        <row r="3138">
          <cell r="B3138">
            <v>650039</v>
          </cell>
          <cell r="C3138" t="str">
            <v>Bonus Karyawan</v>
          </cell>
          <cell r="D3138" t="str">
            <v>Juni</v>
          </cell>
          <cell r="F3138">
            <v>650039</v>
          </cell>
          <cell r="G3138" t="str">
            <v>Juni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</row>
        <row r="3139">
          <cell r="B3139">
            <v>650039</v>
          </cell>
          <cell r="C3139" t="str">
            <v>Bonus Karyawan</v>
          </cell>
          <cell r="D3139" t="str">
            <v>Juli</v>
          </cell>
          <cell r="F3139">
            <v>650039</v>
          </cell>
          <cell r="G3139" t="str">
            <v>Juli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70822000</v>
          </cell>
          <cell r="AA3139">
            <v>0</v>
          </cell>
          <cell r="AB3139">
            <v>70822000</v>
          </cell>
          <cell r="AC3139">
            <v>0</v>
          </cell>
          <cell r="AD3139">
            <v>70822000</v>
          </cell>
          <cell r="AE3139">
            <v>0</v>
          </cell>
        </row>
        <row r="3140">
          <cell r="B3140">
            <v>650039</v>
          </cell>
          <cell r="C3140" t="str">
            <v>Bonus Karyawan</v>
          </cell>
          <cell r="D3140" t="str">
            <v>Agustus</v>
          </cell>
          <cell r="F3140">
            <v>650039</v>
          </cell>
          <cell r="G3140" t="str">
            <v>Agustus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</row>
        <row r="3141">
          <cell r="B3141">
            <v>650039</v>
          </cell>
          <cell r="C3141" t="str">
            <v>Bonus Karyawan</v>
          </cell>
          <cell r="D3141" t="str">
            <v>September</v>
          </cell>
          <cell r="F3141">
            <v>650039</v>
          </cell>
          <cell r="G3141" t="str">
            <v>September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</row>
        <row r="3142">
          <cell r="B3142">
            <v>650039</v>
          </cell>
          <cell r="C3142" t="str">
            <v>Bonus Karyawan</v>
          </cell>
          <cell r="D3142" t="str">
            <v>Oktober</v>
          </cell>
          <cell r="F3142">
            <v>650039</v>
          </cell>
          <cell r="G3142" t="str">
            <v>Oktober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</row>
        <row r="3143">
          <cell r="B3143">
            <v>650039</v>
          </cell>
          <cell r="C3143" t="str">
            <v>Bonus Karyawan</v>
          </cell>
          <cell r="D3143" t="str">
            <v>November</v>
          </cell>
          <cell r="F3143">
            <v>650039</v>
          </cell>
          <cell r="G3143" t="str">
            <v>November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0</v>
          </cell>
          <cell r="V3143">
            <v>0</v>
          </cell>
          <cell r="W3143">
            <v>0</v>
          </cell>
          <cell r="X3143">
            <v>0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</row>
        <row r="3144">
          <cell r="B3144">
            <v>650039</v>
          </cell>
          <cell r="C3144" t="str">
            <v>Bonus Karyawan</v>
          </cell>
          <cell r="D3144" t="str">
            <v>Desember</v>
          </cell>
          <cell r="F3144">
            <v>650039</v>
          </cell>
          <cell r="G3144" t="str">
            <v>Desember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</row>
        <row r="3145">
          <cell r="B3145">
            <v>650004</v>
          </cell>
          <cell r="C3145" t="str">
            <v>THR</v>
          </cell>
          <cell r="E3145">
            <v>650.00400000000002</v>
          </cell>
          <cell r="F3145">
            <v>650004</v>
          </cell>
          <cell r="G3145" t="str">
            <v>THR</v>
          </cell>
          <cell r="H3145">
            <v>44787500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44787500</v>
          </cell>
          <cell r="AC3145">
            <v>0</v>
          </cell>
          <cell r="AD3145">
            <v>0</v>
          </cell>
          <cell r="AE3145">
            <v>0</v>
          </cell>
        </row>
        <row r="3146">
          <cell r="B3146">
            <v>650004</v>
          </cell>
          <cell r="C3146" t="str">
            <v>THR</v>
          </cell>
          <cell r="D3146" t="str">
            <v>Januari</v>
          </cell>
          <cell r="F3146">
            <v>650004</v>
          </cell>
          <cell r="G3146" t="str">
            <v>Januari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</row>
        <row r="3147">
          <cell r="B3147">
            <v>650004</v>
          </cell>
          <cell r="C3147" t="str">
            <v>THR</v>
          </cell>
          <cell r="D3147" t="str">
            <v>Februari</v>
          </cell>
          <cell r="F3147">
            <v>650004</v>
          </cell>
          <cell r="G3147" t="str">
            <v>Februari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</row>
        <row r="3148">
          <cell r="B3148">
            <v>650004</v>
          </cell>
          <cell r="C3148" t="str">
            <v>THR</v>
          </cell>
          <cell r="D3148" t="str">
            <v>Maret</v>
          </cell>
          <cell r="F3148">
            <v>650004</v>
          </cell>
          <cell r="G3148" t="str">
            <v>Maret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</row>
        <row r="3149">
          <cell r="B3149">
            <v>650004</v>
          </cell>
          <cell r="C3149" t="str">
            <v>THR</v>
          </cell>
          <cell r="D3149" t="str">
            <v>April</v>
          </cell>
          <cell r="F3149">
            <v>650004</v>
          </cell>
          <cell r="G3149" t="str">
            <v>April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</row>
        <row r="3150">
          <cell r="B3150">
            <v>650004</v>
          </cell>
          <cell r="C3150" t="str">
            <v>THR</v>
          </cell>
          <cell r="D3150" t="str">
            <v>Mei</v>
          </cell>
          <cell r="F3150">
            <v>650004</v>
          </cell>
          <cell r="G3150" t="str">
            <v>Mei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</row>
        <row r="3151">
          <cell r="B3151">
            <v>650004</v>
          </cell>
          <cell r="C3151" t="str">
            <v>THR</v>
          </cell>
          <cell r="D3151" t="str">
            <v>Juni</v>
          </cell>
          <cell r="F3151">
            <v>650004</v>
          </cell>
          <cell r="G3151" t="str">
            <v>Juni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</row>
        <row r="3152">
          <cell r="B3152">
            <v>650004</v>
          </cell>
          <cell r="C3152" t="str">
            <v>THR</v>
          </cell>
          <cell r="D3152" t="str">
            <v>Juli</v>
          </cell>
          <cell r="F3152">
            <v>650004</v>
          </cell>
          <cell r="G3152" t="str">
            <v>Juli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</row>
        <row r="3153">
          <cell r="B3153">
            <v>650004</v>
          </cell>
          <cell r="C3153" t="str">
            <v>THR</v>
          </cell>
          <cell r="D3153" t="str">
            <v>Agustus</v>
          </cell>
          <cell r="F3153">
            <v>650004</v>
          </cell>
          <cell r="G3153" t="str">
            <v>Agustus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</row>
        <row r="3154">
          <cell r="B3154">
            <v>650004</v>
          </cell>
          <cell r="C3154" t="str">
            <v>THR</v>
          </cell>
          <cell r="D3154" t="str">
            <v>September</v>
          </cell>
          <cell r="F3154">
            <v>650004</v>
          </cell>
          <cell r="G3154" t="str">
            <v>September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</row>
        <row r="3155">
          <cell r="B3155">
            <v>650004</v>
          </cell>
          <cell r="C3155" t="str">
            <v>THR</v>
          </cell>
          <cell r="D3155" t="str">
            <v>Oktober</v>
          </cell>
          <cell r="F3155">
            <v>650004</v>
          </cell>
          <cell r="G3155" t="str">
            <v>Oktober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</row>
        <row r="3156">
          <cell r="B3156">
            <v>650004</v>
          </cell>
          <cell r="C3156" t="str">
            <v>THR</v>
          </cell>
          <cell r="D3156" t="str">
            <v>November</v>
          </cell>
          <cell r="F3156">
            <v>650004</v>
          </cell>
          <cell r="G3156" t="str">
            <v>November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</row>
        <row r="3157">
          <cell r="B3157" t="str">
            <v/>
          </cell>
          <cell r="C3157" t="str">
            <v>THR</v>
          </cell>
          <cell r="D3157" t="str">
            <v>Desember</v>
          </cell>
          <cell r="F3157" t="str">
            <v/>
          </cell>
          <cell r="G3157" t="str">
            <v>Desember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</row>
        <row r="3158">
          <cell r="B3158">
            <v>650005</v>
          </cell>
          <cell r="C3158" t="str">
            <v>Jamsostek</v>
          </cell>
          <cell r="E3158">
            <v>650.005</v>
          </cell>
          <cell r="F3158">
            <v>650005</v>
          </cell>
          <cell r="G3158" t="str">
            <v>Jamsostek</v>
          </cell>
          <cell r="H3158">
            <v>67952897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67952897</v>
          </cell>
          <cell r="AC3158">
            <v>0</v>
          </cell>
          <cell r="AD3158">
            <v>0</v>
          </cell>
          <cell r="AE3158">
            <v>0</v>
          </cell>
        </row>
        <row r="3159">
          <cell r="B3159">
            <v>650005</v>
          </cell>
          <cell r="C3159" t="str">
            <v>Jamsostek</v>
          </cell>
          <cell r="D3159" t="str">
            <v>Januari</v>
          </cell>
          <cell r="F3159">
            <v>650005</v>
          </cell>
          <cell r="G3159" t="str">
            <v>Januari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</row>
        <row r="3160">
          <cell r="B3160">
            <v>650005</v>
          </cell>
          <cell r="C3160" t="str">
            <v>Jamsostek</v>
          </cell>
          <cell r="D3160" t="str">
            <v>Februari</v>
          </cell>
          <cell r="F3160">
            <v>650005</v>
          </cell>
          <cell r="G3160" t="str">
            <v>Februari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</row>
        <row r="3161">
          <cell r="B3161">
            <v>650005</v>
          </cell>
          <cell r="C3161" t="str">
            <v>Jamsostek</v>
          </cell>
          <cell r="D3161" t="str">
            <v>Maret</v>
          </cell>
          <cell r="F3161">
            <v>650005</v>
          </cell>
          <cell r="G3161" t="str">
            <v>Maret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</row>
        <row r="3162">
          <cell r="B3162">
            <v>650005</v>
          </cell>
          <cell r="C3162" t="str">
            <v>Jamsostek</v>
          </cell>
          <cell r="D3162" t="str">
            <v>April</v>
          </cell>
          <cell r="F3162">
            <v>650005</v>
          </cell>
          <cell r="G3162" t="str">
            <v>April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</row>
        <row r="3163">
          <cell r="B3163">
            <v>650005</v>
          </cell>
          <cell r="C3163" t="str">
            <v>Jamsostek</v>
          </cell>
          <cell r="D3163" t="str">
            <v>Mei</v>
          </cell>
          <cell r="F3163">
            <v>650005</v>
          </cell>
          <cell r="G3163" t="str">
            <v>Mei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</row>
        <row r="3164">
          <cell r="B3164">
            <v>650005</v>
          </cell>
          <cell r="C3164" t="str">
            <v>Jamsostek</v>
          </cell>
          <cell r="D3164" t="str">
            <v>Juni</v>
          </cell>
          <cell r="F3164">
            <v>650005</v>
          </cell>
          <cell r="G3164" t="str">
            <v>Juni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</row>
        <row r="3165">
          <cell r="B3165">
            <v>650005</v>
          </cell>
          <cell r="C3165" t="str">
            <v>Jamsostek</v>
          </cell>
          <cell r="D3165" t="str">
            <v>Juli</v>
          </cell>
          <cell r="F3165">
            <v>650005</v>
          </cell>
          <cell r="G3165" t="str">
            <v>Juli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</row>
        <row r="3166">
          <cell r="B3166">
            <v>650005</v>
          </cell>
          <cell r="C3166" t="str">
            <v>Jamsostek</v>
          </cell>
          <cell r="D3166" t="str">
            <v>Agustus</v>
          </cell>
          <cell r="F3166">
            <v>650005</v>
          </cell>
          <cell r="G3166" t="str">
            <v>Agustus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</row>
        <row r="3167">
          <cell r="B3167">
            <v>650005</v>
          </cell>
          <cell r="C3167" t="str">
            <v>Jamsostek</v>
          </cell>
          <cell r="D3167" t="str">
            <v>September</v>
          </cell>
          <cell r="F3167">
            <v>650005</v>
          </cell>
          <cell r="G3167" t="str">
            <v>September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</row>
        <row r="3168">
          <cell r="B3168">
            <v>650005</v>
          </cell>
          <cell r="C3168" t="str">
            <v>Jamsostek</v>
          </cell>
          <cell r="D3168" t="str">
            <v>Oktober</v>
          </cell>
          <cell r="F3168">
            <v>650005</v>
          </cell>
          <cell r="G3168" t="str">
            <v>Oktober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</row>
        <row r="3169">
          <cell r="B3169">
            <v>650005</v>
          </cell>
          <cell r="C3169" t="str">
            <v>Jamsostek</v>
          </cell>
          <cell r="D3169" t="str">
            <v>November</v>
          </cell>
          <cell r="F3169">
            <v>650005</v>
          </cell>
          <cell r="G3169" t="str">
            <v>November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</row>
        <row r="3170">
          <cell r="B3170">
            <v>650005</v>
          </cell>
          <cell r="C3170" t="str">
            <v>Jamsostek</v>
          </cell>
          <cell r="D3170" t="str">
            <v>Desember</v>
          </cell>
          <cell r="F3170">
            <v>650005</v>
          </cell>
          <cell r="G3170" t="str">
            <v>Desember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</row>
        <row r="3171">
          <cell r="B3171">
            <v>650006</v>
          </cell>
          <cell r="C3171" t="str">
            <v>PPh 21</v>
          </cell>
          <cell r="E3171">
            <v>650.00599999999997</v>
          </cell>
          <cell r="F3171">
            <v>650006</v>
          </cell>
          <cell r="G3171" t="str">
            <v>PPh 21</v>
          </cell>
          <cell r="H3171">
            <v>12055149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12055149</v>
          </cell>
          <cell r="AC3171">
            <v>0</v>
          </cell>
          <cell r="AD3171">
            <v>0</v>
          </cell>
          <cell r="AE3171">
            <v>0</v>
          </cell>
        </row>
        <row r="3172">
          <cell r="B3172">
            <v>650006</v>
          </cell>
          <cell r="C3172" t="str">
            <v>PPh 21</v>
          </cell>
          <cell r="D3172" t="str">
            <v>Januari</v>
          </cell>
          <cell r="F3172">
            <v>650006</v>
          </cell>
          <cell r="G3172" t="str">
            <v>Januari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</row>
        <row r="3173">
          <cell r="B3173">
            <v>650006</v>
          </cell>
          <cell r="C3173" t="str">
            <v>PPh 21</v>
          </cell>
          <cell r="D3173" t="str">
            <v>Februari</v>
          </cell>
          <cell r="F3173">
            <v>650006</v>
          </cell>
          <cell r="G3173" t="str">
            <v>Februari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</row>
        <row r="3174">
          <cell r="B3174">
            <v>650006</v>
          </cell>
          <cell r="C3174" t="str">
            <v>PPh 21</v>
          </cell>
          <cell r="D3174" t="str">
            <v>Maret</v>
          </cell>
          <cell r="F3174">
            <v>650006</v>
          </cell>
          <cell r="G3174" t="str">
            <v>Maret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</row>
        <row r="3175">
          <cell r="B3175">
            <v>650006</v>
          </cell>
          <cell r="C3175" t="str">
            <v>PPh 21</v>
          </cell>
          <cell r="D3175" t="str">
            <v>April</v>
          </cell>
          <cell r="F3175">
            <v>650006</v>
          </cell>
          <cell r="G3175" t="str">
            <v>April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</row>
        <row r="3176">
          <cell r="B3176">
            <v>650006</v>
          </cell>
          <cell r="C3176" t="str">
            <v>PPh 21</v>
          </cell>
          <cell r="D3176" t="str">
            <v>Mei</v>
          </cell>
          <cell r="F3176">
            <v>650006</v>
          </cell>
          <cell r="G3176" t="str">
            <v>Mei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</row>
        <row r="3177">
          <cell r="B3177">
            <v>650006</v>
          </cell>
          <cell r="C3177" t="str">
            <v>PPh 21</v>
          </cell>
          <cell r="D3177" t="str">
            <v>Juni</v>
          </cell>
          <cell r="F3177">
            <v>650006</v>
          </cell>
          <cell r="G3177" t="str">
            <v>Juni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</row>
        <row r="3178">
          <cell r="B3178">
            <v>650006</v>
          </cell>
          <cell r="C3178" t="str">
            <v>PPh 21</v>
          </cell>
          <cell r="D3178" t="str">
            <v>Juli</v>
          </cell>
          <cell r="F3178">
            <v>650006</v>
          </cell>
          <cell r="G3178" t="str">
            <v>Juli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</row>
        <row r="3179">
          <cell r="B3179">
            <v>650006</v>
          </cell>
          <cell r="C3179" t="str">
            <v>PPh 21</v>
          </cell>
          <cell r="D3179" t="str">
            <v>Agustus</v>
          </cell>
          <cell r="F3179">
            <v>650006</v>
          </cell>
          <cell r="G3179" t="str">
            <v>Agustus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</row>
        <row r="3180">
          <cell r="B3180">
            <v>650006</v>
          </cell>
          <cell r="C3180" t="str">
            <v>PPh 21</v>
          </cell>
          <cell r="D3180" t="str">
            <v>September</v>
          </cell>
          <cell r="F3180">
            <v>650006</v>
          </cell>
          <cell r="G3180" t="str">
            <v>September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</row>
        <row r="3181">
          <cell r="B3181">
            <v>650006</v>
          </cell>
          <cell r="C3181" t="str">
            <v>PPh 21</v>
          </cell>
          <cell r="D3181" t="str">
            <v>Oktober</v>
          </cell>
          <cell r="F3181">
            <v>650006</v>
          </cell>
          <cell r="G3181" t="str">
            <v>Oktober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</row>
        <row r="3182">
          <cell r="B3182">
            <v>650006</v>
          </cell>
          <cell r="C3182" t="str">
            <v>PPh 21</v>
          </cell>
          <cell r="D3182" t="str">
            <v>November</v>
          </cell>
          <cell r="F3182">
            <v>650006</v>
          </cell>
          <cell r="G3182" t="str">
            <v>November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</row>
        <row r="3183">
          <cell r="B3183">
            <v>650006</v>
          </cell>
          <cell r="C3183" t="str">
            <v>PPh 21</v>
          </cell>
          <cell r="D3183" t="str">
            <v>Desember</v>
          </cell>
          <cell r="F3183">
            <v>650006</v>
          </cell>
          <cell r="G3183" t="str">
            <v>Desember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</row>
        <row r="3184">
          <cell r="B3184">
            <v>650007</v>
          </cell>
          <cell r="C3184" t="str">
            <v>Telpon</v>
          </cell>
          <cell r="E3184">
            <v>650.00699999999995</v>
          </cell>
          <cell r="F3184">
            <v>650007</v>
          </cell>
          <cell r="G3184" t="str">
            <v>Telpon</v>
          </cell>
          <cell r="H3184">
            <v>19570677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13394573</v>
          </cell>
          <cell r="AA3184">
            <v>0</v>
          </cell>
          <cell r="AB3184">
            <v>32965250</v>
          </cell>
          <cell r="AC3184">
            <v>0</v>
          </cell>
          <cell r="AD3184">
            <v>13394573</v>
          </cell>
          <cell r="AE3184">
            <v>0</v>
          </cell>
        </row>
        <row r="3185">
          <cell r="B3185">
            <v>650007</v>
          </cell>
          <cell r="C3185" t="str">
            <v>Telpon</v>
          </cell>
          <cell r="D3185" t="str">
            <v>Januari</v>
          </cell>
          <cell r="F3185">
            <v>650007</v>
          </cell>
          <cell r="G3185" t="str">
            <v>Januari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1318046</v>
          </cell>
          <cell r="AA3185">
            <v>0</v>
          </cell>
          <cell r="AB3185">
            <v>1318046</v>
          </cell>
          <cell r="AC3185">
            <v>0</v>
          </cell>
          <cell r="AD3185">
            <v>1318046</v>
          </cell>
          <cell r="AE3185">
            <v>0</v>
          </cell>
        </row>
        <row r="3186">
          <cell r="B3186">
            <v>650007</v>
          </cell>
          <cell r="C3186" t="str">
            <v>Telpon</v>
          </cell>
          <cell r="D3186" t="str">
            <v>Februari</v>
          </cell>
          <cell r="F3186">
            <v>650007</v>
          </cell>
          <cell r="G3186" t="str">
            <v>Februari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851334</v>
          </cell>
          <cell r="AA3186">
            <v>0</v>
          </cell>
          <cell r="AB3186">
            <v>851334</v>
          </cell>
          <cell r="AC3186">
            <v>0</v>
          </cell>
          <cell r="AD3186">
            <v>851334</v>
          </cell>
          <cell r="AE3186">
            <v>0</v>
          </cell>
        </row>
        <row r="3187">
          <cell r="B3187">
            <v>650007</v>
          </cell>
          <cell r="C3187" t="str">
            <v>Telpon</v>
          </cell>
          <cell r="D3187" t="str">
            <v>Maret</v>
          </cell>
          <cell r="F3187">
            <v>650007</v>
          </cell>
          <cell r="G3187" t="str">
            <v>Maret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1262873</v>
          </cell>
          <cell r="AA3187">
            <v>0</v>
          </cell>
          <cell r="AB3187">
            <v>1262873</v>
          </cell>
          <cell r="AC3187">
            <v>0</v>
          </cell>
          <cell r="AD3187">
            <v>1262873</v>
          </cell>
          <cell r="AE3187">
            <v>0</v>
          </cell>
        </row>
        <row r="3188">
          <cell r="B3188">
            <v>650007</v>
          </cell>
          <cell r="C3188" t="str">
            <v>Telpon</v>
          </cell>
          <cell r="D3188" t="str">
            <v>April</v>
          </cell>
          <cell r="F3188">
            <v>650007</v>
          </cell>
          <cell r="G3188" t="str">
            <v>April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932917</v>
          </cell>
          <cell r="AA3188">
            <v>0</v>
          </cell>
          <cell r="AB3188">
            <v>932917</v>
          </cell>
          <cell r="AC3188">
            <v>0</v>
          </cell>
          <cell r="AD3188">
            <v>932917</v>
          </cell>
          <cell r="AE3188">
            <v>0</v>
          </cell>
        </row>
        <row r="3189">
          <cell r="B3189">
            <v>650007</v>
          </cell>
          <cell r="C3189" t="str">
            <v>Telpon</v>
          </cell>
          <cell r="D3189" t="str">
            <v>Mei</v>
          </cell>
          <cell r="F3189">
            <v>650007</v>
          </cell>
          <cell r="G3189" t="str">
            <v>Mei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1404132</v>
          </cell>
          <cell r="AA3189">
            <v>0</v>
          </cell>
          <cell r="AB3189">
            <v>1404132</v>
          </cell>
          <cell r="AC3189">
            <v>0</v>
          </cell>
          <cell r="AD3189">
            <v>1404132</v>
          </cell>
          <cell r="AE3189">
            <v>0</v>
          </cell>
        </row>
        <row r="3190">
          <cell r="B3190">
            <v>650007</v>
          </cell>
          <cell r="C3190" t="str">
            <v>Telpon</v>
          </cell>
          <cell r="D3190" t="str">
            <v>Juni</v>
          </cell>
          <cell r="F3190">
            <v>650007</v>
          </cell>
          <cell r="G3190" t="str">
            <v>Juni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980697</v>
          </cell>
          <cell r="AA3190">
            <v>0</v>
          </cell>
          <cell r="AB3190">
            <v>980697</v>
          </cell>
          <cell r="AC3190">
            <v>0</v>
          </cell>
          <cell r="AD3190">
            <v>980697</v>
          </cell>
          <cell r="AE3190">
            <v>0</v>
          </cell>
        </row>
        <row r="3191">
          <cell r="B3191">
            <v>650007</v>
          </cell>
          <cell r="C3191" t="str">
            <v>Telpon</v>
          </cell>
          <cell r="D3191" t="str">
            <v>Juli</v>
          </cell>
          <cell r="F3191">
            <v>650007</v>
          </cell>
          <cell r="G3191" t="str">
            <v>Juli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972554</v>
          </cell>
          <cell r="AA3191">
            <v>0</v>
          </cell>
          <cell r="AB3191">
            <v>972554</v>
          </cell>
          <cell r="AC3191">
            <v>0</v>
          </cell>
          <cell r="AD3191">
            <v>972554</v>
          </cell>
          <cell r="AE3191">
            <v>0</v>
          </cell>
        </row>
        <row r="3192">
          <cell r="B3192">
            <v>650007</v>
          </cell>
          <cell r="C3192" t="str">
            <v>Telpon</v>
          </cell>
          <cell r="D3192" t="str">
            <v>Agustus</v>
          </cell>
          <cell r="F3192">
            <v>650007</v>
          </cell>
          <cell r="G3192" t="str">
            <v>Agustus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1451960</v>
          </cell>
          <cell r="AA3192">
            <v>0</v>
          </cell>
          <cell r="AB3192">
            <v>1451960</v>
          </cell>
          <cell r="AC3192">
            <v>0</v>
          </cell>
          <cell r="AD3192">
            <v>1451960</v>
          </cell>
          <cell r="AE3192">
            <v>0</v>
          </cell>
        </row>
        <row r="3193">
          <cell r="B3193">
            <v>650007</v>
          </cell>
          <cell r="C3193" t="str">
            <v>Telpon</v>
          </cell>
          <cell r="D3193" t="str">
            <v>September</v>
          </cell>
          <cell r="F3193">
            <v>650007</v>
          </cell>
          <cell r="G3193" t="str">
            <v>September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1330166</v>
          </cell>
          <cell r="AA3193">
            <v>0</v>
          </cell>
          <cell r="AB3193">
            <v>1330166</v>
          </cell>
          <cell r="AC3193">
            <v>0</v>
          </cell>
          <cell r="AD3193">
            <v>1330166</v>
          </cell>
          <cell r="AE3193">
            <v>0</v>
          </cell>
        </row>
        <row r="3194">
          <cell r="B3194">
            <v>650007</v>
          </cell>
          <cell r="C3194" t="str">
            <v>Telpon</v>
          </cell>
          <cell r="D3194" t="str">
            <v>Oktober</v>
          </cell>
          <cell r="F3194">
            <v>650007</v>
          </cell>
          <cell r="G3194" t="str">
            <v>Oktober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1198414</v>
          </cell>
          <cell r="AA3194">
            <v>0</v>
          </cell>
          <cell r="AB3194">
            <v>1198414</v>
          </cell>
          <cell r="AC3194">
            <v>0</v>
          </cell>
          <cell r="AD3194">
            <v>1198414</v>
          </cell>
          <cell r="AE3194">
            <v>0</v>
          </cell>
        </row>
        <row r="3195">
          <cell r="B3195">
            <v>650007</v>
          </cell>
          <cell r="C3195" t="str">
            <v>Telpon</v>
          </cell>
          <cell r="D3195" t="str">
            <v>November</v>
          </cell>
          <cell r="F3195">
            <v>650007</v>
          </cell>
          <cell r="G3195" t="str">
            <v>November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867459</v>
          </cell>
          <cell r="AA3195">
            <v>0</v>
          </cell>
          <cell r="AB3195">
            <v>867459</v>
          </cell>
          <cell r="AC3195">
            <v>0</v>
          </cell>
          <cell r="AD3195">
            <v>867459</v>
          </cell>
          <cell r="AE3195">
            <v>0</v>
          </cell>
        </row>
        <row r="3196">
          <cell r="B3196">
            <v>650007</v>
          </cell>
          <cell r="C3196" t="str">
            <v>Telpon</v>
          </cell>
          <cell r="D3196" t="str">
            <v>Desember</v>
          </cell>
          <cell r="F3196">
            <v>650007</v>
          </cell>
          <cell r="G3196" t="str">
            <v>Desember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824021</v>
          </cell>
          <cell r="AA3196">
            <v>0</v>
          </cell>
          <cell r="AB3196">
            <v>824021</v>
          </cell>
          <cell r="AC3196">
            <v>0</v>
          </cell>
          <cell r="AD3196">
            <v>824021</v>
          </cell>
          <cell r="AE3196">
            <v>0</v>
          </cell>
        </row>
        <row r="3197">
          <cell r="B3197">
            <v>650008</v>
          </cell>
          <cell r="C3197" t="str">
            <v>Listrik</v>
          </cell>
          <cell r="E3197">
            <v>650.00800000000004</v>
          </cell>
          <cell r="F3197">
            <v>650008</v>
          </cell>
          <cell r="G3197" t="str">
            <v>Listrik</v>
          </cell>
          <cell r="H3197">
            <v>87861133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144882446</v>
          </cell>
          <cell r="AA3197">
            <v>0</v>
          </cell>
          <cell r="AB3197">
            <v>232743579</v>
          </cell>
          <cell r="AC3197">
            <v>0</v>
          </cell>
          <cell r="AD3197">
            <v>144882446</v>
          </cell>
          <cell r="AE3197">
            <v>0</v>
          </cell>
        </row>
        <row r="3198">
          <cell r="B3198">
            <v>650008</v>
          </cell>
          <cell r="C3198" t="str">
            <v>Listrik</v>
          </cell>
          <cell r="D3198" t="str">
            <v>Januari</v>
          </cell>
          <cell r="F3198">
            <v>650008</v>
          </cell>
          <cell r="G3198" t="str">
            <v>Januari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10068302</v>
          </cell>
          <cell r="AA3198">
            <v>0</v>
          </cell>
          <cell r="AB3198">
            <v>10068302</v>
          </cell>
          <cell r="AC3198">
            <v>0</v>
          </cell>
          <cell r="AD3198">
            <v>10068302</v>
          </cell>
          <cell r="AE3198">
            <v>0</v>
          </cell>
        </row>
        <row r="3199">
          <cell r="B3199">
            <v>650008</v>
          </cell>
          <cell r="C3199" t="str">
            <v>Listrik</v>
          </cell>
          <cell r="D3199" t="str">
            <v>Februari</v>
          </cell>
          <cell r="F3199">
            <v>650008</v>
          </cell>
          <cell r="G3199" t="str">
            <v>Februari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9940784</v>
          </cell>
          <cell r="AA3199">
            <v>0</v>
          </cell>
          <cell r="AB3199">
            <v>9940784</v>
          </cell>
          <cell r="AC3199">
            <v>0</v>
          </cell>
          <cell r="AD3199">
            <v>9940784</v>
          </cell>
          <cell r="AE3199">
            <v>0</v>
          </cell>
        </row>
        <row r="3200">
          <cell r="B3200">
            <v>650008</v>
          </cell>
          <cell r="C3200" t="str">
            <v>Listrik</v>
          </cell>
          <cell r="D3200" t="str">
            <v>Maret</v>
          </cell>
          <cell r="F3200">
            <v>650008</v>
          </cell>
          <cell r="G3200" t="str">
            <v>Maret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10696501</v>
          </cell>
          <cell r="AA3200">
            <v>0</v>
          </cell>
          <cell r="AB3200">
            <v>10696501</v>
          </cell>
          <cell r="AC3200">
            <v>0</v>
          </cell>
          <cell r="AD3200">
            <v>10696501</v>
          </cell>
          <cell r="AE3200">
            <v>0</v>
          </cell>
        </row>
        <row r="3201">
          <cell r="B3201">
            <v>650008</v>
          </cell>
          <cell r="C3201" t="str">
            <v>Listrik</v>
          </cell>
          <cell r="D3201" t="str">
            <v>April</v>
          </cell>
          <cell r="F3201">
            <v>650008</v>
          </cell>
          <cell r="G3201" t="str">
            <v>April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9815211</v>
          </cell>
          <cell r="AA3201">
            <v>0</v>
          </cell>
          <cell r="AB3201">
            <v>9815211</v>
          </cell>
          <cell r="AC3201">
            <v>0</v>
          </cell>
          <cell r="AD3201">
            <v>9815211</v>
          </cell>
          <cell r="AE3201">
            <v>0</v>
          </cell>
        </row>
        <row r="3202">
          <cell r="B3202">
            <v>650008</v>
          </cell>
          <cell r="C3202" t="str">
            <v>Listrik</v>
          </cell>
          <cell r="D3202" t="str">
            <v>Mei</v>
          </cell>
          <cell r="F3202">
            <v>650008</v>
          </cell>
          <cell r="G3202" t="str">
            <v>Mei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13928303</v>
          </cell>
          <cell r="AA3202">
            <v>0</v>
          </cell>
          <cell r="AB3202">
            <v>13928303</v>
          </cell>
          <cell r="AC3202">
            <v>0</v>
          </cell>
          <cell r="AD3202">
            <v>13928303</v>
          </cell>
          <cell r="AE3202">
            <v>0</v>
          </cell>
        </row>
        <row r="3203">
          <cell r="B3203">
            <v>650008</v>
          </cell>
          <cell r="C3203" t="str">
            <v>Listrik</v>
          </cell>
          <cell r="D3203" t="str">
            <v>Juni</v>
          </cell>
          <cell r="F3203">
            <v>650008</v>
          </cell>
          <cell r="G3203" t="str">
            <v>Juni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12829257</v>
          </cell>
          <cell r="AA3203">
            <v>0</v>
          </cell>
          <cell r="AB3203">
            <v>12829257</v>
          </cell>
          <cell r="AC3203">
            <v>0</v>
          </cell>
          <cell r="AD3203">
            <v>12829257</v>
          </cell>
          <cell r="AE3203">
            <v>0</v>
          </cell>
        </row>
        <row r="3204">
          <cell r="B3204">
            <v>650008</v>
          </cell>
          <cell r="C3204" t="str">
            <v>Listrik</v>
          </cell>
          <cell r="D3204" t="str">
            <v>Juli</v>
          </cell>
          <cell r="F3204">
            <v>650008</v>
          </cell>
          <cell r="G3204" t="str">
            <v>Juli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12206353</v>
          </cell>
          <cell r="AA3204">
            <v>0</v>
          </cell>
          <cell r="AB3204">
            <v>12206353</v>
          </cell>
          <cell r="AC3204">
            <v>0</v>
          </cell>
          <cell r="AD3204">
            <v>12206353</v>
          </cell>
          <cell r="AE3204">
            <v>0</v>
          </cell>
        </row>
        <row r="3205">
          <cell r="B3205">
            <v>650008</v>
          </cell>
          <cell r="C3205" t="str">
            <v>Listrik</v>
          </cell>
          <cell r="D3205" t="str">
            <v>Agustus</v>
          </cell>
          <cell r="F3205">
            <v>650008</v>
          </cell>
          <cell r="G3205" t="str">
            <v>Agustus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13567241</v>
          </cell>
          <cell r="AA3205">
            <v>0</v>
          </cell>
          <cell r="AB3205">
            <v>13567241</v>
          </cell>
          <cell r="AC3205">
            <v>0</v>
          </cell>
          <cell r="AD3205">
            <v>13567241</v>
          </cell>
          <cell r="AE3205">
            <v>0</v>
          </cell>
        </row>
        <row r="3206">
          <cell r="B3206">
            <v>650008</v>
          </cell>
          <cell r="C3206" t="str">
            <v>Listrik</v>
          </cell>
          <cell r="D3206" t="str">
            <v>September</v>
          </cell>
          <cell r="F3206">
            <v>650008</v>
          </cell>
          <cell r="G3206" t="str">
            <v>September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11769688</v>
          </cell>
          <cell r="AA3206">
            <v>0</v>
          </cell>
          <cell r="AB3206">
            <v>11769688</v>
          </cell>
          <cell r="AC3206">
            <v>0</v>
          </cell>
          <cell r="AD3206">
            <v>11769688</v>
          </cell>
          <cell r="AE3206">
            <v>0</v>
          </cell>
        </row>
        <row r="3207">
          <cell r="B3207">
            <v>650008</v>
          </cell>
          <cell r="C3207" t="str">
            <v>Listrik</v>
          </cell>
          <cell r="D3207" t="str">
            <v>Oktober</v>
          </cell>
          <cell r="F3207">
            <v>650008</v>
          </cell>
          <cell r="G3207" t="str">
            <v>Oktober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14939212</v>
          </cell>
          <cell r="AA3207">
            <v>0</v>
          </cell>
          <cell r="AB3207">
            <v>14939212</v>
          </cell>
          <cell r="AC3207">
            <v>0</v>
          </cell>
          <cell r="AD3207">
            <v>14939212</v>
          </cell>
          <cell r="AE3207">
            <v>0</v>
          </cell>
        </row>
        <row r="3208">
          <cell r="B3208">
            <v>650008</v>
          </cell>
          <cell r="C3208" t="str">
            <v>Listrik</v>
          </cell>
          <cell r="D3208" t="str">
            <v>November</v>
          </cell>
          <cell r="F3208">
            <v>650008</v>
          </cell>
          <cell r="G3208" t="str">
            <v>November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13546054</v>
          </cell>
          <cell r="AA3208">
            <v>0</v>
          </cell>
          <cell r="AB3208">
            <v>13546054</v>
          </cell>
          <cell r="AC3208">
            <v>0</v>
          </cell>
          <cell r="AD3208">
            <v>13546054</v>
          </cell>
          <cell r="AE3208">
            <v>0</v>
          </cell>
        </row>
        <row r="3209">
          <cell r="B3209">
            <v>650008</v>
          </cell>
          <cell r="C3209" t="str">
            <v>Listrik</v>
          </cell>
          <cell r="D3209" t="str">
            <v>Desember</v>
          </cell>
          <cell r="F3209">
            <v>650008</v>
          </cell>
          <cell r="G3209" t="str">
            <v>Desember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11575540</v>
          </cell>
          <cell r="AA3209">
            <v>0</v>
          </cell>
          <cell r="AB3209">
            <v>11575540</v>
          </cell>
          <cell r="AC3209">
            <v>0</v>
          </cell>
          <cell r="AD3209">
            <v>11575540</v>
          </cell>
          <cell r="AE3209">
            <v>0</v>
          </cell>
        </row>
        <row r="3210">
          <cell r="B3210">
            <v>650011</v>
          </cell>
          <cell r="C3210" t="str">
            <v>ATK</v>
          </cell>
          <cell r="E3210">
            <v>650.01099999999997</v>
          </cell>
          <cell r="F3210">
            <v>650011</v>
          </cell>
          <cell r="G3210" t="str">
            <v>ATK</v>
          </cell>
          <cell r="H3210">
            <v>29789850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19638700</v>
          </cell>
          <cell r="AA3210">
            <v>0</v>
          </cell>
          <cell r="AB3210">
            <v>49428550</v>
          </cell>
          <cell r="AC3210">
            <v>0</v>
          </cell>
          <cell r="AD3210">
            <v>19638700</v>
          </cell>
          <cell r="AE3210">
            <v>0</v>
          </cell>
        </row>
        <row r="3211">
          <cell r="B3211">
            <v>650011</v>
          </cell>
          <cell r="C3211" t="str">
            <v>ATK</v>
          </cell>
          <cell r="D3211" t="str">
            <v>Januari</v>
          </cell>
          <cell r="F3211">
            <v>650011</v>
          </cell>
          <cell r="G3211" t="str">
            <v>Januari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2641200</v>
          </cell>
          <cell r="AA3211">
            <v>0</v>
          </cell>
          <cell r="AB3211">
            <v>2641200</v>
          </cell>
          <cell r="AC3211">
            <v>0</v>
          </cell>
          <cell r="AD3211">
            <v>2641200</v>
          </cell>
          <cell r="AE3211">
            <v>0</v>
          </cell>
        </row>
        <row r="3212">
          <cell r="B3212">
            <v>650011</v>
          </cell>
          <cell r="C3212" t="str">
            <v>ATK</v>
          </cell>
          <cell r="D3212" t="str">
            <v>Februari</v>
          </cell>
          <cell r="F3212">
            <v>650011</v>
          </cell>
          <cell r="G3212" t="str">
            <v>Februari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1345000</v>
          </cell>
          <cell r="AA3212">
            <v>0</v>
          </cell>
          <cell r="AB3212">
            <v>1345000</v>
          </cell>
          <cell r="AC3212">
            <v>0</v>
          </cell>
          <cell r="AD3212">
            <v>1345000</v>
          </cell>
          <cell r="AE3212">
            <v>0</v>
          </cell>
        </row>
        <row r="3213">
          <cell r="B3213">
            <v>650011</v>
          </cell>
          <cell r="C3213" t="str">
            <v>ATK</v>
          </cell>
          <cell r="D3213" t="str">
            <v>Maret</v>
          </cell>
          <cell r="F3213">
            <v>650011</v>
          </cell>
          <cell r="G3213" t="str">
            <v>Maret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1170500</v>
          </cell>
          <cell r="AA3213">
            <v>0</v>
          </cell>
          <cell r="AB3213">
            <v>1170500</v>
          </cell>
          <cell r="AC3213">
            <v>0</v>
          </cell>
          <cell r="AD3213">
            <v>1170500</v>
          </cell>
          <cell r="AE3213">
            <v>0</v>
          </cell>
        </row>
        <row r="3214">
          <cell r="B3214">
            <v>650011</v>
          </cell>
          <cell r="C3214" t="str">
            <v>ATK</v>
          </cell>
          <cell r="D3214" t="str">
            <v>April</v>
          </cell>
          <cell r="F3214">
            <v>650011</v>
          </cell>
          <cell r="G3214" t="str">
            <v>April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3212650</v>
          </cell>
          <cell r="AA3214">
            <v>0</v>
          </cell>
          <cell r="AB3214">
            <v>3212650</v>
          </cell>
          <cell r="AC3214">
            <v>0</v>
          </cell>
          <cell r="AD3214">
            <v>3212650</v>
          </cell>
          <cell r="AE3214">
            <v>0</v>
          </cell>
        </row>
        <row r="3215">
          <cell r="B3215">
            <v>650011</v>
          </cell>
          <cell r="C3215" t="str">
            <v>ATK</v>
          </cell>
          <cell r="D3215" t="str">
            <v>Mei</v>
          </cell>
          <cell r="F3215">
            <v>650011</v>
          </cell>
          <cell r="G3215" t="str">
            <v>Mei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637350</v>
          </cell>
          <cell r="AA3215">
            <v>0</v>
          </cell>
          <cell r="AB3215">
            <v>637350</v>
          </cell>
          <cell r="AC3215">
            <v>0</v>
          </cell>
          <cell r="AD3215">
            <v>637350</v>
          </cell>
          <cell r="AE3215">
            <v>0</v>
          </cell>
        </row>
        <row r="3216">
          <cell r="B3216">
            <v>650011</v>
          </cell>
          <cell r="C3216" t="str">
            <v>ATK</v>
          </cell>
          <cell r="D3216" t="str">
            <v>Juni</v>
          </cell>
          <cell r="F3216">
            <v>650011</v>
          </cell>
          <cell r="G3216" t="str">
            <v>Juni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1883500</v>
          </cell>
          <cell r="AA3216">
            <v>0</v>
          </cell>
          <cell r="AB3216">
            <v>1883500</v>
          </cell>
          <cell r="AC3216">
            <v>0</v>
          </cell>
          <cell r="AD3216">
            <v>1883500</v>
          </cell>
          <cell r="AE3216">
            <v>0</v>
          </cell>
        </row>
        <row r="3217">
          <cell r="B3217">
            <v>650011</v>
          </cell>
          <cell r="C3217" t="str">
            <v>ATK</v>
          </cell>
          <cell r="D3217" t="str">
            <v>Juli</v>
          </cell>
          <cell r="F3217">
            <v>650011</v>
          </cell>
          <cell r="G3217" t="str">
            <v>Juli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2157000</v>
          </cell>
          <cell r="AA3217">
            <v>0</v>
          </cell>
          <cell r="AB3217">
            <v>2157000</v>
          </cell>
          <cell r="AC3217">
            <v>0</v>
          </cell>
          <cell r="AD3217">
            <v>2157000</v>
          </cell>
          <cell r="AE3217">
            <v>0</v>
          </cell>
        </row>
        <row r="3218">
          <cell r="B3218">
            <v>650011</v>
          </cell>
          <cell r="C3218" t="str">
            <v>ATK</v>
          </cell>
          <cell r="D3218" t="str">
            <v>Agustus</v>
          </cell>
          <cell r="F3218">
            <v>650011</v>
          </cell>
          <cell r="G3218" t="str">
            <v>Agustus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1179500</v>
          </cell>
          <cell r="AA3218">
            <v>0</v>
          </cell>
          <cell r="AB3218">
            <v>1179500</v>
          </cell>
          <cell r="AC3218">
            <v>0</v>
          </cell>
          <cell r="AD3218">
            <v>1179500</v>
          </cell>
          <cell r="AE3218">
            <v>0</v>
          </cell>
        </row>
        <row r="3219">
          <cell r="B3219">
            <v>650011</v>
          </cell>
          <cell r="C3219" t="str">
            <v>ATK</v>
          </cell>
          <cell r="D3219" t="str">
            <v>September</v>
          </cell>
          <cell r="F3219">
            <v>650011</v>
          </cell>
          <cell r="G3219" t="str">
            <v>September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130000</v>
          </cell>
          <cell r="AA3219">
            <v>0</v>
          </cell>
          <cell r="AB3219">
            <v>130000</v>
          </cell>
          <cell r="AC3219">
            <v>0</v>
          </cell>
          <cell r="AD3219">
            <v>130000</v>
          </cell>
          <cell r="AE3219">
            <v>0</v>
          </cell>
        </row>
        <row r="3220">
          <cell r="B3220">
            <v>650011</v>
          </cell>
          <cell r="C3220" t="str">
            <v>ATK</v>
          </cell>
          <cell r="D3220" t="str">
            <v>Oktober</v>
          </cell>
          <cell r="F3220">
            <v>650011</v>
          </cell>
          <cell r="G3220" t="str">
            <v>Oktober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1089000</v>
          </cell>
          <cell r="AA3220">
            <v>0</v>
          </cell>
          <cell r="AB3220">
            <v>1089000</v>
          </cell>
          <cell r="AC3220">
            <v>0</v>
          </cell>
          <cell r="AD3220">
            <v>1089000</v>
          </cell>
          <cell r="AE3220">
            <v>0</v>
          </cell>
        </row>
        <row r="3221">
          <cell r="B3221">
            <v>650011</v>
          </cell>
          <cell r="C3221" t="str">
            <v>ATK</v>
          </cell>
          <cell r="D3221" t="str">
            <v>November</v>
          </cell>
          <cell r="F3221">
            <v>650011</v>
          </cell>
          <cell r="G3221" t="str">
            <v>November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2474500</v>
          </cell>
          <cell r="AA3221">
            <v>0</v>
          </cell>
          <cell r="AB3221">
            <v>2474500</v>
          </cell>
          <cell r="AC3221">
            <v>0</v>
          </cell>
          <cell r="AD3221">
            <v>2474500</v>
          </cell>
          <cell r="AE3221">
            <v>0</v>
          </cell>
        </row>
        <row r="3222">
          <cell r="B3222">
            <v>650011</v>
          </cell>
          <cell r="C3222" t="str">
            <v>ATK</v>
          </cell>
          <cell r="D3222" t="str">
            <v>Desember</v>
          </cell>
          <cell r="F3222">
            <v>650011</v>
          </cell>
          <cell r="G3222" t="str">
            <v>Desember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1718500</v>
          </cell>
          <cell r="AA3222">
            <v>0</v>
          </cell>
          <cell r="AB3222">
            <v>1718500</v>
          </cell>
          <cell r="AC3222">
            <v>0</v>
          </cell>
          <cell r="AD3222">
            <v>1718500</v>
          </cell>
          <cell r="AE3222">
            <v>0</v>
          </cell>
        </row>
        <row r="3223">
          <cell r="B3223">
            <v>650009</v>
          </cell>
          <cell r="C3223" t="str">
            <v>Penyusutan Peralatan</v>
          </cell>
          <cell r="E3223">
            <v>650.00900000000001</v>
          </cell>
          <cell r="F3223">
            <v>650009</v>
          </cell>
          <cell r="G3223" t="str">
            <v>Penyusutan Peralatan</v>
          </cell>
          <cell r="H3223">
            <v>11925686.790000001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11925686.790000001</v>
          </cell>
          <cell r="AC3223">
            <v>0</v>
          </cell>
          <cell r="AD3223">
            <v>0</v>
          </cell>
          <cell r="AE3223">
            <v>0</v>
          </cell>
        </row>
        <row r="3224">
          <cell r="B3224">
            <v>650009</v>
          </cell>
          <cell r="C3224" t="str">
            <v>Penyusutan Peralatan</v>
          </cell>
          <cell r="D3224" t="str">
            <v>Januari</v>
          </cell>
          <cell r="F3224">
            <v>650009</v>
          </cell>
          <cell r="G3224" t="str">
            <v>Januari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</row>
        <row r="3225">
          <cell r="B3225">
            <v>650009</v>
          </cell>
          <cell r="C3225" t="str">
            <v>Penyusutan Peralatan</v>
          </cell>
          <cell r="D3225" t="str">
            <v>Februari</v>
          </cell>
          <cell r="F3225">
            <v>650009</v>
          </cell>
          <cell r="G3225" t="str">
            <v>Februari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</row>
        <row r="3226">
          <cell r="B3226">
            <v>650009</v>
          </cell>
          <cell r="C3226" t="str">
            <v>Penyusutan Peralatan</v>
          </cell>
          <cell r="D3226" t="str">
            <v>Maret</v>
          </cell>
          <cell r="F3226">
            <v>650009</v>
          </cell>
          <cell r="G3226" t="str">
            <v>Maret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</row>
        <row r="3227">
          <cell r="B3227">
            <v>650009</v>
          </cell>
          <cell r="C3227" t="str">
            <v>Penyusutan Peralatan</v>
          </cell>
          <cell r="D3227" t="str">
            <v>April</v>
          </cell>
          <cell r="F3227">
            <v>650009</v>
          </cell>
          <cell r="G3227" t="str">
            <v>April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</row>
        <row r="3228">
          <cell r="B3228">
            <v>650009</v>
          </cell>
          <cell r="C3228" t="str">
            <v>Penyusutan Peralatan</v>
          </cell>
          <cell r="D3228" t="str">
            <v>Mei</v>
          </cell>
          <cell r="F3228">
            <v>650009</v>
          </cell>
          <cell r="G3228" t="str">
            <v>Mei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</row>
        <row r="3229">
          <cell r="B3229">
            <v>650009</v>
          </cell>
          <cell r="C3229" t="str">
            <v>Penyusutan Peralatan</v>
          </cell>
          <cell r="D3229" t="str">
            <v>Juni</v>
          </cell>
          <cell r="F3229">
            <v>650009</v>
          </cell>
          <cell r="G3229" t="str">
            <v>Juni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</row>
        <row r="3230">
          <cell r="B3230">
            <v>650009</v>
          </cell>
          <cell r="C3230" t="str">
            <v>Penyusutan Peralatan</v>
          </cell>
          <cell r="D3230" t="str">
            <v>Juli</v>
          </cell>
          <cell r="F3230">
            <v>650009</v>
          </cell>
          <cell r="G3230" t="str">
            <v>Juli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</row>
        <row r="3231">
          <cell r="B3231">
            <v>650009</v>
          </cell>
          <cell r="C3231" t="str">
            <v>Penyusutan Peralatan</v>
          </cell>
          <cell r="D3231" t="str">
            <v>Agustus</v>
          </cell>
          <cell r="F3231">
            <v>650009</v>
          </cell>
          <cell r="G3231" t="str">
            <v>Agustus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</row>
        <row r="3232">
          <cell r="B3232">
            <v>650009</v>
          </cell>
          <cell r="C3232" t="str">
            <v>Penyusutan Peralatan</v>
          </cell>
          <cell r="D3232" t="str">
            <v>September</v>
          </cell>
          <cell r="F3232">
            <v>650009</v>
          </cell>
          <cell r="G3232" t="str">
            <v>September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</row>
        <row r="3233">
          <cell r="B3233">
            <v>650009</v>
          </cell>
          <cell r="C3233" t="str">
            <v>Penyusutan Peralatan</v>
          </cell>
          <cell r="D3233" t="str">
            <v>Oktober</v>
          </cell>
          <cell r="F3233">
            <v>650009</v>
          </cell>
          <cell r="G3233" t="str">
            <v>Oktober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</row>
        <row r="3234">
          <cell r="B3234">
            <v>650009</v>
          </cell>
          <cell r="C3234" t="str">
            <v>Penyusutan Peralatan</v>
          </cell>
          <cell r="D3234" t="str">
            <v>November</v>
          </cell>
          <cell r="F3234">
            <v>650009</v>
          </cell>
          <cell r="G3234" t="str">
            <v>November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</row>
        <row r="3235">
          <cell r="B3235">
            <v>650009</v>
          </cell>
          <cell r="C3235" t="str">
            <v>Penyusutan Peralatan</v>
          </cell>
          <cell r="D3235" t="str">
            <v>Desember</v>
          </cell>
          <cell r="F3235">
            <v>650009</v>
          </cell>
          <cell r="G3235" t="str">
            <v>Desember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</row>
        <row r="3236">
          <cell r="B3236">
            <v>650010</v>
          </cell>
          <cell r="C3236" t="str">
            <v>Kantong Plastik</v>
          </cell>
          <cell r="E3236">
            <v>650.01</v>
          </cell>
          <cell r="F3236">
            <v>650010</v>
          </cell>
          <cell r="G3236" t="str">
            <v>Kantong Plastik</v>
          </cell>
          <cell r="H3236">
            <v>150000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150000</v>
          </cell>
          <cell r="AC3236">
            <v>0</v>
          </cell>
          <cell r="AD3236">
            <v>0</v>
          </cell>
          <cell r="AE3236">
            <v>0</v>
          </cell>
        </row>
        <row r="3237">
          <cell r="B3237">
            <v>650010</v>
          </cell>
          <cell r="C3237" t="str">
            <v>Kantong Plastik</v>
          </cell>
          <cell r="D3237" t="str">
            <v>Januari</v>
          </cell>
          <cell r="F3237">
            <v>650010</v>
          </cell>
          <cell r="G3237" t="str">
            <v>Januari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</row>
        <row r="3238">
          <cell r="B3238">
            <v>650010</v>
          </cell>
          <cell r="C3238" t="str">
            <v>Kantong Plastik</v>
          </cell>
          <cell r="D3238" t="str">
            <v>Februari</v>
          </cell>
          <cell r="F3238">
            <v>650010</v>
          </cell>
          <cell r="G3238" t="str">
            <v>Februari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</row>
        <row r="3239">
          <cell r="B3239">
            <v>650010</v>
          </cell>
          <cell r="C3239" t="str">
            <v>Kantong Plastik</v>
          </cell>
          <cell r="D3239" t="str">
            <v>Maret</v>
          </cell>
          <cell r="F3239">
            <v>650010</v>
          </cell>
          <cell r="G3239" t="str">
            <v>Maret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</row>
        <row r="3240">
          <cell r="B3240">
            <v>650010</v>
          </cell>
          <cell r="C3240" t="str">
            <v>Kantong Plastik</v>
          </cell>
          <cell r="D3240" t="str">
            <v>April</v>
          </cell>
          <cell r="F3240">
            <v>650010</v>
          </cell>
          <cell r="G3240" t="str">
            <v>April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</row>
        <row r="3241">
          <cell r="B3241">
            <v>650010</v>
          </cell>
          <cell r="C3241" t="str">
            <v>Kantong Plastik</v>
          </cell>
          <cell r="D3241" t="str">
            <v>Mei</v>
          </cell>
          <cell r="F3241">
            <v>650010</v>
          </cell>
          <cell r="G3241" t="str">
            <v>Mei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</row>
        <row r="3242">
          <cell r="B3242">
            <v>650010</v>
          </cell>
          <cell r="C3242" t="str">
            <v>Kantong Plastik</v>
          </cell>
          <cell r="D3242" t="str">
            <v>Juni</v>
          </cell>
          <cell r="F3242">
            <v>650010</v>
          </cell>
          <cell r="G3242" t="str">
            <v>Juni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</row>
        <row r="3243">
          <cell r="B3243">
            <v>650010</v>
          </cell>
          <cell r="C3243" t="str">
            <v>Kantong Plastik</v>
          </cell>
          <cell r="D3243" t="str">
            <v>Juli</v>
          </cell>
          <cell r="F3243">
            <v>650010</v>
          </cell>
          <cell r="G3243" t="str">
            <v>Juli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</row>
        <row r="3244">
          <cell r="B3244">
            <v>650010</v>
          </cell>
          <cell r="C3244" t="str">
            <v>Kantong Plastik</v>
          </cell>
          <cell r="D3244" t="str">
            <v>Agustus</v>
          </cell>
          <cell r="F3244">
            <v>650010</v>
          </cell>
          <cell r="G3244" t="str">
            <v>Agustus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</row>
        <row r="3245">
          <cell r="B3245">
            <v>650010</v>
          </cell>
          <cell r="C3245" t="str">
            <v>Kantong Plastik</v>
          </cell>
          <cell r="D3245" t="str">
            <v>September</v>
          </cell>
          <cell r="F3245">
            <v>650010</v>
          </cell>
          <cell r="G3245" t="str">
            <v>September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</row>
        <row r="3246">
          <cell r="B3246">
            <v>650010</v>
          </cell>
          <cell r="C3246" t="str">
            <v>Kantong Plastik</v>
          </cell>
          <cell r="D3246" t="str">
            <v>Oktober</v>
          </cell>
          <cell r="F3246">
            <v>650010</v>
          </cell>
          <cell r="G3246" t="str">
            <v>Oktober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</row>
        <row r="3247">
          <cell r="B3247">
            <v>650010</v>
          </cell>
          <cell r="C3247" t="str">
            <v>Kantong Plastik</v>
          </cell>
          <cell r="D3247" t="str">
            <v>November</v>
          </cell>
          <cell r="F3247">
            <v>650010</v>
          </cell>
          <cell r="G3247" t="str">
            <v>November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</row>
        <row r="3248">
          <cell r="B3248">
            <v>650010</v>
          </cell>
          <cell r="C3248" t="str">
            <v>Kantong Plastik</v>
          </cell>
          <cell r="D3248" t="str">
            <v>Desember</v>
          </cell>
          <cell r="F3248">
            <v>650010</v>
          </cell>
          <cell r="G3248" t="str">
            <v>Desember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</row>
        <row r="3249">
          <cell r="B3249">
            <v>650038</v>
          </cell>
          <cell r="C3249" t="str">
            <v>Perlengkapan</v>
          </cell>
          <cell r="E3249">
            <v>650.03800000000001</v>
          </cell>
          <cell r="F3249">
            <v>650038</v>
          </cell>
          <cell r="G3249" t="str">
            <v>Perlengkapan</v>
          </cell>
          <cell r="H3249">
            <v>14748500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7743000</v>
          </cell>
          <cell r="AA3249">
            <v>0</v>
          </cell>
          <cell r="AB3249">
            <v>22491500</v>
          </cell>
          <cell r="AC3249">
            <v>0</v>
          </cell>
          <cell r="AD3249">
            <v>7743000</v>
          </cell>
          <cell r="AE3249">
            <v>0</v>
          </cell>
        </row>
        <row r="3250">
          <cell r="B3250">
            <v>650038</v>
          </cell>
          <cell r="C3250" t="str">
            <v>Perlengkapan</v>
          </cell>
          <cell r="D3250" t="str">
            <v>Januari</v>
          </cell>
          <cell r="F3250">
            <v>650038</v>
          </cell>
          <cell r="G3250" t="str">
            <v>Januari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</row>
        <row r="3251">
          <cell r="B3251">
            <v>650038</v>
          </cell>
          <cell r="C3251" t="str">
            <v>Perlengkapan</v>
          </cell>
          <cell r="D3251" t="str">
            <v>Februari</v>
          </cell>
          <cell r="F3251">
            <v>650038</v>
          </cell>
          <cell r="G3251" t="str">
            <v>Februari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183000</v>
          </cell>
          <cell r="AA3251">
            <v>0</v>
          </cell>
          <cell r="AB3251">
            <v>183000</v>
          </cell>
          <cell r="AC3251">
            <v>0</v>
          </cell>
          <cell r="AD3251">
            <v>183000</v>
          </cell>
          <cell r="AE3251">
            <v>0</v>
          </cell>
        </row>
        <row r="3252">
          <cell r="B3252">
            <v>650038</v>
          </cell>
          <cell r="C3252" t="str">
            <v>Perlengkapan</v>
          </cell>
          <cell r="D3252" t="str">
            <v>Maret</v>
          </cell>
          <cell r="F3252">
            <v>650038</v>
          </cell>
          <cell r="G3252" t="str">
            <v>Maret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885500</v>
          </cell>
          <cell r="AA3252">
            <v>0</v>
          </cell>
          <cell r="AB3252">
            <v>885500</v>
          </cell>
          <cell r="AC3252">
            <v>0</v>
          </cell>
          <cell r="AD3252">
            <v>885500</v>
          </cell>
          <cell r="AE3252">
            <v>0</v>
          </cell>
        </row>
        <row r="3253">
          <cell r="B3253">
            <v>650038</v>
          </cell>
          <cell r="C3253" t="str">
            <v>Perlengkapan</v>
          </cell>
          <cell r="D3253" t="str">
            <v>April</v>
          </cell>
          <cell r="F3253">
            <v>650038</v>
          </cell>
          <cell r="G3253" t="str">
            <v>April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1265000</v>
          </cell>
          <cell r="AA3253">
            <v>0</v>
          </cell>
          <cell r="AB3253">
            <v>1265000</v>
          </cell>
          <cell r="AC3253">
            <v>0</v>
          </cell>
          <cell r="AD3253">
            <v>1265000</v>
          </cell>
          <cell r="AE3253">
            <v>0</v>
          </cell>
        </row>
        <row r="3254">
          <cell r="B3254">
            <v>650038</v>
          </cell>
          <cell r="C3254" t="str">
            <v>Perlengkapan</v>
          </cell>
          <cell r="D3254" t="str">
            <v>Mei</v>
          </cell>
          <cell r="F3254">
            <v>650038</v>
          </cell>
          <cell r="G3254" t="str">
            <v>Mei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775000</v>
          </cell>
          <cell r="AA3254">
            <v>0</v>
          </cell>
          <cell r="AB3254">
            <v>775000</v>
          </cell>
          <cell r="AC3254">
            <v>0</v>
          </cell>
          <cell r="AD3254">
            <v>775000</v>
          </cell>
          <cell r="AE3254">
            <v>0</v>
          </cell>
        </row>
        <row r="3255">
          <cell r="B3255">
            <v>650038</v>
          </cell>
          <cell r="C3255" t="str">
            <v>Perlengkapan</v>
          </cell>
          <cell r="D3255" t="str">
            <v>Juni</v>
          </cell>
          <cell r="F3255">
            <v>650038</v>
          </cell>
          <cell r="G3255" t="str">
            <v>Juni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493000</v>
          </cell>
          <cell r="AA3255">
            <v>0</v>
          </cell>
          <cell r="AB3255">
            <v>493000</v>
          </cell>
          <cell r="AC3255">
            <v>0</v>
          </cell>
          <cell r="AD3255">
            <v>493000</v>
          </cell>
          <cell r="AE3255">
            <v>0</v>
          </cell>
        </row>
        <row r="3256">
          <cell r="B3256">
            <v>650038</v>
          </cell>
          <cell r="C3256" t="str">
            <v>Perlengkapan</v>
          </cell>
          <cell r="D3256" t="str">
            <v>Juli</v>
          </cell>
          <cell r="F3256">
            <v>650038</v>
          </cell>
          <cell r="G3256" t="str">
            <v>Juli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108000</v>
          </cell>
          <cell r="AA3256">
            <v>0</v>
          </cell>
          <cell r="AB3256">
            <v>108000</v>
          </cell>
          <cell r="AC3256">
            <v>0</v>
          </cell>
          <cell r="AD3256">
            <v>108000</v>
          </cell>
          <cell r="AE3256">
            <v>0</v>
          </cell>
        </row>
        <row r="3257">
          <cell r="B3257">
            <v>650038</v>
          </cell>
          <cell r="C3257" t="str">
            <v>Perlengkapan</v>
          </cell>
          <cell r="D3257" t="str">
            <v>Agustus</v>
          </cell>
          <cell r="F3257">
            <v>650038</v>
          </cell>
          <cell r="G3257" t="str">
            <v>Agustus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955250</v>
          </cell>
          <cell r="AA3257">
            <v>0</v>
          </cell>
          <cell r="AB3257">
            <v>955250</v>
          </cell>
          <cell r="AC3257">
            <v>0</v>
          </cell>
          <cell r="AD3257">
            <v>955250</v>
          </cell>
          <cell r="AE3257">
            <v>0</v>
          </cell>
        </row>
        <row r="3258">
          <cell r="B3258">
            <v>650038</v>
          </cell>
          <cell r="C3258" t="str">
            <v>Perlengkapan</v>
          </cell>
          <cell r="D3258" t="str">
            <v>September</v>
          </cell>
          <cell r="F3258">
            <v>650038</v>
          </cell>
          <cell r="G3258" t="str">
            <v>September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283500</v>
          </cell>
          <cell r="AA3258">
            <v>0</v>
          </cell>
          <cell r="AB3258">
            <v>283500</v>
          </cell>
          <cell r="AC3258">
            <v>0</v>
          </cell>
          <cell r="AD3258">
            <v>283500</v>
          </cell>
          <cell r="AE3258">
            <v>0</v>
          </cell>
        </row>
        <row r="3259">
          <cell r="B3259">
            <v>650038</v>
          </cell>
          <cell r="C3259" t="str">
            <v>Perlengkapan</v>
          </cell>
          <cell r="D3259" t="str">
            <v>Oktober</v>
          </cell>
          <cell r="F3259">
            <v>650038</v>
          </cell>
          <cell r="G3259" t="str">
            <v>Oktober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1110000</v>
          </cell>
          <cell r="AA3259">
            <v>0</v>
          </cell>
          <cell r="AB3259">
            <v>1110000</v>
          </cell>
          <cell r="AC3259">
            <v>0</v>
          </cell>
          <cell r="AD3259">
            <v>1110000</v>
          </cell>
          <cell r="AE3259">
            <v>0</v>
          </cell>
        </row>
        <row r="3260">
          <cell r="B3260">
            <v>650038</v>
          </cell>
          <cell r="C3260" t="str">
            <v>Perlengkapan</v>
          </cell>
          <cell r="D3260" t="str">
            <v>November</v>
          </cell>
          <cell r="F3260">
            <v>650038</v>
          </cell>
          <cell r="G3260" t="str">
            <v>November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791250</v>
          </cell>
          <cell r="AA3260">
            <v>0</v>
          </cell>
          <cell r="AB3260">
            <v>791250</v>
          </cell>
          <cell r="AC3260">
            <v>0</v>
          </cell>
          <cell r="AD3260">
            <v>791250</v>
          </cell>
          <cell r="AE3260">
            <v>0</v>
          </cell>
        </row>
        <row r="3261">
          <cell r="B3261">
            <v>650038</v>
          </cell>
          <cell r="C3261" t="str">
            <v>Perlengkapan</v>
          </cell>
          <cell r="D3261" t="str">
            <v>Desember</v>
          </cell>
          <cell r="F3261">
            <v>650038</v>
          </cell>
          <cell r="G3261" t="str">
            <v>Desember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893500</v>
          </cell>
          <cell r="AA3261">
            <v>0</v>
          </cell>
          <cell r="AB3261">
            <v>893500</v>
          </cell>
          <cell r="AC3261">
            <v>0</v>
          </cell>
          <cell r="AD3261">
            <v>893500</v>
          </cell>
          <cell r="AE3261">
            <v>0</v>
          </cell>
        </row>
        <row r="3262">
          <cell r="B3262">
            <v>650023</v>
          </cell>
          <cell r="C3262" t="str">
            <v>Perizinan</v>
          </cell>
          <cell r="E3262">
            <v>650.02300000000002</v>
          </cell>
          <cell r="F3262">
            <v>650023</v>
          </cell>
          <cell r="G3262" t="str">
            <v>Perizinan</v>
          </cell>
          <cell r="H3262">
            <v>5456000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470000</v>
          </cell>
          <cell r="AA3262">
            <v>0</v>
          </cell>
          <cell r="AB3262">
            <v>5926000</v>
          </cell>
          <cell r="AC3262">
            <v>0</v>
          </cell>
          <cell r="AD3262">
            <v>470000</v>
          </cell>
          <cell r="AE3262">
            <v>0</v>
          </cell>
        </row>
        <row r="3263">
          <cell r="B3263">
            <v>650023</v>
          </cell>
          <cell r="C3263" t="str">
            <v>Perizinan</v>
          </cell>
          <cell r="D3263" t="str">
            <v>Januari</v>
          </cell>
          <cell r="F3263">
            <v>650023</v>
          </cell>
          <cell r="G3263" t="str">
            <v>Januari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</row>
        <row r="3264">
          <cell r="B3264">
            <v>650023</v>
          </cell>
          <cell r="C3264" t="str">
            <v>Perizinan</v>
          </cell>
          <cell r="D3264" t="str">
            <v>Februari</v>
          </cell>
          <cell r="F3264">
            <v>650023</v>
          </cell>
          <cell r="G3264" t="str">
            <v>Februari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</row>
        <row r="3265">
          <cell r="B3265">
            <v>650023</v>
          </cell>
          <cell r="C3265" t="str">
            <v>Perizinan</v>
          </cell>
          <cell r="D3265" t="str">
            <v>Maret</v>
          </cell>
          <cell r="F3265">
            <v>650023</v>
          </cell>
          <cell r="G3265" t="str">
            <v>Maret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</row>
        <row r="3266">
          <cell r="B3266">
            <v>650023</v>
          </cell>
          <cell r="C3266" t="str">
            <v>Perizinan</v>
          </cell>
          <cell r="D3266" t="str">
            <v>April</v>
          </cell>
          <cell r="F3266">
            <v>650023</v>
          </cell>
          <cell r="G3266" t="str">
            <v>April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</row>
        <row r="3267">
          <cell r="B3267">
            <v>650023</v>
          </cell>
          <cell r="C3267" t="str">
            <v>Perizinan</v>
          </cell>
          <cell r="D3267" t="str">
            <v>Mei</v>
          </cell>
          <cell r="F3267">
            <v>650023</v>
          </cell>
          <cell r="G3267" t="str">
            <v>Mei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300000</v>
          </cell>
          <cell r="AA3267">
            <v>0</v>
          </cell>
          <cell r="AB3267">
            <v>300000</v>
          </cell>
          <cell r="AC3267">
            <v>0</v>
          </cell>
          <cell r="AD3267">
            <v>300000</v>
          </cell>
          <cell r="AE3267">
            <v>0</v>
          </cell>
        </row>
        <row r="3268">
          <cell r="B3268">
            <v>650023</v>
          </cell>
          <cell r="C3268" t="str">
            <v>Perizinan</v>
          </cell>
          <cell r="D3268" t="str">
            <v>Juni</v>
          </cell>
          <cell r="F3268">
            <v>650023</v>
          </cell>
          <cell r="G3268" t="str">
            <v>Juni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</row>
        <row r="3269">
          <cell r="B3269">
            <v>650023</v>
          </cell>
          <cell r="C3269" t="str">
            <v>Perizinan</v>
          </cell>
          <cell r="D3269" t="str">
            <v>Juli</v>
          </cell>
          <cell r="F3269">
            <v>650023</v>
          </cell>
          <cell r="G3269" t="str">
            <v>Juli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</row>
        <row r="3270">
          <cell r="B3270">
            <v>650023</v>
          </cell>
          <cell r="C3270" t="str">
            <v>Perizinan</v>
          </cell>
          <cell r="D3270" t="str">
            <v>Agustus</v>
          </cell>
          <cell r="F3270">
            <v>650023</v>
          </cell>
          <cell r="G3270" t="str">
            <v>Agustus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</row>
        <row r="3271">
          <cell r="B3271">
            <v>650023</v>
          </cell>
          <cell r="C3271" t="str">
            <v>Perizinan</v>
          </cell>
          <cell r="D3271" t="str">
            <v>September</v>
          </cell>
          <cell r="F3271">
            <v>650023</v>
          </cell>
          <cell r="G3271" t="str">
            <v>September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</row>
        <row r="3272">
          <cell r="B3272">
            <v>650023</v>
          </cell>
          <cell r="C3272" t="str">
            <v>Perizinan</v>
          </cell>
          <cell r="D3272" t="str">
            <v>Oktober</v>
          </cell>
          <cell r="F3272">
            <v>650023</v>
          </cell>
          <cell r="G3272" t="str">
            <v>Oktober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170000</v>
          </cell>
          <cell r="AA3272">
            <v>0</v>
          </cell>
          <cell r="AB3272">
            <v>170000</v>
          </cell>
          <cell r="AC3272">
            <v>0</v>
          </cell>
          <cell r="AD3272">
            <v>170000</v>
          </cell>
          <cell r="AE3272">
            <v>0</v>
          </cell>
        </row>
        <row r="3273">
          <cell r="B3273">
            <v>650023</v>
          </cell>
          <cell r="C3273" t="str">
            <v>Perizinan</v>
          </cell>
          <cell r="D3273" t="str">
            <v>November</v>
          </cell>
          <cell r="F3273">
            <v>650023</v>
          </cell>
          <cell r="G3273" t="str">
            <v>November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</row>
        <row r="3274">
          <cell r="B3274">
            <v>650023</v>
          </cell>
          <cell r="C3274" t="str">
            <v>Perizinan</v>
          </cell>
          <cell r="D3274" t="str">
            <v>Desember</v>
          </cell>
          <cell r="F3274">
            <v>650023</v>
          </cell>
          <cell r="G3274" t="str">
            <v>Desember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</row>
        <row r="3275">
          <cell r="B3275">
            <v>650024</v>
          </cell>
          <cell r="C3275" t="str">
            <v>Kebersihan &amp; Keamanan</v>
          </cell>
          <cell r="E3275">
            <v>650.024</v>
          </cell>
          <cell r="F3275">
            <v>650024</v>
          </cell>
          <cell r="G3275" t="str">
            <v>Kebersihan &amp; Keamanan</v>
          </cell>
          <cell r="H3275">
            <v>3106000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5932900</v>
          </cell>
          <cell r="AA3275">
            <v>0</v>
          </cell>
          <cell r="AB3275">
            <v>9038900</v>
          </cell>
          <cell r="AC3275">
            <v>0</v>
          </cell>
          <cell r="AD3275">
            <v>5932900</v>
          </cell>
          <cell r="AE3275">
            <v>0</v>
          </cell>
        </row>
        <row r="3276">
          <cell r="B3276">
            <v>650024</v>
          </cell>
          <cell r="C3276" t="str">
            <v>Kebersihan &amp; Keamanan</v>
          </cell>
          <cell r="D3276" t="str">
            <v>Januari</v>
          </cell>
          <cell r="F3276">
            <v>650024</v>
          </cell>
          <cell r="G3276" t="str">
            <v>Januari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354200</v>
          </cell>
          <cell r="AA3276">
            <v>0</v>
          </cell>
          <cell r="AB3276">
            <v>354200</v>
          </cell>
          <cell r="AC3276">
            <v>0</v>
          </cell>
          <cell r="AD3276">
            <v>354200</v>
          </cell>
          <cell r="AE3276">
            <v>0</v>
          </cell>
        </row>
        <row r="3277">
          <cell r="B3277">
            <v>650024</v>
          </cell>
          <cell r="C3277" t="str">
            <v>Kebersihan &amp; Keamanan</v>
          </cell>
          <cell r="D3277" t="str">
            <v>Februari</v>
          </cell>
          <cell r="F3277">
            <v>650024</v>
          </cell>
          <cell r="G3277" t="str">
            <v>Februari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250000</v>
          </cell>
          <cell r="AA3277">
            <v>0</v>
          </cell>
          <cell r="AB3277">
            <v>250000</v>
          </cell>
          <cell r="AC3277">
            <v>0</v>
          </cell>
          <cell r="AD3277">
            <v>250000</v>
          </cell>
          <cell r="AE3277">
            <v>0</v>
          </cell>
        </row>
        <row r="3278">
          <cell r="B3278">
            <v>650024</v>
          </cell>
          <cell r="C3278" t="str">
            <v>Kebersihan &amp; Keamanan</v>
          </cell>
          <cell r="D3278" t="str">
            <v>Maret</v>
          </cell>
          <cell r="F3278">
            <v>650024</v>
          </cell>
          <cell r="G3278" t="str">
            <v>Maret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267500</v>
          </cell>
          <cell r="AA3278">
            <v>0</v>
          </cell>
          <cell r="AB3278">
            <v>267500</v>
          </cell>
          <cell r="AC3278">
            <v>0</v>
          </cell>
          <cell r="AD3278">
            <v>267500</v>
          </cell>
          <cell r="AE3278">
            <v>0</v>
          </cell>
        </row>
        <row r="3279">
          <cell r="B3279">
            <v>650024</v>
          </cell>
          <cell r="C3279" t="str">
            <v>Kebersihan &amp; Keamanan</v>
          </cell>
          <cell r="D3279" t="str">
            <v>April</v>
          </cell>
          <cell r="F3279">
            <v>650024</v>
          </cell>
          <cell r="G3279" t="str">
            <v>April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</row>
        <row r="3280">
          <cell r="B3280">
            <v>650024</v>
          </cell>
          <cell r="C3280" t="str">
            <v>Kebersihan &amp; Keamanan</v>
          </cell>
          <cell r="D3280" t="str">
            <v>Mei</v>
          </cell>
          <cell r="F3280">
            <v>650024</v>
          </cell>
          <cell r="G3280" t="str">
            <v>Mei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500000</v>
          </cell>
          <cell r="AA3280">
            <v>0</v>
          </cell>
          <cell r="AB3280">
            <v>500000</v>
          </cell>
          <cell r="AC3280">
            <v>0</v>
          </cell>
          <cell r="AD3280">
            <v>500000</v>
          </cell>
          <cell r="AE3280">
            <v>0</v>
          </cell>
        </row>
        <row r="3281">
          <cell r="B3281">
            <v>650024</v>
          </cell>
          <cell r="C3281" t="str">
            <v>Kebersihan &amp; Keamanan</v>
          </cell>
          <cell r="D3281" t="str">
            <v>Juni</v>
          </cell>
          <cell r="F3281">
            <v>650024</v>
          </cell>
          <cell r="G3281" t="str">
            <v>Juni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681200</v>
          </cell>
          <cell r="AA3281">
            <v>0</v>
          </cell>
          <cell r="AB3281">
            <v>681200</v>
          </cell>
          <cell r="AC3281">
            <v>0</v>
          </cell>
          <cell r="AD3281">
            <v>681200</v>
          </cell>
          <cell r="AE3281">
            <v>0</v>
          </cell>
        </row>
        <row r="3282">
          <cell r="B3282">
            <v>650024</v>
          </cell>
          <cell r="C3282" t="str">
            <v>Kebersihan &amp; Keamanan</v>
          </cell>
          <cell r="D3282" t="str">
            <v>Juli</v>
          </cell>
          <cell r="F3282">
            <v>650024</v>
          </cell>
          <cell r="G3282" t="str">
            <v>Juli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560000</v>
          </cell>
          <cell r="AA3282">
            <v>0</v>
          </cell>
          <cell r="AB3282">
            <v>560000</v>
          </cell>
          <cell r="AC3282">
            <v>0</v>
          </cell>
          <cell r="AD3282">
            <v>560000</v>
          </cell>
          <cell r="AE3282">
            <v>0</v>
          </cell>
        </row>
        <row r="3283">
          <cell r="B3283">
            <v>650024</v>
          </cell>
          <cell r="C3283" t="str">
            <v>Kebersihan &amp; Keamanan</v>
          </cell>
          <cell r="D3283" t="str">
            <v>Agustus</v>
          </cell>
          <cell r="F3283">
            <v>650024</v>
          </cell>
          <cell r="G3283" t="str">
            <v>Agustus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250000</v>
          </cell>
          <cell r="AA3283">
            <v>0</v>
          </cell>
          <cell r="AB3283">
            <v>250000</v>
          </cell>
          <cell r="AC3283">
            <v>0</v>
          </cell>
          <cell r="AD3283">
            <v>250000</v>
          </cell>
          <cell r="AE3283">
            <v>0</v>
          </cell>
        </row>
        <row r="3284">
          <cell r="B3284">
            <v>650024</v>
          </cell>
          <cell r="C3284" t="str">
            <v>Kebersihan &amp; Keamanan</v>
          </cell>
          <cell r="D3284" t="str">
            <v>September</v>
          </cell>
          <cell r="F3284">
            <v>650024</v>
          </cell>
          <cell r="G3284" t="str">
            <v>September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</row>
        <row r="3285">
          <cell r="B3285">
            <v>650024</v>
          </cell>
          <cell r="C3285" t="str">
            <v>Kebersihan &amp; Keamanan</v>
          </cell>
          <cell r="D3285" t="str">
            <v>Oktober</v>
          </cell>
          <cell r="F3285">
            <v>650024</v>
          </cell>
          <cell r="G3285" t="str">
            <v>Oktober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2570000</v>
          </cell>
          <cell r="AA3285">
            <v>0</v>
          </cell>
          <cell r="AB3285">
            <v>2570000</v>
          </cell>
          <cell r="AC3285">
            <v>0</v>
          </cell>
          <cell r="AD3285">
            <v>2570000</v>
          </cell>
          <cell r="AE3285">
            <v>0</v>
          </cell>
        </row>
        <row r="3286">
          <cell r="B3286">
            <v>650024</v>
          </cell>
          <cell r="C3286" t="str">
            <v>Kebersihan &amp; Keamanan</v>
          </cell>
          <cell r="D3286" t="str">
            <v>November</v>
          </cell>
          <cell r="F3286">
            <v>650024</v>
          </cell>
          <cell r="G3286" t="str">
            <v>November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250000</v>
          </cell>
          <cell r="AA3286">
            <v>0</v>
          </cell>
          <cell r="AB3286">
            <v>250000</v>
          </cell>
          <cell r="AC3286">
            <v>0</v>
          </cell>
          <cell r="AD3286">
            <v>250000</v>
          </cell>
          <cell r="AE3286">
            <v>0</v>
          </cell>
        </row>
        <row r="3287">
          <cell r="B3287">
            <v>650024</v>
          </cell>
          <cell r="C3287" t="str">
            <v>Kebersihan &amp; Keamanan</v>
          </cell>
          <cell r="D3287" t="str">
            <v>Desember</v>
          </cell>
          <cell r="F3287">
            <v>650024</v>
          </cell>
          <cell r="G3287" t="str">
            <v>Desember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250000</v>
          </cell>
          <cell r="AA3287">
            <v>0</v>
          </cell>
          <cell r="AB3287">
            <v>250000</v>
          </cell>
          <cell r="AC3287">
            <v>0</v>
          </cell>
          <cell r="AD3287">
            <v>250000</v>
          </cell>
          <cell r="AE3287">
            <v>0</v>
          </cell>
        </row>
        <row r="3288">
          <cell r="B3288">
            <v>650012</v>
          </cell>
          <cell r="C3288" t="str">
            <v>Dinas Luar</v>
          </cell>
          <cell r="E3288">
            <v>650.01199999999994</v>
          </cell>
          <cell r="F3288">
            <v>650012</v>
          </cell>
          <cell r="G3288" t="str">
            <v>Dinas Luar</v>
          </cell>
          <cell r="H3288">
            <v>6452700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13334400</v>
          </cell>
          <cell r="AA3288">
            <v>0</v>
          </cell>
          <cell r="AB3288">
            <v>19787100</v>
          </cell>
          <cell r="AC3288">
            <v>0</v>
          </cell>
          <cell r="AD3288">
            <v>13334400</v>
          </cell>
          <cell r="AE3288">
            <v>0</v>
          </cell>
        </row>
        <row r="3289">
          <cell r="B3289">
            <v>650012</v>
          </cell>
          <cell r="C3289" t="str">
            <v>Dinas Luar</v>
          </cell>
          <cell r="D3289" t="str">
            <v>Januari</v>
          </cell>
          <cell r="F3289">
            <v>650012</v>
          </cell>
          <cell r="G3289" t="str">
            <v>Januari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400000</v>
          </cell>
          <cell r="AA3289">
            <v>0</v>
          </cell>
          <cell r="AB3289">
            <v>400000</v>
          </cell>
          <cell r="AC3289">
            <v>0</v>
          </cell>
          <cell r="AD3289">
            <v>400000</v>
          </cell>
          <cell r="AE3289">
            <v>0</v>
          </cell>
        </row>
        <row r="3290">
          <cell r="B3290">
            <v>650012</v>
          </cell>
          <cell r="C3290" t="str">
            <v>Dinas Luar</v>
          </cell>
          <cell r="D3290" t="str">
            <v>Februari</v>
          </cell>
          <cell r="F3290">
            <v>650012</v>
          </cell>
          <cell r="G3290" t="str">
            <v>Februari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600000</v>
          </cell>
          <cell r="AA3290">
            <v>0</v>
          </cell>
          <cell r="AB3290">
            <v>600000</v>
          </cell>
          <cell r="AC3290">
            <v>0</v>
          </cell>
          <cell r="AD3290">
            <v>600000</v>
          </cell>
          <cell r="AE3290">
            <v>0</v>
          </cell>
        </row>
        <row r="3291">
          <cell r="B3291">
            <v>650012</v>
          </cell>
          <cell r="C3291" t="str">
            <v>Dinas Luar</v>
          </cell>
          <cell r="D3291" t="str">
            <v>Maret</v>
          </cell>
          <cell r="F3291">
            <v>650012</v>
          </cell>
          <cell r="G3291" t="str">
            <v>Maret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5148000</v>
          </cell>
          <cell r="AA3291">
            <v>0</v>
          </cell>
          <cell r="AB3291">
            <v>5148000</v>
          </cell>
          <cell r="AC3291">
            <v>0</v>
          </cell>
          <cell r="AD3291">
            <v>5148000</v>
          </cell>
          <cell r="AE3291">
            <v>0</v>
          </cell>
        </row>
        <row r="3292">
          <cell r="B3292">
            <v>650012</v>
          </cell>
          <cell r="C3292" t="str">
            <v>Dinas Luar</v>
          </cell>
          <cell r="D3292" t="str">
            <v>April</v>
          </cell>
          <cell r="F3292">
            <v>650012</v>
          </cell>
          <cell r="G3292" t="str">
            <v>April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800000</v>
          </cell>
          <cell r="AA3292">
            <v>0</v>
          </cell>
          <cell r="AB3292">
            <v>800000</v>
          </cell>
          <cell r="AC3292">
            <v>0</v>
          </cell>
          <cell r="AD3292">
            <v>800000</v>
          </cell>
          <cell r="AE3292">
            <v>0</v>
          </cell>
        </row>
        <row r="3293">
          <cell r="B3293">
            <v>650012</v>
          </cell>
          <cell r="C3293" t="str">
            <v>Dinas Luar</v>
          </cell>
          <cell r="D3293" t="str">
            <v>Mei</v>
          </cell>
          <cell r="F3293">
            <v>650012</v>
          </cell>
          <cell r="G3293" t="str">
            <v>Mei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</row>
        <row r="3294">
          <cell r="B3294">
            <v>650012</v>
          </cell>
          <cell r="C3294" t="str">
            <v>Dinas Luar</v>
          </cell>
          <cell r="D3294" t="str">
            <v>Juni</v>
          </cell>
          <cell r="F3294">
            <v>650012</v>
          </cell>
          <cell r="G3294" t="str">
            <v>Juni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550000</v>
          </cell>
          <cell r="AA3294">
            <v>0</v>
          </cell>
          <cell r="AB3294">
            <v>550000</v>
          </cell>
          <cell r="AC3294">
            <v>0</v>
          </cell>
          <cell r="AD3294">
            <v>550000</v>
          </cell>
          <cell r="AE3294">
            <v>0</v>
          </cell>
        </row>
        <row r="3295">
          <cell r="B3295">
            <v>650012</v>
          </cell>
          <cell r="C3295" t="str">
            <v>Dinas Luar</v>
          </cell>
          <cell r="D3295" t="str">
            <v>Juli</v>
          </cell>
          <cell r="F3295">
            <v>650012</v>
          </cell>
          <cell r="G3295" t="str">
            <v>Juli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</row>
        <row r="3296">
          <cell r="B3296">
            <v>650012</v>
          </cell>
          <cell r="C3296" t="str">
            <v>Dinas Luar</v>
          </cell>
          <cell r="D3296" t="str">
            <v>Agustus</v>
          </cell>
          <cell r="F3296">
            <v>650012</v>
          </cell>
          <cell r="G3296" t="str">
            <v>Agustus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500000</v>
          </cell>
          <cell r="AA3296">
            <v>0</v>
          </cell>
          <cell r="AB3296">
            <v>500000</v>
          </cell>
          <cell r="AC3296">
            <v>0</v>
          </cell>
          <cell r="AD3296">
            <v>500000</v>
          </cell>
          <cell r="AE3296">
            <v>0</v>
          </cell>
        </row>
        <row r="3297">
          <cell r="B3297">
            <v>650012</v>
          </cell>
          <cell r="C3297" t="str">
            <v>Dinas Luar</v>
          </cell>
          <cell r="D3297" t="str">
            <v>September</v>
          </cell>
          <cell r="F3297">
            <v>650012</v>
          </cell>
          <cell r="G3297" t="str">
            <v>September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450000</v>
          </cell>
          <cell r="AA3297">
            <v>0</v>
          </cell>
          <cell r="AB3297">
            <v>450000</v>
          </cell>
          <cell r="AC3297">
            <v>0</v>
          </cell>
          <cell r="AD3297">
            <v>450000</v>
          </cell>
          <cell r="AE3297">
            <v>0</v>
          </cell>
        </row>
        <row r="3298">
          <cell r="B3298">
            <v>650012</v>
          </cell>
          <cell r="C3298" t="str">
            <v>Dinas Luar</v>
          </cell>
          <cell r="D3298" t="str">
            <v>Oktober</v>
          </cell>
          <cell r="F3298">
            <v>650012</v>
          </cell>
          <cell r="G3298" t="str">
            <v>Oktober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400000</v>
          </cell>
          <cell r="AA3298">
            <v>0</v>
          </cell>
          <cell r="AB3298">
            <v>400000</v>
          </cell>
          <cell r="AC3298">
            <v>0</v>
          </cell>
          <cell r="AD3298">
            <v>400000</v>
          </cell>
          <cell r="AE3298">
            <v>0</v>
          </cell>
        </row>
        <row r="3299">
          <cell r="B3299">
            <v>650012</v>
          </cell>
          <cell r="C3299" t="str">
            <v>Dinas Luar</v>
          </cell>
          <cell r="D3299" t="str">
            <v>November</v>
          </cell>
          <cell r="F3299">
            <v>650012</v>
          </cell>
          <cell r="G3299" t="str">
            <v>November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400000</v>
          </cell>
          <cell r="AA3299">
            <v>0</v>
          </cell>
          <cell r="AB3299">
            <v>400000</v>
          </cell>
          <cell r="AC3299">
            <v>0</v>
          </cell>
          <cell r="AD3299">
            <v>400000</v>
          </cell>
          <cell r="AE3299">
            <v>0</v>
          </cell>
        </row>
        <row r="3300">
          <cell r="B3300">
            <v>650012</v>
          </cell>
          <cell r="C3300" t="str">
            <v>Dinas Luar</v>
          </cell>
          <cell r="D3300" t="str">
            <v>Desember</v>
          </cell>
          <cell r="F3300">
            <v>650012</v>
          </cell>
          <cell r="G3300" t="str">
            <v>Desember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4086400</v>
          </cell>
          <cell r="AA3300">
            <v>0</v>
          </cell>
          <cell r="AB3300">
            <v>4086400</v>
          </cell>
          <cell r="AC3300">
            <v>0</v>
          </cell>
          <cell r="AD3300">
            <v>4086400</v>
          </cell>
          <cell r="AE3300">
            <v>0</v>
          </cell>
        </row>
        <row r="3301">
          <cell r="B3301">
            <v>650013</v>
          </cell>
          <cell r="C3301" t="str">
            <v>Jasa Pihak ke 3</v>
          </cell>
          <cell r="E3301">
            <v>650.01300000000003</v>
          </cell>
          <cell r="F3301">
            <v>650013</v>
          </cell>
          <cell r="G3301" t="str">
            <v>Jasa Pihak ke 3</v>
          </cell>
          <cell r="H3301">
            <v>3240000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490000</v>
          </cell>
          <cell r="AA3301">
            <v>0</v>
          </cell>
          <cell r="AB3301">
            <v>3730000</v>
          </cell>
          <cell r="AC3301">
            <v>0</v>
          </cell>
          <cell r="AD3301">
            <v>490000</v>
          </cell>
          <cell r="AE3301">
            <v>0</v>
          </cell>
        </row>
        <row r="3302">
          <cell r="B3302">
            <v>650013</v>
          </cell>
          <cell r="C3302" t="str">
            <v>Jasa Pihak ke 3</v>
          </cell>
          <cell r="D3302" t="str">
            <v>Januari</v>
          </cell>
          <cell r="F3302">
            <v>650013</v>
          </cell>
          <cell r="G3302" t="str">
            <v>Januari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160000</v>
          </cell>
          <cell r="AA3302">
            <v>0</v>
          </cell>
          <cell r="AB3302">
            <v>160000</v>
          </cell>
          <cell r="AC3302">
            <v>0</v>
          </cell>
          <cell r="AD3302">
            <v>160000</v>
          </cell>
          <cell r="AE3302">
            <v>0</v>
          </cell>
        </row>
        <row r="3303">
          <cell r="B3303">
            <v>650013</v>
          </cell>
          <cell r="C3303" t="str">
            <v>Jasa Pihak ke 3</v>
          </cell>
          <cell r="D3303" t="str">
            <v>Februari</v>
          </cell>
          <cell r="F3303">
            <v>650013</v>
          </cell>
          <cell r="G3303" t="str">
            <v>Februari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30000</v>
          </cell>
          <cell r="AA3303">
            <v>0</v>
          </cell>
          <cell r="AB3303">
            <v>30000</v>
          </cell>
          <cell r="AC3303">
            <v>0</v>
          </cell>
          <cell r="AD3303">
            <v>30000</v>
          </cell>
          <cell r="AE3303">
            <v>0</v>
          </cell>
        </row>
        <row r="3304">
          <cell r="B3304">
            <v>650013</v>
          </cell>
          <cell r="C3304" t="str">
            <v>Jasa Pihak ke 3</v>
          </cell>
          <cell r="D3304" t="str">
            <v>Maret</v>
          </cell>
          <cell r="F3304">
            <v>650013</v>
          </cell>
          <cell r="G3304" t="str">
            <v>Maret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300000</v>
          </cell>
          <cell r="AA3304">
            <v>0</v>
          </cell>
          <cell r="AB3304">
            <v>300000</v>
          </cell>
          <cell r="AC3304">
            <v>0</v>
          </cell>
          <cell r="AD3304">
            <v>300000</v>
          </cell>
          <cell r="AE3304">
            <v>0</v>
          </cell>
        </row>
        <row r="3305">
          <cell r="B3305">
            <v>650013</v>
          </cell>
          <cell r="C3305" t="str">
            <v>Jasa Pihak ke 3</v>
          </cell>
          <cell r="D3305" t="str">
            <v>April</v>
          </cell>
          <cell r="F3305">
            <v>650013</v>
          </cell>
          <cell r="G3305" t="str">
            <v>April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</row>
        <row r="3306">
          <cell r="B3306">
            <v>650013</v>
          </cell>
          <cell r="C3306" t="str">
            <v>Jasa Pihak ke 3</v>
          </cell>
          <cell r="D3306" t="str">
            <v>Mei</v>
          </cell>
          <cell r="F3306">
            <v>650013</v>
          </cell>
          <cell r="G3306" t="str">
            <v>Mei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</row>
        <row r="3307">
          <cell r="B3307">
            <v>650013</v>
          </cell>
          <cell r="C3307" t="str">
            <v>Jasa Pihak ke 3</v>
          </cell>
          <cell r="D3307" t="str">
            <v>Juni</v>
          </cell>
          <cell r="F3307">
            <v>650013</v>
          </cell>
          <cell r="G3307" t="str">
            <v>Juni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</row>
        <row r="3308">
          <cell r="B3308">
            <v>650013</v>
          </cell>
          <cell r="C3308" t="str">
            <v>Jasa Pihak ke 3</v>
          </cell>
          <cell r="D3308" t="str">
            <v>Juli</v>
          </cell>
          <cell r="F3308">
            <v>650013</v>
          </cell>
          <cell r="G3308" t="str">
            <v>Juli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</row>
        <row r="3309">
          <cell r="B3309">
            <v>650013</v>
          </cell>
          <cell r="C3309" t="str">
            <v>Jasa Pihak ke 3</v>
          </cell>
          <cell r="D3309" t="str">
            <v>Agustus</v>
          </cell>
          <cell r="F3309">
            <v>650013</v>
          </cell>
          <cell r="G3309" t="str">
            <v>Agustus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</row>
        <row r="3310">
          <cell r="B3310">
            <v>650013</v>
          </cell>
          <cell r="C3310" t="str">
            <v>Jasa Pihak ke 3</v>
          </cell>
          <cell r="D3310" t="str">
            <v>September</v>
          </cell>
          <cell r="F3310">
            <v>650013</v>
          </cell>
          <cell r="G3310" t="str">
            <v>September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</row>
        <row r="3311">
          <cell r="B3311">
            <v>650013</v>
          </cell>
          <cell r="C3311" t="str">
            <v>Jasa Pihak ke 3</v>
          </cell>
          <cell r="D3311" t="str">
            <v>Oktober</v>
          </cell>
          <cell r="F3311">
            <v>650013</v>
          </cell>
          <cell r="G3311" t="str">
            <v>Oktober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</row>
        <row r="3312">
          <cell r="B3312">
            <v>650013</v>
          </cell>
          <cell r="C3312" t="str">
            <v>Jasa Pihak ke 3</v>
          </cell>
          <cell r="D3312" t="str">
            <v>November</v>
          </cell>
          <cell r="F3312">
            <v>650013</v>
          </cell>
          <cell r="G3312" t="str">
            <v>November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</row>
        <row r="3313">
          <cell r="B3313">
            <v>650013</v>
          </cell>
          <cell r="C3313" t="str">
            <v>Jasa Pihak ke 3</v>
          </cell>
          <cell r="D3313" t="str">
            <v>Desember</v>
          </cell>
          <cell r="F3313">
            <v>650013</v>
          </cell>
          <cell r="G3313" t="str">
            <v>Desember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</row>
        <row r="3314">
          <cell r="B3314">
            <v>650014</v>
          </cell>
          <cell r="C3314" t="str">
            <v>BBM</v>
          </cell>
          <cell r="E3314">
            <v>650.01400000000001</v>
          </cell>
          <cell r="F3314">
            <v>650014</v>
          </cell>
          <cell r="G3314" t="str">
            <v>BBM</v>
          </cell>
          <cell r="H3314">
            <v>9525328</v>
          </cell>
          <cell r="I3314">
            <v>0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50000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11648357</v>
          </cell>
          <cell r="AA3314">
            <v>0</v>
          </cell>
          <cell r="AB3314">
            <v>21173685</v>
          </cell>
          <cell r="AC3314">
            <v>50000</v>
          </cell>
          <cell r="AD3314">
            <v>11648357</v>
          </cell>
          <cell r="AE3314">
            <v>50000</v>
          </cell>
        </row>
        <row r="3315">
          <cell r="B3315">
            <v>650014</v>
          </cell>
          <cell r="C3315" t="str">
            <v>BBM</v>
          </cell>
          <cell r="D3315" t="str">
            <v>Januari</v>
          </cell>
          <cell r="F3315">
            <v>650014</v>
          </cell>
          <cell r="G3315" t="str">
            <v>Januari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50000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1250570</v>
          </cell>
          <cell r="AA3315">
            <v>0</v>
          </cell>
          <cell r="AB3315">
            <v>1250570</v>
          </cell>
          <cell r="AC3315">
            <v>50000</v>
          </cell>
          <cell r="AD3315">
            <v>1250570</v>
          </cell>
          <cell r="AE3315">
            <v>50000</v>
          </cell>
        </row>
        <row r="3316">
          <cell r="B3316">
            <v>650014</v>
          </cell>
          <cell r="C3316" t="str">
            <v>BBM</v>
          </cell>
          <cell r="D3316" t="str">
            <v>Februari</v>
          </cell>
          <cell r="F3316">
            <v>650014</v>
          </cell>
          <cell r="G3316" t="str">
            <v>Februari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817515</v>
          </cell>
          <cell r="AA3316">
            <v>0</v>
          </cell>
          <cell r="AB3316">
            <v>817515</v>
          </cell>
          <cell r="AC3316">
            <v>0</v>
          </cell>
          <cell r="AD3316">
            <v>817515</v>
          </cell>
          <cell r="AE3316">
            <v>0</v>
          </cell>
        </row>
        <row r="3317">
          <cell r="B3317">
            <v>650014</v>
          </cell>
          <cell r="C3317" t="str">
            <v>BBM</v>
          </cell>
          <cell r="D3317" t="str">
            <v>Maret</v>
          </cell>
          <cell r="F3317">
            <v>650014</v>
          </cell>
          <cell r="G3317" t="str">
            <v>Maret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801800</v>
          </cell>
          <cell r="AA3317">
            <v>0</v>
          </cell>
          <cell r="AB3317">
            <v>801800</v>
          </cell>
          <cell r="AC3317">
            <v>0</v>
          </cell>
          <cell r="AD3317">
            <v>801800</v>
          </cell>
          <cell r="AE3317">
            <v>0</v>
          </cell>
        </row>
        <row r="3318">
          <cell r="B3318">
            <v>650014</v>
          </cell>
          <cell r="C3318" t="str">
            <v>BBM</v>
          </cell>
          <cell r="D3318" t="str">
            <v>April</v>
          </cell>
          <cell r="F3318">
            <v>650014</v>
          </cell>
          <cell r="G3318" t="str">
            <v>April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1098500</v>
          </cell>
          <cell r="AA3318">
            <v>0</v>
          </cell>
          <cell r="AB3318">
            <v>1098500</v>
          </cell>
          <cell r="AC3318">
            <v>0</v>
          </cell>
          <cell r="AD3318">
            <v>1098500</v>
          </cell>
          <cell r="AE3318">
            <v>0</v>
          </cell>
        </row>
        <row r="3319">
          <cell r="B3319">
            <v>650014</v>
          </cell>
          <cell r="C3319" t="str">
            <v>BBM</v>
          </cell>
          <cell r="D3319" t="str">
            <v>Mei</v>
          </cell>
          <cell r="F3319">
            <v>650014</v>
          </cell>
          <cell r="G3319" t="str">
            <v>Mei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791500</v>
          </cell>
          <cell r="AA3319">
            <v>0</v>
          </cell>
          <cell r="AB3319">
            <v>791500</v>
          </cell>
          <cell r="AC3319">
            <v>0</v>
          </cell>
          <cell r="AD3319">
            <v>791500</v>
          </cell>
          <cell r="AE3319">
            <v>0</v>
          </cell>
        </row>
        <row r="3320">
          <cell r="B3320">
            <v>650014</v>
          </cell>
          <cell r="C3320" t="str">
            <v>BBM</v>
          </cell>
          <cell r="D3320" t="str">
            <v>Juni</v>
          </cell>
          <cell r="F3320">
            <v>650014</v>
          </cell>
          <cell r="G3320" t="str">
            <v>Juni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780500</v>
          </cell>
          <cell r="AA3320">
            <v>0</v>
          </cell>
          <cell r="AB3320">
            <v>780500</v>
          </cell>
          <cell r="AC3320">
            <v>0</v>
          </cell>
          <cell r="AD3320">
            <v>780500</v>
          </cell>
          <cell r="AE3320">
            <v>0</v>
          </cell>
        </row>
        <row r="3321">
          <cell r="B3321">
            <v>650014</v>
          </cell>
          <cell r="C3321" t="str">
            <v>BBM</v>
          </cell>
          <cell r="D3321" t="str">
            <v>Juli</v>
          </cell>
          <cell r="F3321">
            <v>650014</v>
          </cell>
          <cell r="G3321" t="str">
            <v>Juli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802000</v>
          </cell>
          <cell r="AA3321">
            <v>0</v>
          </cell>
          <cell r="AB3321">
            <v>802000</v>
          </cell>
          <cell r="AC3321">
            <v>0</v>
          </cell>
          <cell r="AD3321">
            <v>802000</v>
          </cell>
          <cell r="AE3321">
            <v>0</v>
          </cell>
        </row>
        <row r="3322">
          <cell r="B3322">
            <v>650014</v>
          </cell>
          <cell r="C3322" t="str">
            <v>BBM</v>
          </cell>
          <cell r="D3322" t="str">
            <v>Agustus</v>
          </cell>
          <cell r="F3322">
            <v>650014</v>
          </cell>
          <cell r="G3322" t="str">
            <v>Agustus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1410500</v>
          </cell>
          <cell r="AA3322">
            <v>0</v>
          </cell>
          <cell r="AB3322">
            <v>1410500</v>
          </cell>
          <cell r="AC3322">
            <v>0</v>
          </cell>
          <cell r="AD3322">
            <v>1410500</v>
          </cell>
          <cell r="AE3322">
            <v>0</v>
          </cell>
        </row>
        <row r="3323">
          <cell r="B3323">
            <v>650014</v>
          </cell>
          <cell r="C3323" t="str">
            <v>BBM</v>
          </cell>
          <cell r="D3323" t="str">
            <v>September</v>
          </cell>
          <cell r="F3323">
            <v>650014</v>
          </cell>
          <cell r="G3323" t="str">
            <v>September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630000</v>
          </cell>
          <cell r="AA3323">
            <v>0</v>
          </cell>
          <cell r="AB3323">
            <v>630000</v>
          </cell>
          <cell r="AC3323">
            <v>0</v>
          </cell>
          <cell r="AD3323">
            <v>630000</v>
          </cell>
          <cell r="AE3323">
            <v>0</v>
          </cell>
        </row>
        <row r="3324">
          <cell r="B3324">
            <v>650014</v>
          </cell>
          <cell r="C3324" t="str">
            <v>BBM</v>
          </cell>
          <cell r="D3324" t="str">
            <v>Oktober</v>
          </cell>
          <cell r="F3324">
            <v>650014</v>
          </cell>
          <cell r="G3324" t="str">
            <v>Oktober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1083357</v>
          </cell>
          <cell r="AA3324">
            <v>0</v>
          </cell>
          <cell r="AB3324">
            <v>1083357</v>
          </cell>
          <cell r="AC3324">
            <v>0</v>
          </cell>
          <cell r="AD3324">
            <v>1083357</v>
          </cell>
          <cell r="AE3324">
            <v>0</v>
          </cell>
        </row>
        <row r="3325">
          <cell r="B3325">
            <v>650014</v>
          </cell>
          <cell r="C3325" t="str">
            <v>BBM</v>
          </cell>
          <cell r="D3325" t="str">
            <v>November</v>
          </cell>
          <cell r="F3325">
            <v>650014</v>
          </cell>
          <cell r="G3325" t="str">
            <v>November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880500</v>
          </cell>
          <cell r="AA3325">
            <v>0</v>
          </cell>
          <cell r="AB3325">
            <v>880500</v>
          </cell>
          <cell r="AC3325">
            <v>0</v>
          </cell>
          <cell r="AD3325">
            <v>880500</v>
          </cell>
          <cell r="AE3325">
            <v>0</v>
          </cell>
        </row>
        <row r="3326">
          <cell r="B3326">
            <v>650014</v>
          </cell>
          <cell r="C3326" t="str">
            <v>BBM</v>
          </cell>
          <cell r="D3326" t="str">
            <v>Desember</v>
          </cell>
          <cell r="F3326">
            <v>650014</v>
          </cell>
          <cell r="G3326" t="str">
            <v>Desember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1301615</v>
          </cell>
          <cell r="AA3326">
            <v>0</v>
          </cell>
          <cell r="AB3326">
            <v>1301615</v>
          </cell>
          <cell r="AC3326">
            <v>0</v>
          </cell>
          <cell r="AD3326">
            <v>1301615</v>
          </cell>
          <cell r="AE3326">
            <v>0</v>
          </cell>
        </row>
        <row r="3327">
          <cell r="B3327">
            <v>650015</v>
          </cell>
          <cell r="C3327" t="str">
            <v>Perawatan Peralatan &amp; Kendaraan</v>
          </cell>
          <cell r="E3327">
            <v>650.01499999999999</v>
          </cell>
          <cell r="F3327">
            <v>650015</v>
          </cell>
          <cell r="G3327" t="str">
            <v>Perawatan Peralatan &amp; Kendaraan</v>
          </cell>
          <cell r="H3327">
            <v>20517000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837000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7937000</v>
          </cell>
          <cell r="AA3327">
            <v>0</v>
          </cell>
          <cell r="AB3327">
            <v>29291000</v>
          </cell>
          <cell r="AC3327">
            <v>0</v>
          </cell>
          <cell r="AD3327">
            <v>8774000</v>
          </cell>
          <cell r="AE3327">
            <v>0</v>
          </cell>
        </row>
        <row r="3328">
          <cell r="B3328">
            <v>650015</v>
          </cell>
          <cell r="C3328" t="str">
            <v>Perawatan Peralatan &amp; Kendaraan</v>
          </cell>
          <cell r="D3328" t="str">
            <v>Januari</v>
          </cell>
          <cell r="F3328">
            <v>650015</v>
          </cell>
          <cell r="G3328" t="str">
            <v>Januari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</row>
        <row r="3329">
          <cell r="B3329">
            <v>650015</v>
          </cell>
          <cell r="C3329" t="str">
            <v>Perawatan Peralatan &amp; Kendaraan</v>
          </cell>
          <cell r="D3329" t="str">
            <v>Februari</v>
          </cell>
          <cell r="F3329">
            <v>650015</v>
          </cell>
          <cell r="G3329" t="str">
            <v>Februari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447000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70000</v>
          </cell>
          <cell r="AA3329">
            <v>0</v>
          </cell>
          <cell r="AB3329">
            <v>517000</v>
          </cell>
          <cell r="AC3329">
            <v>0</v>
          </cell>
          <cell r="AD3329">
            <v>517000</v>
          </cell>
          <cell r="AE3329">
            <v>0</v>
          </cell>
        </row>
        <row r="3330">
          <cell r="B3330">
            <v>650015</v>
          </cell>
          <cell r="C3330" t="str">
            <v>Perawatan Peralatan &amp; Kendaraan</v>
          </cell>
          <cell r="D3330" t="str">
            <v>Maret</v>
          </cell>
          <cell r="F3330">
            <v>650015</v>
          </cell>
          <cell r="G3330" t="str">
            <v>Maret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126000</v>
          </cell>
          <cell r="AA3330">
            <v>0</v>
          </cell>
          <cell r="AB3330">
            <v>126000</v>
          </cell>
          <cell r="AC3330">
            <v>0</v>
          </cell>
          <cell r="AD3330">
            <v>126000</v>
          </cell>
          <cell r="AE3330">
            <v>0</v>
          </cell>
        </row>
        <row r="3331">
          <cell r="B3331">
            <v>650015</v>
          </cell>
          <cell r="C3331" t="str">
            <v>Perawatan Peralatan &amp; Kendaraan</v>
          </cell>
          <cell r="D3331" t="str">
            <v>April</v>
          </cell>
          <cell r="F3331">
            <v>650015</v>
          </cell>
          <cell r="G3331" t="str">
            <v>April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390000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1800000</v>
          </cell>
          <cell r="AA3331">
            <v>0</v>
          </cell>
          <cell r="AB3331">
            <v>2190000</v>
          </cell>
          <cell r="AC3331">
            <v>0</v>
          </cell>
          <cell r="AD3331">
            <v>2190000</v>
          </cell>
          <cell r="AE3331">
            <v>0</v>
          </cell>
        </row>
        <row r="3332">
          <cell r="B3332">
            <v>650015</v>
          </cell>
          <cell r="C3332" t="str">
            <v>Perawatan Peralatan &amp; Kendaraan</v>
          </cell>
          <cell r="D3332" t="str">
            <v>Mei</v>
          </cell>
          <cell r="F3332">
            <v>650015</v>
          </cell>
          <cell r="G3332" t="str">
            <v>Mei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895000</v>
          </cell>
          <cell r="AA3332">
            <v>0</v>
          </cell>
          <cell r="AB3332">
            <v>895000</v>
          </cell>
          <cell r="AC3332">
            <v>0</v>
          </cell>
          <cell r="AD3332">
            <v>895000</v>
          </cell>
          <cell r="AE3332">
            <v>0</v>
          </cell>
        </row>
        <row r="3333">
          <cell r="B3333">
            <v>650015</v>
          </cell>
          <cell r="C3333" t="str">
            <v>Perawatan Peralatan &amp; Kendaraan</v>
          </cell>
          <cell r="D3333" t="str">
            <v>Juni</v>
          </cell>
          <cell r="F3333">
            <v>650015</v>
          </cell>
          <cell r="G3333" t="str">
            <v>Juni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890000</v>
          </cell>
          <cell r="AA3333">
            <v>0</v>
          </cell>
          <cell r="AB3333">
            <v>890000</v>
          </cell>
          <cell r="AC3333">
            <v>0</v>
          </cell>
          <cell r="AD3333">
            <v>890000</v>
          </cell>
          <cell r="AE3333">
            <v>0</v>
          </cell>
        </row>
        <row r="3334">
          <cell r="B3334">
            <v>650015</v>
          </cell>
          <cell r="C3334" t="str">
            <v>Perawatan Peralatan &amp; Kendaraan</v>
          </cell>
          <cell r="D3334" t="str">
            <v>Juli</v>
          </cell>
          <cell r="F3334">
            <v>650015</v>
          </cell>
          <cell r="G3334" t="str">
            <v>Juli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160000</v>
          </cell>
          <cell r="AA3334">
            <v>0</v>
          </cell>
          <cell r="AB3334">
            <v>160000</v>
          </cell>
          <cell r="AC3334">
            <v>0</v>
          </cell>
          <cell r="AD3334">
            <v>160000</v>
          </cell>
          <cell r="AE3334">
            <v>0</v>
          </cell>
        </row>
        <row r="3335">
          <cell r="B3335">
            <v>650015</v>
          </cell>
          <cell r="C3335" t="str">
            <v>Perawatan Peralatan &amp; Kendaraan</v>
          </cell>
          <cell r="D3335" t="str">
            <v>Agustus</v>
          </cell>
          <cell r="F3335">
            <v>650015</v>
          </cell>
          <cell r="G3335" t="str">
            <v>Agustus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1160000</v>
          </cell>
          <cell r="AA3335">
            <v>0</v>
          </cell>
          <cell r="AB3335">
            <v>1160000</v>
          </cell>
          <cell r="AC3335">
            <v>0</v>
          </cell>
          <cell r="AD3335">
            <v>1160000</v>
          </cell>
          <cell r="AE3335">
            <v>0</v>
          </cell>
        </row>
        <row r="3336">
          <cell r="B3336">
            <v>650015</v>
          </cell>
          <cell r="C3336" t="str">
            <v>Perawatan Peralatan &amp; Kendaraan</v>
          </cell>
          <cell r="D3336" t="str">
            <v>September</v>
          </cell>
          <cell r="F3336">
            <v>650015</v>
          </cell>
          <cell r="G3336" t="str">
            <v>September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1765000</v>
          </cell>
          <cell r="AA3336">
            <v>0</v>
          </cell>
          <cell r="AB3336">
            <v>1765000</v>
          </cell>
          <cell r="AC3336">
            <v>0</v>
          </cell>
          <cell r="AD3336">
            <v>1765000</v>
          </cell>
          <cell r="AE3336">
            <v>0</v>
          </cell>
        </row>
        <row r="3337">
          <cell r="B3337">
            <v>650015</v>
          </cell>
          <cell r="C3337" t="str">
            <v>Perawatan Peralatan &amp; Kendaraan</v>
          </cell>
          <cell r="D3337" t="str">
            <v>Oktober</v>
          </cell>
          <cell r="F3337">
            <v>650015</v>
          </cell>
          <cell r="G3337" t="str">
            <v>Oktober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355000</v>
          </cell>
          <cell r="AA3337">
            <v>0</v>
          </cell>
          <cell r="AB3337">
            <v>355000</v>
          </cell>
          <cell r="AC3337">
            <v>0</v>
          </cell>
          <cell r="AD3337">
            <v>355000</v>
          </cell>
          <cell r="AE3337">
            <v>0</v>
          </cell>
        </row>
        <row r="3338">
          <cell r="B3338">
            <v>650015</v>
          </cell>
          <cell r="C3338" t="str">
            <v>Perawatan Peralatan &amp; Kendaraan</v>
          </cell>
          <cell r="D3338" t="str">
            <v>November</v>
          </cell>
          <cell r="F3338">
            <v>650015</v>
          </cell>
          <cell r="G3338" t="str">
            <v>November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610000</v>
          </cell>
          <cell r="AA3338">
            <v>0</v>
          </cell>
          <cell r="AB3338">
            <v>610000</v>
          </cell>
          <cell r="AC3338">
            <v>0</v>
          </cell>
          <cell r="AD3338">
            <v>610000</v>
          </cell>
          <cell r="AE3338">
            <v>0</v>
          </cell>
        </row>
        <row r="3339">
          <cell r="B3339">
            <v>650015</v>
          </cell>
          <cell r="C3339" t="str">
            <v>Perawatan Peralatan &amp; Kendaraan</v>
          </cell>
          <cell r="D3339" t="str">
            <v>Desember</v>
          </cell>
          <cell r="F3339">
            <v>650015</v>
          </cell>
          <cell r="G3339" t="str">
            <v>Desember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106000</v>
          </cell>
          <cell r="AA3339">
            <v>0</v>
          </cell>
          <cell r="AB3339">
            <v>106000</v>
          </cell>
          <cell r="AC3339">
            <v>0</v>
          </cell>
          <cell r="AD3339">
            <v>106000</v>
          </cell>
          <cell r="AE3339">
            <v>0</v>
          </cell>
        </row>
        <row r="3340">
          <cell r="B3340">
            <v>650017</v>
          </cell>
          <cell r="C3340" t="str">
            <v>Upah Borongan</v>
          </cell>
          <cell r="E3340">
            <v>650.01700000000005</v>
          </cell>
          <cell r="F3340">
            <v>650017</v>
          </cell>
          <cell r="G3340" t="str">
            <v>Upah Borongan</v>
          </cell>
          <cell r="H3340">
            <v>8026250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8026250</v>
          </cell>
          <cell r="AC3340">
            <v>0</v>
          </cell>
          <cell r="AD3340">
            <v>0</v>
          </cell>
          <cell r="AE3340">
            <v>0</v>
          </cell>
        </row>
        <row r="3341">
          <cell r="B3341">
            <v>650017</v>
          </cell>
          <cell r="C3341" t="str">
            <v>Upah Borongan</v>
          </cell>
          <cell r="D3341" t="str">
            <v>Januari</v>
          </cell>
          <cell r="F3341">
            <v>650017</v>
          </cell>
          <cell r="G3341" t="str">
            <v>Januari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</row>
        <row r="3342">
          <cell r="B3342">
            <v>650017</v>
          </cell>
          <cell r="C3342" t="str">
            <v>Upah Borongan</v>
          </cell>
          <cell r="D3342" t="str">
            <v>Februari</v>
          </cell>
          <cell r="F3342">
            <v>650017</v>
          </cell>
          <cell r="G3342" t="str">
            <v>Februari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</row>
        <row r="3343">
          <cell r="B3343">
            <v>650017</v>
          </cell>
          <cell r="C3343" t="str">
            <v>Upah Borongan</v>
          </cell>
          <cell r="D3343" t="str">
            <v>Maret</v>
          </cell>
          <cell r="F3343">
            <v>650017</v>
          </cell>
          <cell r="G3343" t="str">
            <v>Maret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</row>
        <row r="3344">
          <cell r="B3344">
            <v>650017</v>
          </cell>
          <cell r="C3344" t="str">
            <v>Upah Borongan</v>
          </cell>
          <cell r="D3344" t="str">
            <v>April</v>
          </cell>
          <cell r="F3344">
            <v>650017</v>
          </cell>
          <cell r="G3344" t="str">
            <v>April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</row>
        <row r="3345">
          <cell r="B3345">
            <v>650017</v>
          </cell>
          <cell r="C3345" t="str">
            <v>Upah Borongan</v>
          </cell>
          <cell r="D3345" t="str">
            <v>Mei</v>
          </cell>
          <cell r="F3345">
            <v>650017</v>
          </cell>
          <cell r="G3345" t="str">
            <v>Mei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</row>
        <row r="3346">
          <cell r="B3346">
            <v>650017</v>
          </cell>
          <cell r="C3346" t="str">
            <v>Upah Borongan</v>
          </cell>
          <cell r="D3346" t="str">
            <v>Juni</v>
          </cell>
          <cell r="F3346">
            <v>650017</v>
          </cell>
          <cell r="G3346" t="str">
            <v>Juni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</row>
        <row r="3347">
          <cell r="B3347">
            <v>650017</v>
          </cell>
          <cell r="C3347" t="str">
            <v>Upah Borongan</v>
          </cell>
          <cell r="D3347" t="str">
            <v>Juli</v>
          </cell>
          <cell r="F3347">
            <v>650017</v>
          </cell>
          <cell r="G3347" t="str">
            <v>Juli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</row>
        <row r="3348">
          <cell r="B3348">
            <v>650017</v>
          </cell>
          <cell r="C3348" t="str">
            <v>Upah Borongan</v>
          </cell>
          <cell r="D3348" t="str">
            <v>Agustus</v>
          </cell>
          <cell r="F3348">
            <v>650017</v>
          </cell>
          <cell r="G3348" t="str">
            <v>Agustus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</row>
        <row r="3349">
          <cell r="B3349">
            <v>650017</v>
          </cell>
          <cell r="C3349" t="str">
            <v>Upah Borongan</v>
          </cell>
          <cell r="D3349" t="str">
            <v>September</v>
          </cell>
          <cell r="F3349">
            <v>650017</v>
          </cell>
          <cell r="G3349" t="str">
            <v>September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</row>
        <row r="3350">
          <cell r="B3350">
            <v>650017</v>
          </cell>
          <cell r="C3350" t="str">
            <v>Upah Borongan</v>
          </cell>
          <cell r="D3350" t="str">
            <v>Oktober</v>
          </cell>
          <cell r="F3350">
            <v>650017</v>
          </cell>
          <cell r="G3350" t="str">
            <v>Oktober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</row>
        <row r="3351">
          <cell r="B3351">
            <v>650017</v>
          </cell>
          <cell r="C3351" t="str">
            <v>Upah Borongan</v>
          </cell>
          <cell r="D3351" t="str">
            <v>November</v>
          </cell>
          <cell r="F3351">
            <v>650017</v>
          </cell>
          <cell r="G3351" t="str">
            <v>November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</row>
        <row r="3352">
          <cell r="B3352">
            <v>650017</v>
          </cell>
          <cell r="C3352" t="str">
            <v>Upah Borongan</v>
          </cell>
          <cell r="D3352" t="str">
            <v>Desember</v>
          </cell>
          <cell r="F3352">
            <v>650017</v>
          </cell>
          <cell r="G3352" t="str">
            <v>Desember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</row>
        <row r="3353">
          <cell r="B3353">
            <v>650018</v>
          </cell>
          <cell r="C3353" t="str">
            <v>Cuci Foto Kendaraan</v>
          </cell>
          <cell r="E3353">
            <v>650.01800000000003</v>
          </cell>
          <cell r="F3353">
            <v>650018</v>
          </cell>
          <cell r="G3353" t="str">
            <v>Cuci Foto Kendaraan</v>
          </cell>
          <cell r="H3353">
            <v>287000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190000</v>
          </cell>
          <cell r="AA3353">
            <v>0</v>
          </cell>
          <cell r="AB3353">
            <v>477000</v>
          </cell>
          <cell r="AC3353">
            <v>0</v>
          </cell>
          <cell r="AD3353">
            <v>190000</v>
          </cell>
          <cell r="AE3353">
            <v>0</v>
          </cell>
        </row>
        <row r="3354">
          <cell r="B3354">
            <v>650018</v>
          </cell>
          <cell r="C3354" t="str">
            <v>Cuci Foto Kendaraan</v>
          </cell>
          <cell r="D3354" t="str">
            <v>Januari</v>
          </cell>
          <cell r="F3354">
            <v>650018</v>
          </cell>
          <cell r="G3354" t="str">
            <v>Januari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</row>
        <row r="3355">
          <cell r="B3355">
            <v>650018</v>
          </cell>
          <cell r="C3355" t="str">
            <v>Cuci Foto Kendaraan</v>
          </cell>
          <cell r="D3355" t="str">
            <v>Februari</v>
          </cell>
          <cell r="F3355">
            <v>650018</v>
          </cell>
          <cell r="G3355" t="str">
            <v>Februari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0</v>
          </cell>
          <cell r="W3355">
            <v>0</v>
          </cell>
          <cell r="X3355">
            <v>0</v>
          </cell>
          <cell r="Y3355">
            <v>0</v>
          </cell>
          <cell r="Z3355">
            <v>0</v>
          </cell>
          <cell r="AA3355">
            <v>0</v>
          </cell>
          <cell r="AB3355">
            <v>0</v>
          </cell>
          <cell r="AC3355">
            <v>0</v>
          </cell>
          <cell r="AD3355">
            <v>0</v>
          </cell>
          <cell r="AE3355">
            <v>0</v>
          </cell>
        </row>
        <row r="3356">
          <cell r="B3356">
            <v>650018</v>
          </cell>
          <cell r="C3356" t="str">
            <v>Cuci Foto Kendaraan</v>
          </cell>
          <cell r="D3356" t="str">
            <v>Maret</v>
          </cell>
          <cell r="F3356">
            <v>650018</v>
          </cell>
          <cell r="G3356" t="str">
            <v>Maret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</row>
        <row r="3357">
          <cell r="B3357">
            <v>650018</v>
          </cell>
          <cell r="C3357" t="str">
            <v>Cuci Foto Kendaraan</v>
          </cell>
          <cell r="D3357" t="str">
            <v>April</v>
          </cell>
          <cell r="F3357">
            <v>650018</v>
          </cell>
          <cell r="G3357" t="str">
            <v>April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</row>
        <row r="3358">
          <cell r="B3358">
            <v>650018</v>
          </cell>
          <cell r="C3358" t="str">
            <v>Cuci Foto Kendaraan</v>
          </cell>
          <cell r="D3358" t="str">
            <v>Mei</v>
          </cell>
          <cell r="F3358">
            <v>650018</v>
          </cell>
          <cell r="G3358" t="str">
            <v>Mei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</row>
        <row r="3359">
          <cell r="B3359">
            <v>650018</v>
          </cell>
          <cell r="C3359" t="str">
            <v>Cuci Foto Kendaraan</v>
          </cell>
          <cell r="D3359" t="str">
            <v>Juni</v>
          </cell>
          <cell r="F3359">
            <v>650018</v>
          </cell>
          <cell r="G3359" t="str">
            <v>Juni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</row>
        <row r="3360">
          <cell r="B3360">
            <v>650018</v>
          </cell>
          <cell r="C3360" t="str">
            <v>Cuci Foto Kendaraan</v>
          </cell>
          <cell r="D3360" t="str">
            <v>Juli</v>
          </cell>
          <cell r="F3360">
            <v>650018</v>
          </cell>
          <cell r="G3360" t="str">
            <v>Juli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</row>
        <row r="3361">
          <cell r="B3361">
            <v>650018</v>
          </cell>
          <cell r="C3361" t="str">
            <v>Cuci Foto Kendaraan</v>
          </cell>
          <cell r="D3361" t="str">
            <v>Agustus</v>
          </cell>
          <cell r="F3361">
            <v>650018</v>
          </cell>
          <cell r="G3361" t="str">
            <v>Agustus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</row>
        <row r="3362">
          <cell r="B3362">
            <v>650018</v>
          </cell>
          <cell r="C3362" t="str">
            <v>Cuci Foto Kendaraan</v>
          </cell>
          <cell r="D3362" t="str">
            <v>September</v>
          </cell>
          <cell r="F3362">
            <v>650018</v>
          </cell>
          <cell r="G3362" t="str">
            <v>September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190000</v>
          </cell>
          <cell r="AA3362">
            <v>0</v>
          </cell>
          <cell r="AB3362">
            <v>190000</v>
          </cell>
          <cell r="AC3362">
            <v>0</v>
          </cell>
          <cell r="AD3362">
            <v>190000</v>
          </cell>
          <cell r="AE3362">
            <v>0</v>
          </cell>
        </row>
        <row r="3363">
          <cell r="B3363">
            <v>650018</v>
          </cell>
          <cell r="C3363" t="str">
            <v>Cuci Foto Kendaraan</v>
          </cell>
          <cell r="D3363" t="str">
            <v>Oktober</v>
          </cell>
          <cell r="F3363">
            <v>650018</v>
          </cell>
          <cell r="G3363" t="str">
            <v>Oktober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</row>
        <row r="3364">
          <cell r="B3364">
            <v>650018</v>
          </cell>
          <cell r="C3364" t="str">
            <v>Cuci Foto Kendaraan</v>
          </cell>
          <cell r="D3364" t="str">
            <v>November</v>
          </cell>
          <cell r="F3364">
            <v>650018</v>
          </cell>
          <cell r="G3364" t="str">
            <v>November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</row>
        <row r="3365">
          <cell r="B3365">
            <v>650018</v>
          </cell>
          <cell r="C3365" t="str">
            <v>Cuci Foto Kendaraan</v>
          </cell>
          <cell r="D3365" t="str">
            <v>Desember</v>
          </cell>
          <cell r="F3365">
            <v>650018</v>
          </cell>
          <cell r="G3365" t="str">
            <v>Desember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</row>
        <row r="3366">
          <cell r="B3366">
            <v>650019</v>
          </cell>
          <cell r="C3366" t="str">
            <v>Derek Kendaraan</v>
          </cell>
          <cell r="E3366">
            <v>650.01900000000001</v>
          </cell>
          <cell r="F3366">
            <v>650019</v>
          </cell>
          <cell r="G3366" t="str">
            <v>Derek Kendaraan</v>
          </cell>
          <cell r="H3366">
            <v>1502700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1692500</v>
          </cell>
          <cell r="AA3366">
            <v>0</v>
          </cell>
          <cell r="AB3366">
            <v>3195200</v>
          </cell>
          <cell r="AC3366">
            <v>0</v>
          </cell>
          <cell r="AD3366">
            <v>1692500</v>
          </cell>
          <cell r="AE3366">
            <v>0</v>
          </cell>
        </row>
        <row r="3367">
          <cell r="B3367">
            <v>650019</v>
          </cell>
          <cell r="C3367" t="str">
            <v>Derek Kendaraan</v>
          </cell>
          <cell r="D3367" t="str">
            <v>Januari</v>
          </cell>
          <cell r="F3367">
            <v>650019</v>
          </cell>
          <cell r="G3367" t="str">
            <v>Januari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620000</v>
          </cell>
          <cell r="AA3367">
            <v>0</v>
          </cell>
          <cell r="AB3367">
            <v>620000</v>
          </cell>
          <cell r="AC3367">
            <v>0</v>
          </cell>
          <cell r="AD3367">
            <v>620000</v>
          </cell>
          <cell r="AE3367">
            <v>0</v>
          </cell>
        </row>
        <row r="3368">
          <cell r="B3368">
            <v>650019</v>
          </cell>
          <cell r="C3368" t="str">
            <v>Derek Kendaraan</v>
          </cell>
          <cell r="D3368" t="str">
            <v>Februari</v>
          </cell>
          <cell r="F3368">
            <v>650019</v>
          </cell>
          <cell r="G3368" t="str">
            <v>Februari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</row>
        <row r="3369">
          <cell r="B3369">
            <v>650019</v>
          </cell>
          <cell r="C3369" t="str">
            <v>Derek Kendaraan</v>
          </cell>
          <cell r="D3369" t="str">
            <v>Maret</v>
          </cell>
          <cell r="F3369">
            <v>650019</v>
          </cell>
          <cell r="G3369" t="str">
            <v>Maret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</row>
        <row r="3370">
          <cell r="B3370">
            <v>650019</v>
          </cell>
          <cell r="C3370" t="str">
            <v>Derek Kendaraan</v>
          </cell>
          <cell r="D3370" t="str">
            <v>April</v>
          </cell>
          <cell r="F3370">
            <v>650019</v>
          </cell>
          <cell r="G3370" t="str">
            <v>April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</row>
        <row r="3371">
          <cell r="B3371">
            <v>650019</v>
          </cell>
          <cell r="C3371" t="str">
            <v>Derek Kendaraan</v>
          </cell>
          <cell r="D3371" t="str">
            <v>Mei</v>
          </cell>
          <cell r="F3371">
            <v>650019</v>
          </cell>
          <cell r="G3371" t="str">
            <v>Mei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</row>
        <row r="3372">
          <cell r="B3372">
            <v>650019</v>
          </cell>
          <cell r="C3372" t="str">
            <v>Derek Kendaraan</v>
          </cell>
          <cell r="D3372" t="str">
            <v>Juni</v>
          </cell>
          <cell r="F3372">
            <v>650019</v>
          </cell>
          <cell r="G3372" t="str">
            <v>Juni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</row>
        <row r="3373">
          <cell r="B3373">
            <v>650019</v>
          </cell>
          <cell r="C3373" t="str">
            <v>Derek Kendaraan</v>
          </cell>
          <cell r="D3373" t="str">
            <v>Juli</v>
          </cell>
          <cell r="F3373">
            <v>650019</v>
          </cell>
          <cell r="G3373" t="str">
            <v>Juli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</row>
        <row r="3374">
          <cell r="B3374">
            <v>650019</v>
          </cell>
          <cell r="C3374" t="str">
            <v>Derek Kendaraan</v>
          </cell>
          <cell r="D3374" t="str">
            <v>Agustus</v>
          </cell>
          <cell r="F3374">
            <v>650019</v>
          </cell>
          <cell r="G3374" t="str">
            <v>Agustus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100000</v>
          </cell>
          <cell r="AA3374">
            <v>0</v>
          </cell>
          <cell r="AB3374">
            <v>100000</v>
          </cell>
          <cell r="AC3374">
            <v>0</v>
          </cell>
          <cell r="AD3374">
            <v>100000</v>
          </cell>
          <cell r="AE3374">
            <v>0</v>
          </cell>
        </row>
        <row r="3375">
          <cell r="B3375">
            <v>650019</v>
          </cell>
          <cell r="C3375" t="str">
            <v>Derek Kendaraan</v>
          </cell>
          <cell r="D3375" t="str">
            <v>September</v>
          </cell>
          <cell r="F3375">
            <v>650019</v>
          </cell>
          <cell r="G3375" t="str">
            <v>September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247500</v>
          </cell>
          <cell r="AA3375">
            <v>0</v>
          </cell>
          <cell r="AB3375">
            <v>247500</v>
          </cell>
          <cell r="AC3375">
            <v>0</v>
          </cell>
          <cell r="AD3375">
            <v>247500</v>
          </cell>
          <cell r="AE3375">
            <v>0</v>
          </cell>
        </row>
        <row r="3376">
          <cell r="B3376">
            <v>650019</v>
          </cell>
          <cell r="C3376" t="str">
            <v>Derek Kendaraan</v>
          </cell>
          <cell r="D3376" t="str">
            <v>Oktober</v>
          </cell>
          <cell r="F3376">
            <v>650019</v>
          </cell>
          <cell r="G3376" t="str">
            <v>Oktober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100000</v>
          </cell>
          <cell r="AA3376">
            <v>0</v>
          </cell>
          <cell r="AB3376">
            <v>100000</v>
          </cell>
          <cell r="AC3376">
            <v>0</v>
          </cell>
          <cell r="AD3376">
            <v>100000</v>
          </cell>
          <cell r="AE3376">
            <v>0</v>
          </cell>
        </row>
        <row r="3377">
          <cell r="B3377">
            <v>650019</v>
          </cell>
          <cell r="C3377" t="str">
            <v>Derek Kendaraan</v>
          </cell>
          <cell r="D3377" t="str">
            <v>November</v>
          </cell>
          <cell r="F3377">
            <v>650019</v>
          </cell>
          <cell r="G3377" t="str">
            <v>November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</row>
        <row r="3378">
          <cell r="B3378">
            <v>650019</v>
          </cell>
          <cell r="C3378" t="str">
            <v>Derek Kendaraan</v>
          </cell>
          <cell r="D3378" t="str">
            <v>Desember</v>
          </cell>
          <cell r="F3378">
            <v>650019</v>
          </cell>
          <cell r="G3378" t="str">
            <v>Desember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625000</v>
          </cell>
          <cell r="AA3378">
            <v>0</v>
          </cell>
          <cell r="AB3378">
            <v>625000</v>
          </cell>
          <cell r="AC3378">
            <v>0</v>
          </cell>
          <cell r="AD3378">
            <v>625000</v>
          </cell>
          <cell r="AE3378">
            <v>0</v>
          </cell>
        </row>
        <row r="3379">
          <cell r="B3379">
            <v>650021</v>
          </cell>
          <cell r="C3379" t="str">
            <v>Entertain</v>
          </cell>
          <cell r="E3379">
            <v>650.02099999999996</v>
          </cell>
          <cell r="F3379">
            <v>650021</v>
          </cell>
          <cell r="G3379" t="str">
            <v>Entertain</v>
          </cell>
          <cell r="H3379">
            <v>7089350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12423500</v>
          </cell>
          <cell r="AA3379">
            <v>0</v>
          </cell>
          <cell r="AB3379">
            <v>19512850</v>
          </cell>
          <cell r="AC3379">
            <v>0</v>
          </cell>
          <cell r="AD3379">
            <v>12423500</v>
          </cell>
          <cell r="AE3379">
            <v>0</v>
          </cell>
        </row>
        <row r="3380">
          <cell r="B3380">
            <v>650021</v>
          </cell>
          <cell r="C3380" t="str">
            <v>Entertain</v>
          </cell>
          <cell r="D3380" t="str">
            <v>Januari</v>
          </cell>
          <cell r="F3380">
            <v>650021</v>
          </cell>
          <cell r="G3380" t="str">
            <v>Januari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869000</v>
          </cell>
          <cell r="AA3380">
            <v>0</v>
          </cell>
          <cell r="AB3380">
            <v>869000</v>
          </cell>
          <cell r="AC3380">
            <v>0</v>
          </cell>
          <cell r="AD3380">
            <v>869000</v>
          </cell>
          <cell r="AE3380">
            <v>0</v>
          </cell>
        </row>
        <row r="3381">
          <cell r="B3381">
            <v>650021</v>
          </cell>
          <cell r="C3381" t="str">
            <v>Entertain</v>
          </cell>
          <cell r="D3381" t="str">
            <v>Februari</v>
          </cell>
          <cell r="F3381">
            <v>650021</v>
          </cell>
          <cell r="G3381" t="str">
            <v>Februari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964000</v>
          </cell>
          <cell r="AA3381">
            <v>0</v>
          </cell>
          <cell r="AB3381">
            <v>964000</v>
          </cell>
          <cell r="AC3381">
            <v>0</v>
          </cell>
          <cell r="AD3381">
            <v>964000</v>
          </cell>
          <cell r="AE3381">
            <v>0</v>
          </cell>
        </row>
        <row r="3382">
          <cell r="B3382">
            <v>650021</v>
          </cell>
          <cell r="C3382" t="str">
            <v>Entertain</v>
          </cell>
          <cell r="D3382" t="str">
            <v>Maret</v>
          </cell>
          <cell r="F3382">
            <v>650021</v>
          </cell>
          <cell r="G3382" t="str">
            <v>Maret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1365000</v>
          </cell>
          <cell r="AA3382">
            <v>0</v>
          </cell>
          <cell r="AB3382">
            <v>1365000</v>
          </cell>
          <cell r="AC3382">
            <v>0</v>
          </cell>
          <cell r="AD3382">
            <v>1365000</v>
          </cell>
          <cell r="AE3382">
            <v>0</v>
          </cell>
        </row>
        <row r="3383">
          <cell r="B3383">
            <v>650021</v>
          </cell>
          <cell r="C3383" t="str">
            <v>Entertain</v>
          </cell>
          <cell r="D3383" t="str">
            <v>April</v>
          </cell>
          <cell r="F3383">
            <v>650021</v>
          </cell>
          <cell r="G3383" t="str">
            <v>April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113000</v>
          </cell>
          <cell r="AA3383">
            <v>0</v>
          </cell>
          <cell r="AB3383">
            <v>113000</v>
          </cell>
          <cell r="AC3383">
            <v>0</v>
          </cell>
          <cell r="AD3383">
            <v>113000</v>
          </cell>
          <cell r="AE3383">
            <v>0</v>
          </cell>
        </row>
        <row r="3384">
          <cell r="B3384">
            <v>650021</v>
          </cell>
          <cell r="C3384" t="str">
            <v>Entertain</v>
          </cell>
          <cell r="D3384" t="str">
            <v>Mei</v>
          </cell>
          <cell r="F3384">
            <v>650021</v>
          </cell>
          <cell r="G3384" t="str">
            <v>Mei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291000</v>
          </cell>
          <cell r="AA3384">
            <v>0</v>
          </cell>
          <cell r="AB3384">
            <v>291000</v>
          </cell>
          <cell r="AC3384">
            <v>0</v>
          </cell>
          <cell r="AD3384">
            <v>291000</v>
          </cell>
          <cell r="AE3384">
            <v>0</v>
          </cell>
        </row>
        <row r="3385">
          <cell r="B3385">
            <v>650021</v>
          </cell>
          <cell r="C3385" t="str">
            <v>Entertain</v>
          </cell>
          <cell r="D3385" t="str">
            <v>Juni</v>
          </cell>
          <cell r="F3385">
            <v>650021</v>
          </cell>
          <cell r="G3385" t="str">
            <v>Juni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192200</v>
          </cell>
          <cell r="AA3385">
            <v>0</v>
          </cell>
          <cell r="AB3385">
            <v>192200</v>
          </cell>
          <cell r="AC3385">
            <v>0</v>
          </cell>
          <cell r="AD3385">
            <v>192200</v>
          </cell>
          <cell r="AE3385">
            <v>0</v>
          </cell>
        </row>
        <row r="3386">
          <cell r="B3386">
            <v>650021</v>
          </cell>
          <cell r="C3386" t="str">
            <v>Entertain</v>
          </cell>
          <cell r="D3386" t="str">
            <v>Juli</v>
          </cell>
          <cell r="F3386">
            <v>650021</v>
          </cell>
          <cell r="G3386" t="str">
            <v>Juli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5900000</v>
          </cell>
          <cell r="AA3386">
            <v>0</v>
          </cell>
          <cell r="AB3386">
            <v>5900000</v>
          </cell>
          <cell r="AC3386">
            <v>0</v>
          </cell>
          <cell r="AD3386">
            <v>5900000</v>
          </cell>
          <cell r="AE3386">
            <v>0</v>
          </cell>
        </row>
        <row r="3387">
          <cell r="B3387">
            <v>650021</v>
          </cell>
          <cell r="C3387" t="str">
            <v>Entertain</v>
          </cell>
          <cell r="D3387" t="str">
            <v>Agustus</v>
          </cell>
          <cell r="F3387">
            <v>650021</v>
          </cell>
          <cell r="G3387" t="str">
            <v>Agustus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216000</v>
          </cell>
          <cell r="AA3387">
            <v>0</v>
          </cell>
          <cell r="AB3387">
            <v>216000</v>
          </cell>
          <cell r="AC3387">
            <v>0</v>
          </cell>
          <cell r="AD3387">
            <v>216000</v>
          </cell>
          <cell r="AE3387">
            <v>0</v>
          </cell>
        </row>
        <row r="3388">
          <cell r="B3388">
            <v>650021</v>
          </cell>
          <cell r="C3388" t="str">
            <v>Entertain</v>
          </cell>
          <cell r="D3388" t="str">
            <v>September</v>
          </cell>
          <cell r="F3388">
            <v>650021</v>
          </cell>
          <cell r="G3388" t="str">
            <v>September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190000</v>
          </cell>
          <cell r="AA3388">
            <v>0</v>
          </cell>
          <cell r="AB3388">
            <v>190000</v>
          </cell>
          <cell r="AC3388">
            <v>0</v>
          </cell>
          <cell r="AD3388">
            <v>190000</v>
          </cell>
          <cell r="AE3388">
            <v>0</v>
          </cell>
        </row>
        <row r="3389">
          <cell r="B3389">
            <v>650021</v>
          </cell>
          <cell r="C3389" t="str">
            <v>Entertain</v>
          </cell>
          <cell r="D3389" t="str">
            <v>Oktober</v>
          </cell>
          <cell r="F3389">
            <v>650021</v>
          </cell>
          <cell r="G3389" t="str">
            <v>Oktober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458000</v>
          </cell>
          <cell r="AA3389">
            <v>0</v>
          </cell>
          <cell r="AB3389">
            <v>458000</v>
          </cell>
          <cell r="AC3389">
            <v>0</v>
          </cell>
          <cell r="AD3389">
            <v>458000</v>
          </cell>
          <cell r="AE3389">
            <v>0</v>
          </cell>
        </row>
        <row r="3390">
          <cell r="B3390">
            <v>650021</v>
          </cell>
          <cell r="C3390" t="str">
            <v>Entertain</v>
          </cell>
          <cell r="D3390" t="str">
            <v>November</v>
          </cell>
          <cell r="F3390">
            <v>650021</v>
          </cell>
          <cell r="G3390" t="str">
            <v>November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365000</v>
          </cell>
          <cell r="AA3390">
            <v>0</v>
          </cell>
          <cell r="AB3390">
            <v>365000</v>
          </cell>
          <cell r="AC3390">
            <v>0</v>
          </cell>
          <cell r="AD3390">
            <v>365000</v>
          </cell>
          <cell r="AE3390">
            <v>0</v>
          </cell>
        </row>
        <row r="3391">
          <cell r="B3391">
            <v>650021</v>
          </cell>
          <cell r="C3391" t="str">
            <v>Entertain</v>
          </cell>
          <cell r="D3391" t="str">
            <v>Desember</v>
          </cell>
          <cell r="F3391">
            <v>650021</v>
          </cell>
          <cell r="G3391" t="str">
            <v>Desember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1500300</v>
          </cell>
          <cell r="AA3391">
            <v>0</v>
          </cell>
          <cell r="AB3391">
            <v>1500300</v>
          </cell>
          <cell r="AC3391">
            <v>0</v>
          </cell>
          <cell r="AD3391">
            <v>1500300</v>
          </cell>
          <cell r="AE3391">
            <v>0</v>
          </cell>
        </row>
        <row r="3392">
          <cell r="B3392">
            <v>650022</v>
          </cell>
          <cell r="C3392" t="str">
            <v>Reribusi &amp; Parkir</v>
          </cell>
          <cell r="E3392">
            <v>650.02200000000005</v>
          </cell>
          <cell r="F3392">
            <v>650022</v>
          </cell>
          <cell r="G3392" t="str">
            <v>Reribusi &amp; Parkir</v>
          </cell>
          <cell r="H3392">
            <v>1104500</v>
          </cell>
          <cell r="I3392">
            <v>0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1775000</v>
          </cell>
          <cell r="AA3392">
            <v>0</v>
          </cell>
          <cell r="AB3392">
            <v>2879500</v>
          </cell>
          <cell r="AC3392">
            <v>0</v>
          </cell>
          <cell r="AD3392">
            <v>1775000</v>
          </cell>
          <cell r="AE3392">
            <v>0</v>
          </cell>
        </row>
        <row r="3393">
          <cell r="B3393">
            <v>650022</v>
          </cell>
          <cell r="C3393" t="str">
            <v>Reribusi &amp; Parkir</v>
          </cell>
          <cell r="D3393" t="str">
            <v>Januari</v>
          </cell>
          <cell r="F3393">
            <v>650022</v>
          </cell>
          <cell r="G3393" t="str">
            <v>Januari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107500</v>
          </cell>
          <cell r="AA3393">
            <v>0</v>
          </cell>
          <cell r="AB3393">
            <v>107500</v>
          </cell>
          <cell r="AC3393">
            <v>0</v>
          </cell>
          <cell r="AD3393">
            <v>107500</v>
          </cell>
          <cell r="AE3393">
            <v>0</v>
          </cell>
        </row>
        <row r="3394">
          <cell r="B3394">
            <v>650022</v>
          </cell>
          <cell r="C3394" t="str">
            <v>Reribusi &amp; Parkir</v>
          </cell>
          <cell r="D3394" t="str">
            <v>Februari</v>
          </cell>
          <cell r="F3394">
            <v>650022</v>
          </cell>
          <cell r="G3394" t="str">
            <v>Februari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109500</v>
          </cell>
          <cell r="AA3394">
            <v>0</v>
          </cell>
          <cell r="AB3394">
            <v>109500</v>
          </cell>
          <cell r="AC3394">
            <v>0</v>
          </cell>
          <cell r="AD3394">
            <v>109500</v>
          </cell>
          <cell r="AE3394">
            <v>0</v>
          </cell>
        </row>
        <row r="3395">
          <cell r="B3395">
            <v>650022</v>
          </cell>
          <cell r="C3395" t="str">
            <v>Reribusi &amp; Parkir</v>
          </cell>
          <cell r="D3395" t="str">
            <v>Maret</v>
          </cell>
          <cell r="F3395">
            <v>650022</v>
          </cell>
          <cell r="G3395" t="str">
            <v>Maret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93500</v>
          </cell>
          <cell r="AA3395">
            <v>0</v>
          </cell>
          <cell r="AB3395">
            <v>93500</v>
          </cell>
          <cell r="AC3395">
            <v>0</v>
          </cell>
          <cell r="AD3395">
            <v>93500</v>
          </cell>
          <cell r="AE3395">
            <v>0</v>
          </cell>
        </row>
        <row r="3396">
          <cell r="B3396">
            <v>650022</v>
          </cell>
          <cell r="C3396" t="str">
            <v>Reribusi &amp; Parkir</v>
          </cell>
          <cell r="D3396" t="str">
            <v>April</v>
          </cell>
          <cell r="F3396">
            <v>650022</v>
          </cell>
          <cell r="G3396" t="str">
            <v>April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127000</v>
          </cell>
          <cell r="AA3396">
            <v>0</v>
          </cell>
          <cell r="AB3396">
            <v>127000</v>
          </cell>
          <cell r="AC3396">
            <v>0</v>
          </cell>
          <cell r="AD3396">
            <v>127000</v>
          </cell>
          <cell r="AE3396">
            <v>0</v>
          </cell>
        </row>
        <row r="3397">
          <cell r="B3397">
            <v>650022</v>
          </cell>
          <cell r="C3397" t="str">
            <v>Reribusi &amp; Parkir</v>
          </cell>
          <cell r="D3397" t="str">
            <v>Mei</v>
          </cell>
          <cell r="F3397">
            <v>650022</v>
          </cell>
          <cell r="G3397" t="str">
            <v>Mei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121500</v>
          </cell>
          <cell r="AA3397">
            <v>0</v>
          </cell>
          <cell r="AB3397">
            <v>121500</v>
          </cell>
          <cell r="AC3397">
            <v>0</v>
          </cell>
          <cell r="AD3397">
            <v>121500</v>
          </cell>
          <cell r="AE3397">
            <v>0</v>
          </cell>
        </row>
        <row r="3398">
          <cell r="B3398">
            <v>650022</v>
          </cell>
          <cell r="C3398" t="str">
            <v>Reribusi &amp; Parkir</v>
          </cell>
          <cell r="D3398" t="str">
            <v>Juni</v>
          </cell>
          <cell r="F3398">
            <v>650022</v>
          </cell>
          <cell r="G3398" t="str">
            <v>Juni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126000</v>
          </cell>
          <cell r="AA3398">
            <v>0</v>
          </cell>
          <cell r="AB3398">
            <v>126000</v>
          </cell>
          <cell r="AC3398">
            <v>0</v>
          </cell>
          <cell r="AD3398">
            <v>126000</v>
          </cell>
          <cell r="AE3398">
            <v>0</v>
          </cell>
        </row>
        <row r="3399">
          <cell r="B3399">
            <v>650022</v>
          </cell>
          <cell r="C3399" t="str">
            <v>Reribusi &amp; Parkir</v>
          </cell>
          <cell r="D3399" t="str">
            <v>Juli</v>
          </cell>
          <cell r="F3399">
            <v>650022</v>
          </cell>
          <cell r="G3399" t="str">
            <v>Juli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108000</v>
          </cell>
          <cell r="AA3399">
            <v>0</v>
          </cell>
          <cell r="AB3399">
            <v>108000</v>
          </cell>
          <cell r="AC3399">
            <v>0</v>
          </cell>
          <cell r="AD3399">
            <v>108000</v>
          </cell>
          <cell r="AE3399">
            <v>0</v>
          </cell>
        </row>
        <row r="3400">
          <cell r="B3400">
            <v>650022</v>
          </cell>
          <cell r="C3400" t="str">
            <v>Reribusi &amp; Parkir</v>
          </cell>
          <cell r="D3400" t="str">
            <v>Agustus</v>
          </cell>
          <cell r="F3400">
            <v>650022</v>
          </cell>
          <cell r="G3400" t="str">
            <v>Agustus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166000</v>
          </cell>
          <cell r="AA3400">
            <v>0</v>
          </cell>
          <cell r="AB3400">
            <v>166000</v>
          </cell>
          <cell r="AC3400">
            <v>0</v>
          </cell>
          <cell r="AD3400">
            <v>166000</v>
          </cell>
          <cell r="AE3400">
            <v>0</v>
          </cell>
        </row>
        <row r="3401">
          <cell r="B3401">
            <v>650022</v>
          </cell>
          <cell r="C3401" t="str">
            <v>Reribusi &amp; Parkir</v>
          </cell>
          <cell r="D3401" t="str">
            <v>September</v>
          </cell>
          <cell r="F3401">
            <v>650022</v>
          </cell>
          <cell r="G3401" t="str">
            <v>September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133500</v>
          </cell>
          <cell r="AA3401">
            <v>0</v>
          </cell>
          <cell r="AB3401">
            <v>133500</v>
          </cell>
          <cell r="AC3401">
            <v>0</v>
          </cell>
          <cell r="AD3401">
            <v>133500</v>
          </cell>
          <cell r="AE3401">
            <v>0</v>
          </cell>
        </row>
        <row r="3402">
          <cell r="B3402">
            <v>650022</v>
          </cell>
          <cell r="C3402" t="str">
            <v>Reribusi &amp; Parkir</v>
          </cell>
          <cell r="D3402" t="str">
            <v>Oktober</v>
          </cell>
          <cell r="F3402">
            <v>650022</v>
          </cell>
          <cell r="G3402" t="str">
            <v>Oktober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166000</v>
          </cell>
          <cell r="AA3402">
            <v>0</v>
          </cell>
          <cell r="AB3402">
            <v>166000</v>
          </cell>
          <cell r="AC3402">
            <v>0</v>
          </cell>
          <cell r="AD3402">
            <v>166000</v>
          </cell>
          <cell r="AE3402">
            <v>0</v>
          </cell>
        </row>
        <row r="3403">
          <cell r="B3403">
            <v>650022</v>
          </cell>
          <cell r="C3403" t="str">
            <v>Reribusi &amp; Parkir</v>
          </cell>
          <cell r="D3403" t="str">
            <v>November</v>
          </cell>
          <cell r="F3403">
            <v>650022</v>
          </cell>
          <cell r="G3403" t="str">
            <v>November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115000</v>
          </cell>
          <cell r="AA3403">
            <v>0</v>
          </cell>
          <cell r="AB3403">
            <v>115000</v>
          </cell>
          <cell r="AC3403">
            <v>0</v>
          </cell>
          <cell r="AD3403">
            <v>115000</v>
          </cell>
          <cell r="AE3403">
            <v>0</v>
          </cell>
        </row>
        <row r="3404">
          <cell r="B3404">
            <v>650022</v>
          </cell>
          <cell r="C3404" t="str">
            <v>Reribusi &amp; Parkir</v>
          </cell>
          <cell r="D3404" t="str">
            <v>Desember</v>
          </cell>
          <cell r="F3404">
            <v>650022</v>
          </cell>
          <cell r="G3404" t="str">
            <v>Desember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401500</v>
          </cell>
          <cell r="AA3404">
            <v>0</v>
          </cell>
          <cell r="AB3404">
            <v>401500</v>
          </cell>
          <cell r="AC3404">
            <v>0</v>
          </cell>
          <cell r="AD3404">
            <v>401500</v>
          </cell>
          <cell r="AE3404">
            <v>0</v>
          </cell>
        </row>
        <row r="3405">
          <cell r="B3405">
            <v>650025</v>
          </cell>
          <cell r="C3405" t="str">
            <v>Exspedisi</v>
          </cell>
          <cell r="E3405">
            <v>650.02499999999998</v>
          </cell>
          <cell r="F3405">
            <v>650025</v>
          </cell>
          <cell r="G3405" t="str">
            <v>Exspedisi</v>
          </cell>
          <cell r="H3405">
            <v>1541652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1098000</v>
          </cell>
          <cell r="AA3405">
            <v>0</v>
          </cell>
          <cell r="AB3405">
            <v>2639652</v>
          </cell>
          <cell r="AC3405">
            <v>0</v>
          </cell>
          <cell r="AD3405">
            <v>1098000</v>
          </cell>
          <cell r="AE3405">
            <v>0</v>
          </cell>
        </row>
        <row r="3406">
          <cell r="B3406">
            <v>650025</v>
          </cell>
          <cell r="C3406" t="str">
            <v>Exspedisi</v>
          </cell>
          <cell r="D3406" t="str">
            <v>Januari</v>
          </cell>
          <cell r="F3406">
            <v>650025</v>
          </cell>
          <cell r="G3406" t="str">
            <v>Januari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103000</v>
          </cell>
          <cell r="AA3406">
            <v>0</v>
          </cell>
          <cell r="AB3406">
            <v>103000</v>
          </cell>
          <cell r="AC3406">
            <v>0</v>
          </cell>
          <cell r="AD3406">
            <v>103000</v>
          </cell>
          <cell r="AE3406">
            <v>0</v>
          </cell>
        </row>
        <row r="3407">
          <cell r="B3407">
            <v>650025</v>
          </cell>
          <cell r="C3407" t="str">
            <v>Exspedisi</v>
          </cell>
          <cell r="D3407" t="str">
            <v>Februari</v>
          </cell>
          <cell r="F3407">
            <v>650025</v>
          </cell>
          <cell r="G3407" t="str">
            <v>Februari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19000</v>
          </cell>
          <cell r="AA3407">
            <v>0</v>
          </cell>
          <cell r="AB3407">
            <v>19000</v>
          </cell>
          <cell r="AC3407">
            <v>0</v>
          </cell>
          <cell r="AD3407">
            <v>19000</v>
          </cell>
          <cell r="AE3407">
            <v>0</v>
          </cell>
        </row>
        <row r="3408">
          <cell r="B3408">
            <v>650025</v>
          </cell>
          <cell r="C3408" t="str">
            <v>Exspedisi</v>
          </cell>
          <cell r="D3408" t="str">
            <v>Maret</v>
          </cell>
          <cell r="F3408">
            <v>650025</v>
          </cell>
          <cell r="G3408" t="str">
            <v>Maret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79000</v>
          </cell>
          <cell r="AA3408">
            <v>0</v>
          </cell>
          <cell r="AB3408">
            <v>79000</v>
          </cell>
          <cell r="AC3408">
            <v>0</v>
          </cell>
          <cell r="AD3408">
            <v>79000</v>
          </cell>
          <cell r="AE3408">
            <v>0</v>
          </cell>
        </row>
        <row r="3409">
          <cell r="B3409">
            <v>650025</v>
          </cell>
          <cell r="C3409" t="str">
            <v>Exspedisi</v>
          </cell>
          <cell r="D3409" t="str">
            <v>April</v>
          </cell>
          <cell r="F3409">
            <v>650025</v>
          </cell>
          <cell r="G3409" t="str">
            <v>April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78000</v>
          </cell>
          <cell r="AA3409">
            <v>0</v>
          </cell>
          <cell r="AB3409">
            <v>78000</v>
          </cell>
          <cell r="AC3409">
            <v>0</v>
          </cell>
          <cell r="AD3409">
            <v>78000</v>
          </cell>
          <cell r="AE3409">
            <v>0</v>
          </cell>
        </row>
        <row r="3410">
          <cell r="B3410">
            <v>650025</v>
          </cell>
          <cell r="C3410" t="str">
            <v>Exspedisi</v>
          </cell>
          <cell r="D3410" t="str">
            <v>Mei</v>
          </cell>
          <cell r="F3410">
            <v>650025</v>
          </cell>
          <cell r="G3410" t="str">
            <v>Mei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19000</v>
          </cell>
          <cell r="AA3410">
            <v>0</v>
          </cell>
          <cell r="AB3410">
            <v>19000</v>
          </cell>
          <cell r="AC3410">
            <v>0</v>
          </cell>
          <cell r="AD3410">
            <v>19000</v>
          </cell>
          <cell r="AE3410">
            <v>0</v>
          </cell>
        </row>
        <row r="3411">
          <cell r="B3411">
            <v>650025</v>
          </cell>
          <cell r="C3411" t="str">
            <v>Exspedisi</v>
          </cell>
          <cell r="D3411" t="str">
            <v>Juni</v>
          </cell>
          <cell r="F3411">
            <v>650025</v>
          </cell>
          <cell r="G3411" t="str">
            <v>Juni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196000</v>
          </cell>
          <cell r="AA3411">
            <v>0</v>
          </cell>
          <cell r="AB3411">
            <v>196000</v>
          </cell>
          <cell r="AC3411">
            <v>0</v>
          </cell>
          <cell r="AD3411">
            <v>196000</v>
          </cell>
          <cell r="AE3411">
            <v>0</v>
          </cell>
        </row>
        <row r="3412">
          <cell r="B3412">
            <v>650025</v>
          </cell>
          <cell r="C3412" t="str">
            <v>Exspedisi</v>
          </cell>
          <cell r="D3412" t="str">
            <v>Juli</v>
          </cell>
          <cell r="F3412">
            <v>650025</v>
          </cell>
          <cell r="G3412" t="str">
            <v>Juli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98000</v>
          </cell>
          <cell r="AA3412">
            <v>0</v>
          </cell>
          <cell r="AB3412">
            <v>98000</v>
          </cell>
          <cell r="AC3412">
            <v>0</v>
          </cell>
          <cell r="AD3412">
            <v>98000</v>
          </cell>
          <cell r="AE3412">
            <v>0</v>
          </cell>
        </row>
        <row r="3413">
          <cell r="B3413">
            <v>650025</v>
          </cell>
          <cell r="C3413" t="str">
            <v>Exspedisi</v>
          </cell>
          <cell r="D3413" t="str">
            <v>Agustus</v>
          </cell>
          <cell r="F3413">
            <v>650025</v>
          </cell>
          <cell r="G3413" t="str">
            <v>Agustus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38000</v>
          </cell>
          <cell r="AA3413">
            <v>0</v>
          </cell>
          <cell r="AB3413">
            <v>38000</v>
          </cell>
          <cell r="AC3413">
            <v>0</v>
          </cell>
          <cell r="AD3413">
            <v>38000</v>
          </cell>
          <cell r="AE3413">
            <v>0</v>
          </cell>
        </row>
        <row r="3414">
          <cell r="B3414">
            <v>650025</v>
          </cell>
          <cell r="C3414" t="str">
            <v>Exspedisi</v>
          </cell>
          <cell r="D3414" t="str">
            <v>September</v>
          </cell>
          <cell r="F3414">
            <v>650025</v>
          </cell>
          <cell r="G3414" t="str">
            <v>September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170000</v>
          </cell>
          <cell r="AA3414">
            <v>0</v>
          </cell>
          <cell r="AB3414">
            <v>170000</v>
          </cell>
          <cell r="AC3414">
            <v>0</v>
          </cell>
          <cell r="AD3414">
            <v>170000</v>
          </cell>
          <cell r="AE3414">
            <v>0</v>
          </cell>
        </row>
        <row r="3415">
          <cell r="B3415">
            <v>650025</v>
          </cell>
          <cell r="C3415" t="str">
            <v>Exspedisi</v>
          </cell>
          <cell r="D3415" t="str">
            <v>Oktober</v>
          </cell>
          <cell r="F3415">
            <v>650025</v>
          </cell>
          <cell r="G3415" t="str">
            <v>Oktober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</row>
        <row r="3416">
          <cell r="B3416">
            <v>650025</v>
          </cell>
          <cell r="C3416" t="str">
            <v>Exspedisi</v>
          </cell>
          <cell r="D3416" t="str">
            <v>November</v>
          </cell>
          <cell r="F3416">
            <v>650025</v>
          </cell>
          <cell r="G3416" t="str">
            <v>November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92000</v>
          </cell>
          <cell r="AA3416">
            <v>0</v>
          </cell>
          <cell r="AB3416">
            <v>92000</v>
          </cell>
          <cell r="AC3416">
            <v>0</v>
          </cell>
          <cell r="AD3416">
            <v>92000</v>
          </cell>
          <cell r="AE3416">
            <v>0</v>
          </cell>
        </row>
        <row r="3417">
          <cell r="B3417">
            <v>650025</v>
          </cell>
          <cell r="C3417" t="str">
            <v>Exspedisi</v>
          </cell>
          <cell r="D3417" t="str">
            <v>Desember</v>
          </cell>
          <cell r="F3417">
            <v>650025</v>
          </cell>
          <cell r="G3417" t="str">
            <v>Desember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206000</v>
          </cell>
          <cell r="AA3417">
            <v>0</v>
          </cell>
          <cell r="AB3417">
            <v>206000</v>
          </cell>
          <cell r="AC3417">
            <v>0</v>
          </cell>
          <cell r="AD3417">
            <v>206000</v>
          </cell>
          <cell r="AE3417">
            <v>0</v>
          </cell>
        </row>
        <row r="3418">
          <cell r="B3418">
            <v>650026</v>
          </cell>
          <cell r="C3418" t="str">
            <v>Collection</v>
          </cell>
          <cell r="E3418">
            <v>650.02599999999995</v>
          </cell>
          <cell r="F3418">
            <v>650026</v>
          </cell>
          <cell r="G3418" t="str">
            <v>Collection</v>
          </cell>
          <cell r="H3418">
            <v>5312093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40118947</v>
          </cell>
          <cell r="AA3418">
            <v>0</v>
          </cell>
          <cell r="AB3418">
            <v>45431040</v>
          </cell>
          <cell r="AC3418">
            <v>0</v>
          </cell>
          <cell r="AD3418">
            <v>40118947</v>
          </cell>
          <cell r="AE3418">
            <v>0</v>
          </cell>
        </row>
        <row r="3419">
          <cell r="B3419">
            <v>650026</v>
          </cell>
          <cell r="C3419" t="str">
            <v>Collection</v>
          </cell>
          <cell r="D3419" t="str">
            <v>Januari</v>
          </cell>
          <cell r="F3419">
            <v>650026</v>
          </cell>
          <cell r="G3419" t="str">
            <v>Januari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2085000</v>
          </cell>
          <cell r="AA3419">
            <v>0</v>
          </cell>
          <cell r="AB3419">
            <v>2085000</v>
          </cell>
          <cell r="AC3419">
            <v>0</v>
          </cell>
          <cell r="AD3419">
            <v>2085000</v>
          </cell>
          <cell r="AE3419">
            <v>0</v>
          </cell>
        </row>
        <row r="3420">
          <cell r="B3420">
            <v>650026</v>
          </cell>
          <cell r="C3420" t="str">
            <v>Collection</v>
          </cell>
          <cell r="D3420" t="str">
            <v>Februari</v>
          </cell>
          <cell r="F3420">
            <v>650026</v>
          </cell>
          <cell r="G3420" t="str">
            <v>Februari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2022000</v>
          </cell>
          <cell r="AA3420">
            <v>0</v>
          </cell>
          <cell r="AB3420">
            <v>2022000</v>
          </cell>
          <cell r="AC3420">
            <v>0</v>
          </cell>
          <cell r="AD3420">
            <v>2022000</v>
          </cell>
          <cell r="AE3420">
            <v>0</v>
          </cell>
        </row>
        <row r="3421">
          <cell r="B3421">
            <v>650026</v>
          </cell>
          <cell r="C3421" t="str">
            <v>Collection</v>
          </cell>
          <cell r="D3421" t="str">
            <v>Maret</v>
          </cell>
          <cell r="F3421">
            <v>650026</v>
          </cell>
          <cell r="G3421" t="str">
            <v>Maret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2802447</v>
          </cell>
          <cell r="AA3421">
            <v>0</v>
          </cell>
          <cell r="AB3421">
            <v>2802447</v>
          </cell>
          <cell r="AC3421">
            <v>0</v>
          </cell>
          <cell r="AD3421">
            <v>2802447</v>
          </cell>
          <cell r="AE3421">
            <v>0</v>
          </cell>
        </row>
        <row r="3422">
          <cell r="B3422">
            <v>650026</v>
          </cell>
          <cell r="C3422" t="str">
            <v>Collection</v>
          </cell>
          <cell r="D3422" t="str">
            <v>April</v>
          </cell>
          <cell r="F3422">
            <v>650026</v>
          </cell>
          <cell r="G3422" t="str">
            <v>April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3673000</v>
          </cell>
          <cell r="AA3422">
            <v>0</v>
          </cell>
          <cell r="AB3422">
            <v>3673000</v>
          </cell>
          <cell r="AC3422">
            <v>0</v>
          </cell>
          <cell r="AD3422">
            <v>3673000</v>
          </cell>
          <cell r="AE3422">
            <v>0</v>
          </cell>
        </row>
        <row r="3423">
          <cell r="B3423">
            <v>650026</v>
          </cell>
          <cell r="C3423" t="str">
            <v>Collection</v>
          </cell>
          <cell r="D3423" t="str">
            <v>Mei</v>
          </cell>
          <cell r="F3423">
            <v>650026</v>
          </cell>
          <cell r="G3423" t="str">
            <v>Mei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1485000</v>
          </cell>
          <cell r="AA3423">
            <v>0</v>
          </cell>
          <cell r="AB3423">
            <v>1485000</v>
          </cell>
          <cell r="AC3423">
            <v>0</v>
          </cell>
          <cell r="AD3423">
            <v>1485000</v>
          </cell>
          <cell r="AE3423">
            <v>0</v>
          </cell>
        </row>
        <row r="3424">
          <cell r="B3424">
            <v>650026</v>
          </cell>
          <cell r="C3424" t="str">
            <v>Collection</v>
          </cell>
          <cell r="D3424" t="str">
            <v>Juni</v>
          </cell>
          <cell r="F3424">
            <v>650026</v>
          </cell>
          <cell r="G3424" t="str">
            <v>Juni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1345000</v>
          </cell>
          <cell r="AA3424">
            <v>0</v>
          </cell>
          <cell r="AB3424">
            <v>1345000</v>
          </cell>
          <cell r="AC3424">
            <v>0</v>
          </cell>
          <cell r="AD3424">
            <v>1345000</v>
          </cell>
          <cell r="AE3424">
            <v>0</v>
          </cell>
        </row>
        <row r="3425">
          <cell r="B3425">
            <v>650026</v>
          </cell>
          <cell r="C3425" t="str">
            <v>Collection</v>
          </cell>
          <cell r="D3425" t="str">
            <v>Juli</v>
          </cell>
          <cell r="F3425">
            <v>650026</v>
          </cell>
          <cell r="G3425" t="str">
            <v>Juli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2480000</v>
          </cell>
          <cell r="AA3425">
            <v>0</v>
          </cell>
          <cell r="AB3425">
            <v>2480000</v>
          </cell>
          <cell r="AC3425">
            <v>0</v>
          </cell>
          <cell r="AD3425">
            <v>2480000</v>
          </cell>
          <cell r="AE3425">
            <v>0</v>
          </cell>
        </row>
        <row r="3426">
          <cell r="B3426">
            <v>650026</v>
          </cell>
          <cell r="C3426" t="str">
            <v>Collection</v>
          </cell>
          <cell r="D3426" t="str">
            <v>Agustus</v>
          </cell>
          <cell r="F3426">
            <v>650026</v>
          </cell>
          <cell r="G3426" t="str">
            <v>Agustus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5245000</v>
          </cell>
          <cell r="AA3426">
            <v>0</v>
          </cell>
          <cell r="AB3426">
            <v>5245000</v>
          </cell>
          <cell r="AC3426">
            <v>0</v>
          </cell>
          <cell r="AD3426">
            <v>5245000</v>
          </cell>
          <cell r="AE3426">
            <v>0</v>
          </cell>
        </row>
        <row r="3427">
          <cell r="B3427">
            <v>650026</v>
          </cell>
          <cell r="C3427" t="str">
            <v>Collection</v>
          </cell>
          <cell r="D3427" t="str">
            <v>September</v>
          </cell>
          <cell r="F3427">
            <v>650026</v>
          </cell>
          <cell r="G3427" t="str">
            <v>September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709000</v>
          </cell>
          <cell r="AA3427">
            <v>0</v>
          </cell>
          <cell r="AB3427">
            <v>709000</v>
          </cell>
          <cell r="AC3427">
            <v>0</v>
          </cell>
          <cell r="AD3427">
            <v>709000</v>
          </cell>
          <cell r="AE3427">
            <v>0</v>
          </cell>
        </row>
        <row r="3428">
          <cell r="B3428">
            <v>650026</v>
          </cell>
          <cell r="C3428" t="str">
            <v>Collection</v>
          </cell>
          <cell r="D3428" t="str">
            <v>Oktober</v>
          </cell>
          <cell r="F3428">
            <v>650026</v>
          </cell>
          <cell r="G3428" t="str">
            <v>Oktober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910000</v>
          </cell>
          <cell r="AA3428">
            <v>0</v>
          </cell>
          <cell r="AB3428">
            <v>910000</v>
          </cell>
          <cell r="AC3428">
            <v>0</v>
          </cell>
          <cell r="AD3428">
            <v>910000</v>
          </cell>
          <cell r="AE3428">
            <v>0</v>
          </cell>
        </row>
        <row r="3429">
          <cell r="B3429">
            <v>650026</v>
          </cell>
          <cell r="C3429" t="str">
            <v>Collection</v>
          </cell>
          <cell r="D3429" t="str">
            <v>November</v>
          </cell>
          <cell r="F3429">
            <v>650026</v>
          </cell>
          <cell r="G3429" t="str">
            <v>November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7035000</v>
          </cell>
          <cell r="AA3429">
            <v>0</v>
          </cell>
          <cell r="AB3429">
            <v>7035000</v>
          </cell>
          <cell r="AC3429">
            <v>0</v>
          </cell>
          <cell r="AD3429">
            <v>7035000</v>
          </cell>
          <cell r="AE3429">
            <v>0</v>
          </cell>
        </row>
        <row r="3430">
          <cell r="B3430">
            <v>650026</v>
          </cell>
          <cell r="C3430" t="str">
            <v>Collection</v>
          </cell>
          <cell r="D3430" t="str">
            <v>Desember</v>
          </cell>
          <cell r="F3430">
            <v>650026</v>
          </cell>
          <cell r="G3430" t="str">
            <v>Desember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10327500</v>
          </cell>
          <cell r="AA3430">
            <v>0</v>
          </cell>
          <cell r="AB3430">
            <v>10327500</v>
          </cell>
          <cell r="AC3430">
            <v>0</v>
          </cell>
          <cell r="AD3430">
            <v>10327500</v>
          </cell>
          <cell r="AE3430">
            <v>0</v>
          </cell>
        </row>
        <row r="3431">
          <cell r="B3431">
            <v>650027</v>
          </cell>
          <cell r="C3431" t="str">
            <v>Rumah Tangga</v>
          </cell>
          <cell r="E3431">
            <v>650.02700000000004</v>
          </cell>
          <cell r="F3431">
            <v>650027</v>
          </cell>
          <cell r="G3431" t="str">
            <v>Rumah Tangga</v>
          </cell>
          <cell r="H3431">
            <v>23559510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7514975</v>
          </cell>
          <cell r="AA3431">
            <v>0</v>
          </cell>
          <cell r="AB3431">
            <v>31074485</v>
          </cell>
          <cell r="AC3431">
            <v>0</v>
          </cell>
          <cell r="AD3431">
            <v>7514975</v>
          </cell>
          <cell r="AE3431">
            <v>0</v>
          </cell>
        </row>
        <row r="3432">
          <cell r="B3432">
            <v>650027</v>
          </cell>
          <cell r="C3432" t="str">
            <v>Rumah Tangga</v>
          </cell>
          <cell r="D3432" t="str">
            <v>Januari</v>
          </cell>
          <cell r="F3432">
            <v>650027</v>
          </cell>
          <cell r="G3432" t="str">
            <v>Januari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503200</v>
          </cell>
          <cell r="AA3432">
            <v>0</v>
          </cell>
          <cell r="AB3432">
            <v>503200</v>
          </cell>
          <cell r="AC3432">
            <v>0</v>
          </cell>
          <cell r="AD3432">
            <v>503200</v>
          </cell>
          <cell r="AE3432">
            <v>0</v>
          </cell>
        </row>
        <row r="3433">
          <cell r="B3433">
            <v>650027</v>
          </cell>
          <cell r="C3433" t="str">
            <v>Rumah Tangga</v>
          </cell>
          <cell r="D3433" t="str">
            <v>Februari</v>
          </cell>
          <cell r="F3433">
            <v>650027</v>
          </cell>
          <cell r="G3433" t="str">
            <v>Februari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578800</v>
          </cell>
          <cell r="AA3433">
            <v>0</v>
          </cell>
          <cell r="AB3433">
            <v>578800</v>
          </cell>
          <cell r="AC3433">
            <v>0</v>
          </cell>
          <cell r="AD3433">
            <v>578800</v>
          </cell>
          <cell r="AE3433">
            <v>0</v>
          </cell>
        </row>
        <row r="3434">
          <cell r="B3434">
            <v>650027</v>
          </cell>
          <cell r="C3434" t="str">
            <v>Rumah Tangga</v>
          </cell>
          <cell r="D3434" t="str">
            <v>Maret</v>
          </cell>
          <cell r="F3434">
            <v>650027</v>
          </cell>
          <cell r="G3434" t="str">
            <v>Maret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658250</v>
          </cell>
          <cell r="AA3434">
            <v>0</v>
          </cell>
          <cell r="AB3434">
            <v>658250</v>
          </cell>
          <cell r="AC3434">
            <v>0</v>
          </cell>
          <cell r="AD3434">
            <v>658250</v>
          </cell>
          <cell r="AE3434">
            <v>0</v>
          </cell>
        </row>
        <row r="3435">
          <cell r="B3435">
            <v>650027</v>
          </cell>
          <cell r="C3435" t="str">
            <v>Rumah Tangga</v>
          </cell>
          <cell r="D3435" t="str">
            <v>April</v>
          </cell>
          <cell r="F3435">
            <v>650027</v>
          </cell>
          <cell r="G3435" t="str">
            <v>April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507675</v>
          </cell>
          <cell r="AA3435">
            <v>0</v>
          </cell>
          <cell r="AB3435">
            <v>507675</v>
          </cell>
          <cell r="AC3435">
            <v>0</v>
          </cell>
          <cell r="AD3435">
            <v>507675</v>
          </cell>
          <cell r="AE3435">
            <v>0</v>
          </cell>
        </row>
        <row r="3436">
          <cell r="B3436">
            <v>650027</v>
          </cell>
          <cell r="C3436" t="str">
            <v>Rumah Tangga</v>
          </cell>
          <cell r="D3436" t="str">
            <v>Mei</v>
          </cell>
          <cell r="F3436">
            <v>650027</v>
          </cell>
          <cell r="G3436" t="str">
            <v>Mei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689700</v>
          </cell>
          <cell r="AA3436">
            <v>0</v>
          </cell>
          <cell r="AB3436">
            <v>689700</v>
          </cell>
          <cell r="AC3436">
            <v>0</v>
          </cell>
          <cell r="AD3436">
            <v>689700</v>
          </cell>
          <cell r="AE3436">
            <v>0</v>
          </cell>
        </row>
        <row r="3437">
          <cell r="B3437">
            <v>650027</v>
          </cell>
          <cell r="C3437" t="str">
            <v>Rumah Tangga</v>
          </cell>
          <cell r="D3437" t="str">
            <v>Juni</v>
          </cell>
          <cell r="F3437">
            <v>650027</v>
          </cell>
          <cell r="G3437" t="str">
            <v>Juni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499200</v>
          </cell>
          <cell r="AA3437">
            <v>0</v>
          </cell>
          <cell r="AB3437">
            <v>499200</v>
          </cell>
          <cell r="AC3437">
            <v>0</v>
          </cell>
          <cell r="AD3437">
            <v>499200</v>
          </cell>
          <cell r="AE3437">
            <v>0</v>
          </cell>
        </row>
        <row r="3438">
          <cell r="B3438">
            <v>650027</v>
          </cell>
          <cell r="C3438" t="str">
            <v>Rumah Tangga</v>
          </cell>
          <cell r="D3438" t="str">
            <v>Juli</v>
          </cell>
          <cell r="F3438">
            <v>650027</v>
          </cell>
          <cell r="G3438" t="str">
            <v>Juli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</row>
        <row r="3439">
          <cell r="B3439">
            <v>650027</v>
          </cell>
          <cell r="C3439" t="str">
            <v>Rumah Tangga</v>
          </cell>
          <cell r="D3439" t="str">
            <v>Agustus</v>
          </cell>
          <cell r="F3439">
            <v>650027</v>
          </cell>
          <cell r="G3439" t="str">
            <v>Agustus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635000</v>
          </cell>
          <cell r="AA3439">
            <v>0</v>
          </cell>
          <cell r="AB3439">
            <v>635000</v>
          </cell>
          <cell r="AC3439">
            <v>0</v>
          </cell>
          <cell r="AD3439">
            <v>635000</v>
          </cell>
          <cell r="AE3439">
            <v>0</v>
          </cell>
        </row>
        <row r="3440">
          <cell r="B3440">
            <v>650027</v>
          </cell>
          <cell r="C3440" t="str">
            <v>Rumah Tangga</v>
          </cell>
          <cell r="D3440" t="str">
            <v>September</v>
          </cell>
          <cell r="F3440">
            <v>650027</v>
          </cell>
          <cell r="G3440" t="str">
            <v>September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1284500</v>
          </cell>
          <cell r="AA3440">
            <v>0</v>
          </cell>
          <cell r="AB3440">
            <v>1284500</v>
          </cell>
          <cell r="AC3440">
            <v>0</v>
          </cell>
          <cell r="AD3440">
            <v>1284500</v>
          </cell>
          <cell r="AE3440">
            <v>0</v>
          </cell>
        </row>
        <row r="3441">
          <cell r="B3441">
            <v>650027</v>
          </cell>
          <cell r="C3441" t="str">
            <v>Rumah Tangga</v>
          </cell>
          <cell r="D3441" t="str">
            <v>Oktober</v>
          </cell>
          <cell r="F3441">
            <v>650027</v>
          </cell>
          <cell r="G3441" t="str">
            <v>Oktober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722650</v>
          </cell>
          <cell r="AA3441">
            <v>0</v>
          </cell>
          <cell r="AB3441">
            <v>722650</v>
          </cell>
          <cell r="AC3441">
            <v>0</v>
          </cell>
          <cell r="AD3441">
            <v>722650</v>
          </cell>
          <cell r="AE3441">
            <v>0</v>
          </cell>
        </row>
        <row r="3442">
          <cell r="B3442">
            <v>650027</v>
          </cell>
          <cell r="C3442" t="str">
            <v>Rumah Tangga</v>
          </cell>
          <cell r="D3442" t="str">
            <v>November</v>
          </cell>
          <cell r="F3442">
            <v>650027</v>
          </cell>
          <cell r="G3442" t="str">
            <v>November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782400</v>
          </cell>
          <cell r="AA3442">
            <v>0</v>
          </cell>
          <cell r="AB3442">
            <v>782400</v>
          </cell>
          <cell r="AC3442">
            <v>0</v>
          </cell>
          <cell r="AD3442">
            <v>782400</v>
          </cell>
          <cell r="AE3442">
            <v>0</v>
          </cell>
        </row>
        <row r="3443">
          <cell r="B3443">
            <v>650027</v>
          </cell>
          <cell r="C3443" t="str">
            <v>Rumah Tangga</v>
          </cell>
          <cell r="D3443" t="str">
            <v>Desember</v>
          </cell>
          <cell r="F3443">
            <v>650027</v>
          </cell>
          <cell r="G3443" t="str">
            <v>Desember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653600</v>
          </cell>
          <cell r="AA3443">
            <v>0</v>
          </cell>
          <cell r="AB3443">
            <v>653600</v>
          </cell>
          <cell r="AC3443">
            <v>0</v>
          </cell>
          <cell r="AD3443">
            <v>653600</v>
          </cell>
          <cell r="AE3443">
            <v>0</v>
          </cell>
        </row>
        <row r="3444">
          <cell r="B3444">
            <v>650020</v>
          </cell>
          <cell r="C3444" t="str">
            <v>Solar dan Oli u/Compresor</v>
          </cell>
          <cell r="E3444">
            <v>650.02</v>
          </cell>
          <cell r="F3444">
            <v>650020</v>
          </cell>
          <cell r="G3444" t="str">
            <v>Solar dan Oli u/Compresor</v>
          </cell>
          <cell r="H3444">
            <v>752880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752880</v>
          </cell>
          <cell r="AC3444">
            <v>0</v>
          </cell>
          <cell r="AD3444">
            <v>0</v>
          </cell>
          <cell r="AE3444">
            <v>0</v>
          </cell>
        </row>
        <row r="3445">
          <cell r="B3445">
            <v>650020</v>
          </cell>
          <cell r="C3445" t="str">
            <v>Solar dan Oli u/Compresor</v>
          </cell>
          <cell r="D3445" t="str">
            <v>Januari</v>
          </cell>
          <cell r="F3445">
            <v>650020</v>
          </cell>
          <cell r="G3445" t="str">
            <v>Januari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</row>
        <row r="3446">
          <cell r="B3446">
            <v>650020</v>
          </cell>
          <cell r="C3446" t="str">
            <v>Solar dan Oli u/Compresor</v>
          </cell>
          <cell r="D3446" t="str">
            <v>Februari</v>
          </cell>
          <cell r="F3446">
            <v>650020</v>
          </cell>
          <cell r="G3446" t="str">
            <v>Februari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</row>
        <row r="3447">
          <cell r="B3447">
            <v>650020</v>
          </cell>
          <cell r="C3447" t="str">
            <v>Solar dan Oli u/Compresor</v>
          </cell>
          <cell r="D3447" t="str">
            <v>Maret</v>
          </cell>
          <cell r="F3447">
            <v>650020</v>
          </cell>
          <cell r="G3447" t="str">
            <v>Maret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</row>
        <row r="3448">
          <cell r="B3448">
            <v>650020</v>
          </cell>
          <cell r="C3448" t="str">
            <v>Solar dan Oli u/Compresor</v>
          </cell>
          <cell r="D3448" t="str">
            <v>April</v>
          </cell>
          <cell r="F3448">
            <v>650020</v>
          </cell>
          <cell r="G3448" t="str">
            <v>April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</row>
        <row r="3449">
          <cell r="B3449">
            <v>650020</v>
          </cell>
          <cell r="C3449" t="str">
            <v>Solar dan Oli u/Compresor</v>
          </cell>
          <cell r="D3449" t="str">
            <v>Mei</v>
          </cell>
          <cell r="F3449">
            <v>650020</v>
          </cell>
          <cell r="G3449" t="str">
            <v>Mei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</row>
        <row r="3450">
          <cell r="B3450">
            <v>650020</v>
          </cell>
          <cell r="C3450" t="str">
            <v>Solar dan Oli u/Compresor</v>
          </cell>
          <cell r="D3450" t="str">
            <v>Juni</v>
          </cell>
          <cell r="F3450">
            <v>650020</v>
          </cell>
          <cell r="G3450" t="str">
            <v>Juni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</row>
        <row r="3451">
          <cell r="B3451">
            <v>650020</v>
          </cell>
          <cell r="C3451" t="str">
            <v>Solar dan Oli u/Compresor</v>
          </cell>
          <cell r="D3451" t="str">
            <v>Juli</v>
          </cell>
          <cell r="F3451">
            <v>650020</v>
          </cell>
          <cell r="G3451" t="str">
            <v>Juli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</row>
        <row r="3452">
          <cell r="B3452">
            <v>650020</v>
          </cell>
          <cell r="C3452" t="str">
            <v>Solar dan Oli u/Compresor</v>
          </cell>
          <cell r="D3452" t="str">
            <v>Agustus</v>
          </cell>
          <cell r="F3452">
            <v>650020</v>
          </cell>
          <cell r="G3452" t="str">
            <v>Agustus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</row>
        <row r="3453">
          <cell r="B3453">
            <v>650020</v>
          </cell>
          <cell r="C3453" t="str">
            <v>Solar dan Oli u/Compresor</v>
          </cell>
          <cell r="D3453" t="str">
            <v>September</v>
          </cell>
          <cell r="F3453">
            <v>650020</v>
          </cell>
          <cell r="G3453" t="str">
            <v>September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</row>
        <row r="3454">
          <cell r="B3454">
            <v>650020</v>
          </cell>
          <cell r="C3454" t="str">
            <v>Solar dan Oli u/Compresor</v>
          </cell>
          <cell r="D3454" t="str">
            <v>Oktober</v>
          </cell>
          <cell r="F3454">
            <v>650020</v>
          </cell>
          <cell r="G3454" t="str">
            <v>Oktober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</row>
        <row r="3455">
          <cell r="B3455">
            <v>650020</v>
          </cell>
          <cell r="C3455" t="str">
            <v>Solar dan Oli u/Compresor</v>
          </cell>
          <cell r="D3455" t="str">
            <v>November</v>
          </cell>
          <cell r="F3455">
            <v>650020</v>
          </cell>
          <cell r="G3455" t="str">
            <v>November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</row>
        <row r="3456">
          <cell r="B3456">
            <v>650020</v>
          </cell>
          <cell r="C3456" t="str">
            <v>Solar dan Oli u/Compresor</v>
          </cell>
          <cell r="D3456" t="str">
            <v>Desember</v>
          </cell>
          <cell r="F3456">
            <v>650020</v>
          </cell>
          <cell r="G3456" t="str">
            <v>Desember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</row>
        <row r="3457">
          <cell r="B3457">
            <v>650028</v>
          </cell>
          <cell r="C3457" t="str">
            <v>Berobat Karyawan</v>
          </cell>
          <cell r="E3457">
            <v>650.02800000000002</v>
          </cell>
          <cell r="F3457">
            <v>650028</v>
          </cell>
          <cell r="G3457" t="str">
            <v>Berobat Karyawan</v>
          </cell>
          <cell r="H3457">
            <v>7845750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3239155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1682171</v>
          </cell>
          <cell r="AA3457">
            <v>0</v>
          </cell>
          <cell r="AB3457">
            <v>9527921</v>
          </cell>
          <cell r="AC3457">
            <v>3239155</v>
          </cell>
          <cell r="AD3457">
            <v>1682171</v>
          </cell>
          <cell r="AE3457">
            <v>0</v>
          </cell>
        </row>
        <row r="3458">
          <cell r="B3458">
            <v>650028</v>
          </cell>
          <cell r="C3458" t="str">
            <v>Berobat Karyawan</v>
          </cell>
          <cell r="D3458" t="str">
            <v>Januari</v>
          </cell>
          <cell r="F3458">
            <v>650028</v>
          </cell>
          <cell r="G3458" t="str">
            <v>Januari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</row>
        <row r="3459">
          <cell r="B3459">
            <v>650028</v>
          </cell>
          <cell r="C3459" t="str">
            <v>Berobat Karyawan</v>
          </cell>
          <cell r="D3459" t="str">
            <v>Februari</v>
          </cell>
          <cell r="F3459">
            <v>650028</v>
          </cell>
          <cell r="G3459" t="str">
            <v>Februari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256106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256106</v>
          </cell>
          <cell r="AD3459">
            <v>0</v>
          </cell>
          <cell r="AE3459">
            <v>0</v>
          </cell>
        </row>
        <row r="3460">
          <cell r="B3460">
            <v>650028</v>
          </cell>
          <cell r="C3460" t="str">
            <v>Berobat Karyawan</v>
          </cell>
          <cell r="D3460" t="str">
            <v>Maret</v>
          </cell>
          <cell r="F3460">
            <v>650028</v>
          </cell>
          <cell r="G3460" t="str">
            <v>Maret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256106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333106</v>
          </cell>
          <cell r="AA3460">
            <v>0</v>
          </cell>
          <cell r="AB3460">
            <v>333106</v>
          </cell>
          <cell r="AC3460">
            <v>256106</v>
          </cell>
          <cell r="AD3460">
            <v>333106</v>
          </cell>
          <cell r="AE3460">
            <v>0</v>
          </cell>
        </row>
        <row r="3461">
          <cell r="B3461">
            <v>650028</v>
          </cell>
          <cell r="C3461" t="str">
            <v>Berobat Karyawan</v>
          </cell>
          <cell r="D3461" t="str">
            <v>April</v>
          </cell>
          <cell r="F3461">
            <v>650028</v>
          </cell>
          <cell r="G3461" t="str">
            <v>April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256106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321747</v>
          </cell>
          <cell r="AA3461">
            <v>0</v>
          </cell>
          <cell r="AB3461">
            <v>321747</v>
          </cell>
          <cell r="AC3461">
            <v>256106</v>
          </cell>
          <cell r="AD3461">
            <v>321747</v>
          </cell>
          <cell r="AE3461">
            <v>0</v>
          </cell>
        </row>
        <row r="3462">
          <cell r="B3462">
            <v>650028</v>
          </cell>
          <cell r="C3462" t="str">
            <v>Berobat Karyawan</v>
          </cell>
          <cell r="D3462" t="str">
            <v>Mei</v>
          </cell>
          <cell r="F3462">
            <v>650028</v>
          </cell>
          <cell r="G3462" t="str">
            <v>Mei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256106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333106</v>
          </cell>
          <cell r="AA3462">
            <v>0</v>
          </cell>
          <cell r="AB3462">
            <v>333106</v>
          </cell>
          <cell r="AC3462">
            <v>256106</v>
          </cell>
          <cell r="AD3462">
            <v>333106</v>
          </cell>
          <cell r="AE3462">
            <v>0</v>
          </cell>
        </row>
        <row r="3463">
          <cell r="B3463">
            <v>650028</v>
          </cell>
          <cell r="C3463" t="str">
            <v>Berobat Karyawan</v>
          </cell>
          <cell r="D3463" t="str">
            <v>Juni</v>
          </cell>
          <cell r="F3463">
            <v>650028</v>
          </cell>
          <cell r="G3463" t="str">
            <v>Juni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256106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347106</v>
          </cell>
          <cell r="AA3463">
            <v>0</v>
          </cell>
          <cell r="AB3463">
            <v>347106</v>
          </cell>
          <cell r="AC3463">
            <v>256106</v>
          </cell>
          <cell r="AD3463">
            <v>347106</v>
          </cell>
          <cell r="AE3463">
            <v>0</v>
          </cell>
        </row>
        <row r="3464">
          <cell r="B3464">
            <v>650028</v>
          </cell>
          <cell r="C3464" t="str">
            <v>Berobat Karyawan</v>
          </cell>
          <cell r="D3464" t="str">
            <v>Juli</v>
          </cell>
          <cell r="F3464">
            <v>650028</v>
          </cell>
          <cell r="G3464" t="str">
            <v>Juli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256110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347106</v>
          </cell>
          <cell r="AA3464">
            <v>0</v>
          </cell>
          <cell r="AB3464">
            <v>347106</v>
          </cell>
          <cell r="AC3464">
            <v>256110</v>
          </cell>
          <cell r="AD3464">
            <v>347106</v>
          </cell>
          <cell r="AE3464">
            <v>0</v>
          </cell>
        </row>
        <row r="3465">
          <cell r="B3465">
            <v>650028</v>
          </cell>
          <cell r="C3465" t="str">
            <v>Berobat Karyawan</v>
          </cell>
          <cell r="D3465" t="str">
            <v>Agustus</v>
          </cell>
          <cell r="F3465">
            <v>650028</v>
          </cell>
          <cell r="G3465" t="str">
            <v>Agustus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256106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256106</v>
          </cell>
          <cell r="AD3465">
            <v>0</v>
          </cell>
          <cell r="AE3465">
            <v>0</v>
          </cell>
        </row>
        <row r="3466">
          <cell r="B3466">
            <v>650028</v>
          </cell>
          <cell r="C3466" t="str">
            <v>Berobat Karyawan</v>
          </cell>
          <cell r="D3466" t="str">
            <v>September</v>
          </cell>
          <cell r="F3466">
            <v>650028</v>
          </cell>
          <cell r="G3466" t="str">
            <v>September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</row>
        <row r="3467">
          <cell r="B3467">
            <v>650028</v>
          </cell>
          <cell r="C3467" t="str">
            <v>Berobat Karyawan</v>
          </cell>
          <cell r="D3467" t="str">
            <v>Oktober</v>
          </cell>
          <cell r="F3467">
            <v>650028</v>
          </cell>
          <cell r="G3467" t="str">
            <v>Oktober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519231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519231</v>
          </cell>
          <cell r="AD3467">
            <v>0</v>
          </cell>
          <cell r="AE3467">
            <v>0</v>
          </cell>
        </row>
        <row r="3468">
          <cell r="B3468">
            <v>650028</v>
          </cell>
          <cell r="C3468" t="str">
            <v>Berobat Karyawan</v>
          </cell>
          <cell r="D3468" t="str">
            <v>November</v>
          </cell>
          <cell r="F3468">
            <v>650028</v>
          </cell>
          <cell r="G3468" t="str">
            <v>November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519231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519231</v>
          </cell>
          <cell r="AD3468">
            <v>0</v>
          </cell>
          <cell r="AE3468">
            <v>0</v>
          </cell>
        </row>
        <row r="3469">
          <cell r="B3469">
            <v>650028</v>
          </cell>
          <cell r="C3469" t="str">
            <v>Berobat Karyawan</v>
          </cell>
          <cell r="D3469" t="str">
            <v>Desember</v>
          </cell>
          <cell r="F3469">
            <v>650028</v>
          </cell>
          <cell r="G3469" t="str">
            <v>Desember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407947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407947</v>
          </cell>
          <cell r="AD3469">
            <v>0</v>
          </cell>
          <cell r="AE3469">
            <v>0</v>
          </cell>
        </row>
        <row r="3470">
          <cell r="B3470">
            <v>650029</v>
          </cell>
          <cell r="C3470" t="str">
            <v>Sumbangan</v>
          </cell>
          <cell r="E3470">
            <v>650.029</v>
          </cell>
          <cell r="F3470">
            <v>650029</v>
          </cell>
          <cell r="G3470" t="str">
            <v>Sumbangan</v>
          </cell>
          <cell r="H3470">
            <v>3525000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182000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1496800</v>
          </cell>
          <cell r="AA3470">
            <v>0</v>
          </cell>
          <cell r="AB3470">
            <v>5021800</v>
          </cell>
          <cell r="AC3470">
            <v>182000</v>
          </cell>
          <cell r="AD3470">
            <v>1496800</v>
          </cell>
          <cell r="AE3470">
            <v>0</v>
          </cell>
        </row>
        <row r="3471">
          <cell r="B3471">
            <v>650029</v>
          </cell>
          <cell r="C3471" t="str">
            <v>Sumbangan</v>
          </cell>
          <cell r="D3471" t="str">
            <v>Januari</v>
          </cell>
          <cell r="F3471">
            <v>650029</v>
          </cell>
          <cell r="G3471" t="str">
            <v>Januari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182000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182000</v>
          </cell>
          <cell r="AD3471">
            <v>0</v>
          </cell>
          <cell r="AE3471">
            <v>0</v>
          </cell>
        </row>
        <row r="3472">
          <cell r="B3472">
            <v>650029</v>
          </cell>
          <cell r="C3472" t="str">
            <v>Sumbangan</v>
          </cell>
          <cell r="D3472" t="str">
            <v>Februari</v>
          </cell>
          <cell r="F3472">
            <v>650029</v>
          </cell>
          <cell r="G3472" t="str">
            <v>Februari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</row>
        <row r="3473">
          <cell r="B3473">
            <v>650029</v>
          </cell>
          <cell r="C3473" t="str">
            <v>Sumbangan</v>
          </cell>
          <cell r="D3473" t="str">
            <v>Maret</v>
          </cell>
          <cell r="F3473">
            <v>650029</v>
          </cell>
          <cell r="G3473" t="str">
            <v>Maret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</row>
        <row r="3474">
          <cell r="B3474">
            <v>650029</v>
          </cell>
          <cell r="C3474" t="str">
            <v>Sumbangan</v>
          </cell>
          <cell r="D3474" t="str">
            <v>April</v>
          </cell>
          <cell r="F3474">
            <v>650029</v>
          </cell>
          <cell r="G3474" t="str">
            <v>April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200000</v>
          </cell>
          <cell r="AA3474">
            <v>0</v>
          </cell>
          <cell r="AB3474">
            <v>200000</v>
          </cell>
          <cell r="AC3474">
            <v>0</v>
          </cell>
          <cell r="AD3474">
            <v>200000</v>
          </cell>
          <cell r="AE3474">
            <v>0</v>
          </cell>
        </row>
        <row r="3475">
          <cell r="B3475">
            <v>650029</v>
          </cell>
          <cell r="C3475" t="str">
            <v>Sumbangan</v>
          </cell>
          <cell r="D3475" t="str">
            <v>Mei</v>
          </cell>
          <cell r="F3475">
            <v>650029</v>
          </cell>
          <cell r="G3475" t="str">
            <v>Mei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</row>
        <row r="3476">
          <cell r="B3476">
            <v>650029</v>
          </cell>
          <cell r="C3476" t="str">
            <v>Sumbangan</v>
          </cell>
          <cell r="D3476" t="str">
            <v>Juni</v>
          </cell>
          <cell r="F3476">
            <v>650029</v>
          </cell>
          <cell r="G3476" t="str">
            <v>Juni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</row>
        <row r="3477">
          <cell r="B3477">
            <v>650029</v>
          </cell>
          <cell r="C3477" t="str">
            <v>Sumbangan</v>
          </cell>
          <cell r="D3477" t="str">
            <v>Juli</v>
          </cell>
          <cell r="F3477">
            <v>650029</v>
          </cell>
          <cell r="G3477" t="str">
            <v>Juli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456800</v>
          </cell>
          <cell r="AA3477">
            <v>0</v>
          </cell>
          <cell r="AB3477">
            <v>456800</v>
          </cell>
          <cell r="AC3477">
            <v>0</v>
          </cell>
          <cell r="AD3477">
            <v>456800</v>
          </cell>
          <cell r="AE3477">
            <v>0</v>
          </cell>
        </row>
        <row r="3478">
          <cell r="B3478">
            <v>650029</v>
          </cell>
          <cell r="C3478" t="str">
            <v>Sumbangan</v>
          </cell>
          <cell r="D3478" t="str">
            <v>Agustus</v>
          </cell>
          <cell r="F3478">
            <v>650029</v>
          </cell>
          <cell r="G3478" t="str">
            <v>Agustus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600000</v>
          </cell>
          <cell r="AA3478">
            <v>0</v>
          </cell>
          <cell r="AB3478">
            <v>600000</v>
          </cell>
          <cell r="AC3478">
            <v>0</v>
          </cell>
          <cell r="AD3478">
            <v>600000</v>
          </cell>
          <cell r="AE3478">
            <v>0</v>
          </cell>
        </row>
        <row r="3479">
          <cell r="B3479">
            <v>650029</v>
          </cell>
          <cell r="C3479" t="str">
            <v>Sumbangan</v>
          </cell>
          <cell r="D3479" t="str">
            <v>September</v>
          </cell>
          <cell r="F3479">
            <v>650029</v>
          </cell>
          <cell r="G3479" t="str">
            <v>September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</row>
        <row r="3480">
          <cell r="B3480">
            <v>650029</v>
          </cell>
          <cell r="C3480" t="str">
            <v>Sumbangan</v>
          </cell>
          <cell r="D3480" t="str">
            <v>Oktober</v>
          </cell>
          <cell r="F3480">
            <v>650029</v>
          </cell>
          <cell r="G3480" t="str">
            <v>Oktober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240000</v>
          </cell>
          <cell r="AA3480">
            <v>0</v>
          </cell>
          <cell r="AB3480">
            <v>240000</v>
          </cell>
          <cell r="AC3480">
            <v>0</v>
          </cell>
          <cell r="AD3480">
            <v>240000</v>
          </cell>
          <cell r="AE3480">
            <v>0</v>
          </cell>
        </row>
        <row r="3481">
          <cell r="B3481">
            <v>650029</v>
          </cell>
          <cell r="C3481" t="str">
            <v>Sumbangan</v>
          </cell>
          <cell r="D3481" t="str">
            <v>November</v>
          </cell>
          <cell r="F3481">
            <v>650029</v>
          </cell>
          <cell r="G3481" t="str">
            <v>November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</row>
        <row r="3482">
          <cell r="B3482">
            <v>650029</v>
          </cell>
          <cell r="C3482" t="str">
            <v>Sumbangan</v>
          </cell>
          <cell r="D3482" t="str">
            <v>Desember</v>
          </cell>
          <cell r="F3482">
            <v>650029</v>
          </cell>
          <cell r="G3482" t="str">
            <v>Desember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</row>
        <row r="3483">
          <cell r="B3483">
            <v>650031</v>
          </cell>
          <cell r="C3483" t="str">
            <v>Seragam Karyawan</v>
          </cell>
          <cell r="E3483">
            <v>650.03099999999995</v>
          </cell>
          <cell r="F3483">
            <v>650031</v>
          </cell>
          <cell r="G3483" t="str">
            <v>Seragam Karyawan</v>
          </cell>
          <cell r="H3483">
            <v>11535000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702000</v>
          </cell>
          <cell r="AA3483">
            <v>0</v>
          </cell>
          <cell r="AB3483">
            <v>12237000</v>
          </cell>
          <cell r="AC3483">
            <v>0</v>
          </cell>
          <cell r="AD3483">
            <v>702000</v>
          </cell>
          <cell r="AE3483">
            <v>0</v>
          </cell>
        </row>
        <row r="3484">
          <cell r="B3484">
            <v>650031</v>
          </cell>
          <cell r="C3484" t="str">
            <v>Seragam Karyawan</v>
          </cell>
          <cell r="D3484" t="str">
            <v>Januari</v>
          </cell>
          <cell r="F3484">
            <v>650031</v>
          </cell>
          <cell r="G3484" t="str">
            <v>Januari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102000</v>
          </cell>
          <cell r="AA3484">
            <v>0</v>
          </cell>
          <cell r="AB3484">
            <v>102000</v>
          </cell>
          <cell r="AC3484">
            <v>0</v>
          </cell>
          <cell r="AD3484">
            <v>102000</v>
          </cell>
          <cell r="AE3484">
            <v>0</v>
          </cell>
        </row>
        <row r="3485">
          <cell r="B3485">
            <v>650031</v>
          </cell>
          <cell r="C3485" t="str">
            <v>Seragam Karyawan</v>
          </cell>
          <cell r="D3485" t="str">
            <v>Februari</v>
          </cell>
          <cell r="F3485">
            <v>650031</v>
          </cell>
          <cell r="G3485" t="str">
            <v>Februari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600000</v>
          </cell>
          <cell r="AA3485">
            <v>0</v>
          </cell>
          <cell r="AB3485">
            <v>600000</v>
          </cell>
          <cell r="AC3485">
            <v>0</v>
          </cell>
          <cell r="AD3485">
            <v>600000</v>
          </cell>
          <cell r="AE3485">
            <v>0</v>
          </cell>
        </row>
        <row r="3486">
          <cell r="B3486">
            <v>650031</v>
          </cell>
          <cell r="C3486" t="str">
            <v>Seragam Karyawan</v>
          </cell>
          <cell r="D3486" t="str">
            <v>Maret</v>
          </cell>
          <cell r="F3486">
            <v>650031</v>
          </cell>
          <cell r="G3486" t="str">
            <v>Maret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</row>
        <row r="3487">
          <cell r="B3487">
            <v>650031</v>
          </cell>
          <cell r="C3487" t="str">
            <v>Seragam Karyawan</v>
          </cell>
          <cell r="D3487" t="str">
            <v>April</v>
          </cell>
          <cell r="F3487">
            <v>650031</v>
          </cell>
          <cell r="G3487" t="str">
            <v>April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</row>
        <row r="3488">
          <cell r="B3488">
            <v>650031</v>
          </cell>
          <cell r="C3488" t="str">
            <v>Seragam Karyawan</v>
          </cell>
          <cell r="D3488" t="str">
            <v>Mei</v>
          </cell>
          <cell r="F3488">
            <v>650031</v>
          </cell>
          <cell r="G3488" t="str">
            <v>Mei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</row>
        <row r="3489">
          <cell r="B3489">
            <v>650031</v>
          </cell>
          <cell r="C3489" t="str">
            <v>Seragam Karyawan</v>
          </cell>
          <cell r="D3489" t="str">
            <v>Juni</v>
          </cell>
          <cell r="F3489">
            <v>650031</v>
          </cell>
          <cell r="G3489" t="str">
            <v>Juni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</row>
        <row r="3490">
          <cell r="B3490">
            <v>650031</v>
          </cell>
          <cell r="C3490" t="str">
            <v>Seragam Karyawan</v>
          </cell>
          <cell r="D3490" t="str">
            <v>Juli</v>
          </cell>
          <cell r="F3490">
            <v>650031</v>
          </cell>
          <cell r="G3490" t="str">
            <v>Juli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</row>
        <row r="3491">
          <cell r="B3491">
            <v>650031</v>
          </cell>
          <cell r="C3491" t="str">
            <v>Seragam Karyawan</v>
          </cell>
          <cell r="D3491" t="str">
            <v>Agustus</v>
          </cell>
          <cell r="F3491">
            <v>650031</v>
          </cell>
          <cell r="G3491" t="str">
            <v>Agustus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</row>
        <row r="3492">
          <cell r="B3492">
            <v>650031</v>
          </cell>
          <cell r="C3492" t="str">
            <v>Seragam Karyawan</v>
          </cell>
          <cell r="D3492" t="str">
            <v>September</v>
          </cell>
          <cell r="F3492">
            <v>650031</v>
          </cell>
          <cell r="G3492" t="str">
            <v>September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</row>
        <row r="3493">
          <cell r="B3493">
            <v>650031</v>
          </cell>
          <cell r="C3493" t="str">
            <v>Seragam Karyawan</v>
          </cell>
          <cell r="D3493" t="str">
            <v>Oktober</v>
          </cell>
          <cell r="F3493">
            <v>650031</v>
          </cell>
          <cell r="G3493" t="str">
            <v>Oktober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</row>
        <row r="3494">
          <cell r="B3494">
            <v>650031</v>
          </cell>
          <cell r="C3494" t="str">
            <v>Seragam Karyawan</v>
          </cell>
          <cell r="D3494" t="str">
            <v>November</v>
          </cell>
          <cell r="F3494">
            <v>650031</v>
          </cell>
          <cell r="G3494" t="str">
            <v>November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</row>
        <row r="3495">
          <cell r="B3495">
            <v>650031</v>
          </cell>
          <cell r="C3495" t="str">
            <v>Seragam Karyawan</v>
          </cell>
          <cell r="D3495" t="str">
            <v>Desember</v>
          </cell>
          <cell r="F3495">
            <v>650031</v>
          </cell>
          <cell r="G3495" t="str">
            <v>Desember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</row>
        <row r="3496">
          <cell r="B3496">
            <v>650030</v>
          </cell>
          <cell r="C3496" t="str">
            <v>Tunjangan Duka &amp; Nikah</v>
          </cell>
          <cell r="E3496">
            <v>650.03</v>
          </cell>
          <cell r="F3496">
            <v>650030</v>
          </cell>
          <cell r="G3496" t="str">
            <v>Tunjangan Duka &amp; Nikah</v>
          </cell>
          <cell r="H3496">
            <v>2330000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2350000</v>
          </cell>
          <cell r="AA3496">
            <v>0</v>
          </cell>
          <cell r="AB3496">
            <v>4680000</v>
          </cell>
          <cell r="AC3496">
            <v>0</v>
          </cell>
          <cell r="AD3496">
            <v>2350000</v>
          </cell>
          <cell r="AE3496">
            <v>0</v>
          </cell>
        </row>
        <row r="3497">
          <cell r="B3497">
            <v>650030</v>
          </cell>
          <cell r="C3497" t="str">
            <v>Tunjangan Duka &amp; Nikah</v>
          </cell>
          <cell r="D3497" t="str">
            <v>Januari</v>
          </cell>
          <cell r="F3497">
            <v>650030</v>
          </cell>
          <cell r="G3497" t="str">
            <v>Januari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</row>
        <row r="3498">
          <cell r="B3498">
            <v>650030</v>
          </cell>
          <cell r="C3498" t="str">
            <v>Tunjangan Duka &amp; Nikah</v>
          </cell>
          <cell r="D3498" t="str">
            <v>Februari</v>
          </cell>
          <cell r="F3498">
            <v>650030</v>
          </cell>
          <cell r="G3498" t="str">
            <v>Februari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500000</v>
          </cell>
          <cell r="AA3498">
            <v>0</v>
          </cell>
          <cell r="AB3498">
            <v>500000</v>
          </cell>
          <cell r="AC3498">
            <v>0</v>
          </cell>
          <cell r="AD3498">
            <v>500000</v>
          </cell>
          <cell r="AE3498">
            <v>0</v>
          </cell>
        </row>
        <row r="3499">
          <cell r="B3499">
            <v>650030</v>
          </cell>
          <cell r="C3499" t="str">
            <v>Tunjangan Duka &amp; Nikah</v>
          </cell>
          <cell r="D3499" t="str">
            <v>Maret</v>
          </cell>
          <cell r="F3499">
            <v>650030</v>
          </cell>
          <cell r="G3499" t="str">
            <v>Maret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500000</v>
          </cell>
          <cell r="AA3499">
            <v>0</v>
          </cell>
          <cell r="AB3499">
            <v>500000</v>
          </cell>
          <cell r="AC3499">
            <v>0</v>
          </cell>
          <cell r="AD3499">
            <v>500000</v>
          </cell>
          <cell r="AE3499">
            <v>0</v>
          </cell>
        </row>
        <row r="3500">
          <cell r="B3500">
            <v>650030</v>
          </cell>
          <cell r="C3500" t="str">
            <v>Tunjangan Duka &amp; Nikah</v>
          </cell>
          <cell r="D3500" t="str">
            <v>April</v>
          </cell>
          <cell r="F3500">
            <v>650030</v>
          </cell>
          <cell r="G3500" t="str">
            <v>April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</row>
        <row r="3501">
          <cell r="B3501">
            <v>650030</v>
          </cell>
          <cell r="C3501" t="str">
            <v>Tunjangan Duka &amp; Nikah</v>
          </cell>
          <cell r="D3501" t="str">
            <v>Mei</v>
          </cell>
          <cell r="F3501">
            <v>650030</v>
          </cell>
          <cell r="G3501" t="str">
            <v>Mei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300000</v>
          </cell>
          <cell r="AA3501">
            <v>0</v>
          </cell>
          <cell r="AB3501">
            <v>300000</v>
          </cell>
          <cell r="AC3501">
            <v>0</v>
          </cell>
          <cell r="AD3501">
            <v>300000</v>
          </cell>
          <cell r="AE3501">
            <v>0</v>
          </cell>
        </row>
        <row r="3502">
          <cell r="B3502">
            <v>650030</v>
          </cell>
          <cell r="C3502" t="str">
            <v>Tunjangan Duka &amp; Nikah</v>
          </cell>
          <cell r="D3502" t="str">
            <v>Juni</v>
          </cell>
          <cell r="F3502">
            <v>650030</v>
          </cell>
          <cell r="G3502" t="str">
            <v>Juni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150000</v>
          </cell>
          <cell r="AA3502">
            <v>0</v>
          </cell>
          <cell r="AB3502">
            <v>150000</v>
          </cell>
          <cell r="AC3502">
            <v>0</v>
          </cell>
          <cell r="AD3502">
            <v>150000</v>
          </cell>
          <cell r="AE3502">
            <v>0</v>
          </cell>
        </row>
        <row r="3503">
          <cell r="B3503">
            <v>650030</v>
          </cell>
          <cell r="C3503" t="str">
            <v>Tunjangan Duka &amp; Nikah</v>
          </cell>
          <cell r="D3503" t="str">
            <v>Juli</v>
          </cell>
          <cell r="F3503">
            <v>650030</v>
          </cell>
          <cell r="G3503" t="str">
            <v>Juli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150000</v>
          </cell>
          <cell r="AA3503">
            <v>0</v>
          </cell>
          <cell r="AB3503">
            <v>150000</v>
          </cell>
          <cell r="AC3503">
            <v>0</v>
          </cell>
          <cell r="AD3503">
            <v>150000</v>
          </cell>
          <cell r="AE3503">
            <v>0</v>
          </cell>
        </row>
        <row r="3504">
          <cell r="B3504">
            <v>650030</v>
          </cell>
          <cell r="C3504" t="str">
            <v>Tunjangan Duka &amp; Nikah</v>
          </cell>
          <cell r="D3504" t="str">
            <v>Agustus</v>
          </cell>
          <cell r="F3504">
            <v>650030</v>
          </cell>
          <cell r="G3504" t="str">
            <v>Agustus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</row>
        <row r="3505">
          <cell r="B3505">
            <v>650030</v>
          </cell>
          <cell r="C3505" t="str">
            <v>Tunjangan Duka &amp; Nikah</v>
          </cell>
          <cell r="D3505" t="str">
            <v>September</v>
          </cell>
          <cell r="F3505">
            <v>650030</v>
          </cell>
          <cell r="G3505" t="str">
            <v>September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</row>
        <row r="3506">
          <cell r="B3506">
            <v>650030</v>
          </cell>
          <cell r="C3506" t="str">
            <v>Tunjangan Duka &amp; Nikah</v>
          </cell>
          <cell r="D3506" t="str">
            <v>Oktober</v>
          </cell>
          <cell r="F3506">
            <v>650030</v>
          </cell>
          <cell r="G3506" t="str">
            <v>Oktober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</row>
        <row r="3507">
          <cell r="B3507">
            <v>650030</v>
          </cell>
          <cell r="C3507" t="str">
            <v>Tunjangan Duka &amp; Nikah</v>
          </cell>
          <cell r="D3507" t="str">
            <v>November</v>
          </cell>
          <cell r="F3507">
            <v>650030</v>
          </cell>
          <cell r="G3507" t="str">
            <v>November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250000</v>
          </cell>
          <cell r="AA3507">
            <v>0</v>
          </cell>
          <cell r="AB3507">
            <v>250000</v>
          </cell>
          <cell r="AC3507">
            <v>0</v>
          </cell>
          <cell r="AD3507">
            <v>250000</v>
          </cell>
          <cell r="AE3507">
            <v>0</v>
          </cell>
        </row>
        <row r="3508">
          <cell r="B3508">
            <v>650030</v>
          </cell>
          <cell r="C3508" t="str">
            <v>Tunjangan Duka &amp; Nikah</v>
          </cell>
          <cell r="D3508" t="str">
            <v>Desember</v>
          </cell>
          <cell r="F3508">
            <v>650030</v>
          </cell>
          <cell r="G3508" t="str">
            <v>Desember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500000</v>
          </cell>
          <cell r="AA3508">
            <v>0</v>
          </cell>
          <cell r="AB3508">
            <v>500000</v>
          </cell>
          <cell r="AC3508">
            <v>0</v>
          </cell>
          <cell r="AD3508">
            <v>500000</v>
          </cell>
          <cell r="AE3508">
            <v>0</v>
          </cell>
        </row>
        <row r="3509">
          <cell r="B3509">
            <v>650032</v>
          </cell>
          <cell r="C3509" t="str">
            <v xml:space="preserve">Clearend </v>
          </cell>
          <cell r="E3509">
            <v>650.03200000000004</v>
          </cell>
          <cell r="F3509">
            <v>650032</v>
          </cell>
          <cell r="G3509" t="str">
            <v xml:space="preserve">Clearend </v>
          </cell>
          <cell r="H3509">
            <v>6600000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20880000</v>
          </cell>
          <cell r="AA3509">
            <v>0</v>
          </cell>
          <cell r="AB3509">
            <v>27480000</v>
          </cell>
          <cell r="AC3509">
            <v>0</v>
          </cell>
          <cell r="AD3509">
            <v>20880000</v>
          </cell>
          <cell r="AE3509">
            <v>0</v>
          </cell>
        </row>
        <row r="3510">
          <cell r="B3510">
            <v>650032</v>
          </cell>
          <cell r="C3510" t="str">
            <v xml:space="preserve">Clearend </v>
          </cell>
          <cell r="D3510" t="str">
            <v>Januari</v>
          </cell>
          <cell r="F3510">
            <v>650032</v>
          </cell>
          <cell r="G3510" t="str">
            <v>Januari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</row>
        <row r="3511">
          <cell r="B3511">
            <v>650032</v>
          </cell>
          <cell r="C3511" t="str">
            <v xml:space="preserve">Clearend </v>
          </cell>
          <cell r="D3511" t="str">
            <v>Februari</v>
          </cell>
          <cell r="F3511">
            <v>650032</v>
          </cell>
          <cell r="G3511" t="str">
            <v>Februari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</row>
        <row r="3512">
          <cell r="B3512">
            <v>650032</v>
          </cell>
          <cell r="C3512" t="str">
            <v xml:space="preserve">Clearend </v>
          </cell>
          <cell r="D3512" t="str">
            <v>Maret</v>
          </cell>
          <cell r="F3512">
            <v>650032</v>
          </cell>
          <cell r="G3512" t="str">
            <v>Maret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</row>
        <row r="3513">
          <cell r="B3513">
            <v>650032</v>
          </cell>
          <cell r="C3513" t="str">
            <v xml:space="preserve">Clearend </v>
          </cell>
          <cell r="D3513" t="str">
            <v>April</v>
          </cell>
          <cell r="F3513">
            <v>650032</v>
          </cell>
          <cell r="G3513" t="str">
            <v>April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</row>
        <row r="3514">
          <cell r="B3514">
            <v>650032</v>
          </cell>
          <cell r="C3514" t="str">
            <v xml:space="preserve">Clearend </v>
          </cell>
          <cell r="D3514" t="str">
            <v>Mei</v>
          </cell>
          <cell r="F3514">
            <v>650032</v>
          </cell>
          <cell r="G3514" t="str">
            <v>Mei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</row>
        <row r="3515">
          <cell r="B3515">
            <v>650032</v>
          </cell>
          <cell r="C3515" t="str">
            <v xml:space="preserve">Clearend </v>
          </cell>
          <cell r="D3515" t="str">
            <v>Juni</v>
          </cell>
          <cell r="F3515">
            <v>650032</v>
          </cell>
          <cell r="G3515" t="str">
            <v>Juni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</row>
        <row r="3516">
          <cell r="B3516">
            <v>650032</v>
          </cell>
          <cell r="C3516" t="str">
            <v xml:space="preserve">Clearend </v>
          </cell>
          <cell r="D3516" t="str">
            <v>Juli</v>
          </cell>
          <cell r="F3516">
            <v>650032</v>
          </cell>
          <cell r="G3516" t="str">
            <v>Juli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</row>
        <row r="3517">
          <cell r="B3517">
            <v>650032</v>
          </cell>
          <cell r="C3517" t="str">
            <v xml:space="preserve">Clearend </v>
          </cell>
          <cell r="D3517" t="str">
            <v>Agustus</v>
          </cell>
          <cell r="F3517">
            <v>650032</v>
          </cell>
          <cell r="G3517" t="str">
            <v>Agustus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</row>
        <row r="3518">
          <cell r="B3518">
            <v>650032</v>
          </cell>
          <cell r="C3518" t="str">
            <v xml:space="preserve">Clearend </v>
          </cell>
          <cell r="D3518" t="str">
            <v>September</v>
          </cell>
          <cell r="F3518">
            <v>650032</v>
          </cell>
          <cell r="G3518" t="str">
            <v>September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</row>
        <row r="3519">
          <cell r="B3519">
            <v>650032</v>
          </cell>
          <cell r="C3519" t="str">
            <v xml:space="preserve">Clearend </v>
          </cell>
          <cell r="D3519" t="str">
            <v>Oktober</v>
          </cell>
          <cell r="F3519">
            <v>650032</v>
          </cell>
          <cell r="G3519" t="str">
            <v>Oktober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</row>
        <row r="3520">
          <cell r="B3520">
            <v>650032</v>
          </cell>
          <cell r="C3520" t="str">
            <v xml:space="preserve">Clearend </v>
          </cell>
          <cell r="D3520" t="str">
            <v>November</v>
          </cell>
          <cell r="F3520">
            <v>650032</v>
          </cell>
          <cell r="G3520" t="str">
            <v>November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</row>
        <row r="3521">
          <cell r="B3521">
            <v>650032</v>
          </cell>
          <cell r="C3521" t="str">
            <v xml:space="preserve">Clearend </v>
          </cell>
          <cell r="D3521" t="str">
            <v>Desember</v>
          </cell>
          <cell r="F3521">
            <v>650032</v>
          </cell>
          <cell r="G3521" t="str">
            <v>Desember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20880000</v>
          </cell>
          <cell r="AA3521">
            <v>0</v>
          </cell>
          <cell r="AB3521">
            <v>20880000</v>
          </cell>
          <cell r="AC3521">
            <v>0</v>
          </cell>
          <cell r="AD3521">
            <v>20880000</v>
          </cell>
          <cell r="AE3521">
            <v>0</v>
          </cell>
        </row>
        <row r="3522">
          <cell r="B3522">
            <v>650033</v>
          </cell>
          <cell r="C3522" t="str">
            <v>Pendidikan &amp; Pelatihan</v>
          </cell>
          <cell r="E3522">
            <v>650.03300000000002</v>
          </cell>
          <cell r="F3522">
            <v>650033</v>
          </cell>
          <cell r="G3522" t="str">
            <v>Pendidikan &amp; Pelatihan</v>
          </cell>
          <cell r="H3522">
            <v>21607700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13708000</v>
          </cell>
          <cell r="AA3522">
            <v>0</v>
          </cell>
          <cell r="AB3522">
            <v>35315700</v>
          </cell>
          <cell r="AC3522">
            <v>0</v>
          </cell>
          <cell r="AD3522">
            <v>13708000</v>
          </cell>
          <cell r="AE3522">
            <v>0</v>
          </cell>
        </row>
        <row r="3523">
          <cell r="B3523">
            <v>650033</v>
          </cell>
          <cell r="C3523" t="str">
            <v>Pendidikan &amp; Pelatihan</v>
          </cell>
          <cell r="D3523" t="str">
            <v>Januari</v>
          </cell>
          <cell r="F3523">
            <v>650033</v>
          </cell>
          <cell r="G3523" t="str">
            <v>Januari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</row>
        <row r="3524">
          <cell r="B3524">
            <v>650033</v>
          </cell>
          <cell r="C3524" t="str">
            <v>Pendidikan &amp; Pelatihan</v>
          </cell>
          <cell r="D3524" t="str">
            <v>Februari</v>
          </cell>
          <cell r="F3524">
            <v>650033</v>
          </cell>
          <cell r="G3524" t="str">
            <v>Februari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3633000</v>
          </cell>
          <cell r="AA3524">
            <v>0</v>
          </cell>
          <cell r="AB3524">
            <v>3633000</v>
          </cell>
          <cell r="AC3524">
            <v>0</v>
          </cell>
          <cell r="AD3524">
            <v>3633000</v>
          </cell>
          <cell r="AE3524">
            <v>0</v>
          </cell>
        </row>
        <row r="3525">
          <cell r="B3525">
            <v>650033</v>
          </cell>
          <cell r="C3525" t="str">
            <v>Pendidikan &amp; Pelatihan</v>
          </cell>
          <cell r="D3525" t="str">
            <v>Maret</v>
          </cell>
          <cell r="F3525">
            <v>650033</v>
          </cell>
          <cell r="G3525" t="str">
            <v>Maret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</row>
        <row r="3526">
          <cell r="B3526">
            <v>650033</v>
          </cell>
          <cell r="C3526" t="str">
            <v>Pendidikan &amp; Pelatihan</v>
          </cell>
          <cell r="D3526" t="str">
            <v>April</v>
          </cell>
          <cell r="F3526">
            <v>650033</v>
          </cell>
          <cell r="G3526" t="str">
            <v>April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5630000</v>
          </cell>
          <cell r="AA3526">
            <v>0</v>
          </cell>
          <cell r="AB3526">
            <v>5630000</v>
          </cell>
          <cell r="AC3526">
            <v>0</v>
          </cell>
          <cell r="AD3526">
            <v>5630000</v>
          </cell>
          <cell r="AE3526">
            <v>0</v>
          </cell>
        </row>
        <row r="3527">
          <cell r="B3527">
            <v>650033</v>
          </cell>
          <cell r="C3527" t="str">
            <v>Pendidikan &amp; Pelatihan</v>
          </cell>
          <cell r="D3527" t="str">
            <v>Mei</v>
          </cell>
          <cell r="F3527">
            <v>650033</v>
          </cell>
          <cell r="G3527" t="str">
            <v>Mei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135000</v>
          </cell>
          <cell r="AA3527">
            <v>0</v>
          </cell>
          <cell r="AB3527">
            <v>135000</v>
          </cell>
          <cell r="AC3527">
            <v>0</v>
          </cell>
          <cell r="AD3527">
            <v>135000</v>
          </cell>
          <cell r="AE3527">
            <v>0</v>
          </cell>
        </row>
        <row r="3528">
          <cell r="B3528">
            <v>650033</v>
          </cell>
          <cell r="C3528" t="str">
            <v>Pendidikan &amp; Pelatihan</v>
          </cell>
          <cell r="D3528" t="str">
            <v>Juni</v>
          </cell>
          <cell r="F3528">
            <v>650033</v>
          </cell>
          <cell r="G3528" t="str">
            <v>Juni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4010000</v>
          </cell>
          <cell r="AA3528">
            <v>0</v>
          </cell>
          <cell r="AB3528">
            <v>4010000</v>
          </cell>
          <cell r="AC3528">
            <v>0</v>
          </cell>
          <cell r="AD3528">
            <v>4010000</v>
          </cell>
          <cell r="AE3528">
            <v>0</v>
          </cell>
        </row>
        <row r="3529">
          <cell r="B3529">
            <v>650033</v>
          </cell>
          <cell r="C3529" t="str">
            <v>Pendidikan &amp; Pelatihan</v>
          </cell>
          <cell r="D3529" t="str">
            <v>Juli</v>
          </cell>
          <cell r="F3529">
            <v>650033</v>
          </cell>
          <cell r="G3529" t="str">
            <v>Juli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</row>
        <row r="3530">
          <cell r="B3530">
            <v>650033</v>
          </cell>
          <cell r="C3530" t="str">
            <v>Pendidikan &amp; Pelatihan</v>
          </cell>
          <cell r="D3530" t="str">
            <v>Agustus</v>
          </cell>
          <cell r="F3530">
            <v>650033</v>
          </cell>
          <cell r="G3530" t="str">
            <v>Agustus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300000</v>
          </cell>
          <cell r="AA3530">
            <v>0</v>
          </cell>
          <cell r="AB3530">
            <v>300000</v>
          </cell>
          <cell r="AC3530">
            <v>0</v>
          </cell>
          <cell r="AD3530">
            <v>300000</v>
          </cell>
          <cell r="AE3530">
            <v>0</v>
          </cell>
        </row>
        <row r="3531">
          <cell r="B3531">
            <v>650033</v>
          </cell>
          <cell r="C3531" t="str">
            <v>Pendidikan &amp; Pelatihan</v>
          </cell>
          <cell r="D3531" t="str">
            <v>September</v>
          </cell>
          <cell r="F3531">
            <v>650033</v>
          </cell>
          <cell r="G3531" t="str">
            <v>September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</row>
        <row r="3532">
          <cell r="B3532">
            <v>650033</v>
          </cell>
          <cell r="C3532" t="str">
            <v>Pendidikan &amp; Pelatihan</v>
          </cell>
          <cell r="D3532" t="str">
            <v>Oktober</v>
          </cell>
          <cell r="F3532">
            <v>650033</v>
          </cell>
          <cell r="G3532" t="str">
            <v>Oktober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</row>
        <row r="3533">
          <cell r="B3533">
            <v>650033</v>
          </cell>
          <cell r="C3533" t="str">
            <v>Pendidikan &amp; Pelatihan</v>
          </cell>
          <cell r="D3533" t="str">
            <v>November</v>
          </cell>
          <cell r="F3533">
            <v>650033</v>
          </cell>
          <cell r="G3533" t="str">
            <v>November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</row>
        <row r="3534">
          <cell r="B3534">
            <v>650033</v>
          </cell>
          <cell r="C3534" t="str">
            <v>Pendidikan &amp; Pelatihan</v>
          </cell>
          <cell r="D3534" t="str">
            <v>Desember</v>
          </cell>
          <cell r="F3534">
            <v>650033</v>
          </cell>
          <cell r="G3534" t="str">
            <v>Desember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</row>
        <row r="3535">
          <cell r="B3535">
            <v>650016</v>
          </cell>
          <cell r="C3535" t="str">
            <v>Insentif</v>
          </cell>
          <cell r="E3535">
            <v>650.01599999999996</v>
          </cell>
          <cell r="F3535">
            <v>650016</v>
          </cell>
          <cell r="G3535" t="str">
            <v>Insentif</v>
          </cell>
          <cell r="H3535">
            <v>2258500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1500000</v>
          </cell>
          <cell r="AA3535">
            <v>0</v>
          </cell>
          <cell r="AB3535">
            <v>3758500</v>
          </cell>
          <cell r="AC3535">
            <v>0</v>
          </cell>
          <cell r="AD3535">
            <v>1500000</v>
          </cell>
          <cell r="AE3535">
            <v>0</v>
          </cell>
        </row>
        <row r="3536">
          <cell r="B3536">
            <v>650016</v>
          </cell>
          <cell r="C3536" t="str">
            <v>Insentif</v>
          </cell>
          <cell r="D3536" t="str">
            <v>Januari</v>
          </cell>
          <cell r="F3536">
            <v>650016</v>
          </cell>
          <cell r="G3536" t="str">
            <v>Januari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</row>
        <row r="3537">
          <cell r="B3537">
            <v>650016</v>
          </cell>
          <cell r="C3537" t="str">
            <v>Insentif</v>
          </cell>
          <cell r="D3537" t="str">
            <v>Februari</v>
          </cell>
          <cell r="F3537">
            <v>650016</v>
          </cell>
          <cell r="G3537" t="str">
            <v>Februari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</row>
        <row r="3538">
          <cell r="B3538">
            <v>650016</v>
          </cell>
          <cell r="C3538" t="str">
            <v>Insentif</v>
          </cell>
          <cell r="D3538" t="str">
            <v>Maret</v>
          </cell>
          <cell r="F3538">
            <v>650016</v>
          </cell>
          <cell r="G3538" t="str">
            <v>Maret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</row>
        <row r="3539">
          <cell r="B3539">
            <v>650016</v>
          </cell>
          <cell r="C3539" t="str">
            <v>Insentif</v>
          </cell>
          <cell r="D3539" t="str">
            <v>April</v>
          </cell>
          <cell r="F3539">
            <v>650016</v>
          </cell>
          <cell r="G3539" t="str">
            <v>April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1500000</v>
          </cell>
          <cell r="AA3539">
            <v>0</v>
          </cell>
          <cell r="AB3539">
            <v>1500000</v>
          </cell>
          <cell r="AC3539">
            <v>0</v>
          </cell>
          <cell r="AD3539">
            <v>1500000</v>
          </cell>
          <cell r="AE3539">
            <v>0</v>
          </cell>
        </row>
        <row r="3540">
          <cell r="B3540">
            <v>650016</v>
          </cell>
          <cell r="C3540" t="str">
            <v>Insentif</v>
          </cell>
          <cell r="D3540" t="str">
            <v>Mei</v>
          </cell>
          <cell r="F3540">
            <v>650016</v>
          </cell>
          <cell r="G3540" t="str">
            <v>Mei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</row>
        <row r="3541">
          <cell r="B3541">
            <v>650016</v>
          </cell>
          <cell r="C3541" t="str">
            <v>Insentif</v>
          </cell>
          <cell r="D3541" t="str">
            <v>Juni</v>
          </cell>
          <cell r="F3541">
            <v>650016</v>
          </cell>
          <cell r="G3541" t="str">
            <v>Juni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</row>
        <row r="3542">
          <cell r="B3542">
            <v>650016</v>
          </cell>
          <cell r="C3542" t="str">
            <v>Insentif</v>
          </cell>
          <cell r="D3542" t="str">
            <v>Juli</v>
          </cell>
          <cell r="F3542">
            <v>650016</v>
          </cell>
          <cell r="G3542" t="str">
            <v>Juli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</row>
        <row r="3543">
          <cell r="B3543">
            <v>650016</v>
          </cell>
          <cell r="C3543" t="str">
            <v>Insentif</v>
          </cell>
          <cell r="D3543" t="str">
            <v>Agustus</v>
          </cell>
          <cell r="F3543">
            <v>650016</v>
          </cell>
          <cell r="G3543" t="str">
            <v>Agustus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</row>
        <row r="3544">
          <cell r="B3544">
            <v>650016</v>
          </cell>
          <cell r="C3544" t="str">
            <v>Insentif</v>
          </cell>
          <cell r="D3544" t="str">
            <v>September</v>
          </cell>
          <cell r="F3544">
            <v>650016</v>
          </cell>
          <cell r="G3544" t="str">
            <v>September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</row>
        <row r="3545">
          <cell r="B3545">
            <v>650016</v>
          </cell>
          <cell r="C3545" t="str">
            <v>Insentif</v>
          </cell>
          <cell r="D3545" t="str">
            <v>Oktober</v>
          </cell>
          <cell r="F3545">
            <v>650016</v>
          </cell>
          <cell r="G3545" t="str">
            <v>Oktober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</row>
        <row r="3546">
          <cell r="B3546">
            <v>650016</v>
          </cell>
          <cell r="C3546" t="str">
            <v>Insentif</v>
          </cell>
          <cell r="D3546" t="str">
            <v>November</v>
          </cell>
          <cell r="F3546">
            <v>650016</v>
          </cell>
          <cell r="G3546" t="str">
            <v>November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</row>
        <row r="3547">
          <cell r="B3547">
            <v>650016</v>
          </cell>
          <cell r="C3547" t="str">
            <v>Insentif</v>
          </cell>
          <cell r="D3547" t="str">
            <v>Desember</v>
          </cell>
          <cell r="F3547">
            <v>650016</v>
          </cell>
          <cell r="G3547" t="str">
            <v>Desember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</row>
        <row r="3548">
          <cell r="B3548">
            <v>650035</v>
          </cell>
          <cell r="C3548" t="str">
            <v>Iklan dan Promosi</v>
          </cell>
          <cell r="E3548">
            <v>650.03499999999997</v>
          </cell>
          <cell r="F3548">
            <v>650035</v>
          </cell>
          <cell r="G3548" t="str">
            <v>Iklan dan Promosi</v>
          </cell>
          <cell r="H3548">
            <v>14491500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10303400</v>
          </cell>
          <cell r="AA3548">
            <v>0</v>
          </cell>
          <cell r="AB3548">
            <v>24794900</v>
          </cell>
          <cell r="AC3548">
            <v>0</v>
          </cell>
          <cell r="AD3548">
            <v>10303400</v>
          </cell>
          <cell r="AE3548">
            <v>0</v>
          </cell>
        </row>
        <row r="3549">
          <cell r="B3549">
            <v>650035</v>
          </cell>
          <cell r="C3549" t="str">
            <v>Iklan dan Promosi</v>
          </cell>
          <cell r="D3549" t="str">
            <v>Januari</v>
          </cell>
          <cell r="F3549">
            <v>650035</v>
          </cell>
          <cell r="G3549" t="str">
            <v>Januari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511000</v>
          </cell>
          <cell r="AA3549">
            <v>0</v>
          </cell>
          <cell r="AB3549">
            <v>511000</v>
          </cell>
          <cell r="AC3549">
            <v>0</v>
          </cell>
          <cell r="AD3549">
            <v>511000</v>
          </cell>
          <cell r="AE3549">
            <v>0</v>
          </cell>
        </row>
        <row r="3550">
          <cell r="B3550">
            <v>650035</v>
          </cell>
          <cell r="C3550" t="str">
            <v>Iklan dan Promosi</v>
          </cell>
          <cell r="D3550" t="str">
            <v>Februari</v>
          </cell>
          <cell r="F3550">
            <v>650035</v>
          </cell>
          <cell r="G3550" t="str">
            <v>Februari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1371000</v>
          </cell>
          <cell r="AA3550">
            <v>0</v>
          </cell>
          <cell r="AB3550">
            <v>1371000</v>
          </cell>
          <cell r="AC3550">
            <v>0</v>
          </cell>
          <cell r="AD3550">
            <v>1371000</v>
          </cell>
          <cell r="AE3550">
            <v>0</v>
          </cell>
        </row>
        <row r="3551">
          <cell r="B3551">
            <v>650035</v>
          </cell>
          <cell r="C3551" t="str">
            <v>Iklan dan Promosi</v>
          </cell>
          <cell r="D3551" t="str">
            <v>Maret</v>
          </cell>
          <cell r="F3551">
            <v>650035</v>
          </cell>
          <cell r="G3551" t="str">
            <v>Maret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  <cell r="Z3551">
            <v>813000</v>
          </cell>
          <cell r="AA3551">
            <v>0</v>
          </cell>
          <cell r="AB3551">
            <v>813000</v>
          </cell>
          <cell r="AC3551">
            <v>0</v>
          </cell>
          <cell r="AD3551">
            <v>813000</v>
          </cell>
          <cell r="AE3551">
            <v>0</v>
          </cell>
        </row>
        <row r="3552">
          <cell r="B3552">
            <v>650035</v>
          </cell>
          <cell r="C3552" t="str">
            <v>Iklan dan Promosi</v>
          </cell>
          <cell r="D3552" t="str">
            <v>April</v>
          </cell>
          <cell r="F3552">
            <v>650035</v>
          </cell>
          <cell r="G3552" t="str">
            <v>April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680500</v>
          </cell>
          <cell r="AA3552">
            <v>0</v>
          </cell>
          <cell r="AB3552">
            <v>680500</v>
          </cell>
          <cell r="AC3552">
            <v>0</v>
          </cell>
          <cell r="AD3552">
            <v>680500</v>
          </cell>
          <cell r="AE3552">
            <v>0</v>
          </cell>
        </row>
        <row r="3553">
          <cell r="B3553">
            <v>650035</v>
          </cell>
          <cell r="C3553" t="str">
            <v>Iklan dan Promosi</v>
          </cell>
          <cell r="D3553" t="str">
            <v>Mei</v>
          </cell>
          <cell r="F3553">
            <v>650035</v>
          </cell>
          <cell r="G3553" t="str">
            <v>Mei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764500</v>
          </cell>
          <cell r="AA3553">
            <v>0</v>
          </cell>
          <cell r="AB3553">
            <v>764500</v>
          </cell>
          <cell r="AC3553">
            <v>0</v>
          </cell>
          <cell r="AD3553">
            <v>764500</v>
          </cell>
          <cell r="AE3553">
            <v>0</v>
          </cell>
        </row>
        <row r="3554">
          <cell r="B3554">
            <v>650035</v>
          </cell>
          <cell r="C3554" t="str">
            <v>Iklan dan Promosi</v>
          </cell>
          <cell r="D3554" t="str">
            <v>Juni</v>
          </cell>
          <cell r="F3554">
            <v>650035</v>
          </cell>
          <cell r="G3554" t="str">
            <v>Juni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1104500</v>
          </cell>
          <cell r="AA3554">
            <v>0</v>
          </cell>
          <cell r="AB3554">
            <v>1104500</v>
          </cell>
          <cell r="AC3554">
            <v>0</v>
          </cell>
          <cell r="AD3554">
            <v>1104500</v>
          </cell>
          <cell r="AE3554">
            <v>0</v>
          </cell>
        </row>
        <row r="3555">
          <cell r="B3555">
            <v>650035</v>
          </cell>
          <cell r="C3555" t="str">
            <v>Iklan dan Promosi</v>
          </cell>
          <cell r="D3555" t="str">
            <v>Juli</v>
          </cell>
          <cell r="F3555">
            <v>650035</v>
          </cell>
          <cell r="G3555" t="str">
            <v>Juli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</row>
        <row r="3556">
          <cell r="B3556">
            <v>650035</v>
          </cell>
          <cell r="C3556" t="str">
            <v>Iklan dan Promosi</v>
          </cell>
          <cell r="D3556" t="str">
            <v>Agustus</v>
          </cell>
          <cell r="F3556">
            <v>650035</v>
          </cell>
          <cell r="G3556" t="str">
            <v>Agustus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1124000</v>
          </cell>
          <cell r="AA3556">
            <v>0</v>
          </cell>
          <cell r="AB3556">
            <v>1124000</v>
          </cell>
          <cell r="AC3556">
            <v>0</v>
          </cell>
          <cell r="AD3556">
            <v>1124000</v>
          </cell>
          <cell r="AE3556">
            <v>0</v>
          </cell>
        </row>
        <row r="3557">
          <cell r="B3557">
            <v>650035</v>
          </cell>
          <cell r="C3557" t="str">
            <v>Iklan dan Promosi</v>
          </cell>
          <cell r="D3557" t="str">
            <v>September</v>
          </cell>
          <cell r="F3557">
            <v>650035</v>
          </cell>
          <cell r="G3557" t="str">
            <v>September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470000</v>
          </cell>
          <cell r="AA3557">
            <v>0</v>
          </cell>
          <cell r="AB3557">
            <v>470000</v>
          </cell>
          <cell r="AC3557">
            <v>0</v>
          </cell>
          <cell r="AD3557">
            <v>470000</v>
          </cell>
          <cell r="AE3557">
            <v>0</v>
          </cell>
        </row>
        <row r="3558">
          <cell r="B3558">
            <v>650035</v>
          </cell>
          <cell r="C3558" t="str">
            <v>Iklan dan Promosi</v>
          </cell>
          <cell r="D3558" t="str">
            <v>Oktober</v>
          </cell>
          <cell r="F3558">
            <v>650035</v>
          </cell>
          <cell r="G3558" t="str">
            <v>Oktober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2483500</v>
          </cell>
          <cell r="AA3558">
            <v>0</v>
          </cell>
          <cell r="AB3558">
            <v>2483500</v>
          </cell>
          <cell r="AC3558">
            <v>0</v>
          </cell>
          <cell r="AD3558">
            <v>2483500</v>
          </cell>
          <cell r="AE3558">
            <v>0</v>
          </cell>
        </row>
        <row r="3559">
          <cell r="B3559">
            <v>650035</v>
          </cell>
          <cell r="C3559" t="str">
            <v>Iklan dan Promosi</v>
          </cell>
          <cell r="D3559" t="str">
            <v>November</v>
          </cell>
          <cell r="F3559">
            <v>650035</v>
          </cell>
          <cell r="G3559" t="str">
            <v>November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562000</v>
          </cell>
          <cell r="AA3559">
            <v>0</v>
          </cell>
          <cell r="AB3559">
            <v>562000</v>
          </cell>
          <cell r="AC3559">
            <v>0</v>
          </cell>
          <cell r="AD3559">
            <v>562000</v>
          </cell>
          <cell r="AE3559">
            <v>0</v>
          </cell>
        </row>
        <row r="3560">
          <cell r="B3560">
            <v>650035</v>
          </cell>
          <cell r="C3560" t="str">
            <v>Iklan dan Promosi</v>
          </cell>
          <cell r="D3560" t="str">
            <v>Desember</v>
          </cell>
          <cell r="F3560">
            <v>650035</v>
          </cell>
          <cell r="G3560" t="str">
            <v>Desember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419400</v>
          </cell>
          <cell r="AA3560">
            <v>0</v>
          </cell>
          <cell r="AB3560">
            <v>419400</v>
          </cell>
          <cell r="AC3560">
            <v>0</v>
          </cell>
          <cell r="AD3560">
            <v>419400</v>
          </cell>
          <cell r="AE3560">
            <v>0</v>
          </cell>
        </row>
        <row r="3561">
          <cell r="B3561">
            <v>650036</v>
          </cell>
          <cell r="C3561" t="str">
            <v>Gaji Karyawan Harian</v>
          </cell>
          <cell r="E3561">
            <v>650.03599999999994</v>
          </cell>
          <cell r="F3561">
            <v>650036</v>
          </cell>
          <cell r="G3561" t="str">
            <v>Gaji Karyawan Harian</v>
          </cell>
          <cell r="H3561">
            <v>64735545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2700000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168894600</v>
          </cell>
          <cell r="AA3561">
            <v>0</v>
          </cell>
          <cell r="AB3561">
            <v>233630145</v>
          </cell>
          <cell r="AC3561">
            <v>2700000</v>
          </cell>
          <cell r="AD3561">
            <v>168894600</v>
          </cell>
          <cell r="AE3561">
            <v>2700000</v>
          </cell>
        </row>
        <row r="3562">
          <cell r="B3562">
            <v>650036</v>
          </cell>
          <cell r="C3562" t="str">
            <v>Gaji Karyawan Harian</v>
          </cell>
          <cell r="D3562" t="str">
            <v>Januari</v>
          </cell>
          <cell r="F3562">
            <v>650036</v>
          </cell>
          <cell r="G3562" t="str">
            <v>Januari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11110510</v>
          </cell>
          <cell r="AA3562">
            <v>0</v>
          </cell>
          <cell r="AB3562">
            <v>11110510</v>
          </cell>
          <cell r="AC3562">
            <v>0</v>
          </cell>
          <cell r="AD3562">
            <v>11110510</v>
          </cell>
          <cell r="AE3562">
            <v>0</v>
          </cell>
        </row>
        <row r="3563">
          <cell r="B3563">
            <v>650036</v>
          </cell>
          <cell r="C3563" t="str">
            <v>Gaji Karyawan Harian</v>
          </cell>
          <cell r="D3563" t="str">
            <v>Februari</v>
          </cell>
          <cell r="F3563">
            <v>650036</v>
          </cell>
          <cell r="G3563" t="str">
            <v>Februari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13986185</v>
          </cell>
          <cell r="AA3563">
            <v>0</v>
          </cell>
          <cell r="AB3563">
            <v>13986185</v>
          </cell>
          <cell r="AC3563">
            <v>0</v>
          </cell>
          <cell r="AD3563">
            <v>13986185</v>
          </cell>
          <cell r="AE3563">
            <v>0</v>
          </cell>
        </row>
        <row r="3564">
          <cell r="B3564">
            <v>650036</v>
          </cell>
          <cell r="C3564" t="str">
            <v>Gaji Karyawan Harian</v>
          </cell>
          <cell r="D3564" t="str">
            <v>Maret</v>
          </cell>
          <cell r="F3564">
            <v>650036</v>
          </cell>
          <cell r="G3564" t="str">
            <v>Maret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16768830</v>
          </cell>
          <cell r="AA3564">
            <v>0</v>
          </cell>
          <cell r="AB3564">
            <v>16768830</v>
          </cell>
          <cell r="AC3564">
            <v>0</v>
          </cell>
          <cell r="AD3564">
            <v>16768830</v>
          </cell>
          <cell r="AE3564">
            <v>0</v>
          </cell>
        </row>
        <row r="3565">
          <cell r="B3565">
            <v>650036</v>
          </cell>
          <cell r="C3565" t="str">
            <v>Gaji Karyawan Harian</v>
          </cell>
          <cell r="D3565" t="str">
            <v>April</v>
          </cell>
          <cell r="F3565">
            <v>650036</v>
          </cell>
          <cell r="G3565" t="str">
            <v>April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12987237</v>
          </cell>
          <cell r="AA3565">
            <v>0</v>
          </cell>
          <cell r="AB3565">
            <v>12987237</v>
          </cell>
          <cell r="AC3565">
            <v>0</v>
          </cell>
          <cell r="AD3565">
            <v>12987237</v>
          </cell>
          <cell r="AE3565">
            <v>0</v>
          </cell>
        </row>
        <row r="3566">
          <cell r="B3566">
            <v>650036</v>
          </cell>
          <cell r="C3566" t="str">
            <v>Gaji Karyawan Harian</v>
          </cell>
          <cell r="D3566" t="str">
            <v>Mei</v>
          </cell>
          <cell r="F3566">
            <v>650036</v>
          </cell>
          <cell r="G3566" t="str">
            <v>Mei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16054551</v>
          </cell>
          <cell r="AA3566">
            <v>0</v>
          </cell>
          <cell r="AB3566">
            <v>16054551</v>
          </cell>
          <cell r="AC3566">
            <v>0</v>
          </cell>
          <cell r="AD3566">
            <v>16054551</v>
          </cell>
          <cell r="AE3566">
            <v>0</v>
          </cell>
        </row>
        <row r="3567">
          <cell r="B3567">
            <v>650036</v>
          </cell>
          <cell r="C3567" t="str">
            <v>Gaji Karyawan Harian</v>
          </cell>
          <cell r="D3567" t="str">
            <v>Juni</v>
          </cell>
          <cell r="F3567">
            <v>650036</v>
          </cell>
          <cell r="G3567" t="str">
            <v>Juni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16069775</v>
          </cell>
          <cell r="AA3567">
            <v>0</v>
          </cell>
          <cell r="AB3567">
            <v>16069775</v>
          </cell>
          <cell r="AC3567">
            <v>0</v>
          </cell>
          <cell r="AD3567">
            <v>16069775</v>
          </cell>
          <cell r="AE3567">
            <v>0</v>
          </cell>
        </row>
        <row r="3568">
          <cell r="B3568">
            <v>650036</v>
          </cell>
          <cell r="C3568" t="str">
            <v>Gaji Karyawan Harian</v>
          </cell>
          <cell r="D3568" t="str">
            <v>Juli</v>
          </cell>
          <cell r="F3568">
            <v>650036</v>
          </cell>
          <cell r="G3568" t="str">
            <v>Juli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2700000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295000</v>
          </cell>
          <cell r="AA3568">
            <v>0</v>
          </cell>
          <cell r="AB3568">
            <v>295000</v>
          </cell>
          <cell r="AC3568">
            <v>2700000</v>
          </cell>
          <cell r="AD3568">
            <v>295000</v>
          </cell>
          <cell r="AE3568">
            <v>2700000</v>
          </cell>
        </row>
        <row r="3569">
          <cell r="B3569">
            <v>650036</v>
          </cell>
          <cell r="C3569" t="str">
            <v>Gaji Karyawan Harian</v>
          </cell>
          <cell r="D3569" t="str">
            <v>Agustus</v>
          </cell>
          <cell r="F3569">
            <v>650036</v>
          </cell>
          <cell r="G3569" t="str">
            <v>Agustus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16732719</v>
          </cell>
          <cell r="AA3569">
            <v>0</v>
          </cell>
          <cell r="AB3569">
            <v>16732719</v>
          </cell>
          <cell r="AC3569">
            <v>0</v>
          </cell>
          <cell r="AD3569">
            <v>16732719</v>
          </cell>
          <cell r="AE3569">
            <v>0</v>
          </cell>
        </row>
        <row r="3570">
          <cell r="B3570">
            <v>650036</v>
          </cell>
          <cell r="C3570" t="str">
            <v>Gaji Karyawan Harian</v>
          </cell>
          <cell r="D3570" t="str">
            <v>September</v>
          </cell>
          <cell r="F3570">
            <v>650036</v>
          </cell>
          <cell r="G3570" t="str">
            <v>September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16023090</v>
          </cell>
          <cell r="AA3570">
            <v>0</v>
          </cell>
          <cell r="AB3570">
            <v>16023090</v>
          </cell>
          <cell r="AC3570">
            <v>0</v>
          </cell>
          <cell r="AD3570">
            <v>16023090</v>
          </cell>
          <cell r="AE3570">
            <v>0</v>
          </cell>
        </row>
        <row r="3571">
          <cell r="B3571">
            <v>650036</v>
          </cell>
          <cell r="C3571" t="str">
            <v>Gaji Karyawan Harian</v>
          </cell>
          <cell r="D3571" t="str">
            <v>Oktober</v>
          </cell>
          <cell r="F3571">
            <v>650036</v>
          </cell>
          <cell r="G3571" t="str">
            <v>Oktober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15890138</v>
          </cell>
          <cell r="AA3571">
            <v>0</v>
          </cell>
          <cell r="AB3571">
            <v>15890138</v>
          </cell>
          <cell r="AC3571">
            <v>0</v>
          </cell>
          <cell r="AD3571">
            <v>15890138</v>
          </cell>
          <cell r="AE3571">
            <v>0</v>
          </cell>
        </row>
        <row r="3572">
          <cell r="B3572">
            <v>650036</v>
          </cell>
          <cell r="C3572" t="str">
            <v>Gaji Karyawan Harian</v>
          </cell>
          <cell r="D3572" t="str">
            <v>November</v>
          </cell>
          <cell r="F3572">
            <v>650036</v>
          </cell>
          <cell r="G3572" t="str">
            <v>November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18648219</v>
          </cell>
          <cell r="AA3572">
            <v>0</v>
          </cell>
          <cell r="AB3572">
            <v>18648219</v>
          </cell>
          <cell r="AC3572">
            <v>0</v>
          </cell>
          <cell r="AD3572">
            <v>18648219</v>
          </cell>
          <cell r="AE3572">
            <v>0</v>
          </cell>
        </row>
        <row r="3573">
          <cell r="B3573">
            <v>650036</v>
          </cell>
          <cell r="C3573" t="str">
            <v>Gaji Karyawan Harian</v>
          </cell>
          <cell r="D3573" t="str">
            <v>Desember</v>
          </cell>
          <cell r="F3573">
            <v>650036</v>
          </cell>
          <cell r="G3573" t="str">
            <v>Desember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14328346</v>
          </cell>
          <cell r="AA3573">
            <v>0</v>
          </cell>
          <cell r="AB3573">
            <v>14328346</v>
          </cell>
          <cell r="AC3573">
            <v>0</v>
          </cell>
          <cell r="AD3573">
            <v>14328346</v>
          </cell>
          <cell r="AE3573">
            <v>0</v>
          </cell>
        </row>
        <row r="3574">
          <cell r="B3574">
            <v>650034</v>
          </cell>
          <cell r="C3574" t="str">
            <v>Auditor</v>
          </cell>
          <cell r="E3574">
            <v>650.03399999999999</v>
          </cell>
          <cell r="F3574">
            <v>650034</v>
          </cell>
          <cell r="G3574" t="str">
            <v>Auditor</v>
          </cell>
          <cell r="H3574">
            <v>11794000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3750000</v>
          </cell>
          <cell r="AA3574">
            <v>0</v>
          </cell>
          <cell r="AB3574">
            <v>15544000</v>
          </cell>
          <cell r="AC3574">
            <v>0</v>
          </cell>
          <cell r="AD3574">
            <v>3750000</v>
          </cell>
          <cell r="AE3574">
            <v>0</v>
          </cell>
        </row>
        <row r="3575">
          <cell r="B3575">
            <v>650034</v>
          </cell>
          <cell r="C3575" t="str">
            <v>Auditor</v>
          </cell>
          <cell r="D3575" t="str">
            <v>Januari</v>
          </cell>
          <cell r="F3575">
            <v>650034</v>
          </cell>
          <cell r="G3575" t="str">
            <v>Januari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</row>
        <row r="3576">
          <cell r="B3576">
            <v>650034</v>
          </cell>
          <cell r="C3576" t="str">
            <v>Auditor</v>
          </cell>
          <cell r="D3576" t="str">
            <v>Februari</v>
          </cell>
          <cell r="F3576">
            <v>650034</v>
          </cell>
          <cell r="G3576" t="str">
            <v>Februari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</row>
        <row r="3577">
          <cell r="B3577">
            <v>650034</v>
          </cell>
          <cell r="C3577" t="str">
            <v>Auditor</v>
          </cell>
          <cell r="D3577" t="str">
            <v>Maret</v>
          </cell>
          <cell r="F3577">
            <v>650034</v>
          </cell>
          <cell r="G3577" t="str">
            <v>Maret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</row>
        <row r="3578">
          <cell r="B3578">
            <v>650034</v>
          </cell>
          <cell r="C3578" t="str">
            <v>Auditor</v>
          </cell>
          <cell r="D3578" t="str">
            <v>April</v>
          </cell>
          <cell r="F3578">
            <v>650034</v>
          </cell>
          <cell r="G3578" t="str">
            <v>April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</row>
        <row r="3579">
          <cell r="B3579">
            <v>650034</v>
          </cell>
          <cell r="C3579" t="str">
            <v>Auditor</v>
          </cell>
          <cell r="D3579" t="str">
            <v>Mei</v>
          </cell>
          <cell r="F3579">
            <v>650034</v>
          </cell>
          <cell r="G3579" t="str">
            <v>Mei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</row>
        <row r="3580">
          <cell r="B3580">
            <v>650034</v>
          </cell>
          <cell r="C3580" t="str">
            <v>Auditor</v>
          </cell>
          <cell r="D3580" t="str">
            <v>Juni</v>
          </cell>
          <cell r="F3580">
            <v>650034</v>
          </cell>
          <cell r="G3580" t="str">
            <v>Juni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3750000</v>
          </cell>
          <cell r="AA3580">
            <v>0</v>
          </cell>
          <cell r="AB3580">
            <v>3750000</v>
          </cell>
          <cell r="AC3580">
            <v>0</v>
          </cell>
          <cell r="AD3580">
            <v>3750000</v>
          </cell>
          <cell r="AE3580">
            <v>0</v>
          </cell>
        </row>
        <row r="3581">
          <cell r="B3581">
            <v>650034</v>
          </cell>
          <cell r="C3581" t="str">
            <v>Auditor</v>
          </cell>
          <cell r="D3581" t="str">
            <v>Juli</v>
          </cell>
          <cell r="F3581">
            <v>650034</v>
          </cell>
          <cell r="G3581" t="str">
            <v>Juli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</row>
        <row r="3582">
          <cell r="B3582">
            <v>650034</v>
          </cell>
          <cell r="C3582" t="str">
            <v>Auditor</v>
          </cell>
          <cell r="D3582" t="str">
            <v>Agustus</v>
          </cell>
          <cell r="F3582">
            <v>650034</v>
          </cell>
          <cell r="G3582" t="str">
            <v>Agustus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</row>
        <row r="3583">
          <cell r="B3583">
            <v>650034</v>
          </cell>
          <cell r="C3583" t="str">
            <v>Auditor</v>
          </cell>
          <cell r="D3583" t="str">
            <v>September</v>
          </cell>
          <cell r="F3583">
            <v>650034</v>
          </cell>
          <cell r="G3583" t="str">
            <v>September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</row>
        <row r="3584">
          <cell r="B3584">
            <v>650034</v>
          </cell>
          <cell r="C3584" t="str">
            <v>Auditor</v>
          </cell>
          <cell r="D3584" t="str">
            <v>Oktober</v>
          </cell>
          <cell r="F3584">
            <v>650034</v>
          </cell>
          <cell r="G3584" t="str">
            <v>Oktober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</row>
        <row r="3585">
          <cell r="B3585">
            <v>650034</v>
          </cell>
          <cell r="C3585" t="str">
            <v>Auditor</v>
          </cell>
          <cell r="D3585" t="str">
            <v>November</v>
          </cell>
          <cell r="F3585">
            <v>650034</v>
          </cell>
          <cell r="G3585" t="str">
            <v>November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</row>
        <row r="3586">
          <cell r="B3586">
            <v>650034</v>
          </cell>
          <cell r="C3586" t="str">
            <v>Auditor</v>
          </cell>
          <cell r="D3586" t="str">
            <v>Desember</v>
          </cell>
          <cell r="F3586">
            <v>650034</v>
          </cell>
          <cell r="G3586" t="str">
            <v>Desember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</row>
        <row r="3587">
          <cell r="B3587">
            <v>650037</v>
          </cell>
          <cell r="C3587" t="str">
            <v>Lain-Lain</v>
          </cell>
          <cell r="E3587">
            <v>650.03700000000003</v>
          </cell>
          <cell r="F3587">
            <v>650037</v>
          </cell>
          <cell r="G3587" t="str">
            <v>Lain-Lain</v>
          </cell>
          <cell r="H3587">
            <v>9881541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23278529</v>
          </cell>
          <cell r="AA3587">
            <v>0</v>
          </cell>
          <cell r="AB3587">
            <v>33160070</v>
          </cell>
          <cell r="AC3587">
            <v>0</v>
          </cell>
          <cell r="AD3587">
            <v>23278529</v>
          </cell>
          <cell r="AE3587">
            <v>0</v>
          </cell>
        </row>
        <row r="3588">
          <cell r="B3588">
            <v>650037</v>
          </cell>
          <cell r="C3588" t="str">
            <v>Lain-Lain</v>
          </cell>
          <cell r="D3588" t="str">
            <v>Januari</v>
          </cell>
          <cell r="F3588">
            <v>650037</v>
          </cell>
          <cell r="G3588" t="str">
            <v>Januari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</row>
        <row r="3589">
          <cell r="B3589">
            <v>650037</v>
          </cell>
          <cell r="C3589" t="str">
            <v>Lain-Lain</v>
          </cell>
          <cell r="D3589" t="str">
            <v>Februari</v>
          </cell>
          <cell r="F3589">
            <v>650037</v>
          </cell>
          <cell r="G3589" t="str">
            <v>Februari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778500</v>
          </cell>
          <cell r="AA3589">
            <v>0</v>
          </cell>
          <cell r="AB3589">
            <v>778500</v>
          </cell>
          <cell r="AC3589">
            <v>0</v>
          </cell>
          <cell r="AD3589">
            <v>778500</v>
          </cell>
          <cell r="AE3589">
            <v>0</v>
          </cell>
        </row>
        <row r="3590">
          <cell r="B3590">
            <v>650037</v>
          </cell>
          <cell r="C3590" t="str">
            <v>Lain-Lain</v>
          </cell>
          <cell r="D3590" t="str">
            <v>Maret</v>
          </cell>
          <cell r="F3590">
            <v>650037</v>
          </cell>
          <cell r="G3590" t="str">
            <v>Maret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</row>
        <row r="3591">
          <cell r="B3591">
            <v>650037</v>
          </cell>
          <cell r="C3591" t="str">
            <v>Lain-Lain</v>
          </cell>
          <cell r="D3591" t="str">
            <v>April</v>
          </cell>
          <cell r="F3591">
            <v>650037</v>
          </cell>
          <cell r="G3591" t="str">
            <v>April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</row>
        <row r="3592">
          <cell r="B3592">
            <v>650037</v>
          </cell>
          <cell r="C3592" t="str">
            <v>Lain-Lain</v>
          </cell>
          <cell r="D3592" t="str">
            <v>Mei</v>
          </cell>
          <cell r="F3592">
            <v>650037</v>
          </cell>
          <cell r="G3592" t="str">
            <v>Mei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</row>
        <row r="3593">
          <cell r="B3593">
            <v>650037</v>
          </cell>
          <cell r="C3593" t="str">
            <v>Lain-Lain</v>
          </cell>
          <cell r="D3593" t="str">
            <v>Juni</v>
          </cell>
          <cell r="F3593">
            <v>650037</v>
          </cell>
          <cell r="G3593" t="str">
            <v>Juni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</row>
        <row r="3594">
          <cell r="B3594">
            <v>650037</v>
          </cell>
          <cell r="C3594" t="str">
            <v>Lain-Lain</v>
          </cell>
          <cell r="D3594" t="str">
            <v>Juli</v>
          </cell>
          <cell r="F3594">
            <v>650037</v>
          </cell>
          <cell r="G3594" t="str">
            <v>Juli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15665029</v>
          </cell>
          <cell r="AA3594">
            <v>0</v>
          </cell>
          <cell r="AB3594">
            <v>15665029</v>
          </cell>
          <cell r="AC3594">
            <v>0</v>
          </cell>
          <cell r="AD3594">
            <v>15665029</v>
          </cell>
          <cell r="AE3594">
            <v>0</v>
          </cell>
        </row>
        <row r="3595">
          <cell r="B3595">
            <v>650037</v>
          </cell>
          <cell r="C3595" t="str">
            <v>Lain-Lain</v>
          </cell>
          <cell r="D3595" t="str">
            <v>Agustus</v>
          </cell>
          <cell r="F3595">
            <v>650037</v>
          </cell>
          <cell r="G3595" t="str">
            <v>Agustus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</row>
        <row r="3596">
          <cell r="B3596">
            <v>650037</v>
          </cell>
          <cell r="C3596" t="str">
            <v>Lain-Lain</v>
          </cell>
          <cell r="D3596" t="str">
            <v>September</v>
          </cell>
          <cell r="F3596">
            <v>650037</v>
          </cell>
          <cell r="G3596" t="str">
            <v>September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3350000</v>
          </cell>
          <cell r="AA3596">
            <v>0</v>
          </cell>
          <cell r="AB3596">
            <v>3350000</v>
          </cell>
          <cell r="AC3596">
            <v>0</v>
          </cell>
          <cell r="AD3596">
            <v>3350000</v>
          </cell>
          <cell r="AE3596">
            <v>0</v>
          </cell>
        </row>
        <row r="3597">
          <cell r="B3597">
            <v>650037</v>
          </cell>
          <cell r="C3597" t="str">
            <v>Lain-Lain</v>
          </cell>
          <cell r="D3597" t="str">
            <v>Oktober</v>
          </cell>
          <cell r="F3597">
            <v>650037</v>
          </cell>
          <cell r="G3597" t="str">
            <v>Oktober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3125000</v>
          </cell>
          <cell r="AA3597">
            <v>0</v>
          </cell>
          <cell r="AB3597">
            <v>3125000</v>
          </cell>
          <cell r="AC3597">
            <v>0</v>
          </cell>
          <cell r="AD3597">
            <v>3125000</v>
          </cell>
          <cell r="AE3597">
            <v>0</v>
          </cell>
        </row>
        <row r="3598">
          <cell r="B3598">
            <v>650037</v>
          </cell>
          <cell r="C3598" t="str">
            <v>Lain-Lain</v>
          </cell>
          <cell r="D3598" t="str">
            <v>November</v>
          </cell>
          <cell r="F3598">
            <v>650037</v>
          </cell>
          <cell r="G3598" t="str">
            <v>November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180000</v>
          </cell>
          <cell r="AA3598">
            <v>0</v>
          </cell>
          <cell r="AB3598">
            <v>180000</v>
          </cell>
          <cell r="AC3598">
            <v>0</v>
          </cell>
          <cell r="AD3598">
            <v>180000</v>
          </cell>
          <cell r="AE3598">
            <v>0</v>
          </cell>
        </row>
        <row r="3599">
          <cell r="B3599">
            <v>650037</v>
          </cell>
          <cell r="C3599" t="str">
            <v>Lain-Lain</v>
          </cell>
          <cell r="D3599" t="str">
            <v>Desember</v>
          </cell>
          <cell r="F3599">
            <v>650037</v>
          </cell>
          <cell r="G3599" t="str">
            <v>Desember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180000</v>
          </cell>
          <cell r="AA3599">
            <v>0</v>
          </cell>
          <cell r="AB3599">
            <v>180000</v>
          </cell>
          <cell r="AC3599">
            <v>0</v>
          </cell>
          <cell r="AD3599">
            <v>180000</v>
          </cell>
          <cell r="AE3599">
            <v>0</v>
          </cell>
        </row>
        <row r="3600">
          <cell r="B3600">
            <v>650040</v>
          </cell>
          <cell r="C3600" t="str">
            <v>Perawatan Gedung</v>
          </cell>
          <cell r="E3600">
            <v>650.04</v>
          </cell>
          <cell r="F3600">
            <v>650040</v>
          </cell>
          <cell r="G3600" t="str">
            <v>Perawatan Gedung</v>
          </cell>
          <cell r="H3600">
            <v>1434000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2500</v>
          </cell>
          <cell r="AA3600">
            <v>0</v>
          </cell>
          <cell r="AB3600">
            <v>1436500</v>
          </cell>
          <cell r="AC3600">
            <v>0</v>
          </cell>
          <cell r="AD3600">
            <v>2500</v>
          </cell>
          <cell r="AE3600">
            <v>0</v>
          </cell>
        </row>
        <row r="3601">
          <cell r="B3601">
            <v>650040</v>
          </cell>
          <cell r="C3601" t="str">
            <v>Perawatan Gedung</v>
          </cell>
          <cell r="D3601" t="str">
            <v>Januari</v>
          </cell>
          <cell r="F3601">
            <v>650040</v>
          </cell>
          <cell r="G3601" t="str">
            <v>Januari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</row>
        <row r="3602">
          <cell r="B3602">
            <v>650040</v>
          </cell>
          <cell r="C3602" t="str">
            <v>Perawatan Gedung</v>
          </cell>
          <cell r="D3602" t="str">
            <v>Februari</v>
          </cell>
          <cell r="F3602">
            <v>650040</v>
          </cell>
          <cell r="G3602" t="str">
            <v>Februari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</row>
        <row r="3603">
          <cell r="B3603">
            <v>650040</v>
          </cell>
          <cell r="C3603" t="str">
            <v>Perawatan Gedung</v>
          </cell>
          <cell r="D3603" t="str">
            <v>Maret</v>
          </cell>
          <cell r="F3603">
            <v>650040</v>
          </cell>
          <cell r="G3603" t="str">
            <v>Maret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</row>
        <row r="3604">
          <cell r="B3604">
            <v>650040</v>
          </cell>
          <cell r="C3604" t="str">
            <v>Perawatan Gedung</v>
          </cell>
          <cell r="D3604" t="str">
            <v>April</v>
          </cell>
          <cell r="F3604">
            <v>650040</v>
          </cell>
          <cell r="G3604" t="str">
            <v>April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</row>
        <row r="3605">
          <cell r="B3605">
            <v>650040</v>
          </cell>
          <cell r="C3605" t="str">
            <v>Perawatan Gedung</v>
          </cell>
          <cell r="D3605" t="str">
            <v>Mei</v>
          </cell>
          <cell r="F3605">
            <v>650040</v>
          </cell>
          <cell r="G3605" t="str">
            <v>Mei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</row>
        <row r="3606">
          <cell r="B3606">
            <v>650040</v>
          </cell>
          <cell r="C3606" t="str">
            <v>Perawatan Gedung</v>
          </cell>
          <cell r="D3606" t="str">
            <v>Juni</v>
          </cell>
          <cell r="F3606">
            <v>650040</v>
          </cell>
          <cell r="G3606" t="str">
            <v>Juni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</row>
        <row r="3607">
          <cell r="B3607">
            <v>650040</v>
          </cell>
          <cell r="C3607" t="str">
            <v>Perawatan Gedung</v>
          </cell>
          <cell r="D3607" t="str">
            <v>Juli</v>
          </cell>
          <cell r="F3607">
            <v>650040</v>
          </cell>
          <cell r="G3607" t="str">
            <v>Juli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</row>
        <row r="3608">
          <cell r="B3608">
            <v>650040</v>
          </cell>
          <cell r="C3608" t="str">
            <v>Perawatan Gedung</v>
          </cell>
          <cell r="D3608" t="str">
            <v>Agustus</v>
          </cell>
          <cell r="F3608">
            <v>650040</v>
          </cell>
          <cell r="G3608" t="str">
            <v>Agustus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2500</v>
          </cell>
          <cell r="AA3608">
            <v>0</v>
          </cell>
          <cell r="AB3608">
            <v>2500</v>
          </cell>
          <cell r="AC3608">
            <v>0</v>
          </cell>
          <cell r="AD3608">
            <v>2500</v>
          </cell>
          <cell r="AE3608">
            <v>0</v>
          </cell>
        </row>
        <row r="3609">
          <cell r="B3609">
            <v>650040</v>
          </cell>
          <cell r="C3609" t="str">
            <v>Perawatan Gedung</v>
          </cell>
          <cell r="D3609" t="str">
            <v>September</v>
          </cell>
          <cell r="F3609">
            <v>650040</v>
          </cell>
          <cell r="G3609" t="str">
            <v>September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</row>
        <row r="3610">
          <cell r="B3610">
            <v>650040</v>
          </cell>
          <cell r="C3610" t="str">
            <v>Perawatan Gedung</v>
          </cell>
          <cell r="D3610" t="str">
            <v>Oktober</v>
          </cell>
          <cell r="F3610">
            <v>650040</v>
          </cell>
          <cell r="G3610" t="str">
            <v>Oktober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</row>
        <row r="3611">
          <cell r="B3611">
            <v>650040</v>
          </cell>
          <cell r="C3611" t="str">
            <v>Perawatan Gedung</v>
          </cell>
          <cell r="D3611" t="str">
            <v>November</v>
          </cell>
          <cell r="F3611">
            <v>650040</v>
          </cell>
          <cell r="G3611" t="str">
            <v>November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</row>
        <row r="3612">
          <cell r="B3612">
            <v>650040</v>
          </cell>
          <cell r="C3612" t="str">
            <v>Perawatan Gedung</v>
          </cell>
          <cell r="D3612" t="str">
            <v>Desember</v>
          </cell>
          <cell r="F3612">
            <v>650040</v>
          </cell>
          <cell r="G3612" t="str">
            <v>Desember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</row>
        <row r="3613">
          <cell r="B3613">
            <v>650041</v>
          </cell>
          <cell r="C3613" t="str">
            <v>Materai/Benda Pos</v>
          </cell>
          <cell r="E3613">
            <v>650.04100000000005</v>
          </cell>
          <cell r="F3613">
            <v>650039</v>
          </cell>
          <cell r="G3613" t="str">
            <v>Materai/Benda Pos</v>
          </cell>
          <cell r="H3613">
            <v>1200000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3901000</v>
          </cell>
          <cell r="AA3613">
            <v>0</v>
          </cell>
          <cell r="AB3613">
            <v>5101000</v>
          </cell>
          <cell r="AC3613">
            <v>0</v>
          </cell>
          <cell r="AD3613">
            <v>3901000</v>
          </cell>
          <cell r="AE3613">
            <v>0</v>
          </cell>
        </row>
        <row r="3614">
          <cell r="B3614">
            <v>650041</v>
          </cell>
          <cell r="C3614" t="str">
            <v>Materai/Benda Pos</v>
          </cell>
          <cell r="D3614" t="str">
            <v>Januari</v>
          </cell>
          <cell r="F3614">
            <v>650039</v>
          </cell>
          <cell r="G3614" t="str">
            <v>Januari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420000</v>
          </cell>
          <cell r="AA3614">
            <v>0</v>
          </cell>
          <cell r="AB3614">
            <v>420000</v>
          </cell>
          <cell r="AC3614">
            <v>0</v>
          </cell>
          <cell r="AD3614">
            <v>420000</v>
          </cell>
          <cell r="AE3614">
            <v>0</v>
          </cell>
        </row>
        <row r="3615">
          <cell r="B3615">
            <v>650041</v>
          </cell>
          <cell r="C3615" t="str">
            <v>Materai/Benda Pos</v>
          </cell>
          <cell r="D3615" t="str">
            <v>Februari</v>
          </cell>
          <cell r="F3615">
            <v>650039</v>
          </cell>
          <cell r="G3615" t="str">
            <v>Februari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</row>
        <row r="3616">
          <cell r="B3616">
            <v>650041</v>
          </cell>
          <cell r="C3616" t="str">
            <v>Materai/Benda Pos</v>
          </cell>
          <cell r="D3616" t="str">
            <v>Maret</v>
          </cell>
          <cell r="F3616">
            <v>650039</v>
          </cell>
          <cell r="G3616" t="str">
            <v>Maret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618000</v>
          </cell>
          <cell r="AA3616">
            <v>0</v>
          </cell>
          <cell r="AB3616">
            <v>618000</v>
          </cell>
          <cell r="AC3616">
            <v>0</v>
          </cell>
          <cell r="AD3616">
            <v>618000</v>
          </cell>
          <cell r="AE3616">
            <v>0</v>
          </cell>
        </row>
        <row r="3617">
          <cell r="B3617">
            <v>650041</v>
          </cell>
          <cell r="C3617" t="str">
            <v>Materai/Benda Pos</v>
          </cell>
          <cell r="D3617" t="str">
            <v>April</v>
          </cell>
          <cell r="F3617">
            <v>650039</v>
          </cell>
          <cell r="G3617" t="str">
            <v>April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21000</v>
          </cell>
          <cell r="AA3617">
            <v>0</v>
          </cell>
          <cell r="AB3617">
            <v>21000</v>
          </cell>
          <cell r="AC3617">
            <v>0</v>
          </cell>
          <cell r="AD3617">
            <v>21000</v>
          </cell>
          <cell r="AE3617">
            <v>0</v>
          </cell>
        </row>
        <row r="3618">
          <cell r="B3618">
            <v>650041</v>
          </cell>
          <cell r="C3618" t="str">
            <v>Materai/Benda Pos</v>
          </cell>
          <cell r="D3618" t="str">
            <v>Mei</v>
          </cell>
          <cell r="F3618">
            <v>650039</v>
          </cell>
          <cell r="G3618" t="str">
            <v>Mei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428000</v>
          </cell>
          <cell r="AA3618">
            <v>0</v>
          </cell>
          <cell r="AB3618">
            <v>428000</v>
          </cell>
          <cell r="AC3618">
            <v>0</v>
          </cell>
          <cell r="AD3618">
            <v>428000</v>
          </cell>
          <cell r="AE3618">
            <v>0</v>
          </cell>
        </row>
        <row r="3619">
          <cell r="B3619">
            <v>650041</v>
          </cell>
          <cell r="C3619" t="str">
            <v>Materai/Benda Pos</v>
          </cell>
          <cell r="D3619" t="str">
            <v>Juni</v>
          </cell>
          <cell r="F3619">
            <v>650039</v>
          </cell>
          <cell r="G3619" t="str">
            <v>Juni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558000</v>
          </cell>
          <cell r="AA3619">
            <v>0</v>
          </cell>
          <cell r="AB3619">
            <v>558000</v>
          </cell>
          <cell r="AC3619">
            <v>0</v>
          </cell>
          <cell r="AD3619">
            <v>558000</v>
          </cell>
          <cell r="AE3619">
            <v>0</v>
          </cell>
        </row>
        <row r="3620">
          <cell r="B3620">
            <v>650041</v>
          </cell>
          <cell r="C3620" t="str">
            <v>Materai/Benda Pos</v>
          </cell>
          <cell r="D3620" t="str">
            <v>Juli</v>
          </cell>
          <cell r="F3620">
            <v>650039</v>
          </cell>
          <cell r="G3620" t="str">
            <v>Juli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180000</v>
          </cell>
          <cell r="AA3620">
            <v>0</v>
          </cell>
          <cell r="AB3620">
            <v>180000</v>
          </cell>
          <cell r="AC3620">
            <v>0</v>
          </cell>
          <cell r="AD3620">
            <v>180000</v>
          </cell>
          <cell r="AE3620">
            <v>0</v>
          </cell>
        </row>
        <row r="3621">
          <cell r="B3621">
            <v>650041</v>
          </cell>
          <cell r="C3621" t="str">
            <v>Materai/Benda Pos</v>
          </cell>
          <cell r="D3621" t="str">
            <v>Agustus</v>
          </cell>
          <cell r="F3621">
            <v>650039</v>
          </cell>
          <cell r="G3621" t="str">
            <v>Agustus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416000</v>
          </cell>
          <cell r="AA3621">
            <v>0</v>
          </cell>
          <cell r="AB3621">
            <v>416000</v>
          </cell>
          <cell r="AC3621">
            <v>0</v>
          </cell>
          <cell r="AD3621">
            <v>416000</v>
          </cell>
          <cell r="AE3621">
            <v>0</v>
          </cell>
        </row>
        <row r="3622">
          <cell r="B3622">
            <v>650041</v>
          </cell>
          <cell r="C3622" t="str">
            <v>Materai/Benda Pos</v>
          </cell>
          <cell r="D3622" t="str">
            <v>September</v>
          </cell>
          <cell r="F3622">
            <v>650039</v>
          </cell>
          <cell r="G3622" t="str">
            <v>September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360000</v>
          </cell>
          <cell r="AA3622">
            <v>0</v>
          </cell>
          <cell r="AB3622">
            <v>360000</v>
          </cell>
          <cell r="AC3622">
            <v>0</v>
          </cell>
          <cell r="AD3622">
            <v>360000</v>
          </cell>
          <cell r="AE3622">
            <v>0</v>
          </cell>
        </row>
        <row r="3623">
          <cell r="B3623">
            <v>650041</v>
          </cell>
          <cell r="C3623" t="str">
            <v>Materai/Benda Pos</v>
          </cell>
          <cell r="D3623" t="str">
            <v>Oktober</v>
          </cell>
          <cell r="F3623">
            <v>650039</v>
          </cell>
          <cell r="G3623" t="str">
            <v>Oktober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360000</v>
          </cell>
          <cell r="AA3623">
            <v>0</v>
          </cell>
          <cell r="AB3623">
            <v>360000</v>
          </cell>
          <cell r="AC3623">
            <v>0</v>
          </cell>
          <cell r="AD3623">
            <v>360000</v>
          </cell>
          <cell r="AE3623">
            <v>0</v>
          </cell>
        </row>
        <row r="3624">
          <cell r="B3624">
            <v>650041</v>
          </cell>
          <cell r="C3624" t="str">
            <v>Materai/Benda Pos</v>
          </cell>
          <cell r="D3624" t="str">
            <v>November</v>
          </cell>
          <cell r="F3624">
            <v>650039</v>
          </cell>
          <cell r="G3624" t="str">
            <v>November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240000</v>
          </cell>
          <cell r="AA3624">
            <v>0</v>
          </cell>
          <cell r="AB3624">
            <v>240000</v>
          </cell>
          <cell r="AC3624">
            <v>0</v>
          </cell>
          <cell r="AD3624">
            <v>240000</v>
          </cell>
          <cell r="AE3624">
            <v>0</v>
          </cell>
        </row>
        <row r="3625">
          <cell r="B3625">
            <v>650041</v>
          </cell>
          <cell r="C3625" t="str">
            <v>Materai/Benda Pos</v>
          </cell>
          <cell r="D3625" t="str">
            <v>Desember</v>
          </cell>
          <cell r="F3625">
            <v>650039</v>
          </cell>
          <cell r="G3625" t="str">
            <v>Desember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300000</v>
          </cell>
          <cell r="AA3625">
            <v>0</v>
          </cell>
          <cell r="AB3625">
            <v>300000</v>
          </cell>
          <cell r="AC3625">
            <v>0</v>
          </cell>
          <cell r="AD3625">
            <v>300000</v>
          </cell>
          <cell r="AE3625">
            <v>0</v>
          </cell>
        </row>
        <row r="3626">
          <cell r="B3626">
            <v>650041</v>
          </cell>
          <cell r="G3626" t="str">
            <v>PPN</v>
          </cell>
          <cell r="H3626">
            <v>7106237</v>
          </cell>
          <cell r="I3626">
            <v>0</v>
          </cell>
          <cell r="AB3626">
            <v>7106237</v>
          </cell>
          <cell r="AC3626">
            <v>0</v>
          </cell>
          <cell r="AD3626">
            <v>0</v>
          </cell>
          <cell r="AE3626">
            <v>0</v>
          </cell>
        </row>
        <row r="3627">
          <cell r="B3627">
            <v>650041</v>
          </cell>
          <cell r="H3627">
            <v>0</v>
          </cell>
          <cell r="I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</row>
        <row r="3628">
          <cell r="B3628">
            <v>700000</v>
          </cell>
          <cell r="C3628" t="str">
            <v>BIAYA BUNGA PINJAMAN</v>
          </cell>
          <cell r="E3628">
            <v>700</v>
          </cell>
          <cell r="F3628">
            <v>700000</v>
          </cell>
          <cell r="G3628" t="str">
            <v>BIAYA BUNGA PINJAMAN</v>
          </cell>
          <cell r="H3628">
            <v>0</v>
          </cell>
          <cell r="I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</row>
        <row r="3629">
          <cell r="B3629">
            <v>700001</v>
          </cell>
          <cell r="C3629" t="str">
            <v>Bunga pinjaman Bank</v>
          </cell>
          <cell r="E3629">
            <v>700.00099999999998</v>
          </cell>
          <cell r="F3629">
            <v>700001</v>
          </cell>
          <cell r="G3629" t="str">
            <v>Bunga pinjaman Bank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</row>
        <row r="3630">
          <cell r="B3630">
            <v>700001</v>
          </cell>
          <cell r="C3630" t="str">
            <v>Bunga pinjaman Bank</v>
          </cell>
          <cell r="D3630" t="str">
            <v>Januari</v>
          </cell>
          <cell r="F3630">
            <v>700001</v>
          </cell>
          <cell r="G3630" t="str">
            <v>Januari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</row>
        <row r="3631">
          <cell r="B3631">
            <v>700001</v>
          </cell>
          <cell r="C3631" t="str">
            <v>Bunga pinjaman Bank</v>
          </cell>
          <cell r="D3631" t="str">
            <v>Februari</v>
          </cell>
          <cell r="F3631">
            <v>700001</v>
          </cell>
          <cell r="G3631" t="str">
            <v>Februari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</row>
        <row r="3632">
          <cell r="B3632">
            <v>700001</v>
          </cell>
          <cell r="C3632" t="str">
            <v>Bunga pinjaman Bank</v>
          </cell>
          <cell r="D3632" t="str">
            <v>Maret</v>
          </cell>
          <cell r="F3632">
            <v>700001</v>
          </cell>
          <cell r="G3632" t="str">
            <v>Maret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</row>
        <row r="3633">
          <cell r="B3633">
            <v>700001</v>
          </cell>
          <cell r="C3633" t="str">
            <v>Bunga pinjaman Bank</v>
          </cell>
          <cell r="D3633" t="str">
            <v>April</v>
          </cell>
          <cell r="F3633">
            <v>700001</v>
          </cell>
          <cell r="G3633" t="str">
            <v>April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</row>
        <row r="3634">
          <cell r="B3634">
            <v>700001</v>
          </cell>
          <cell r="C3634" t="str">
            <v>Bunga pinjaman Bank</v>
          </cell>
          <cell r="D3634" t="str">
            <v>Mei</v>
          </cell>
          <cell r="F3634">
            <v>700001</v>
          </cell>
          <cell r="G3634" t="str">
            <v>Mei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</row>
        <row r="3635">
          <cell r="B3635">
            <v>700001</v>
          </cell>
          <cell r="C3635" t="str">
            <v>Bunga pinjaman Bank</v>
          </cell>
          <cell r="D3635" t="str">
            <v>Juni</v>
          </cell>
          <cell r="F3635">
            <v>700001</v>
          </cell>
          <cell r="G3635" t="str">
            <v>Juni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</row>
        <row r="3636">
          <cell r="B3636">
            <v>700001</v>
          </cell>
          <cell r="C3636" t="str">
            <v>Bunga pinjaman Bank</v>
          </cell>
          <cell r="D3636" t="str">
            <v>Juli</v>
          </cell>
          <cell r="F3636">
            <v>700001</v>
          </cell>
          <cell r="G3636" t="str">
            <v>Juli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</row>
        <row r="3637">
          <cell r="B3637">
            <v>700001</v>
          </cell>
          <cell r="C3637" t="str">
            <v>Bunga pinjaman Bank</v>
          </cell>
          <cell r="D3637" t="str">
            <v>Agustus</v>
          </cell>
          <cell r="F3637">
            <v>700001</v>
          </cell>
          <cell r="G3637" t="str">
            <v>Agustus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</row>
        <row r="3638">
          <cell r="B3638">
            <v>700001</v>
          </cell>
          <cell r="C3638" t="str">
            <v>Bunga pinjaman Bank</v>
          </cell>
          <cell r="D3638" t="str">
            <v>September</v>
          </cell>
          <cell r="F3638">
            <v>700001</v>
          </cell>
          <cell r="G3638" t="str">
            <v>September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</row>
        <row r="3639">
          <cell r="B3639">
            <v>700001</v>
          </cell>
          <cell r="C3639" t="str">
            <v>Bunga pinjaman Bank</v>
          </cell>
          <cell r="D3639" t="str">
            <v>Oktober</v>
          </cell>
          <cell r="F3639">
            <v>700001</v>
          </cell>
          <cell r="G3639" t="str">
            <v>Oktober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</row>
        <row r="3640">
          <cell r="B3640">
            <v>700001</v>
          </cell>
          <cell r="C3640" t="str">
            <v>Bunga pinjaman Bank</v>
          </cell>
          <cell r="D3640" t="str">
            <v>November</v>
          </cell>
          <cell r="F3640">
            <v>700001</v>
          </cell>
          <cell r="G3640" t="str">
            <v>November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</row>
        <row r="3641">
          <cell r="B3641">
            <v>700001</v>
          </cell>
          <cell r="C3641" t="str">
            <v>Bunga pinjaman Bank</v>
          </cell>
          <cell r="D3641" t="str">
            <v>Desember</v>
          </cell>
          <cell r="F3641">
            <v>700001</v>
          </cell>
          <cell r="G3641" t="str">
            <v>Desember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</row>
        <row r="3642">
          <cell r="B3642">
            <v>700002</v>
          </cell>
          <cell r="C3642" t="str">
            <v>Jasa Bunga Bank</v>
          </cell>
          <cell r="E3642">
            <v>700.00199999999995</v>
          </cell>
          <cell r="F3642">
            <v>700002</v>
          </cell>
          <cell r="G3642" t="str">
            <v>Jasa Bunga Bank</v>
          </cell>
          <cell r="H3642">
            <v>0</v>
          </cell>
          <cell r="I3642">
            <v>6227152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6227152</v>
          </cell>
          <cell r="AD3642">
            <v>0</v>
          </cell>
          <cell r="AE3642">
            <v>0</v>
          </cell>
        </row>
        <row r="3643">
          <cell r="B3643">
            <v>700002</v>
          </cell>
          <cell r="C3643" t="str">
            <v>Jasa Bunga Bank</v>
          </cell>
          <cell r="D3643" t="str">
            <v>Januari</v>
          </cell>
          <cell r="F3643">
            <v>700002</v>
          </cell>
          <cell r="G3643" t="str">
            <v>Januari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</row>
        <row r="3644">
          <cell r="B3644">
            <v>700002</v>
          </cell>
          <cell r="C3644" t="str">
            <v>Jasa Bunga Bank</v>
          </cell>
          <cell r="D3644" t="str">
            <v>Februari</v>
          </cell>
          <cell r="F3644">
            <v>700002</v>
          </cell>
          <cell r="G3644" t="str">
            <v>Februari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</row>
        <row r="3645">
          <cell r="B3645">
            <v>700002</v>
          </cell>
          <cell r="C3645" t="str">
            <v>Jasa Bunga Bank</v>
          </cell>
          <cell r="D3645" t="str">
            <v>Maret</v>
          </cell>
          <cell r="F3645">
            <v>700002</v>
          </cell>
          <cell r="G3645" t="str">
            <v>Maret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</row>
        <row r="3646">
          <cell r="B3646">
            <v>700002</v>
          </cell>
          <cell r="C3646" t="str">
            <v>Jasa Bunga Bank</v>
          </cell>
          <cell r="D3646" t="str">
            <v>April</v>
          </cell>
          <cell r="F3646">
            <v>700002</v>
          </cell>
          <cell r="G3646" t="str">
            <v>April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</row>
        <row r="3647">
          <cell r="B3647">
            <v>700002</v>
          </cell>
          <cell r="C3647" t="str">
            <v>Jasa Bunga Bank</v>
          </cell>
          <cell r="D3647" t="str">
            <v>Mei</v>
          </cell>
          <cell r="F3647">
            <v>700002</v>
          </cell>
          <cell r="G3647" t="str">
            <v>Mei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</row>
        <row r="3648">
          <cell r="B3648">
            <v>700002</v>
          </cell>
          <cell r="C3648" t="str">
            <v>Jasa Bunga Bank</v>
          </cell>
          <cell r="D3648" t="str">
            <v>Juni</v>
          </cell>
          <cell r="F3648">
            <v>700002</v>
          </cell>
          <cell r="G3648" t="str">
            <v>Juni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</row>
        <row r="3649">
          <cell r="B3649">
            <v>700002</v>
          </cell>
          <cell r="C3649" t="str">
            <v>Jasa Bunga Bank</v>
          </cell>
          <cell r="D3649" t="str">
            <v>Juli</v>
          </cell>
          <cell r="F3649">
            <v>700002</v>
          </cell>
          <cell r="G3649" t="str">
            <v>Juli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</row>
        <row r="3650">
          <cell r="B3650">
            <v>700002</v>
          </cell>
          <cell r="C3650" t="str">
            <v>Jasa Bunga Bank</v>
          </cell>
          <cell r="D3650" t="str">
            <v>Agustus</v>
          </cell>
          <cell r="F3650">
            <v>700002</v>
          </cell>
          <cell r="G3650" t="str">
            <v>Agustus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</row>
        <row r="3651">
          <cell r="B3651">
            <v>700002</v>
          </cell>
          <cell r="C3651" t="str">
            <v>Jasa Bunga Bank</v>
          </cell>
          <cell r="D3651" t="str">
            <v>September</v>
          </cell>
          <cell r="F3651">
            <v>700002</v>
          </cell>
          <cell r="G3651" t="str">
            <v>September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</row>
        <row r="3652">
          <cell r="B3652">
            <v>700002</v>
          </cell>
          <cell r="C3652" t="str">
            <v>Jasa Bunga Bank</v>
          </cell>
          <cell r="D3652" t="str">
            <v>Oktober</v>
          </cell>
          <cell r="F3652">
            <v>700002</v>
          </cell>
          <cell r="G3652" t="str">
            <v>Oktober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</row>
        <row r="3653">
          <cell r="B3653">
            <v>700002</v>
          </cell>
          <cell r="C3653" t="str">
            <v>Jasa Bunga Bank</v>
          </cell>
          <cell r="D3653" t="str">
            <v>November</v>
          </cell>
          <cell r="F3653">
            <v>700002</v>
          </cell>
          <cell r="G3653" t="str">
            <v>November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</row>
        <row r="3654">
          <cell r="B3654">
            <v>700002</v>
          </cell>
          <cell r="C3654" t="str">
            <v>Jasa Bunga Bank</v>
          </cell>
          <cell r="D3654" t="str">
            <v>Desember</v>
          </cell>
          <cell r="F3654">
            <v>700002</v>
          </cell>
          <cell r="G3654" t="str">
            <v>Desember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</row>
        <row r="3655">
          <cell r="B3655">
            <v>700003</v>
          </cell>
          <cell r="C3655" t="str">
            <v>Beban Administrasi Bank</v>
          </cell>
          <cell r="E3655">
            <v>700.00300000000004</v>
          </cell>
          <cell r="F3655">
            <v>700003</v>
          </cell>
          <cell r="G3655" t="str">
            <v>Beban Administrasi Bank</v>
          </cell>
          <cell r="H3655">
            <v>2974865.15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506900</v>
          </cell>
          <cell r="W3655">
            <v>0</v>
          </cell>
          <cell r="X3655">
            <v>2673627</v>
          </cell>
          <cell r="Y3655">
            <v>250000</v>
          </cell>
          <cell r="Z3655">
            <v>160000</v>
          </cell>
          <cell r="AA3655">
            <v>0</v>
          </cell>
          <cell r="AB3655">
            <v>6315392.1500000004</v>
          </cell>
          <cell r="AC3655">
            <v>250000</v>
          </cell>
          <cell r="AD3655">
            <v>3340527</v>
          </cell>
          <cell r="AE3655">
            <v>250000</v>
          </cell>
        </row>
        <row r="3656">
          <cell r="B3656">
            <v>700003</v>
          </cell>
          <cell r="C3656" t="str">
            <v>Beban Administrasi Bank</v>
          </cell>
          <cell r="D3656" t="str">
            <v>Januari</v>
          </cell>
          <cell r="F3656">
            <v>700003</v>
          </cell>
          <cell r="G3656" t="str">
            <v>Januari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310000</v>
          </cell>
          <cell r="Y3656">
            <v>0</v>
          </cell>
          <cell r="Z3656">
            <v>0</v>
          </cell>
          <cell r="AA3656">
            <v>0</v>
          </cell>
          <cell r="AB3656">
            <v>310000</v>
          </cell>
          <cell r="AC3656">
            <v>0</v>
          </cell>
          <cell r="AD3656">
            <v>310000</v>
          </cell>
          <cell r="AE3656">
            <v>0</v>
          </cell>
        </row>
        <row r="3657">
          <cell r="B3657">
            <v>700003</v>
          </cell>
          <cell r="C3657" t="str">
            <v>Beban Administrasi Bank</v>
          </cell>
          <cell r="D3657" t="str">
            <v>Februari</v>
          </cell>
          <cell r="F3657">
            <v>700003</v>
          </cell>
          <cell r="G3657" t="str">
            <v>Februari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82000</v>
          </cell>
          <cell r="Y3657">
            <v>0</v>
          </cell>
          <cell r="Z3657">
            <v>5000</v>
          </cell>
          <cell r="AA3657">
            <v>0</v>
          </cell>
          <cell r="AB3657">
            <v>87000</v>
          </cell>
          <cell r="AC3657">
            <v>0</v>
          </cell>
          <cell r="AD3657">
            <v>87000</v>
          </cell>
          <cell r="AE3657">
            <v>0</v>
          </cell>
        </row>
        <row r="3658">
          <cell r="B3658">
            <v>700003</v>
          </cell>
          <cell r="C3658" t="str">
            <v>Beban Administrasi Bank</v>
          </cell>
          <cell r="D3658" t="str">
            <v>Maret</v>
          </cell>
          <cell r="F3658">
            <v>700003</v>
          </cell>
          <cell r="G3658" t="str">
            <v>Maret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156870</v>
          </cell>
          <cell r="Y3658">
            <v>25000</v>
          </cell>
          <cell r="Z3658">
            <v>5000</v>
          </cell>
          <cell r="AA3658">
            <v>0</v>
          </cell>
          <cell r="AB3658">
            <v>161870</v>
          </cell>
          <cell r="AC3658">
            <v>25000</v>
          </cell>
          <cell r="AD3658">
            <v>161870</v>
          </cell>
          <cell r="AE3658">
            <v>25000</v>
          </cell>
        </row>
        <row r="3659">
          <cell r="B3659">
            <v>700003</v>
          </cell>
          <cell r="C3659" t="str">
            <v>Beban Administrasi Bank</v>
          </cell>
          <cell r="D3659" t="str">
            <v>April</v>
          </cell>
          <cell r="F3659">
            <v>700003</v>
          </cell>
          <cell r="G3659" t="str">
            <v>April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163384</v>
          </cell>
          <cell r="Y3659">
            <v>25000</v>
          </cell>
          <cell r="Z3659">
            <v>10000</v>
          </cell>
          <cell r="AA3659">
            <v>0</v>
          </cell>
          <cell r="AB3659">
            <v>173384</v>
          </cell>
          <cell r="AC3659">
            <v>25000</v>
          </cell>
          <cell r="AD3659">
            <v>173384</v>
          </cell>
          <cell r="AE3659">
            <v>25000</v>
          </cell>
        </row>
        <row r="3660">
          <cell r="B3660">
            <v>700003</v>
          </cell>
          <cell r="C3660" t="str">
            <v>Beban Administrasi Bank</v>
          </cell>
          <cell r="D3660" t="str">
            <v>Mei</v>
          </cell>
          <cell r="F3660">
            <v>700003</v>
          </cell>
          <cell r="G3660" t="str">
            <v>Mei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377104</v>
          </cell>
          <cell r="Y3660">
            <v>25000</v>
          </cell>
          <cell r="Z3660">
            <v>40000</v>
          </cell>
          <cell r="AA3660">
            <v>0</v>
          </cell>
          <cell r="AB3660">
            <v>417104</v>
          </cell>
          <cell r="AC3660">
            <v>25000</v>
          </cell>
          <cell r="AD3660">
            <v>417104</v>
          </cell>
          <cell r="AE3660">
            <v>25000</v>
          </cell>
        </row>
        <row r="3661">
          <cell r="B3661">
            <v>700003</v>
          </cell>
          <cell r="C3661" t="str">
            <v>Beban Administrasi Bank</v>
          </cell>
          <cell r="D3661" t="str">
            <v>Juni</v>
          </cell>
          <cell r="F3661">
            <v>700003</v>
          </cell>
          <cell r="G3661" t="str">
            <v>Juni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161836</v>
          </cell>
          <cell r="Y3661">
            <v>25000</v>
          </cell>
          <cell r="Z3661">
            <v>5000</v>
          </cell>
          <cell r="AA3661">
            <v>0</v>
          </cell>
          <cell r="AB3661">
            <v>166836</v>
          </cell>
          <cell r="AC3661">
            <v>25000</v>
          </cell>
          <cell r="AD3661">
            <v>166836</v>
          </cell>
          <cell r="AE3661">
            <v>25000</v>
          </cell>
        </row>
        <row r="3662">
          <cell r="B3662">
            <v>700003</v>
          </cell>
          <cell r="C3662" t="str">
            <v>Beban Administrasi Bank</v>
          </cell>
          <cell r="D3662" t="str">
            <v>Juli</v>
          </cell>
          <cell r="F3662">
            <v>700003</v>
          </cell>
          <cell r="G3662" t="str">
            <v>Juli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172036</v>
          </cell>
          <cell r="Y3662">
            <v>25000</v>
          </cell>
          <cell r="Z3662">
            <v>40000</v>
          </cell>
          <cell r="AA3662">
            <v>0</v>
          </cell>
          <cell r="AB3662">
            <v>212036</v>
          </cell>
          <cell r="AC3662">
            <v>25000</v>
          </cell>
          <cell r="AD3662">
            <v>212036</v>
          </cell>
          <cell r="AE3662">
            <v>25000</v>
          </cell>
        </row>
        <row r="3663">
          <cell r="B3663">
            <v>700003</v>
          </cell>
          <cell r="C3663" t="str">
            <v>Beban Administrasi Bank</v>
          </cell>
          <cell r="D3663" t="str">
            <v>Agustus</v>
          </cell>
          <cell r="F3663">
            <v>700003</v>
          </cell>
          <cell r="G3663" t="str">
            <v>Agustus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175661</v>
          </cell>
          <cell r="Y3663">
            <v>25000</v>
          </cell>
          <cell r="Z3663">
            <v>5000</v>
          </cell>
          <cell r="AA3663">
            <v>0</v>
          </cell>
          <cell r="AB3663">
            <v>180661</v>
          </cell>
          <cell r="AC3663">
            <v>25000</v>
          </cell>
          <cell r="AD3663">
            <v>180661</v>
          </cell>
          <cell r="AE3663">
            <v>25000</v>
          </cell>
        </row>
        <row r="3664">
          <cell r="B3664">
            <v>700003</v>
          </cell>
          <cell r="C3664" t="str">
            <v>Beban Administrasi Bank</v>
          </cell>
          <cell r="D3664" t="str">
            <v>September</v>
          </cell>
          <cell r="F3664">
            <v>700003</v>
          </cell>
          <cell r="G3664" t="str">
            <v>September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192717</v>
          </cell>
          <cell r="Y3664">
            <v>25000</v>
          </cell>
          <cell r="Z3664">
            <v>0</v>
          </cell>
          <cell r="AA3664">
            <v>0</v>
          </cell>
          <cell r="AB3664">
            <v>192717</v>
          </cell>
          <cell r="AC3664">
            <v>25000</v>
          </cell>
          <cell r="AD3664">
            <v>192717</v>
          </cell>
          <cell r="AE3664">
            <v>25000</v>
          </cell>
        </row>
        <row r="3665">
          <cell r="B3665">
            <v>700003</v>
          </cell>
          <cell r="C3665" t="str">
            <v>Beban Administrasi Bank</v>
          </cell>
          <cell r="D3665" t="str">
            <v>Oktober</v>
          </cell>
          <cell r="F3665">
            <v>700003</v>
          </cell>
          <cell r="G3665" t="str">
            <v>Oktober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424512</v>
          </cell>
          <cell r="Y3665">
            <v>25000</v>
          </cell>
          <cell r="Z3665">
            <v>40000</v>
          </cell>
          <cell r="AA3665">
            <v>0</v>
          </cell>
          <cell r="AB3665">
            <v>464512</v>
          </cell>
          <cell r="AC3665">
            <v>25000</v>
          </cell>
          <cell r="AD3665">
            <v>464512</v>
          </cell>
          <cell r="AE3665">
            <v>25000</v>
          </cell>
        </row>
        <row r="3666">
          <cell r="B3666">
            <v>700003</v>
          </cell>
          <cell r="C3666" t="str">
            <v>Beban Administrasi Bank</v>
          </cell>
          <cell r="D3666" t="str">
            <v>November</v>
          </cell>
          <cell r="F3666">
            <v>700003</v>
          </cell>
          <cell r="G3666" t="str">
            <v>November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223619</v>
          </cell>
          <cell r="Y3666">
            <v>25000</v>
          </cell>
          <cell r="Z3666">
            <v>5000</v>
          </cell>
          <cell r="AA3666">
            <v>0</v>
          </cell>
          <cell r="AB3666">
            <v>228619</v>
          </cell>
          <cell r="AC3666">
            <v>25000</v>
          </cell>
          <cell r="AD3666">
            <v>228619</v>
          </cell>
          <cell r="AE3666">
            <v>25000</v>
          </cell>
        </row>
        <row r="3667">
          <cell r="B3667">
            <v>700003</v>
          </cell>
          <cell r="C3667" t="str">
            <v>Beban Administrasi Bank</v>
          </cell>
          <cell r="D3667" t="str">
            <v>Desember</v>
          </cell>
          <cell r="F3667">
            <v>700003</v>
          </cell>
          <cell r="G3667" t="str">
            <v>Desember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506900</v>
          </cell>
          <cell r="W3667">
            <v>0</v>
          </cell>
          <cell r="X3667">
            <v>233888</v>
          </cell>
          <cell r="Y3667">
            <v>25000</v>
          </cell>
          <cell r="Z3667">
            <v>5000</v>
          </cell>
          <cell r="AA3667">
            <v>0</v>
          </cell>
          <cell r="AB3667">
            <v>745788</v>
          </cell>
          <cell r="AC3667">
            <v>25000</v>
          </cell>
          <cell r="AD3667">
            <v>745788</v>
          </cell>
          <cell r="AE3667">
            <v>25000</v>
          </cell>
        </row>
        <row r="3668">
          <cell r="B3668">
            <v>700003</v>
          </cell>
          <cell r="F3668">
            <v>700003</v>
          </cell>
          <cell r="H3668">
            <v>0</v>
          </cell>
          <cell r="I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</row>
        <row r="3669">
          <cell r="B3669">
            <v>755000</v>
          </cell>
          <cell r="C3669" t="str">
            <v>PAJAK</v>
          </cell>
          <cell r="E3669">
            <v>755</v>
          </cell>
          <cell r="F3669">
            <v>755000</v>
          </cell>
          <cell r="G3669" t="str">
            <v>PAJAK</v>
          </cell>
          <cell r="H3669">
            <v>0</v>
          </cell>
          <cell r="I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</row>
        <row r="3670">
          <cell r="B3670">
            <v>755001</v>
          </cell>
          <cell r="C3670" t="str">
            <v>Estimasi Pajak Badan &amp; Cadangan Pajak</v>
          </cell>
          <cell r="E3670">
            <v>755.00099999999998</v>
          </cell>
          <cell r="F3670">
            <v>755001</v>
          </cell>
          <cell r="G3670" t="str">
            <v>Estimasi Pajak Badan &amp; Cadangan Pajak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</row>
        <row r="3671">
          <cell r="B3671">
            <v>755001</v>
          </cell>
          <cell r="C3671" t="str">
            <v>Estimasi Pajak Badan &amp; Cadangan Pajak</v>
          </cell>
          <cell r="D3671" t="str">
            <v>Januari</v>
          </cell>
          <cell r="F3671">
            <v>755001</v>
          </cell>
          <cell r="G3671" t="str">
            <v>Januari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</row>
        <row r="3672">
          <cell r="B3672">
            <v>755001</v>
          </cell>
          <cell r="C3672" t="str">
            <v>Estimasi Pajak Badan &amp; Cadangan Pajak</v>
          </cell>
          <cell r="D3672" t="str">
            <v>Februari</v>
          </cell>
          <cell r="F3672">
            <v>755001</v>
          </cell>
          <cell r="G3672" t="str">
            <v>Februari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</row>
        <row r="3673">
          <cell r="B3673">
            <v>755001</v>
          </cell>
          <cell r="C3673" t="str">
            <v>Estimasi Pajak Badan &amp; Cadangan Pajak</v>
          </cell>
          <cell r="D3673" t="str">
            <v>Maret</v>
          </cell>
          <cell r="F3673">
            <v>755001</v>
          </cell>
          <cell r="G3673" t="str">
            <v>Maret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</row>
        <row r="3674">
          <cell r="B3674">
            <v>755001</v>
          </cell>
          <cell r="C3674" t="str">
            <v>Estimasi Pajak Badan &amp; Cadangan Pajak</v>
          </cell>
          <cell r="D3674" t="str">
            <v>April</v>
          </cell>
          <cell r="F3674">
            <v>755001</v>
          </cell>
          <cell r="G3674" t="str">
            <v>April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</row>
        <row r="3675">
          <cell r="B3675">
            <v>755001</v>
          </cell>
          <cell r="C3675" t="str">
            <v>Estimasi Pajak Badan &amp; Cadangan Pajak</v>
          </cell>
          <cell r="D3675" t="str">
            <v>Mei</v>
          </cell>
          <cell r="F3675">
            <v>755001</v>
          </cell>
          <cell r="G3675" t="str">
            <v>Mei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</row>
        <row r="3676">
          <cell r="B3676">
            <v>755001</v>
          </cell>
          <cell r="C3676" t="str">
            <v>Estimasi Pajak Badan &amp; Cadangan Pajak</v>
          </cell>
          <cell r="D3676" t="str">
            <v>Juni</v>
          </cell>
          <cell r="F3676">
            <v>755001</v>
          </cell>
          <cell r="G3676" t="str">
            <v>Juni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</row>
        <row r="3677">
          <cell r="B3677">
            <v>755001</v>
          </cell>
          <cell r="C3677" t="str">
            <v>Estimasi Pajak Badan &amp; Cadangan Pajak</v>
          </cell>
          <cell r="D3677" t="str">
            <v>Juli</v>
          </cell>
          <cell r="F3677">
            <v>755001</v>
          </cell>
          <cell r="G3677" t="str">
            <v>Juli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</row>
        <row r="3678">
          <cell r="B3678">
            <v>755001</v>
          </cell>
          <cell r="C3678" t="str">
            <v>Estimasi Pajak Badan &amp; Cadangan Pajak</v>
          </cell>
          <cell r="D3678" t="str">
            <v>Agustus</v>
          </cell>
          <cell r="F3678">
            <v>755001</v>
          </cell>
          <cell r="G3678" t="str">
            <v>Agustus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</row>
        <row r="3679">
          <cell r="B3679">
            <v>755001</v>
          </cell>
          <cell r="C3679" t="str">
            <v>Estimasi Pajak Badan &amp; Cadangan Pajak</v>
          </cell>
          <cell r="D3679" t="str">
            <v>September</v>
          </cell>
          <cell r="F3679">
            <v>755001</v>
          </cell>
          <cell r="G3679" t="str">
            <v>September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</row>
        <row r="3680">
          <cell r="B3680">
            <v>755001</v>
          </cell>
          <cell r="C3680" t="str">
            <v>Estimasi Pajak Badan &amp; Cadangan Pajak</v>
          </cell>
          <cell r="D3680" t="str">
            <v>Oktober</v>
          </cell>
          <cell r="F3680">
            <v>755001</v>
          </cell>
          <cell r="G3680" t="str">
            <v>Oktober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</row>
        <row r="3681">
          <cell r="B3681">
            <v>755001</v>
          </cell>
          <cell r="C3681" t="str">
            <v>Estimasi Pajak Badan &amp; Cadangan Pajak</v>
          </cell>
          <cell r="D3681" t="str">
            <v>November</v>
          </cell>
          <cell r="F3681">
            <v>755001</v>
          </cell>
          <cell r="G3681" t="str">
            <v>November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</row>
        <row r="3682">
          <cell r="B3682">
            <v>755001</v>
          </cell>
          <cell r="C3682" t="str">
            <v>Estimasi Pajak Badan &amp; Cadangan Pajak</v>
          </cell>
          <cell r="D3682" t="str">
            <v>Desember</v>
          </cell>
          <cell r="F3682">
            <v>755001</v>
          </cell>
          <cell r="G3682" t="str">
            <v>Desember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</row>
        <row r="3683">
          <cell r="B3683">
            <v>755001</v>
          </cell>
          <cell r="F3683">
            <v>755001</v>
          </cell>
          <cell r="H3683">
            <v>0</v>
          </cell>
          <cell r="I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</row>
        <row r="3684">
          <cell r="B3684">
            <v>800000</v>
          </cell>
          <cell r="C3684" t="str">
            <v>PENDAPATAN DAN BIAYA DILUAR USAHA</v>
          </cell>
          <cell r="E3684">
            <v>800</v>
          </cell>
          <cell r="F3684">
            <v>800000</v>
          </cell>
          <cell r="G3684" t="str">
            <v>PENDAPATAN DAN BIAYA DILUAR USAHA</v>
          </cell>
          <cell r="H3684">
            <v>0</v>
          </cell>
          <cell r="I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</row>
        <row r="3685">
          <cell r="B3685">
            <v>800001</v>
          </cell>
          <cell r="C3685" t="str">
            <v>Terminasi (Pesangon Karyawan)</v>
          </cell>
          <cell r="E3685">
            <v>800.00099999999998</v>
          </cell>
          <cell r="F3685">
            <v>800001</v>
          </cell>
          <cell r="G3685" t="str">
            <v>Terminasi (Pesangon Karyawan)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</row>
        <row r="3686">
          <cell r="B3686">
            <v>800001</v>
          </cell>
          <cell r="C3686" t="str">
            <v>Terminasi (Pesangon Karyawan)</v>
          </cell>
          <cell r="D3686" t="str">
            <v>Januari</v>
          </cell>
          <cell r="F3686">
            <v>800001</v>
          </cell>
          <cell r="G3686" t="str">
            <v>Januari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</row>
        <row r="3687">
          <cell r="B3687">
            <v>800001</v>
          </cell>
          <cell r="C3687" t="str">
            <v>Terminasi (Pesangon Karyawan)</v>
          </cell>
          <cell r="D3687" t="str">
            <v>Februari</v>
          </cell>
          <cell r="F3687">
            <v>800001</v>
          </cell>
          <cell r="G3687" t="str">
            <v>Februari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</row>
        <row r="3688">
          <cell r="B3688">
            <v>800001</v>
          </cell>
          <cell r="C3688" t="str">
            <v>Terminasi (Pesangon Karyawan)</v>
          </cell>
          <cell r="D3688" t="str">
            <v>Maret</v>
          </cell>
          <cell r="F3688">
            <v>800001</v>
          </cell>
          <cell r="G3688" t="str">
            <v>Maret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</row>
        <row r="3689">
          <cell r="B3689">
            <v>800001</v>
          </cell>
          <cell r="C3689" t="str">
            <v>Terminasi (Pesangon Karyawan)</v>
          </cell>
          <cell r="D3689" t="str">
            <v>April</v>
          </cell>
          <cell r="F3689">
            <v>800001</v>
          </cell>
          <cell r="G3689" t="str">
            <v>April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</row>
        <row r="3690">
          <cell r="B3690">
            <v>800001</v>
          </cell>
          <cell r="C3690" t="str">
            <v>Terminasi (Pesangon Karyawan)</v>
          </cell>
          <cell r="D3690" t="str">
            <v>Mei</v>
          </cell>
          <cell r="F3690">
            <v>800001</v>
          </cell>
          <cell r="G3690" t="str">
            <v>Mei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</row>
        <row r="3691">
          <cell r="B3691">
            <v>800001</v>
          </cell>
          <cell r="C3691" t="str">
            <v>Terminasi (Pesangon Karyawan)</v>
          </cell>
          <cell r="D3691" t="str">
            <v>Juni</v>
          </cell>
          <cell r="F3691">
            <v>800001</v>
          </cell>
          <cell r="G3691" t="str">
            <v>Juni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</row>
        <row r="3692">
          <cell r="B3692">
            <v>800001</v>
          </cell>
          <cell r="C3692" t="str">
            <v>Terminasi (Pesangon Karyawan)</v>
          </cell>
          <cell r="D3692" t="str">
            <v>Juli</v>
          </cell>
          <cell r="F3692">
            <v>800001</v>
          </cell>
          <cell r="G3692" t="str">
            <v>Juli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</row>
        <row r="3693">
          <cell r="B3693">
            <v>800001</v>
          </cell>
          <cell r="C3693" t="str">
            <v>Terminasi (Pesangon Karyawan)</v>
          </cell>
          <cell r="D3693" t="str">
            <v>Agustus</v>
          </cell>
          <cell r="F3693">
            <v>800001</v>
          </cell>
          <cell r="G3693" t="str">
            <v>Agustus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</row>
        <row r="3694">
          <cell r="B3694">
            <v>800001</v>
          </cell>
          <cell r="C3694" t="str">
            <v>Terminasi (Pesangon Karyawan)</v>
          </cell>
          <cell r="D3694" t="str">
            <v>September</v>
          </cell>
          <cell r="F3694">
            <v>800001</v>
          </cell>
          <cell r="G3694" t="str">
            <v>September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</row>
        <row r="3695">
          <cell r="B3695">
            <v>800001</v>
          </cell>
          <cell r="C3695" t="str">
            <v>Terminasi (Pesangon Karyawan)</v>
          </cell>
          <cell r="D3695" t="str">
            <v>Oktober</v>
          </cell>
          <cell r="F3695">
            <v>800001</v>
          </cell>
          <cell r="G3695" t="str">
            <v>Oktober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</row>
        <row r="3696">
          <cell r="B3696">
            <v>800001</v>
          </cell>
          <cell r="C3696" t="str">
            <v>Terminasi (Pesangon Karyawan)</v>
          </cell>
          <cell r="D3696" t="str">
            <v>November</v>
          </cell>
          <cell r="F3696">
            <v>800001</v>
          </cell>
          <cell r="G3696" t="str">
            <v>November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</row>
        <row r="3697">
          <cell r="B3697">
            <v>800001</v>
          </cell>
          <cell r="C3697" t="str">
            <v>Terminasi (Pesangon Karyawan)</v>
          </cell>
          <cell r="D3697" t="str">
            <v>Desember</v>
          </cell>
          <cell r="F3697">
            <v>800001</v>
          </cell>
          <cell r="G3697" t="str">
            <v>Desember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</row>
        <row r="3698">
          <cell r="B3698">
            <v>800002</v>
          </cell>
          <cell r="C3698" t="str">
            <v>Selisih kas</v>
          </cell>
          <cell r="E3698">
            <v>800.00199999999995</v>
          </cell>
          <cell r="F3698">
            <v>800002</v>
          </cell>
          <cell r="G3698" t="str">
            <v>Selisih kas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</row>
        <row r="3699">
          <cell r="B3699">
            <v>800002</v>
          </cell>
          <cell r="C3699" t="str">
            <v>Selisih kas</v>
          </cell>
          <cell r="D3699" t="str">
            <v>Januari</v>
          </cell>
          <cell r="F3699">
            <v>800002</v>
          </cell>
          <cell r="G3699" t="str">
            <v>Januari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</row>
        <row r="3700">
          <cell r="B3700">
            <v>800002</v>
          </cell>
          <cell r="C3700" t="str">
            <v>Selisih kas</v>
          </cell>
          <cell r="D3700" t="str">
            <v>Februari</v>
          </cell>
          <cell r="F3700">
            <v>800002</v>
          </cell>
          <cell r="G3700" t="str">
            <v>Februari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</row>
        <row r="3701">
          <cell r="B3701">
            <v>800002</v>
          </cell>
          <cell r="C3701" t="str">
            <v>Selisih kas</v>
          </cell>
          <cell r="D3701" t="str">
            <v>Maret</v>
          </cell>
          <cell r="F3701">
            <v>800002</v>
          </cell>
          <cell r="G3701" t="str">
            <v>Maret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</row>
        <row r="3702">
          <cell r="B3702">
            <v>800002</v>
          </cell>
          <cell r="C3702" t="str">
            <v>Selisih kas</v>
          </cell>
          <cell r="D3702" t="str">
            <v>April</v>
          </cell>
          <cell r="F3702">
            <v>800002</v>
          </cell>
          <cell r="G3702" t="str">
            <v>April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</row>
        <row r="3703">
          <cell r="B3703">
            <v>800002</v>
          </cell>
          <cell r="C3703" t="str">
            <v>Selisih kas</v>
          </cell>
          <cell r="D3703" t="str">
            <v>Mei</v>
          </cell>
          <cell r="F3703">
            <v>800002</v>
          </cell>
          <cell r="G3703" t="str">
            <v>Mei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</row>
        <row r="3704">
          <cell r="B3704">
            <v>800002</v>
          </cell>
          <cell r="C3704" t="str">
            <v>Selisih kas</v>
          </cell>
          <cell r="D3704" t="str">
            <v>Juni</v>
          </cell>
          <cell r="F3704">
            <v>800002</v>
          </cell>
          <cell r="G3704" t="str">
            <v>Juni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</row>
        <row r="3705">
          <cell r="B3705">
            <v>800002</v>
          </cell>
          <cell r="C3705" t="str">
            <v>Selisih kas</v>
          </cell>
          <cell r="D3705" t="str">
            <v>Juli</v>
          </cell>
          <cell r="F3705">
            <v>800002</v>
          </cell>
          <cell r="G3705" t="str">
            <v>Juli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</row>
        <row r="3706">
          <cell r="B3706">
            <v>800002</v>
          </cell>
          <cell r="C3706" t="str">
            <v>Selisih kas</v>
          </cell>
          <cell r="D3706" t="str">
            <v>Agustus</v>
          </cell>
          <cell r="F3706">
            <v>800002</v>
          </cell>
          <cell r="G3706" t="str">
            <v>Agustus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</row>
        <row r="3707">
          <cell r="B3707">
            <v>800002</v>
          </cell>
          <cell r="C3707" t="str">
            <v>Selisih kas</v>
          </cell>
          <cell r="D3707" t="str">
            <v>September</v>
          </cell>
          <cell r="F3707">
            <v>800002</v>
          </cell>
          <cell r="G3707" t="str">
            <v>September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</row>
        <row r="3708">
          <cell r="B3708">
            <v>800002</v>
          </cell>
          <cell r="C3708" t="str">
            <v>Selisih kas</v>
          </cell>
          <cell r="D3708" t="str">
            <v>Oktober</v>
          </cell>
          <cell r="F3708">
            <v>800002</v>
          </cell>
          <cell r="G3708" t="str">
            <v>Oktober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</row>
        <row r="3709">
          <cell r="B3709">
            <v>800002</v>
          </cell>
          <cell r="C3709" t="str">
            <v>Selisih kas</v>
          </cell>
          <cell r="D3709" t="str">
            <v>November</v>
          </cell>
          <cell r="F3709">
            <v>800002</v>
          </cell>
          <cell r="G3709" t="str">
            <v>November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</row>
        <row r="3710">
          <cell r="B3710">
            <v>800002</v>
          </cell>
          <cell r="C3710" t="str">
            <v>Selisih kas</v>
          </cell>
          <cell r="D3710" t="str">
            <v>Desember</v>
          </cell>
          <cell r="F3710">
            <v>800002</v>
          </cell>
          <cell r="G3710" t="str">
            <v>Desember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</row>
        <row r="3711">
          <cell r="B3711">
            <v>800003</v>
          </cell>
          <cell r="C3711" t="str">
            <v>Biaya lain-lain</v>
          </cell>
          <cell r="E3711">
            <v>800.00300000000004</v>
          </cell>
          <cell r="F3711">
            <v>800003</v>
          </cell>
          <cell r="G3711" t="str">
            <v>Biaya lain-lain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</row>
        <row r="3712">
          <cell r="B3712">
            <v>800003</v>
          </cell>
          <cell r="C3712" t="str">
            <v>Biaya lain-lain</v>
          </cell>
          <cell r="D3712" t="str">
            <v>Januari</v>
          </cell>
          <cell r="F3712">
            <v>800003</v>
          </cell>
          <cell r="G3712" t="str">
            <v>Januari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</row>
        <row r="3713">
          <cell r="B3713">
            <v>800003</v>
          </cell>
          <cell r="C3713" t="str">
            <v>Biaya lain-lain</v>
          </cell>
          <cell r="D3713" t="str">
            <v>Februari</v>
          </cell>
          <cell r="F3713">
            <v>800003</v>
          </cell>
          <cell r="G3713" t="str">
            <v>Februari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</row>
        <row r="3714">
          <cell r="B3714">
            <v>800003</v>
          </cell>
          <cell r="C3714" t="str">
            <v>Biaya lain-lain</v>
          </cell>
          <cell r="D3714" t="str">
            <v>Maret</v>
          </cell>
          <cell r="F3714">
            <v>800003</v>
          </cell>
          <cell r="G3714" t="str">
            <v>Maret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</row>
        <row r="3715">
          <cell r="B3715">
            <v>800003</v>
          </cell>
          <cell r="C3715" t="str">
            <v>Biaya lain-lain</v>
          </cell>
          <cell r="D3715" t="str">
            <v>April</v>
          </cell>
          <cell r="F3715">
            <v>800003</v>
          </cell>
          <cell r="G3715" t="str">
            <v>April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</row>
        <row r="3716">
          <cell r="B3716">
            <v>800003</v>
          </cell>
          <cell r="C3716" t="str">
            <v>Biaya lain-lain</v>
          </cell>
          <cell r="D3716" t="str">
            <v>Mei</v>
          </cell>
          <cell r="F3716">
            <v>800003</v>
          </cell>
          <cell r="G3716" t="str">
            <v>Mei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</row>
        <row r="3717">
          <cell r="B3717">
            <v>800003</v>
          </cell>
          <cell r="C3717" t="str">
            <v>Biaya lain-lain</v>
          </cell>
          <cell r="D3717" t="str">
            <v>Juni</v>
          </cell>
          <cell r="F3717">
            <v>800003</v>
          </cell>
          <cell r="G3717" t="str">
            <v>Juni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</row>
        <row r="3718">
          <cell r="B3718">
            <v>800003</v>
          </cell>
          <cell r="C3718" t="str">
            <v>Biaya lain-lain</v>
          </cell>
          <cell r="D3718" t="str">
            <v>Juli</v>
          </cell>
          <cell r="F3718">
            <v>800003</v>
          </cell>
          <cell r="G3718" t="str">
            <v>Juli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</row>
        <row r="3719">
          <cell r="B3719">
            <v>800003</v>
          </cell>
          <cell r="C3719" t="str">
            <v>Biaya lain-lain</v>
          </cell>
          <cell r="D3719" t="str">
            <v>Agustus</v>
          </cell>
          <cell r="F3719">
            <v>800003</v>
          </cell>
          <cell r="G3719" t="str">
            <v>Agustus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</row>
        <row r="3720">
          <cell r="B3720">
            <v>800003</v>
          </cell>
          <cell r="C3720" t="str">
            <v>Biaya lain-lain</v>
          </cell>
          <cell r="D3720" t="str">
            <v>September</v>
          </cell>
          <cell r="F3720">
            <v>800003</v>
          </cell>
          <cell r="G3720" t="str">
            <v>September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</row>
        <row r="3721">
          <cell r="B3721">
            <v>800003</v>
          </cell>
          <cell r="C3721" t="str">
            <v>Biaya lain-lain</v>
          </cell>
          <cell r="D3721" t="str">
            <v>Oktober</v>
          </cell>
          <cell r="F3721">
            <v>800003</v>
          </cell>
          <cell r="G3721" t="str">
            <v>Oktober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</row>
        <row r="3722">
          <cell r="B3722">
            <v>800003</v>
          </cell>
          <cell r="C3722" t="str">
            <v>Biaya lain-lain</v>
          </cell>
          <cell r="D3722" t="str">
            <v>November</v>
          </cell>
          <cell r="F3722">
            <v>800003</v>
          </cell>
          <cell r="G3722" t="str">
            <v>November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</row>
        <row r="3723">
          <cell r="B3723">
            <v>800003</v>
          </cell>
          <cell r="C3723" t="str">
            <v>Biaya lain-lain</v>
          </cell>
          <cell r="D3723" t="str">
            <v>Desember</v>
          </cell>
          <cell r="F3723">
            <v>800003</v>
          </cell>
          <cell r="G3723" t="str">
            <v>Desember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</row>
        <row r="3724">
          <cell r="B3724">
            <v>800004</v>
          </cell>
          <cell r="C3724" t="str">
            <v>Pendapatan lain-lain</v>
          </cell>
          <cell r="E3724">
            <v>800.00400000000002</v>
          </cell>
          <cell r="F3724">
            <v>800004</v>
          </cell>
          <cell r="G3724" t="str">
            <v>Pendapatan lain-lain</v>
          </cell>
          <cell r="H3724">
            <v>0</v>
          </cell>
          <cell r="I3724">
            <v>23299201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21838167</v>
          </cell>
          <cell r="V3724">
            <v>0</v>
          </cell>
          <cell r="W3724">
            <v>45000000</v>
          </cell>
          <cell r="X3724">
            <v>0</v>
          </cell>
          <cell r="Y3724">
            <v>0</v>
          </cell>
          <cell r="Z3724">
            <v>93000</v>
          </cell>
          <cell r="AA3724">
            <v>0</v>
          </cell>
          <cell r="AB3724">
            <v>93000</v>
          </cell>
          <cell r="AC3724">
            <v>90137368</v>
          </cell>
          <cell r="AD3724">
            <v>93000</v>
          </cell>
          <cell r="AE3724">
            <v>66838167</v>
          </cell>
        </row>
        <row r="3725">
          <cell r="B3725">
            <v>800004</v>
          </cell>
          <cell r="C3725" t="str">
            <v>Pendapatan lain-lain</v>
          </cell>
          <cell r="D3725" t="str">
            <v>Januari</v>
          </cell>
          <cell r="F3725">
            <v>800004</v>
          </cell>
          <cell r="G3725" t="str">
            <v>Januari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203000</v>
          </cell>
          <cell r="V3725">
            <v>0</v>
          </cell>
          <cell r="W3725">
            <v>45000000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45203000</v>
          </cell>
          <cell r="AD3725">
            <v>0</v>
          </cell>
          <cell r="AE3725">
            <v>45203000</v>
          </cell>
        </row>
        <row r="3726">
          <cell r="B3726">
            <v>800004</v>
          </cell>
          <cell r="C3726" t="str">
            <v>Pendapatan lain-lain</v>
          </cell>
          <cell r="D3726" t="str">
            <v>Februari</v>
          </cell>
          <cell r="F3726">
            <v>800004</v>
          </cell>
          <cell r="G3726" t="str">
            <v>Februari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15000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15000</v>
          </cell>
          <cell r="AD3726">
            <v>0</v>
          </cell>
          <cell r="AE3726">
            <v>15000</v>
          </cell>
        </row>
        <row r="3727">
          <cell r="B3727">
            <v>800004</v>
          </cell>
          <cell r="C3727" t="str">
            <v>Pendapatan lain-lain</v>
          </cell>
          <cell r="D3727" t="str">
            <v>Maret</v>
          </cell>
          <cell r="F3727">
            <v>800004</v>
          </cell>
          <cell r="G3727" t="str">
            <v>Maret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521000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521000</v>
          </cell>
          <cell r="AD3727">
            <v>0</v>
          </cell>
          <cell r="AE3727">
            <v>521000</v>
          </cell>
        </row>
        <row r="3728">
          <cell r="B3728">
            <v>800004</v>
          </cell>
          <cell r="C3728" t="str">
            <v>Pendapatan lain-lain</v>
          </cell>
          <cell r="D3728" t="str">
            <v>April</v>
          </cell>
          <cell r="F3728">
            <v>800004</v>
          </cell>
          <cell r="G3728" t="str">
            <v>April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518000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518000</v>
          </cell>
          <cell r="AD3728">
            <v>0</v>
          </cell>
          <cell r="AE3728">
            <v>518000</v>
          </cell>
        </row>
        <row r="3729">
          <cell r="B3729">
            <v>800004</v>
          </cell>
          <cell r="C3729" t="str">
            <v>Pendapatan lain-lain</v>
          </cell>
          <cell r="D3729" t="str">
            <v>Mei</v>
          </cell>
          <cell r="F3729">
            <v>800004</v>
          </cell>
          <cell r="G3729" t="str">
            <v>Mei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2542000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93000</v>
          </cell>
          <cell r="AA3729">
            <v>0</v>
          </cell>
          <cell r="AB3729">
            <v>93000</v>
          </cell>
          <cell r="AC3729">
            <v>2542000</v>
          </cell>
          <cell r="AD3729">
            <v>93000</v>
          </cell>
          <cell r="AE3729">
            <v>2542000</v>
          </cell>
        </row>
        <row r="3730">
          <cell r="B3730">
            <v>800004</v>
          </cell>
          <cell r="C3730" t="str">
            <v>Pendapatan lain-lain</v>
          </cell>
          <cell r="D3730" t="str">
            <v>Juni</v>
          </cell>
          <cell r="F3730">
            <v>800004</v>
          </cell>
          <cell r="G3730" t="str">
            <v>Juni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2033000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2033000</v>
          </cell>
          <cell r="AD3730">
            <v>0</v>
          </cell>
          <cell r="AE3730">
            <v>2033000</v>
          </cell>
        </row>
        <row r="3731">
          <cell r="B3731">
            <v>800004</v>
          </cell>
          <cell r="C3731" t="str">
            <v>Pendapatan lain-lain</v>
          </cell>
          <cell r="D3731" t="str">
            <v>Juli</v>
          </cell>
          <cell r="F3731">
            <v>800004</v>
          </cell>
          <cell r="G3731" t="str">
            <v>Juli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  <cell r="Z3731">
            <v>0</v>
          </cell>
          <cell r="AA3731">
            <v>0</v>
          </cell>
          <cell r="AB3731">
            <v>0</v>
          </cell>
          <cell r="AC3731">
            <v>0</v>
          </cell>
          <cell r="AD3731">
            <v>0</v>
          </cell>
          <cell r="AE3731">
            <v>0</v>
          </cell>
        </row>
        <row r="3732">
          <cell r="B3732">
            <v>800004</v>
          </cell>
          <cell r="C3732" t="str">
            <v>Pendapatan lain-lain</v>
          </cell>
          <cell r="D3732" t="str">
            <v>Agustus</v>
          </cell>
          <cell r="F3732">
            <v>800004</v>
          </cell>
          <cell r="G3732" t="str">
            <v>Agustus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1675167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1675167</v>
          </cell>
          <cell r="AD3732">
            <v>0</v>
          </cell>
          <cell r="AE3732">
            <v>1675167</v>
          </cell>
        </row>
        <row r="3733">
          <cell r="B3733">
            <v>800004</v>
          </cell>
          <cell r="C3733" t="str">
            <v>Pendapatan lain-lain</v>
          </cell>
          <cell r="D3733" t="str">
            <v>September</v>
          </cell>
          <cell r="F3733">
            <v>800004</v>
          </cell>
          <cell r="G3733" t="str">
            <v>September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13292000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13292000</v>
          </cell>
          <cell r="AD3733">
            <v>0</v>
          </cell>
          <cell r="AE3733">
            <v>13292000</v>
          </cell>
        </row>
        <row r="3734">
          <cell r="B3734">
            <v>800004</v>
          </cell>
          <cell r="C3734" t="str">
            <v>Pendapatan lain-lain</v>
          </cell>
          <cell r="D3734" t="str">
            <v>Oktober</v>
          </cell>
          <cell r="F3734">
            <v>800004</v>
          </cell>
          <cell r="G3734" t="str">
            <v>Oktober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3000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3000</v>
          </cell>
          <cell r="AD3734">
            <v>0</v>
          </cell>
          <cell r="AE3734">
            <v>3000</v>
          </cell>
        </row>
        <row r="3735">
          <cell r="B3735">
            <v>800004</v>
          </cell>
          <cell r="C3735" t="str">
            <v>Pendapatan lain-lain</v>
          </cell>
          <cell r="D3735" t="str">
            <v>November</v>
          </cell>
          <cell r="F3735">
            <v>800004</v>
          </cell>
          <cell r="G3735" t="str">
            <v>November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24000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24000</v>
          </cell>
          <cell r="AD3735">
            <v>0</v>
          </cell>
          <cell r="AE3735">
            <v>24000</v>
          </cell>
        </row>
        <row r="3736">
          <cell r="B3736">
            <v>800004</v>
          </cell>
          <cell r="C3736" t="str">
            <v>Pendapatan lain-lain</v>
          </cell>
          <cell r="D3736" t="str">
            <v>Desember</v>
          </cell>
          <cell r="F3736">
            <v>800004</v>
          </cell>
          <cell r="G3736" t="str">
            <v>Desember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1012000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1012000</v>
          </cell>
          <cell r="AD3736">
            <v>0</v>
          </cell>
          <cell r="AE3736">
            <v>1012000</v>
          </cell>
        </row>
        <row r="3737">
          <cell r="B3737">
            <v>800005</v>
          </cell>
          <cell r="C3737" t="str">
            <v>Pendapatan Bunga Bank</v>
          </cell>
          <cell r="E3737">
            <v>800.005</v>
          </cell>
          <cell r="F3737">
            <v>800005</v>
          </cell>
          <cell r="G3737" t="str">
            <v>Pendapatan Bunga Bank</v>
          </cell>
          <cell r="H3737">
            <v>0</v>
          </cell>
          <cell r="I3737">
            <v>4076694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7418236.7700000005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11494930.77</v>
          </cell>
          <cell r="AD3737">
            <v>0</v>
          </cell>
          <cell r="AE3737">
            <v>7418236.7700000005</v>
          </cell>
        </row>
        <row r="3738">
          <cell r="B3738">
            <v>800005</v>
          </cell>
          <cell r="C3738" t="str">
            <v>Pendapatan Bunga Bank</v>
          </cell>
          <cell r="D3738" t="str">
            <v>Januari</v>
          </cell>
          <cell r="F3738">
            <v>800005</v>
          </cell>
          <cell r="G3738" t="str">
            <v>Januari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505382.25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505382.25</v>
          </cell>
          <cell r="AD3738">
            <v>0</v>
          </cell>
          <cell r="AE3738">
            <v>505382.25</v>
          </cell>
        </row>
        <row r="3739">
          <cell r="B3739">
            <v>800005</v>
          </cell>
          <cell r="C3739" t="str">
            <v>Pendapatan Bunga Bank</v>
          </cell>
          <cell r="D3739" t="str">
            <v>Februari</v>
          </cell>
          <cell r="F3739">
            <v>800005</v>
          </cell>
          <cell r="G3739" t="str">
            <v>Februari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565270.21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565270.21</v>
          </cell>
          <cell r="AD3739">
            <v>0</v>
          </cell>
          <cell r="AE3739">
            <v>565270.21</v>
          </cell>
        </row>
        <row r="3740">
          <cell r="B3740">
            <v>800005</v>
          </cell>
          <cell r="C3740" t="str">
            <v>Pendapatan Bunga Bank</v>
          </cell>
          <cell r="D3740" t="str">
            <v>Maret</v>
          </cell>
          <cell r="F3740">
            <v>800005</v>
          </cell>
          <cell r="G3740" t="str">
            <v>Maret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534329.03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534329.03</v>
          </cell>
          <cell r="AD3740">
            <v>0</v>
          </cell>
          <cell r="AE3740">
            <v>534329.03</v>
          </cell>
        </row>
        <row r="3741">
          <cell r="B3741">
            <v>800005</v>
          </cell>
          <cell r="C3741" t="str">
            <v>Pendapatan Bunga Bank</v>
          </cell>
          <cell r="D3741" t="str">
            <v>April</v>
          </cell>
          <cell r="F3741">
            <v>800005</v>
          </cell>
          <cell r="G3741" t="str">
            <v>April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459616.63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459616.63</v>
          </cell>
          <cell r="AD3741">
            <v>0</v>
          </cell>
          <cell r="AE3741">
            <v>459616.63</v>
          </cell>
        </row>
        <row r="3742">
          <cell r="B3742">
            <v>800005</v>
          </cell>
          <cell r="C3742" t="str">
            <v>Pendapatan Bunga Bank</v>
          </cell>
          <cell r="D3742" t="str">
            <v>Mei</v>
          </cell>
          <cell r="F3742">
            <v>800005</v>
          </cell>
          <cell r="G3742" t="str">
            <v>Mei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547352.93999999994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547352.93999999994</v>
          </cell>
          <cell r="AD3742">
            <v>0</v>
          </cell>
          <cell r="AE3742">
            <v>547352.93999999994</v>
          </cell>
        </row>
        <row r="3743">
          <cell r="B3743">
            <v>800005</v>
          </cell>
          <cell r="C3743" t="str">
            <v>Pendapatan Bunga Bank</v>
          </cell>
          <cell r="D3743" t="str">
            <v>Juni</v>
          </cell>
          <cell r="F3743">
            <v>800005</v>
          </cell>
          <cell r="G3743" t="str">
            <v>Juni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499518.34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499518.34</v>
          </cell>
          <cell r="AD3743">
            <v>0</v>
          </cell>
          <cell r="AE3743">
            <v>499518.34</v>
          </cell>
        </row>
        <row r="3744">
          <cell r="B3744">
            <v>800005</v>
          </cell>
          <cell r="C3744" t="str">
            <v>Pendapatan Bunga Bank</v>
          </cell>
          <cell r="D3744" t="str">
            <v>Juli</v>
          </cell>
          <cell r="F3744">
            <v>800005</v>
          </cell>
          <cell r="G3744" t="str">
            <v>Juli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406243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406243</v>
          </cell>
          <cell r="AD3744">
            <v>0</v>
          </cell>
          <cell r="AE3744">
            <v>406243</v>
          </cell>
        </row>
        <row r="3745">
          <cell r="B3745">
            <v>800005</v>
          </cell>
          <cell r="C3745" t="str">
            <v>Pendapatan Bunga Bank</v>
          </cell>
          <cell r="D3745" t="str">
            <v>Agustus</v>
          </cell>
          <cell r="F3745">
            <v>800005</v>
          </cell>
          <cell r="G3745" t="str">
            <v>Agustus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466766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466766</v>
          </cell>
          <cell r="AD3745">
            <v>0</v>
          </cell>
          <cell r="AE3745">
            <v>466766</v>
          </cell>
        </row>
        <row r="3746">
          <cell r="B3746">
            <v>800005</v>
          </cell>
          <cell r="C3746" t="str">
            <v>Pendapatan Bunga Bank</v>
          </cell>
          <cell r="D3746" t="str">
            <v>September</v>
          </cell>
          <cell r="F3746">
            <v>800005</v>
          </cell>
          <cell r="G3746" t="str">
            <v>September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575988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575988</v>
          </cell>
          <cell r="AD3746">
            <v>0</v>
          </cell>
          <cell r="AE3746">
            <v>575988</v>
          </cell>
        </row>
        <row r="3747">
          <cell r="B3747">
            <v>800005</v>
          </cell>
          <cell r="C3747" t="str">
            <v>Pendapatan Bunga Bank</v>
          </cell>
          <cell r="D3747" t="str">
            <v>Oktober</v>
          </cell>
          <cell r="F3747">
            <v>800005</v>
          </cell>
          <cell r="G3747" t="str">
            <v>Oktober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501815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501815</v>
          </cell>
          <cell r="AD3747">
            <v>0</v>
          </cell>
          <cell r="AE3747">
            <v>501815</v>
          </cell>
        </row>
        <row r="3748">
          <cell r="B3748">
            <v>800005</v>
          </cell>
          <cell r="C3748" t="str">
            <v>Pendapatan Bunga Bank</v>
          </cell>
          <cell r="D3748" t="str">
            <v>November</v>
          </cell>
          <cell r="F3748">
            <v>800005</v>
          </cell>
          <cell r="G3748" t="str">
            <v>November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578377.37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578377.37</v>
          </cell>
          <cell r="AD3748">
            <v>0</v>
          </cell>
          <cell r="AE3748">
            <v>578377.37</v>
          </cell>
        </row>
        <row r="3749">
          <cell r="B3749">
            <v>800005</v>
          </cell>
          <cell r="C3749" t="str">
            <v>Pendapatan Bunga Bank</v>
          </cell>
          <cell r="D3749" t="str">
            <v>Desember</v>
          </cell>
          <cell r="F3749">
            <v>800005</v>
          </cell>
          <cell r="G3749" t="str">
            <v>Desember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1777578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1777578</v>
          </cell>
          <cell r="AD3749">
            <v>0</v>
          </cell>
          <cell r="AE3749">
            <v>1777578</v>
          </cell>
        </row>
        <row r="3750">
          <cell r="B3750">
            <v>800005</v>
          </cell>
          <cell r="F3750">
            <v>800005</v>
          </cell>
          <cell r="H3750">
            <v>0</v>
          </cell>
          <cell r="I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</row>
        <row r="3751">
          <cell r="B3751">
            <v>850000</v>
          </cell>
          <cell r="C3751" t="str">
            <v>REKENING LUAR BIASA</v>
          </cell>
          <cell r="E3751">
            <v>850</v>
          </cell>
          <cell r="F3751">
            <v>850000</v>
          </cell>
          <cell r="G3751" t="str">
            <v>REKENING LUAR BIASA</v>
          </cell>
          <cell r="H3751">
            <v>0</v>
          </cell>
          <cell r="I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</row>
        <row r="3752">
          <cell r="B3752">
            <v>850001</v>
          </cell>
          <cell r="C3752" t="str">
            <v>Pembetulan Pajak</v>
          </cell>
          <cell r="E3752">
            <v>850.00099999999998</v>
          </cell>
          <cell r="F3752">
            <v>850001</v>
          </cell>
          <cell r="G3752" t="str">
            <v>Pembetulan Pajak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</row>
        <row r="3753">
          <cell r="B3753">
            <v>850001</v>
          </cell>
          <cell r="C3753" t="str">
            <v>Pembetulan Pajak</v>
          </cell>
          <cell r="D3753" t="str">
            <v>Januari</v>
          </cell>
          <cell r="F3753">
            <v>850001</v>
          </cell>
          <cell r="G3753" t="str">
            <v>Januari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</row>
        <row r="3754">
          <cell r="B3754">
            <v>850001</v>
          </cell>
          <cell r="C3754" t="str">
            <v>Pembetulan Pajak</v>
          </cell>
          <cell r="D3754" t="str">
            <v>Februari</v>
          </cell>
          <cell r="F3754">
            <v>850001</v>
          </cell>
          <cell r="G3754" t="str">
            <v>Februari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</row>
        <row r="3755">
          <cell r="B3755">
            <v>850001</v>
          </cell>
          <cell r="C3755" t="str">
            <v>Pembetulan Pajak</v>
          </cell>
          <cell r="D3755" t="str">
            <v>Maret</v>
          </cell>
          <cell r="F3755">
            <v>850001</v>
          </cell>
          <cell r="G3755" t="str">
            <v>Maret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</row>
        <row r="3756">
          <cell r="B3756">
            <v>850001</v>
          </cell>
          <cell r="C3756" t="str">
            <v>Pembetulan Pajak</v>
          </cell>
          <cell r="D3756" t="str">
            <v>April</v>
          </cell>
          <cell r="F3756">
            <v>850001</v>
          </cell>
          <cell r="G3756" t="str">
            <v>April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</row>
        <row r="3757">
          <cell r="B3757">
            <v>850001</v>
          </cell>
          <cell r="C3757" t="str">
            <v>Pembetulan Pajak</v>
          </cell>
          <cell r="D3757" t="str">
            <v>Mei</v>
          </cell>
          <cell r="F3757">
            <v>850001</v>
          </cell>
          <cell r="G3757" t="str">
            <v>Mei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</row>
        <row r="3758">
          <cell r="B3758">
            <v>850001</v>
          </cell>
          <cell r="C3758" t="str">
            <v>Pembetulan Pajak</v>
          </cell>
          <cell r="D3758" t="str">
            <v>Juni</v>
          </cell>
          <cell r="F3758">
            <v>850001</v>
          </cell>
          <cell r="G3758" t="str">
            <v>Juni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</row>
        <row r="3759">
          <cell r="B3759">
            <v>850001</v>
          </cell>
          <cell r="C3759" t="str">
            <v>Pembetulan Pajak</v>
          </cell>
          <cell r="D3759" t="str">
            <v>Juli</v>
          </cell>
          <cell r="F3759">
            <v>850001</v>
          </cell>
          <cell r="G3759" t="str">
            <v>Juli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</row>
        <row r="3760">
          <cell r="B3760">
            <v>850001</v>
          </cell>
          <cell r="C3760" t="str">
            <v>Pembetulan Pajak</v>
          </cell>
          <cell r="D3760" t="str">
            <v>Agustus</v>
          </cell>
          <cell r="F3760">
            <v>850001</v>
          </cell>
          <cell r="G3760" t="str">
            <v>Agustus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</row>
        <row r="3761">
          <cell r="B3761">
            <v>850001</v>
          </cell>
          <cell r="C3761" t="str">
            <v>Pembetulan Pajak</v>
          </cell>
          <cell r="D3761" t="str">
            <v>September</v>
          </cell>
          <cell r="F3761">
            <v>850001</v>
          </cell>
          <cell r="G3761" t="str">
            <v>September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</row>
        <row r="3762">
          <cell r="B3762">
            <v>850001</v>
          </cell>
          <cell r="C3762" t="str">
            <v>Pembetulan Pajak</v>
          </cell>
          <cell r="D3762" t="str">
            <v>Oktober</v>
          </cell>
          <cell r="F3762">
            <v>850001</v>
          </cell>
          <cell r="G3762" t="str">
            <v>Oktober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</row>
        <row r="3763">
          <cell r="B3763">
            <v>850001</v>
          </cell>
          <cell r="C3763" t="str">
            <v>Pembetulan Pajak</v>
          </cell>
          <cell r="D3763" t="str">
            <v>November</v>
          </cell>
          <cell r="F3763">
            <v>850001</v>
          </cell>
          <cell r="G3763" t="str">
            <v>November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</row>
        <row r="3764">
          <cell r="B3764">
            <v>850001</v>
          </cell>
          <cell r="C3764" t="str">
            <v>Pembetulan Pajak</v>
          </cell>
          <cell r="D3764" t="str">
            <v>Desember</v>
          </cell>
          <cell r="F3764">
            <v>850001</v>
          </cell>
          <cell r="G3764" t="str">
            <v>Desember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</row>
        <row r="3765">
          <cell r="B3765">
            <v>850002</v>
          </cell>
          <cell r="C3765" t="str">
            <v>Bunga / denda pajak</v>
          </cell>
          <cell r="E3765">
            <v>850.00199999999995</v>
          </cell>
          <cell r="F3765">
            <v>850002</v>
          </cell>
          <cell r="G3765" t="str">
            <v>Bunga / denda pajak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</row>
        <row r="3766">
          <cell r="B3766">
            <v>850002</v>
          </cell>
          <cell r="C3766" t="str">
            <v>Bunga / denda pajak</v>
          </cell>
          <cell r="D3766" t="str">
            <v>Januari</v>
          </cell>
          <cell r="F3766">
            <v>850002</v>
          </cell>
          <cell r="G3766" t="str">
            <v>Januari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</row>
        <row r="3767">
          <cell r="B3767">
            <v>850002</v>
          </cell>
          <cell r="C3767" t="str">
            <v>Bunga / denda pajak</v>
          </cell>
          <cell r="D3767" t="str">
            <v>Februari</v>
          </cell>
          <cell r="F3767">
            <v>850002</v>
          </cell>
          <cell r="G3767" t="str">
            <v>Februari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</row>
        <row r="3768">
          <cell r="B3768">
            <v>850002</v>
          </cell>
          <cell r="C3768" t="str">
            <v>Bunga / denda pajak</v>
          </cell>
          <cell r="D3768" t="str">
            <v>Maret</v>
          </cell>
          <cell r="F3768">
            <v>850002</v>
          </cell>
          <cell r="G3768" t="str">
            <v>Maret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</row>
        <row r="3769">
          <cell r="B3769">
            <v>850002</v>
          </cell>
          <cell r="C3769" t="str">
            <v>Bunga / denda pajak</v>
          </cell>
          <cell r="D3769" t="str">
            <v>April</v>
          </cell>
          <cell r="F3769">
            <v>850002</v>
          </cell>
          <cell r="G3769" t="str">
            <v>April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</row>
        <row r="3770">
          <cell r="B3770">
            <v>850002</v>
          </cell>
          <cell r="C3770" t="str">
            <v>Bunga / denda pajak</v>
          </cell>
          <cell r="D3770" t="str">
            <v>Mei</v>
          </cell>
          <cell r="F3770">
            <v>850002</v>
          </cell>
          <cell r="G3770" t="str">
            <v>Mei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</row>
        <row r="3771">
          <cell r="B3771">
            <v>850002</v>
          </cell>
          <cell r="C3771" t="str">
            <v>Bunga / denda pajak</v>
          </cell>
          <cell r="D3771" t="str">
            <v>Juni</v>
          </cell>
          <cell r="F3771">
            <v>850002</v>
          </cell>
          <cell r="G3771" t="str">
            <v>Juni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</row>
        <row r="3772">
          <cell r="B3772">
            <v>850002</v>
          </cell>
          <cell r="C3772" t="str">
            <v>Bunga / denda pajak</v>
          </cell>
          <cell r="D3772" t="str">
            <v>Juli</v>
          </cell>
          <cell r="F3772">
            <v>850002</v>
          </cell>
          <cell r="G3772" t="str">
            <v>Juli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</row>
        <row r="3773">
          <cell r="B3773">
            <v>850002</v>
          </cell>
          <cell r="C3773" t="str">
            <v>Bunga / denda pajak</v>
          </cell>
          <cell r="D3773" t="str">
            <v>Agustus</v>
          </cell>
          <cell r="F3773">
            <v>850002</v>
          </cell>
          <cell r="G3773" t="str">
            <v>Agustus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</row>
        <row r="3774">
          <cell r="B3774">
            <v>850002</v>
          </cell>
          <cell r="C3774" t="str">
            <v>Bunga / denda pajak</v>
          </cell>
          <cell r="D3774" t="str">
            <v>September</v>
          </cell>
          <cell r="F3774">
            <v>850002</v>
          </cell>
          <cell r="G3774" t="str">
            <v>September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</row>
        <row r="3775">
          <cell r="B3775">
            <v>850002</v>
          </cell>
          <cell r="C3775" t="str">
            <v>Bunga / denda pajak</v>
          </cell>
          <cell r="D3775" t="str">
            <v>Oktober</v>
          </cell>
          <cell r="F3775">
            <v>850002</v>
          </cell>
          <cell r="G3775" t="str">
            <v>Oktober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</row>
        <row r="3776">
          <cell r="B3776">
            <v>850002</v>
          </cell>
          <cell r="C3776" t="str">
            <v>Bunga / denda pajak</v>
          </cell>
          <cell r="D3776" t="str">
            <v>November</v>
          </cell>
          <cell r="F3776">
            <v>850002</v>
          </cell>
          <cell r="G3776" t="str">
            <v>November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</row>
        <row r="3777">
          <cell r="B3777">
            <v>850002</v>
          </cell>
          <cell r="C3777" t="str">
            <v>Bunga / denda pajak</v>
          </cell>
          <cell r="D3777" t="str">
            <v>Desember</v>
          </cell>
          <cell r="F3777">
            <v>850002</v>
          </cell>
          <cell r="G3777" t="str">
            <v>Desember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</row>
        <row r="3778">
          <cell r="B3778">
            <v>850003</v>
          </cell>
          <cell r="C3778" t="str">
            <v>Koreksi LK Tahun Lalu</v>
          </cell>
          <cell r="E3778">
            <v>850.00300000000004</v>
          </cell>
          <cell r="F3778">
            <v>850003</v>
          </cell>
          <cell r="G3778" t="str">
            <v>Koreksi LK Tahun Lalu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</row>
        <row r="3779">
          <cell r="B3779">
            <v>850003</v>
          </cell>
          <cell r="C3779" t="str">
            <v>Koreksi LK Tahun Lalu</v>
          </cell>
          <cell r="D3779" t="str">
            <v>Januari</v>
          </cell>
          <cell r="F3779">
            <v>850003</v>
          </cell>
          <cell r="G3779" t="str">
            <v>Januari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</row>
        <row r="3780">
          <cell r="B3780">
            <v>850003</v>
          </cell>
          <cell r="C3780" t="str">
            <v>Koreksi LK Tahun Lalu</v>
          </cell>
          <cell r="D3780" t="str">
            <v>Februari</v>
          </cell>
          <cell r="F3780">
            <v>850003</v>
          </cell>
          <cell r="G3780" t="str">
            <v>Februari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</row>
        <row r="3781">
          <cell r="B3781">
            <v>850003</v>
          </cell>
          <cell r="C3781" t="str">
            <v>Koreksi LK Tahun Lalu</v>
          </cell>
          <cell r="D3781" t="str">
            <v>Maret</v>
          </cell>
          <cell r="F3781">
            <v>850003</v>
          </cell>
          <cell r="G3781" t="str">
            <v>Maret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</row>
        <row r="3782">
          <cell r="B3782">
            <v>850003</v>
          </cell>
          <cell r="C3782" t="str">
            <v>Koreksi LK Tahun Lalu</v>
          </cell>
          <cell r="D3782" t="str">
            <v>April</v>
          </cell>
          <cell r="F3782">
            <v>850003</v>
          </cell>
          <cell r="G3782" t="str">
            <v>April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</row>
        <row r="3783">
          <cell r="B3783">
            <v>850003</v>
          </cell>
          <cell r="C3783" t="str">
            <v>Koreksi LK Tahun Lalu</v>
          </cell>
          <cell r="D3783" t="str">
            <v>Mei</v>
          </cell>
          <cell r="F3783">
            <v>850003</v>
          </cell>
          <cell r="G3783" t="str">
            <v>Mei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</row>
        <row r="3784">
          <cell r="B3784">
            <v>850003</v>
          </cell>
          <cell r="C3784" t="str">
            <v>Koreksi LK Tahun Lalu</v>
          </cell>
          <cell r="D3784" t="str">
            <v>Juni</v>
          </cell>
          <cell r="F3784">
            <v>850003</v>
          </cell>
          <cell r="G3784" t="str">
            <v>Juni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</row>
        <row r="3785">
          <cell r="B3785">
            <v>850003</v>
          </cell>
          <cell r="C3785" t="str">
            <v>Koreksi LK Tahun Lalu</v>
          </cell>
          <cell r="D3785" t="str">
            <v>Juli</v>
          </cell>
          <cell r="F3785">
            <v>850003</v>
          </cell>
          <cell r="G3785" t="str">
            <v>Juli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</row>
        <row r="3786">
          <cell r="B3786">
            <v>850003</v>
          </cell>
          <cell r="C3786" t="str">
            <v>Koreksi LK Tahun Lalu</v>
          </cell>
          <cell r="D3786" t="str">
            <v>Agustus</v>
          </cell>
          <cell r="F3786">
            <v>850003</v>
          </cell>
          <cell r="G3786" t="str">
            <v>Agustus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</row>
        <row r="3787">
          <cell r="B3787">
            <v>850003</v>
          </cell>
          <cell r="C3787" t="str">
            <v>Koreksi LK Tahun Lalu</v>
          </cell>
          <cell r="D3787" t="str">
            <v>September</v>
          </cell>
          <cell r="F3787">
            <v>850003</v>
          </cell>
          <cell r="G3787" t="str">
            <v>September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</row>
        <row r="3788">
          <cell r="B3788">
            <v>850003</v>
          </cell>
          <cell r="C3788" t="str">
            <v>Koreksi LK Tahun Lalu</v>
          </cell>
          <cell r="D3788" t="str">
            <v>Oktober</v>
          </cell>
          <cell r="F3788">
            <v>850003</v>
          </cell>
          <cell r="G3788" t="str">
            <v>Oktober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</row>
        <row r="3789">
          <cell r="B3789">
            <v>850003</v>
          </cell>
          <cell r="C3789" t="str">
            <v>Koreksi LK Tahun Lalu</v>
          </cell>
          <cell r="D3789" t="str">
            <v>November</v>
          </cell>
          <cell r="F3789">
            <v>850003</v>
          </cell>
          <cell r="G3789" t="str">
            <v>November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</row>
        <row r="3790">
          <cell r="B3790">
            <v>850003</v>
          </cell>
          <cell r="C3790" t="str">
            <v>Koreksi LK Tahun Lalu</v>
          </cell>
          <cell r="D3790" t="str">
            <v>Desember</v>
          </cell>
          <cell r="F3790">
            <v>850003</v>
          </cell>
          <cell r="G3790" t="str">
            <v>Desember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</row>
        <row r="3791">
          <cell r="B3791">
            <v>850004</v>
          </cell>
          <cell r="C3791" t="str">
            <v>Kerugian Penghapusan - Asset</v>
          </cell>
          <cell r="E3791">
            <v>850.00400000000002</v>
          </cell>
          <cell r="F3791">
            <v>850004</v>
          </cell>
          <cell r="G3791" t="str">
            <v>Kerugian Penghapusan - Asset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</row>
        <row r="3792">
          <cell r="B3792">
            <v>850004</v>
          </cell>
          <cell r="C3792" t="str">
            <v>Kerugian Penghapusan - Asset</v>
          </cell>
          <cell r="F3792">
            <v>850004</v>
          </cell>
          <cell r="G3792" t="str">
            <v>Januari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</row>
        <row r="3793">
          <cell r="B3793">
            <v>850004</v>
          </cell>
          <cell r="C3793" t="str">
            <v>Kerugian Penghapusan - Asset</v>
          </cell>
          <cell r="F3793">
            <v>850004</v>
          </cell>
          <cell r="G3793" t="str">
            <v>Februari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</row>
        <row r="3794">
          <cell r="B3794">
            <v>850004</v>
          </cell>
          <cell r="C3794" t="str">
            <v>Kerugian Penghapusan - Asset</v>
          </cell>
          <cell r="F3794">
            <v>850004</v>
          </cell>
          <cell r="G3794" t="str">
            <v>Maret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</row>
        <row r="3795">
          <cell r="B3795">
            <v>850004</v>
          </cell>
          <cell r="C3795" t="str">
            <v>Kerugian Penghapusan - Asset</v>
          </cell>
          <cell r="F3795">
            <v>850004</v>
          </cell>
          <cell r="G3795" t="str">
            <v>April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</row>
        <row r="3796">
          <cell r="B3796">
            <v>850004</v>
          </cell>
          <cell r="C3796" t="str">
            <v>Kerugian Penghapusan - Asset</v>
          </cell>
          <cell r="F3796">
            <v>850004</v>
          </cell>
          <cell r="G3796" t="str">
            <v>Mei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</row>
        <row r="3797">
          <cell r="B3797">
            <v>850004</v>
          </cell>
          <cell r="C3797" t="str">
            <v>Kerugian Penghapusan - Asset</v>
          </cell>
          <cell r="F3797">
            <v>850004</v>
          </cell>
          <cell r="G3797" t="str">
            <v>Juni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</row>
        <row r="3798">
          <cell r="B3798">
            <v>850004</v>
          </cell>
          <cell r="C3798" t="str">
            <v>Kerugian Penghapusan - Asset</v>
          </cell>
          <cell r="F3798">
            <v>850004</v>
          </cell>
          <cell r="G3798" t="str">
            <v>Juli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</row>
        <row r="3799">
          <cell r="B3799">
            <v>850004</v>
          </cell>
          <cell r="C3799" t="str">
            <v>Kerugian Penghapusan - Asset</v>
          </cell>
          <cell r="F3799">
            <v>850004</v>
          </cell>
          <cell r="G3799" t="str">
            <v>Agustus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</row>
        <row r="3800">
          <cell r="B3800">
            <v>850004</v>
          </cell>
          <cell r="C3800" t="str">
            <v>Kerugian Penghapusan - Asset</v>
          </cell>
          <cell r="F3800">
            <v>850004</v>
          </cell>
          <cell r="G3800" t="str">
            <v>September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</row>
        <row r="3801">
          <cell r="B3801">
            <v>850004</v>
          </cell>
          <cell r="C3801" t="str">
            <v>Kerugian Penghapusan - Asset</v>
          </cell>
          <cell r="F3801">
            <v>850004</v>
          </cell>
          <cell r="G3801" t="str">
            <v>Oktober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</row>
        <row r="3802">
          <cell r="B3802">
            <v>850004</v>
          </cell>
          <cell r="C3802" t="str">
            <v>Kerugian Penghapusan - Asset</v>
          </cell>
          <cell r="F3802">
            <v>850004</v>
          </cell>
          <cell r="G3802" t="str">
            <v>November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</row>
        <row r="3803">
          <cell r="B3803">
            <v>850004</v>
          </cell>
          <cell r="C3803" t="str">
            <v>Kerugian Penghapusan - Asset</v>
          </cell>
          <cell r="F3803">
            <v>850004</v>
          </cell>
          <cell r="G3803" t="str">
            <v>Desember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>
        <row r="7">
          <cell r="G7">
            <v>1</v>
          </cell>
          <cell r="H7">
            <v>2</v>
          </cell>
          <cell r="I7">
            <v>3</v>
          </cell>
          <cell r="J7">
            <v>4</v>
          </cell>
          <cell r="K7">
            <v>5</v>
          </cell>
          <cell r="L7">
            <v>6</v>
          </cell>
          <cell r="M7">
            <v>7</v>
          </cell>
          <cell r="N7">
            <v>8</v>
          </cell>
          <cell r="O7">
            <v>9</v>
          </cell>
          <cell r="P7">
            <v>10</v>
          </cell>
          <cell r="Q7">
            <v>11</v>
          </cell>
          <cell r="R7">
            <v>12</v>
          </cell>
          <cell r="S7">
            <v>13</v>
          </cell>
          <cell r="T7">
            <v>14</v>
          </cell>
          <cell r="U7">
            <v>15</v>
          </cell>
          <cell r="V7">
            <v>16</v>
          </cell>
          <cell r="W7">
            <v>17</v>
          </cell>
          <cell r="X7">
            <v>18</v>
          </cell>
          <cell r="Y7">
            <v>19</v>
          </cell>
          <cell r="Z7">
            <v>20</v>
          </cell>
          <cell r="AA7">
            <v>21</v>
          </cell>
          <cell r="AB7">
            <v>22</v>
          </cell>
          <cell r="AC7">
            <v>23</v>
          </cell>
          <cell r="AD7">
            <v>24</v>
          </cell>
          <cell r="AE7">
            <v>25</v>
          </cell>
          <cell r="AF7">
            <v>26</v>
          </cell>
          <cell r="AG7">
            <v>27</v>
          </cell>
          <cell r="AH7">
            <v>28</v>
          </cell>
          <cell r="AI7">
            <v>29</v>
          </cell>
          <cell r="AJ7">
            <v>30</v>
          </cell>
          <cell r="AK7">
            <v>31</v>
          </cell>
          <cell r="AL7">
            <v>32</v>
          </cell>
          <cell r="AM7">
            <v>33</v>
          </cell>
          <cell r="AN7">
            <v>34</v>
          </cell>
          <cell r="AO7">
            <v>35</v>
          </cell>
          <cell r="AP7">
            <v>36</v>
          </cell>
          <cell r="AQ7">
            <v>37</v>
          </cell>
          <cell r="AR7">
            <v>38</v>
          </cell>
          <cell r="AS7">
            <v>39</v>
          </cell>
          <cell r="AT7">
            <v>40</v>
          </cell>
          <cell r="AU7">
            <v>41</v>
          </cell>
          <cell r="AV7">
            <v>42</v>
          </cell>
          <cell r="AW7">
            <v>43</v>
          </cell>
          <cell r="AX7">
            <v>44</v>
          </cell>
          <cell r="AY7">
            <v>45</v>
          </cell>
          <cell r="AZ7">
            <v>46</v>
          </cell>
          <cell r="BA7">
            <v>47</v>
          </cell>
          <cell r="BB7">
            <v>48</v>
          </cell>
          <cell r="BC7">
            <v>49</v>
          </cell>
          <cell r="BD7">
            <v>50</v>
          </cell>
          <cell r="BE7">
            <v>51</v>
          </cell>
          <cell r="BF7">
            <v>52</v>
          </cell>
          <cell r="BG7">
            <v>53</v>
          </cell>
          <cell r="BH7">
            <v>54</v>
          </cell>
          <cell r="BI7">
            <v>55</v>
          </cell>
          <cell r="BJ7">
            <v>56</v>
          </cell>
          <cell r="BK7">
            <v>57</v>
          </cell>
          <cell r="BL7">
            <v>58</v>
          </cell>
          <cell r="BM7">
            <v>59</v>
          </cell>
          <cell r="BN7">
            <v>60</v>
          </cell>
          <cell r="BO7">
            <v>61</v>
          </cell>
          <cell r="BP7">
            <v>62</v>
          </cell>
          <cell r="BQ7">
            <v>63</v>
          </cell>
          <cell r="BR7">
            <v>64</v>
          </cell>
          <cell r="BS7">
            <v>65</v>
          </cell>
          <cell r="BT7">
            <v>66</v>
          </cell>
          <cell r="BU7">
            <v>67</v>
          </cell>
          <cell r="BV7">
            <v>68</v>
          </cell>
          <cell r="BW7">
            <v>69</v>
          </cell>
          <cell r="BX7">
            <v>70</v>
          </cell>
          <cell r="BY7">
            <v>71</v>
          </cell>
          <cell r="BZ7">
            <v>72</v>
          </cell>
          <cell r="CA7">
            <v>73</v>
          </cell>
          <cell r="CB7">
            <v>74</v>
          </cell>
          <cell r="CC7">
            <v>75</v>
          </cell>
          <cell r="CD7">
            <v>76</v>
          </cell>
          <cell r="CE7">
            <v>77</v>
          </cell>
          <cell r="CF7">
            <v>78</v>
          </cell>
          <cell r="CG7">
            <v>79</v>
          </cell>
          <cell r="CH7">
            <v>80</v>
          </cell>
          <cell r="CI7">
            <v>81</v>
          </cell>
          <cell r="CJ7">
            <v>82</v>
          </cell>
          <cell r="CK7">
            <v>83</v>
          </cell>
          <cell r="CL7">
            <v>84</v>
          </cell>
          <cell r="CM7">
            <v>85</v>
          </cell>
          <cell r="CN7">
            <v>86</v>
          </cell>
          <cell r="CO7">
            <v>87</v>
          </cell>
          <cell r="CP7">
            <v>88</v>
          </cell>
          <cell r="CQ7">
            <v>89</v>
          </cell>
          <cell r="CR7">
            <v>90</v>
          </cell>
          <cell r="CS7">
            <v>91</v>
          </cell>
          <cell r="CT7">
            <v>92</v>
          </cell>
          <cell r="CU7">
            <v>93</v>
          </cell>
          <cell r="CV7">
            <v>94</v>
          </cell>
          <cell r="CW7">
            <v>95</v>
          </cell>
          <cell r="CX7">
            <v>96</v>
          </cell>
          <cell r="CY7">
            <v>97</v>
          </cell>
          <cell r="CZ7">
            <v>98</v>
          </cell>
          <cell r="DA7">
            <v>99</v>
          </cell>
          <cell r="DB7">
            <v>100</v>
          </cell>
          <cell r="DC7">
            <v>101</v>
          </cell>
          <cell r="DD7">
            <v>102</v>
          </cell>
          <cell r="DE7">
            <v>103</v>
          </cell>
          <cell r="DF7">
            <v>104</v>
          </cell>
          <cell r="DG7">
            <v>105</v>
          </cell>
          <cell r="DH7">
            <v>106</v>
          </cell>
          <cell r="DI7">
            <v>107</v>
          </cell>
          <cell r="DJ7">
            <v>108</v>
          </cell>
          <cell r="DK7">
            <v>109</v>
          </cell>
          <cell r="DL7">
            <v>110</v>
          </cell>
          <cell r="DM7">
            <v>111</v>
          </cell>
          <cell r="DN7">
            <v>112</v>
          </cell>
          <cell r="DO7">
            <v>113</v>
          </cell>
          <cell r="DP7">
            <v>114</v>
          </cell>
          <cell r="DQ7">
            <v>115</v>
          </cell>
          <cell r="DR7">
            <v>116</v>
          </cell>
          <cell r="DS7">
            <v>117</v>
          </cell>
          <cell r="DT7">
            <v>118</v>
          </cell>
          <cell r="DU7">
            <v>119</v>
          </cell>
          <cell r="DV7">
            <v>120</v>
          </cell>
          <cell r="DW7">
            <v>121</v>
          </cell>
          <cell r="DX7">
            <v>122</v>
          </cell>
          <cell r="DY7">
            <v>123</v>
          </cell>
          <cell r="DZ7">
            <v>124</v>
          </cell>
          <cell r="EA7">
            <v>125</v>
          </cell>
          <cell r="EB7">
            <v>126</v>
          </cell>
          <cell r="EC7">
            <v>127</v>
          </cell>
          <cell r="ED7">
            <v>128</v>
          </cell>
          <cell r="EE7">
            <v>129</v>
          </cell>
          <cell r="EF7">
            <v>130</v>
          </cell>
          <cell r="EG7">
            <v>131</v>
          </cell>
          <cell r="EH7">
            <v>132</v>
          </cell>
          <cell r="EI7">
            <v>133</v>
          </cell>
          <cell r="EJ7">
            <v>134</v>
          </cell>
          <cell r="EK7">
            <v>135</v>
          </cell>
          <cell r="EL7">
            <v>136</v>
          </cell>
          <cell r="EM7">
            <v>137</v>
          </cell>
          <cell r="EN7">
            <v>138</v>
          </cell>
          <cell r="EO7">
            <v>139</v>
          </cell>
          <cell r="EP7">
            <v>140</v>
          </cell>
          <cell r="EQ7">
            <v>141</v>
          </cell>
          <cell r="ER7">
            <v>142</v>
          </cell>
          <cell r="ES7">
            <v>143</v>
          </cell>
          <cell r="ET7">
            <v>144</v>
          </cell>
          <cell r="EU7">
            <v>145</v>
          </cell>
          <cell r="EV7">
            <v>146</v>
          </cell>
          <cell r="EW7">
            <v>147</v>
          </cell>
          <cell r="EX7">
            <v>148</v>
          </cell>
          <cell r="EY7">
            <v>149</v>
          </cell>
          <cell r="EZ7">
            <v>150</v>
          </cell>
          <cell r="FA7">
            <v>151</v>
          </cell>
          <cell r="FB7">
            <v>152</v>
          </cell>
          <cell r="FC7">
            <v>153</v>
          </cell>
          <cell r="FD7">
            <v>154</v>
          </cell>
          <cell r="FE7">
            <v>155</v>
          </cell>
          <cell r="FF7">
            <v>156</v>
          </cell>
          <cell r="FG7">
            <v>157</v>
          </cell>
          <cell r="FH7">
            <v>158</v>
          </cell>
          <cell r="FI7">
            <v>159</v>
          </cell>
          <cell r="FJ7">
            <v>160</v>
          </cell>
          <cell r="FK7">
            <v>161</v>
          </cell>
          <cell r="FL7">
            <v>162</v>
          </cell>
          <cell r="FM7">
            <v>163</v>
          </cell>
          <cell r="FN7">
            <v>164</v>
          </cell>
          <cell r="FO7">
            <v>165</v>
          </cell>
          <cell r="FP7">
            <v>166</v>
          </cell>
          <cell r="FQ7">
            <v>167</v>
          </cell>
          <cell r="FR7">
            <v>168</v>
          </cell>
          <cell r="FS7">
            <v>169</v>
          </cell>
          <cell r="FT7">
            <v>170</v>
          </cell>
          <cell r="FU7">
            <v>171</v>
          </cell>
          <cell r="FV7">
            <v>172</v>
          </cell>
          <cell r="FW7">
            <v>173</v>
          </cell>
          <cell r="FX7">
            <v>174</v>
          </cell>
          <cell r="FY7">
            <v>175</v>
          </cell>
          <cell r="FZ7">
            <v>176</v>
          </cell>
          <cell r="GA7">
            <v>177</v>
          </cell>
          <cell r="GB7">
            <v>178</v>
          </cell>
          <cell r="GC7">
            <v>179</v>
          </cell>
          <cell r="GD7">
            <v>180</v>
          </cell>
          <cell r="GE7">
            <v>181</v>
          </cell>
          <cell r="GF7">
            <v>182</v>
          </cell>
          <cell r="GG7">
            <v>183</v>
          </cell>
          <cell r="GH7">
            <v>184</v>
          </cell>
          <cell r="GI7">
            <v>185</v>
          </cell>
          <cell r="GJ7">
            <v>186</v>
          </cell>
          <cell r="GK7">
            <v>187</v>
          </cell>
          <cell r="GL7">
            <v>188</v>
          </cell>
          <cell r="GM7">
            <v>189</v>
          </cell>
          <cell r="GN7">
            <v>190</v>
          </cell>
          <cell r="GO7">
            <v>191</v>
          </cell>
          <cell r="GP7">
            <v>192</v>
          </cell>
          <cell r="GQ7">
            <v>193</v>
          </cell>
          <cell r="GR7">
            <v>194</v>
          </cell>
          <cell r="GS7">
            <v>195</v>
          </cell>
          <cell r="GT7">
            <v>196</v>
          </cell>
          <cell r="GU7">
            <v>197</v>
          </cell>
          <cell r="GV7">
            <v>198</v>
          </cell>
          <cell r="GW7">
            <v>199</v>
          </cell>
          <cell r="GX7">
            <v>200</v>
          </cell>
          <cell r="GY7">
            <v>201</v>
          </cell>
          <cell r="GZ7">
            <v>202</v>
          </cell>
          <cell r="HA7">
            <v>203</v>
          </cell>
          <cell r="HB7">
            <v>204</v>
          </cell>
          <cell r="HC7">
            <v>205</v>
          </cell>
          <cell r="HD7">
            <v>206</v>
          </cell>
          <cell r="HE7">
            <v>207</v>
          </cell>
          <cell r="HF7">
            <v>208</v>
          </cell>
          <cell r="HG7">
            <v>209</v>
          </cell>
          <cell r="HH7">
            <v>210</v>
          </cell>
          <cell r="HI7">
            <v>211</v>
          </cell>
          <cell r="HJ7">
            <v>212</v>
          </cell>
          <cell r="HK7">
            <v>213</v>
          </cell>
          <cell r="HL7">
            <v>214</v>
          </cell>
          <cell r="HM7">
            <v>215</v>
          </cell>
          <cell r="HN7">
            <v>216</v>
          </cell>
          <cell r="HO7">
            <v>217</v>
          </cell>
          <cell r="HP7">
            <v>218</v>
          </cell>
          <cell r="HQ7">
            <v>219</v>
          </cell>
          <cell r="HR7">
            <v>220</v>
          </cell>
          <cell r="HS7">
            <v>221</v>
          </cell>
          <cell r="HT7">
            <v>222</v>
          </cell>
          <cell r="HU7">
            <v>223</v>
          </cell>
          <cell r="HV7">
            <v>224</v>
          </cell>
          <cell r="HW7">
            <v>225</v>
          </cell>
          <cell r="HX7">
            <v>226</v>
          </cell>
          <cell r="HY7">
            <v>227</v>
          </cell>
          <cell r="HZ7">
            <v>228</v>
          </cell>
          <cell r="IA7">
            <v>229</v>
          </cell>
          <cell r="IB7">
            <v>230</v>
          </cell>
          <cell r="IC7">
            <v>231</v>
          </cell>
        </row>
        <row r="9">
          <cell r="G9" t="str">
            <v>KODE AKUN</v>
          </cell>
          <cell r="H9" t="str">
            <v>REKENING</v>
          </cell>
          <cell r="K9" t="str">
            <v>Januari</v>
          </cell>
          <cell r="AD9" t="str">
            <v>Februari</v>
          </cell>
          <cell r="AW9" t="str">
            <v>Maret</v>
          </cell>
          <cell r="BP9" t="str">
            <v>April</v>
          </cell>
          <cell r="CI9" t="str">
            <v>Mei</v>
          </cell>
          <cell r="DB9" t="str">
            <v>Juni</v>
          </cell>
          <cell r="DU9" t="str">
            <v>Juli</v>
          </cell>
          <cell r="EN9" t="str">
            <v>Agustus</v>
          </cell>
          <cell r="FG9" t="str">
            <v>September</v>
          </cell>
          <cell r="FZ9" t="str">
            <v>Oktober</v>
          </cell>
          <cell r="GS9" t="str">
            <v>November</v>
          </cell>
          <cell r="HL9" t="str">
            <v>Desember</v>
          </cell>
        </row>
        <row r="10">
          <cell r="K10" t="str">
            <v>HPP BRC</v>
          </cell>
          <cell r="M10" t="str">
            <v>JJ Pembelian</v>
          </cell>
          <cell r="O10" t="str">
            <v>JJ Piutang Kredit</v>
          </cell>
          <cell r="Q10" t="str">
            <v>Jurnal Bahan</v>
          </cell>
          <cell r="S10" t="str">
            <v>Jurnal Gaji</v>
          </cell>
          <cell r="U10" t="str">
            <v>Jurnal Penerimaan Kas</v>
          </cell>
          <cell r="W10" t="str">
            <v>Jurnal Penerimaan Bank</v>
          </cell>
          <cell r="Y10" t="str">
            <v>Jurnal Pengeluaran Bank</v>
          </cell>
          <cell r="AA10" t="str">
            <v>Jurnal Pengeluaran Kas</v>
          </cell>
          <cell r="AD10" t="str">
            <v>HPP BRC</v>
          </cell>
          <cell r="AF10" t="str">
            <v>JJ Pembelian</v>
          </cell>
          <cell r="AH10" t="str">
            <v>JJ Piutang Kredit</v>
          </cell>
          <cell r="AJ10" t="str">
            <v>Jurnal Bahan</v>
          </cell>
          <cell r="AL10" t="str">
            <v>Jurnal Gaji</v>
          </cell>
          <cell r="AN10" t="str">
            <v>Jurnal Penerimaan Kas</v>
          </cell>
          <cell r="AP10" t="str">
            <v>Jurnal Penerimaan Bank</v>
          </cell>
          <cell r="AR10" t="str">
            <v>Jurnal Pengeluaran Bank</v>
          </cell>
          <cell r="AT10" t="str">
            <v>Jurnal Pengeluaran Kas</v>
          </cell>
          <cell r="AW10" t="str">
            <v>HPP BRC</v>
          </cell>
          <cell r="AY10" t="str">
            <v>JJ Pembelian</v>
          </cell>
          <cell r="BA10" t="str">
            <v>JJ Piutang Kredit</v>
          </cell>
          <cell r="BC10" t="str">
            <v>Jurnal Bahan</v>
          </cell>
          <cell r="BE10" t="str">
            <v>Jurnal Gaji</v>
          </cell>
          <cell r="BG10" t="str">
            <v>Jurnal Penerimaan Kas</v>
          </cell>
          <cell r="BI10" t="str">
            <v>Jurnal Penerimaan Bank</v>
          </cell>
          <cell r="BK10" t="str">
            <v>Jurnal Pengeluaran Bank</v>
          </cell>
          <cell r="BM10" t="str">
            <v>Jurnal Pengeluaran Kas</v>
          </cell>
          <cell r="BP10" t="str">
            <v>HPP BRC</v>
          </cell>
          <cell r="BR10" t="str">
            <v>JJ Pembelian</v>
          </cell>
          <cell r="BT10" t="str">
            <v>JJ Piutang Kredit</v>
          </cell>
          <cell r="BV10" t="str">
            <v>Jurnal Bahan</v>
          </cell>
          <cell r="BX10" t="str">
            <v>Jurnal Gaji</v>
          </cell>
          <cell r="BZ10" t="str">
            <v>Jurnal Penerimaan Kas</v>
          </cell>
          <cell r="CB10" t="str">
            <v>Jurnal Penerimaan Bank</v>
          </cell>
          <cell r="CD10" t="str">
            <v>Jurnal Pengeluaran Bank</v>
          </cell>
          <cell r="CF10" t="str">
            <v>Jurnal Pengeluaran Kas</v>
          </cell>
          <cell r="CI10" t="str">
            <v>HPP BRC</v>
          </cell>
          <cell r="CK10" t="str">
            <v>JJ Pembelian</v>
          </cell>
          <cell r="CM10" t="str">
            <v>JJ Piutang Kredit</v>
          </cell>
          <cell r="CO10" t="str">
            <v>Jurnal Bahan</v>
          </cell>
          <cell r="CQ10" t="str">
            <v>Jurnal Gaji</v>
          </cell>
          <cell r="CS10" t="str">
            <v>Jurnal Penerimaan Kas</v>
          </cell>
          <cell r="CU10" t="str">
            <v>Jurnal Penerimaan Bank</v>
          </cell>
          <cell r="CW10" t="str">
            <v>Jurnal Pengeluaran Bank</v>
          </cell>
          <cell r="CY10" t="str">
            <v>Jurnal Pengeluaran Kas</v>
          </cell>
          <cell r="DB10" t="str">
            <v>HPP BRC</v>
          </cell>
          <cell r="DD10" t="str">
            <v>JJ Pembelian</v>
          </cell>
          <cell r="DF10" t="str">
            <v>JJ Piutang Kredit</v>
          </cell>
          <cell r="DH10" t="str">
            <v>Jurnal Bahan</v>
          </cell>
          <cell r="DJ10" t="str">
            <v>Jurnal Gaji</v>
          </cell>
          <cell r="DL10" t="str">
            <v>Jurnal Penerimaan Kas</v>
          </cell>
          <cell r="DN10" t="str">
            <v>Jurnal Penerimaan Bank</v>
          </cell>
          <cell r="DP10" t="str">
            <v>Jurnal Pengeluaran Bank</v>
          </cell>
          <cell r="DR10" t="str">
            <v>Jurnal Pengeluaran Kas</v>
          </cell>
          <cell r="DU10" t="str">
            <v>HPP BRC</v>
          </cell>
          <cell r="DW10" t="str">
            <v>JJ Pembelian</v>
          </cell>
          <cell r="DY10" t="str">
            <v>JJ Piutang Kredit</v>
          </cell>
          <cell r="EA10" t="str">
            <v>Jurnal Bahan</v>
          </cell>
          <cell r="EC10" t="str">
            <v>Jurnal Gaji</v>
          </cell>
          <cell r="EE10" t="str">
            <v>Jurnal Penerimaan Kas</v>
          </cell>
          <cell r="EG10" t="str">
            <v>Jurnal Penerimaan Bank</v>
          </cell>
          <cell r="EI10" t="str">
            <v>Jurnal Pengeluaran Bank</v>
          </cell>
          <cell r="EK10" t="str">
            <v>Jurnal Pengeluaran Kas</v>
          </cell>
          <cell r="EN10" t="str">
            <v>HPP BRC</v>
          </cell>
          <cell r="EP10" t="str">
            <v>JJ Pembelian</v>
          </cell>
          <cell r="ER10" t="str">
            <v>JJ Piutang Kredit</v>
          </cell>
          <cell r="ET10" t="str">
            <v>Jurnal Bahan</v>
          </cell>
          <cell r="EV10" t="str">
            <v>Jurnal Gaji</v>
          </cell>
          <cell r="EX10" t="str">
            <v>Jurnal Penerimaan Kas</v>
          </cell>
          <cell r="EZ10" t="str">
            <v>Jurnal Penerimaan Bank</v>
          </cell>
          <cell r="FB10" t="str">
            <v>Jurnal Pengeluaran Bank</v>
          </cell>
          <cell r="FD10" t="str">
            <v>Jurnal Pengeluaran Kas</v>
          </cell>
          <cell r="FG10" t="str">
            <v>HPP BRC</v>
          </cell>
          <cell r="FI10" t="str">
            <v>JJ Pembelian</v>
          </cell>
          <cell r="FK10" t="str">
            <v>JJ Piutang Kredit</v>
          </cell>
          <cell r="FM10" t="str">
            <v>Jurnal Bahan</v>
          </cell>
          <cell r="FO10" t="str">
            <v>Jurnal Gaji</v>
          </cell>
          <cell r="FQ10" t="str">
            <v>Jurnal Penerimaan Kas</v>
          </cell>
          <cell r="FS10" t="str">
            <v>Jurnal Penerimaan Bank</v>
          </cell>
          <cell r="FU10" t="str">
            <v>Jurnal Pengeluaran Bank</v>
          </cell>
          <cell r="FW10" t="str">
            <v>Jurnal Pengeluaran Kas</v>
          </cell>
          <cell r="FZ10" t="str">
            <v>HPP BRC</v>
          </cell>
          <cell r="GB10" t="str">
            <v>JJ Pembelian</v>
          </cell>
          <cell r="GD10" t="str">
            <v>JJ Piutang Kredit</v>
          </cell>
          <cell r="GF10" t="str">
            <v>Jurnal Bahan</v>
          </cell>
          <cell r="GH10" t="str">
            <v>Jurnal Gaji</v>
          </cell>
          <cell r="GJ10" t="str">
            <v>Jurnal Penerimaan Kas</v>
          </cell>
          <cell r="GL10" t="str">
            <v>Jurnal Penerimaan Bank</v>
          </cell>
          <cell r="GN10" t="str">
            <v>Jurnal Pengeluaran Bank</v>
          </cell>
          <cell r="GP10" t="str">
            <v>Jurnal Pengeluaran Kas</v>
          </cell>
          <cell r="GS10" t="str">
            <v>HPP BRC</v>
          </cell>
          <cell r="GU10" t="str">
            <v>JJ Pembelian</v>
          </cell>
          <cell r="GW10" t="str">
            <v>JJ Piutang Kredit</v>
          </cell>
          <cell r="GY10" t="str">
            <v>Jurnal Bahan</v>
          </cell>
          <cell r="HA10" t="str">
            <v>Jurnal Gaji</v>
          </cell>
          <cell r="HC10" t="str">
            <v>Jurnal Penerimaan Kas</v>
          </cell>
          <cell r="HE10" t="str">
            <v>Jurnal Penerimaan Bank</v>
          </cell>
          <cell r="HG10" t="str">
            <v>Jurnal Pengeluaran Bank</v>
          </cell>
          <cell r="HI10" t="str">
            <v>Jurnal Pengeluaran Kas</v>
          </cell>
          <cell r="HL10" t="str">
            <v>HPP BRC</v>
          </cell>
          <cell r="HN10" t="str">
            <v>JJ Pembelian</v>
          </cell>
          <cell r="HP10" t="str">
            <v>JJ Piutang Kredit</v>
          </cell>
          <cell r="HR10" t="str">
            <v>Jurnal Bahan</v>
          </cell>
          <cell r="HT10" t="str">
            <v>Jurnal Gaji</v>
          </cell>
          <cell r="HV10" t="str">
            <v>Jurnal Penerimaan Kas</v>
          </cell>
          <cell r="HX10" t="str">
            <v>Jurnal Penerimaan Bank</v>
          </cell>
          <cell r="HZ10" t="str">
            <v>Jurnal Pengeluaran Bank</v>
          </cell>
          <cell r="IB10" t="str">
            <v>Jurnal Pengeluaran Kas</v>
          </cell>
        </row>
        <row r="12">
          <cell r="K12" t="str">
            <v>D</v>
          </cell>
          <cell r="L12" t="str">
            <v>K</v>
          </cell>
          <cell r="M12" t="str">
            <v>D</v>
          </cell>
          <cell r="N12" t="str">
            <v>K</v>
          </cell>
          <cell r="O12" t="str">
            <v>D</v>
          </cell>
          <cell r="P12" t="str">
            <v>K</v>
          </cell>
          <cell r="Q12" t="str">
            <v>D</v>
          </cell>
          <cell r="R12" t="str">
            <v>K</v>
          </cell>
          <cell r="S12" t="str">
            <v>D</v>
          </cell>
          <cell r="T12" t="str">
            <v>K</v>
          </cell>
          <cell r="U12" t="str">
            <v>D</v>
          </cell>
          <cell r="V12" t="str">
            <v>K</v>
          </cell>
          <cell r="W12" t="str">
            <v>D</v>
          </cell>
          <cell r="X12" t="str">
            <v>K</v>
          </cell>
          <cell r="Y12" t="str">
            <v>D</v>
          </cell>
          <cell r="Z12" t="str">
            <v>K</v>
          </cell>
          <cell r="AA12" t="str">
            <v>D</v>
          </cell>
          <cell r="AB12" t="str">
            <v>K</v>
          </cell>
          <cell r="AD12" t="str">
            <v>D</v>
          </cell>
          <cell r="AE12" t="str">
            <v>K</v>
          </cell>
          <cell r="AF12" t="str">
            <v>D</v>
          </cell>
          <cell r="AG12" t="str">
            <v>K</v>
          </cell>
          <cell r="AH12" t="str">
            <v>D</v>
          </cell>
          <cell r="AI12" t="str">
            <v>K</v>
          </cell>
          <cell r="AJ12" t="str">
            <v>D</v>
          </cell>
          <cell r="AK12" t="str">
            <v>K</v>
          </cell>
          <cell r="AL12" t="str">
            <v>D</v>
          </cell>
          <cell r="AM12" t="str">
            <v>K</v>
          </cell>
          <cell r="AN12" t="str">
            <v>D</v>
          </cell>
          <cell r="AO12" t="str">
            <v>K</v>
          </cell>
          <cell r="AP12" t="str">
            <v>D</v>
          </cell>
          <cell r="AQ12" t="str">
            <v>K</v>
          </cell>
          <cell r="AR12" t="str">
            <v>D</v>
          </cell>
          <cell r="AS12" t="str">
            <v>K</v>
          </cell>
          <cell r="AT12" t="str">
            <v>D</v>
          </cell>
          <cell r="AU12" t="str">
            <v>K</v>
          </cell>
          <cell r="AW12" t="str">
            <v>D</v>
          </cell>
          <cell r="AX12" t="str">
            <v>K</v>
          </cell>
          <cell r="AY12" t="str">
            <v>D</v>
          </cell>
          <cell r="AZ12" t="str">
            <v>K</v>
          </cell>
          <cell r="BA12" t="str">
            <v>D</v>
          </cell>
          <cell r="BB12" t="str">
            <v>K</v>
          </cell>
          <cell r="BC12" t="str">
            <v>D</v>
          </cell>
          <cell r="BD12" t="str">
            <v>K</v>
          </cell>
          <cell r="BE12" t="str">
            <v>D</v>
          </cell>
          <cell r="BF12" t="str">
            <v>K</v>
          </cell>
          <cell r="BG12" t="str">
            <v>D</v>
          </cell>
          <cell r="BH12" t="str">
            <v>K</v>
          </cell>
          <cell r="BI12" t="str">
            <v>D</v>
          </cell>
          <cell r="BJ12" t="str">
            <v>K</v>
          </cell>
          <cell r="BK12" t="str">
            <v>D</v>
          </cell>
          <cell r="BL12" t="str">
            <v>K</v>
          </cell>
          <cell r="BM12" t="str">
            <v>D</v>
          </cell>
          <cell r="BN12" t="str">
            <v>K</v>
          </cell>
          <cell r="BP12" t="str">
            <v>D</v>
          </cell>
          <cell r="BQ12" t="str">
            <v>K</v>
          </cell>
          <cell r="BR12" t="str">
            <v>D</v>
          </cell>
          <cell r="BS12" t="str">
            <v>K</v>
          </cell>
          <cell r="BT12" t="str">
            <v>D</v>
          </cell>
          <cell r="BU12" t="str">
            <v>K</v>
          </cell>
          <cell r="BV12" t="str">
            <v>D</v>
          </cell>
          <cell r="BW12" t="str">
            <v>K</v>
          </cell>
          <cell r="BX12" t="str">
            <v>D</v>
          </cell>
          <cell r="BY12" t="str">
            <v>K</v>
          </cell>
          <cell r="BZ12" t="str">
            <v>D</v>
          </cell>
          <cell r="CA12" t="str">
            <v>K</v>
          </cell>
          <cell r="CB12" t="str">
            <v>D</v>
          </cell>
          <cell r="CC12" t="str">
            <v>K</v>
          </cell>
          <cell r="CD12" t="str">
            <v>D</v>
          </cell>
          <cell r="CE12" t="str">
            <v>K</v>
          </cell>
          <cell r="CF12" t="str">
            <v>D</v>
          </cell>
          <cell r="CG12" t="str">
            <v>K</v>
          </cell>
          <cell r="CI12" t="str">
            <v>D</v>
          </cell>
          <cell r="CJ12" t="str">
            <v>K</v>
          </cell>
          <cell r="CK12" t="str">
            <v>D</v>
          </cell>
          <cell r="CL12" t="str">
            <v>K</v>
          </cell>
          <cell r="CM12" t="str">
            <v>D</v>
          </cell>
          <cell r="CN12" t="str">
            <v>K</v>
          </cell>
          <cell r="CO12" t="str">
            <v>D</v>
          </cell>
          <cell r="CP12" t="str">
            <v>K</v>
          </cell>
          <cell r="CQ12" t="str">
            <v>D</v>
          </cell>
          <cell r="CR12" t="str">
            <v>K</v>
          </cell>
          <cell r="CS12" t="str">
            <v>D</v>
          </cell>
          <cell r="CT12" t="str">
            <v>K</v>
          </cell>
          <cell r="CU12" t="str">
            <v>D</v>
          </cell>
          <cell r="CV12" t="str">
            <v>K</v>
          </cell>
          <cell r="CW12" t="str">
            <v>D</v>
          </cell>
          <cell r="CX12" t="str">
            <v>K</v>
          </cell>
          <cell r="CY12" t="str">
            <v>D</v>
          </cell>
          <cell r="CZ12" t="str">
            <v>K</v>
          </cell>
          <cell r="DB12" t="str">
            <v>D</v>
          </cell>
          <cell r="DC12" t="str">
            <v>K</v>
          </cell>
          <cell r="DD12" t="str">
            <v>D</v>
          </cell>
          <cell r="DE12" t="str">
            <v>K</v>
          </cell>
          <cell r="DF12" t="str">
            <v>D</v>
          </cell>
          <cell r="DG12" t="str">
            <v>K</v>
          </cell>
          <cell r="DH12" t="str">
            <v>D</v>
          </cell>
          <cell r="DI12" t="str">
            <v>K</v>
          </cell>
          <cell r="DJ12" t="str">
            <v>D</v>
          </cell>
          <cell r="DK12" t="str">
            <v>K</v>
          </cell>
          <cell r="DL12" t="str">
            <v>D</v>
          </cell>
          <cell r="DM12" t="str">
            <v>K</v>
          </cell>
          <cell r="DN12" t="str">
            <v>D</v>
          </cell>
          <cell r="DO12" t="str">
            <v>K</v>
          </cell>
          <cell r="DP12" t="str">
            <v>D</v>
          </cell>
          <cell r="DQ12" t="str">
            <v>K</v>
          </cell>
          <cell r="DR12" t="str">
            <v>D</v>
          </cell>
          <cell r="DS12" t="str">
            <v>K</v>
          </cell>
          <cell r="DU12" t="str">
            <v>D</v>
          </cell>
          <cell r="DV12" t="str">
            <v>K</v>
          </cell>
          <cell r="DW12" t="str">
            <v>D</v>
          </cell>
          <cell r="DX12" t="str">
            <v>K</v>
          </cell>
          <cell r="DY12" t="str">
            <v>D</v>
          </cell>
          <cell r="DZ12" t="str">
            <v>K</v>
          </cell>
          <cell r="EA12" t="str">
            <v>D</v>
          </cell>
          <cell r="EB12" t="str">
            <v>K</v>
          </cell>
          <cell r="EC12" t="str">
            <v>D</v>
          </cell>
          <cell r="ED12" t="str">
            <v>K</v>
          </cell>
          <cell r="EE12" t="str">
            <v>D</v>
          </cell>
          <cell r="EF12" t="str">
            <v>K</v>
          </cell>
          <cell r="EG12" t="str">
            <v>D</v>
          </cell>
          <cell r="EH12" t="str">
            <v>K</v>
          </cell>
          <cell r="EI12" t="str">
            <v>D</v>
          </cell>
          <cell r="EJ12" t="str">
            <v>K</v>
          </cell>
          <cell r="EK12" t="str">
            <v>D</v>
          </cell>
          <cell r="EL12" t="str">
            <v>K</v>
          </cell>
          <cell r="EN12" t="str">
            <v>D</v>
          </cell>
          <cell r="EO12" t="str">
            <v>K</v>
          </cell>
          <cell r="EP12" t="str">
            <v>D</v>
          </cell>
          <cell r="EQ12" t="str">
            <v>K</v>
          </cell>
          <cell r="ER12" t="str">
            <v>D</v>
          </cell>
          <cell r="ES12" t="str">
            <v>K</v>
          </cell>
          <cell r="ET12" t="str">
            <v>D</v>
          </cell>
          <cell r="EU12" t="str">
            <v>K</v>
          </cell>
          <cell r="EV12" t="str">
            <v>D</v>
          </cell>
          <cell r="EW12" t="str">
            <v>K</v>
          </cell>
          <cell r="EX12" t="str">
            <v>D</v>
          </cell>
          <cell r="EY12" t="str">
            <v>K</v>
          </cell>
          <cell r="EZ12" t="str">
            <v>D</v>
          </cell>
          <cell r="FA12" t="str">
            <v>K</v>
          </cell>
          <cell r="FB12" t="str">
            <v>D</v>
          </cell>
          <cell r="FC12" t="str">
            <v>K</v>
          </cell>
          <cell r="FD12" t="str">
            <v>D</v>
          </cell>
          <cell r="FE12" t="str">
            <v>K</v>
          </cell>
          <cell r="FG12" t="str">
            <v>D</v>
          </cell>
          <cell r="FH12" t="str">
            <v>K</v>
          </cell>
          <cell r="FI12" t="str">
            <v>D</v>
          </cell>
          <cell r="FJ12" t="str">
            <v>K</v>
          </cell>
          <cell r="FK12" t="str">
            <v>D</v>
          </cell>
          <cell r="FL12" t="str">
            <v>K</v>
          </cell>
          <cell r="FM12" t="str">
            <v>D</v>
          </cell>
          <cell r="FN12" t="str">
            <v>K</v>
          </cell>
          <cell r="FO12" t="str">
            <v>D</v>
          </cell>
          <cell r="FP12" t="str">
            <v>K</v>
          </cell>
          <cell r="FQ12" t="str">
            <v>D</v>
          </cell>
          <cell r="FR12" t="str">
            <v>K</v>
          </cell>
          <cell r="FS12" t="str">
            <v>D</v>
          </cell>
          <cell r="FT12" t="str">
            <v>K</v>
          </cell>
          <cell r="FU12" t="str">
            <v>D</v>
          </cell>
          <cell r="FV12" t="str">
            <v>K</v>
          </cell>
          <cell r="FW12" t="str">
            <v>D</v>
          </cell>
          <cell r="FX12" t="str">
            <v>K</v>
          </cell>
          <cell r="FZ12" t="str">
            <v>D</v>
          </cell>
          <cell r="GA12" t="str">
            <v>K</v>
          </cell>
          <cell r="GB12" t="str">
            <v>D</v>
          </cell>
          <cell r="GC12" t="str">
            <v>K</v>
          </cell>
          <cell r="GD12" t="str">
            <v>D</v>
          </cell>
          <cell r="GE12" t="str">
            <v>K</v>
          </cell>
          <cell r="GF12" t="str">
            <v>D</v>
          </cell>
          <cell r="GG12" t="str">
            <v>K</v>
          </cell>
          <cell r="GH12" t="str">
            <v>D</v>
          </cell>
          <cell r="GI12" t="str">
            <v>K</v>
          </cell>
          <cell r="GJ12" t="str">
            <v>D</v>
          </cell>
          <cell r="GK12" t="str">
            <v>K</v>
          </cell>
          <cell r="GL12" t="str">
            <v>D</v>
          </cell>
          <cell r="GM12" t="str">
            <v>K</v>
          </cell>
          <cell r="GN12" t="str">
            <v>D</v>
          </cell>
          <cell r="GO12" t="str">
            <v>K</v>
          </cell>
          <cell r="GP12" t="str">
            <v>D</v>
          </cell>
          <cell r="GQ12" t="str">
            <v>K</v>
          </cell>
          <cell r="GS12" t="str">
            <v>D</v>
          </cell>
          <cell r="GT12" t="str">
            <v>K</v>
          </cell>
          <cell r="GU12" t="str">
            <v>D</v>
          </cell>
          <cell r="GV12" t="str">
            <v>K</v>
          </cell>
          <cell r="GW12" t="str">
            <v>D</v>
          </cell>
          <cell r="GX12" t="str">
            <v>K</v>
          </cell>
          <cell r="GY12" t="str">
            <v>D</v>
          </cell>
          <cell r="GZ12" t="str">
            <v>K</v>
          </cell>
          <cell r="HA12" t="str">
            <v>D</v>
          </cell>
          <cell r="HB12" t="str">
            <v>K</v>
          </cell>
          <cell r="HC12" t="str">
            <v>D</v>
          </cell>
          <cell r="HD12" t="str">
            <v>K</v>
          </cell>
          <cell r="HE12" t="str">
            <v>D</v>
          </cell>
          <cell r="HF12" t="str">
            <v>K</v>
          </cell>
          <cell r="HG12" t="str">
            <v>D</v>
          </cell>
          <cell r="HH12" t="str">
            <v>K</v>
          </cell>
          <cell r="HI12" t="str">
            <v>D</v>
          </cell>
          <cell r="HJ12" t="str">
            <v>K</v>
          </cell>
          <cell r="HL12" t="str">
            <v>D</v>
          </cell>
          <cell r="HM12" t="str">
            <v>K</v>
          </cell>
          <cell r="HN12" t="str">
            <v>D</v>
          </cell>
          <cell r="HO12" t="str">
            <v>K</v>
          </cell>
          <cell r="HP12" t="str">
            <v>D</v>
          </cell>
          <cell r="HQ12" t="str">
            <v>K</v>
          </cell>
          <cell r="HR12" t="str">
            <v>D</v>
          </cell>
          <cell r="HS12" t="str">
            <v>K</v>
          </cell>
          <cell r="HT12" t="str">
            <v>D</v>
          </cell>
          <cell r="HU12" t="str">
            <v>K</v>
          </cell>
          <cell r="HV12" t="str">
            <v>D</v>
          </cell>
          <cell r="HW12" t="str">
            <v>K</v>
          </cell>
          <cell r="HX12" t="str">
            <v>D</v>
          </cell>
          <cell r="HY12" t="str">
            <v>K</v>
          </cell>
          <cell r="HZ12" t="str">
            <v>D</v>
          </cell>
          <cell r="IA12" t="str">
            <v>K</v>
          </cell>
          <cell r="IB12" t="str">
            <v>D</v>
          </cell>
          <cell r="IC12" t="str">
            <v>K</v>
          </cell>
        </row>
        <row r="13">
          <cell r="H13" t="str">
            <v>HARTA LANCAR</v>
          </cell>
        </row>
        <row r="14">
          <cell r="G14">
            <v>101000</v>
          </cell>
          <cell r="H14" t="str">
            <v>KAS KECIL</v>
          </cell>
        </row>
        <row r="15">
          <cell r="G15">
            <v>101001</v>
          </cell>
          <cell r="H15" t="str">
            <v>Cash On Hand</v>
          </cell>
          <cell r="M15">
            <v>0</v>
          </cell>
          <cell r="T15">
            <v>169</v>
          </cell>
          <cell r="U15">
            <v>350146550</v>
          </cell>
          <cell r="AB15">
            <v>363459630</v>
          </cell>
          <cell r="AM15">
            <v>642</v>
          </cell>
          <cell r="AN15">
            <v>231176295</v>
          </cell>
          <cell r="AU15">
            <v>223184803</v>
          </cell>
          <cell r="BF15">
            <v>382</v>
          </cell>
          <cell r="BG15">
            <v>254006448</v>
          </cell>
          <cell r="BN15">
            <v>241901431</v>
          </cell>
          <cell r="BY15">
            <v>255</v>
          </cell>
          <cell r="BZ15">
            <v>258681650</v>
          </cell>
          <cell r="CG15">
            <v>272035973</v>
          </cell>
          <cell r="CR15">
            <v>149</v>
          </cell>
          <cell r="CS15">
            <v>283698703</v>
          </cell>
          <cell r="CZ15">
            <v>303960503</v>
          </cell>
          <cell r="DK15">
            <v>1346</v>
          </cell>
          <cell r="DL15">
            <v>338121588</v>
          </cell>
          <cell r="DS15">
            <v>328729126</v>
          </cell>
          <cell r="ED15">
            <v>972</v>
          </cell>
          <cell r="EE15">
            <v>291219750</v>
          </cell>
          <cell r="EL15">
            <v>289385448</v>
          </cell>
          <cell r="EW15">
            <v>66631</v>
          </cell>
          <cell r="EX15">
            <v>415782792</v>
          </cell>
          <cell r="FE15">
            <v>390372430</v>
          </cell>
          <cell r="FP15">
            <v>287</v>
          </cell>
          <cell r="FQ15">
            <v>315888800</v>
          </cell>
          <cell r="FX15">
            <v>340767244</v>
          </cell>
          <cell r="GI15">
            <v>67425</v>
          </cell>
          <cell r="GJ15">
            <v>329800250</v>
          </cell>
          <cell r="GQ15">
            <v>327774942</v>
          </cell>
          <cell r="HB15">
            <v>1078</v>
          </cell>
          <cell r="HC15">
            <v>341136000</v>
          </cell>
          <cell r="HJ15">
            <v>344929647</v>
          </cell>
          <cell r="HU15">
            <v>361</v>
          </cell>
          <cell r="HV15">
            <v>377651922</v>
          </cell>
          <cell r="IC15">
            <v>360457286</v>
          </cell>
        </row>
        <row r="16">
          <cell r="G16">
            <v>102000</v>
          </cell>
          <cell r="H16" t="str">
            <v>KAS DI BANK</v>
          </cell>
        </row>
        <row r="17">
          <cell r="G17">
            <v>102001</v>
          </cell>
          <cell r="H17" t="str">
            <v>BRI</v>
          </cell>
        </row>
        <row r="18">
          <cell r="G18">
            <v>102002</v>
          </cell>
          <cell r="H18" t="str">
            <v>BNI</v>
          </cell>
        </row>
        <row r="19">
          <cell r="G19">
            <v>102003</v>
          </cell>
          <cell r="H19" t="str">
            <v>LAMPUNG</v>
          </cell>
        </row>
        <row r="20">
          <cell r="G20">
            <v>102004</v>
          </cell>
          <cell r="H20" t="str">
            <v>PANIN</v>
          </cell>
        </row>
        <row r="21">
          <cell r="G21">
            <v>102005</v>
          </cell>
          <cell r="H21" t="str">
            <v>BNI GMB</v>
          </cell>
          <cell r="W21">
            <v>200126544</v>
          </cell>
          <cell r="Z21">
            <v>139443245</v>
          </cell>
          <cell r="AA21">
            <v>0</v>
          </cell>
          <cell r="AP21">
            <v>152507021</v>
          </cell>
          <cell r="AS21">
            <v>195550610</v>
          </cell>
          <cell r="BI21">
            <v>97063522</v>
          </cell>
          <cell r="BK21">
            <v>100025000</v>
          </cell>
          <cell r="BL21">
            <v>183860335</v>
          </cell>
          <cell r="CB21">
            <v>208146955</v>
          </cell>
          <cell r="CD21">
            <v>25000</v>
          </cell>
          <cell r="CE21">
            <v>190968729</v>
          </cell>
          <cell r="CU21">
            <v>93651136</v>
          </cell>
          <cell r="CW21">
            <v>100025000</v>
          </cell>
          <cell r="CX21">
            <v>179655419</v>
          </cell>
          <cell r="DN21">
            <v>141546454</v>
          </cell>
          <cell r="DP21">
            <v>25000</v>
          </cell>
          <cell r="DQ21">
            <v>165586940</v>
          </cell>
          <cell r="EG21">
            <v>113011808</v>
          </cell>
          <cell r="EI21">
            <v>100025000</v>
          </cell>
          <cell r="EJ21">
            <v>198273350</v>
          </cell>
          <cell r="EZ21">
            <v>113436570</v>
          </cell>
          <cell r="FB21">
            <v>25000</v>
          </cell>
          <cell r="FC21">
            <v>159413397</v>
          </cell>
          <cell r="FS21">
            <v>54473733</v>
          </cell>
          <cell r="FU21">
            <v>100025000</v>
          </cell>
          <cell r="FV21">
            <v>163307388</v>
          </cell>
          <cell r="GL21">
            <v>110660517</v>
          </cell>
          <cell r="GN21">
            <v>150025000</v>
          </cell>
          <cell r="GO21">
            <v>231578207</v>
          </cell>
          <cell r="HD21">
            <v>30000000</v>
          </cell>
          <cell r="HE21">
            <v>203974932</v>
          </cell>
          <cell r="HG21">
            <v>25000</v>
          </cell>
          <cell r="HH21">
            <v>141532129</v>
          </cell>
          <cell r="HX21">
            <v>107770419</v>
          </cell>
          <cell r="HZ21">
            <v>25000</v>
          </cell>
          <cell r="IA21">
            <v>175250444</v>
          </cell>
        </row>
        <row r="22">
          <cell r="G22">
            <v>102006</v>
          </cell>
          <cell r="H22" t="str">
            <v>LAMPUNG GMB</v>
          </cell>
          <cell r="W22">
            <v>406699.25</v>
          </cell>
          <cell r="Z22">
            <v>15000</v>
          </cell>
          <cell r="AA22">
            <v>100000000</v>
          </cell>
          <cell r="AP22">
            <v>496366.20999999996</v>
          </cell>
          <cell r="AS22">
            <v>15000</v>
          </cell>
          <cell r="BI22">
            <v>412611.03</v>
          </cell>
          <cell r="BL22">
            <v>100015000</v>
          </cell>
          <cell r="CB22">
            <v>330555.63</v>
          </cell>
          <cell r="CE22">
            <v>30000</v>
          </cell>
          <cell r="CF22">
            <v>50000000</v>
          </cell>
          <cell r="CU22">
            <v>382854.94</v>
          </cell>
          <cell r="CX22">
            <v>100015000</v>
          </cell>
          <cell r="CY22">
            <v>50000000</v>
          </cell>
          <cell r="DN22">
            <v>374320.34</v>
          </cell>
          <cell r="DQ22">
            <v>15000</v>
          </cell>
          <cell r="DR22">
            <v>50000000</v>
          </cell>
          <cell r="EG22">
            <v>255015</v>
          </cell>
          <cell r="EJ22">
            <v>100015000</v>
          </cell>
          <cell r="EZ22">
            <v>316632</v>
          </cell>
          <cell r="FC22">
            <v>15000</v>
          </cell>
          <cell r="FD22">
            <v>95000000</v>
          </cell>
          <cell r="FS22">
            <v>430092</v>
          </cell>
          <cell r="FV22">
            <v>100015000</v>
          </cell>
          <cell r="FW22">
            <v>100000000</v>
          </cell>
          <cell r="GL22">
            <v>325264</v>
          </cell>
          <cell r="GO22">
            <v>150015000</v>
          </cell>
          <cell r="GP22">
            <v>75000000</v>
          </cell>
          <cell r="HE22">
            <v>373460.37</v>
          </cell>
          <cell r="HH22">
            <v>15000</v>
          </cell>
          <cell r="HI22">
            <v>90000000</v>
          </cell>
          <cell r="HX22">
            <v>518093</v>
          </cell>
          <cell r="IA22">
            <v>15000</v>
          </cell>
          <cell r="IB22">
            <v>80000000</v>
          </cell>
        </row>
        <row r="23">
          <cell r="G23">
            <v>102007</v>
          </cell>
          <cell r="H23" t="str">
            <v>PANIN GMB</v>
          </cell>
          <cell r="W23">
            <v>1351985</v>
          </cell>
          <cell r="Z23">
            <v>36000</v>
          </cell>
          <cell r="AP23">
            <v>4555432</v>
          </cell>
          <cell r="AS23">
            <v>36000</v>
          </cell>
          <cell r="BI23">
            <v>14091</v>
          </cell>
          <cell r="BL23">
            <v>36000</v>
          </cell>
          <cell r="CB23">
            <v>13626</v>
          </cell>
          <cell r="CE23">
            <v>36000</v>
          </cell>
          <cell r="CU23">
            <v>1062362</v>
          </cell>
          <cell r="CX23">
            <v>36000</v>
          </cell>
          <cell r="DN23">
            <v>14121</v>
          </cell>
          <cell r="DQ23">
            <v>36000</v>
          </cell>
          <cell r="EG23">
            <v>14580</v>
          </cell>
          <cell r="EJ23">
            <v>36000</v>
          </cell>
          <cell r="EY23">
            <v>25000000</v>
          </cell>
          <cell r="EZ23">
            <v>12847</v>
          </cell>
          <cell r="FC23">
            <v>36000</v>
          </cell>
          <cell r="FS23">
            <v>5463789</v>
          </cell>
          <cell r="FV23">
            <v>36000</v>
          </cell>
          <cell r="GL23">
            <v>2483863</v>
          </cell>
          <cell r="GO23">
            <v>36000</v>
          </cell>
          <cell r="HE23">
            <v>3762</v>
          </cell>
          <cell r="HH23">
            <v>36000</v>
          </cell>
          <cell r="HX23">
            <v>10034495</v>
          </cell>
          <cell r="IA23">
            <v>36000</v>
          </cell>
        </row>
        <row r="24">
          <cell r="G24">
            <v>102008</v>
          </cell>
          <cell r="H24" t="str">
            <v>BNI Transitoris ( AC 7776977765)</v>
          </cell>
          <cell r="HX24">
            <v>106923837</v>
          </cell>
          <cell r="HY24">
            <v>506900</v>
          </cell>
        </row>
        <row r="26">
          <cell r="G26">
            <v>103000</v>
          </cell>
          <cell r="H26" t="str">
            <v xml:space="preserve">PIUTANG </v>
          </cell>
        </row>
        <row r="27">
          <cell r="G27">
            <v>103103</v>
          </cell>
          <cell r="H27" t="str">
            <v>Piutang Asuransi</v>
          </cell>
          <cell r="O27">
            <v>99474760</v>
          </cell>
          <cell r="V27">
            <v>7114550</v>
          </cell>
          <cell r="X27">
            <v>156349846</v>
          </cell>
          <cell r="AH27">
            <v>73061757</v>
          </cell>
          <cell r="AO27">
            <v>14411045</v>
          </cell>
          <cell r="AQ27">
            <v>102882010</v>
          </cell>
          <cell r="BA27">
            <v>181895020</v>
          </cell>
          <cell r="BH27">
            <v>2726000</v>
          </cell>
          <cell r="BJ27">
            <v>83506895</v>
          </cell>
          <cell r="BT27">
            <v>61724097</v>
          </cell>
          <cell r="CA27">
            <v>3321000</v>
          </cell>
          <cell r="CC27">
            <v>156080920</v>
          </cell>
          <cell r="CM27">
            <v>145215013</v>
          </cell>
          <cell r="CT27">
            <v>4436600</v>
          </cell>
          <cell r="CV27">
            <v>75579500</v>
          </cell>
          <cell r="DF27">
            <v>60748320</v>
          </cell>
          <cell r="DM27">
            <v>16587088</v>
          </cell>
          <cell r="DO27">
            <v>57786182</v>
          </cell>
          <cell r="DR27">
            <v>7600000</v>
          </cell>
          <cell r="DY27">
            <v>126941287</v>
          </cell>
          <cell r="EH27">
            <v>102467267</v>
          </cell>
          <cell r="ER27">
            <v>66239787</v>
          </cell>
          <cell r="EY27">
            <v>3927375</v>
          </cell>
          <cell r="FA27">
            <v>112399283</v>
          </cell>
          <cell r="FK27">
            <v>131736314</v>
          </cell>
          <cell r="FT27">
            <v>51531626</v>
          </cell>
          <cell r="GD27">
            <v>91599630</v>
          </cell>
          <cell r="GK27">
            <v>1000000</v>
          </cell>
          <cell r="GM27">
            <v>81779353</v>
          </cell>
          <cell r="GW27">
            <v>141231900</v>
          </cell>
          <cell r="HD27">
            <v>100000</v>
          </cell>
          <cell r="HF27">
            <v>192933777</v>
          </cell>
          <cell r="HI27">
            <v>1142000</v>
          </cell>
          <cell r="HP27">
            <v>78420310</v>
          </cell>
          <cell r="HW27">
            <v>960000</v>
          </cell>
          <cell r="HY27">
            <v>89215850</v>
          </cell>
        </row>
        <row r="28">
          <cell r="G28">
            <v>103104</v>
          </cell>
          <cell r="H28" t="str">
            <v>Piutang Intansi Pemerintah</v>
          </cell>
          <cell r="DF28">
            <v>0</v>
          </cell>
          <cell r="DY28">
            <v>0</v>
          </cell>
          <cell r="FK28">
            <v>0</v>
          </cell>
          <cell r="FR28">
            <v>1460000</v>
          </cell>
          <cell r="HD28">
            <v>50000000</v>
          </cell>
          <cell r="HW28">
            <v>55000000</v>
          </cell>
        </row>
        <row r="29">
          <cell r="G29">
            <v>103105</v>
          </cell>
          <cell r="H29" t="str">
            <v>Piutang umum</v>
          </cell>
          <cell r="O29">
            <v>16927500</v>
          </cell>
          <cell r="V29">
            <v>4224000</v>
          </cell>
          <cell r="AH29">
            <v>13402000</v>
          </cell>
          <cell r="AO29">
            <v>3426000</v>
          </cell>
          <cell r="AQ29">
            <v>54111539</v>
          </cell>
          <cell r="BA29">
            <v>13304696</v>
          </cell>
          <cell r="BJ29">
            <v>13449000</v>
          </cell>
          <cell r="BT29">
            <v>10756392</v>
          </cell>
          <cell r="CA29">
            <v>3267000</v>
          </cell>
          <cell r="CC29">
            <v>1950600</v>
          </cell>
          <cell r="CM29">
            <v>62506500</v>
          </cell>
          <cell r="CT29">
            <v>4608000</v>
          </cell>
          <cell r="CV29">
            <v>18969500</v>
          </cell>
          <cell r="DF29">
            <v>15444200</v>
          </cell>
          <cell r="DM29">
            <v>2581000</v>
          </cell>
          <cell r="DO29">
            <v>83649195</v>
          </cell>
          <cell r="DY29">
            <v>24781476</v>
          </cell>
          <cell r="EF29">
            <v>3009500</v>
          </cell>
          <cell r="EH29">
            <v>9407892</v>
          </cell>
          <cell r="ER29">
            <v>17840000</v>
          </cell>
          <cell r="EY29">
            <v>1317000</v>
          </cell>
          <cell r="FK29">
            <v>12965300</v>
          </cell>
          <cell r="FR29">
            <v>3322000</v>
          </cell>
          <cell r="FT29">
            <v>8260000</v>
          </cell>
          <cell r="GD29">
            <v>11346875</v>
          </cell>
          <cell r="GK29">
            <v>4851000</v>
          </cell>
          <cell r="GM29">
            <v>30788476</v>
          </cell>
          <cell r="GW29">
            <v>16851300</v>
          </cell>
          <cell r="HD29">
            <v>1044000</v>
          </cell>
          <cell r="HF29">
            <v>10840000</v>
          </cell>
          <cell r="HP29">
            <v>25874000</v>
          </cell>
          <cell r="HW29">
            <v>5911222</v>
          </cell>
          <cell r="HY29">
            <v>28364050</v>
          </cell>
        </row>
        <row r="30">
          <cell r="G30">
            <v>103106</v>
          </cell>
          <cell r="H30" t="str">
            <v>Piutang NPG</v>
          </cell>
          <cell r="O30">
            <v>3890000</v>
          </cell>
          <cell r="V30">
            <v>525000</v>
          </cell>
          <cell r="AH30">
            <v>750000</v>
          </cell>
          <cell r="BA30">
            <v>2209000</v>
          </cell>
          <cell r="BT30">
            <v>5158000</v>
          </cell>
          <cell r="CC30">
            <v>50000000</v>
          </cell>
          <cell r="CM30">
            <v>667000</v>
          </cell>
          <cell r="CT30">
            <v>1772000</v>
          </cell>
          <cell r="DF30">
            <v>375000</v>
          </cell>
          <cell r="DM30">
            <v>8427000</v>
          </cell>
          <cell r="DY30">
            <v>3960000</v>
          </cell>
          <cell r="EF30">
            <v>8326442</v>
          </cell>
          <cell r="ER30">
            <v>2005000</v>
          </cell>
          <cell r="FK30">
            <v>2161000</v>
          </cell>
          <cell r="GD30">
            <v>3736000</v>
          </cell>
          <cell r="HD30">
            <v>3688000</v>
          </cell>
          <cell r="HP30">
            <v>833000</v>
          </cell>
          <cell r="HW30">
            <v>3713000</v>
          </cell>
        </row>
        <row r="33">
          <cell r="G33">
            <v>107000</v>
          </cell>
          <cell r="H33" t="str">
            <v>Jaminan Asuransi</v>
          </cell>
        </row>
        <row r="34">
          <cell r="G34">
            <v>108000</v>
          </cell>
          <cell r="H34" t="str">
            <v>PIUTANG LAIN LAIN</v>
          </cell>
        </row>
        <row r="35">
          <cell r="G35">
            <v>108001</v>
          </cell>
          <cell r="H35" t="str">
            <v>Piutang Karyawan</v>
          </cell>
          <cell r="CY35">
            <v>4000000</v>
          </cell>
          <cell r="GP35">
            <v>900000</v>
          </cell>
        </row>
        <row r="36">
          <cell r="G36">
            <v>108002</v>
          </cell>
          <cell r="H36" t="str">
            <v>Uang Jaminan Tabung</v>
          </cell>
        </row>
        <row r="37">
          <cell r="G37">
            <v>108003</v>
          </cell>
          <cell r="H37" t="str">
            <v xml:space="preserve">Piutang Lain Lain </v>
          </cell>
          <cell r="O37">
            <v>1075000</v>
          </cell>
          <cell r="T37">
            <v>200000</v>
          </cell>
          <cell r="AH37">
            <v>30000</v>
          </cell>
          <cell r="AM37">
            <v>200000</v>
          </cell>
          <cell r="BT37">
            <v>715000</v>
          </cell>
          <cell r="CF37">
            <v>0</v>
          </cell>
          <cell r="CR37">
            <v>1200000</v>
          </cell>
          <cell r="DK37">
            <v>1200000</v>
          </cell>
          <cell r="DY37">
            <v>1460000</v>
          </cell>
          <cell r="ED37">
            <v>700000</v>
          </cell>
          <cell r="EF37">
            <v>2192000</v>
          </cell>
          <cell r="EW37">
            <v>700000</v>
          </cell>
          <cell r="FK37">
            <v>10978500</v>
          </cell>
          <cell r="FP37">
            <v>700000</v>
          </cell>
          <cell r="GD37">
            <v>4951000</v>
          </cell>
          <cell r="GI37">
            <v>1073800</v>
          </cell>
          <cell r="GK37">
            <v>4135000</v>
          </cell>
          <cell r="HD37">
            <v>1142000</v>
          </cell>
        </row>
        <row r="38">
          <cell r="G38">
            <v>108004</v>
          </cell>
          <cell r="H38" t="str">
            <v>Piutang Kartu Kredit</v>
          </cell>
          <cell r="AA38">
            <v>4112000</v>
          </cell>
          <cell r="AT38">
            <v>852000</v>
          </cell>
          <cell r="BM38">
            <v>7464250</v>
          </cell>
          <cell r="CF38">
            <v>3361000</v>
          </cell>
          <cell r="CY38">
            <v>2535000</v>
          </cell>
          <cell r="DR38">
            <v>11340000</v>
          </cell>
          <cell r="EK38">
            <v>7812000</v>
          </cell>
          <cell r="FD38">
            <v>4484500</v>
          </cell>
          <cell r="FW38">
            <v>34872500</v>
          </cell>
          <cell r="GP38">
            <v>17699500</v>
          </cell>
          <cell r="HI38">
            <v>13170000</v>
          </cell>
          <cell r="HY38">
            <v>105889366</v>
          </cell>
          <cell r="IB38">
            <v>3810500</v>
          </cell>
        </row>
        <row r="40">
          <cell r="G40">
            <v>109000</v>
          </cell>
          <cell r="H40" t="str">
            <v>PAJAK DAN BIAYA DIBAYAR DIMUKA</v>
          </cell>
        </row>
        <row r="41">
          <cell r="G41">
            <v>109001</v>
          </cell>
          <cell r="H41" t="str">
            <v>PPh pasal 21</v>
          </cell>
          <cell r="S41">
            <v>475000</v>
          </cell>
          <cell r="T41">
            <v>475000</v>
          </cell>
          <cell r="AA41">
            <v>313000</v>
          </cell>
          <cell r="AL41">
            <v>491500</v>
          </cell>
          <cell r="AM41">
            <v>491500</v>
          </cell>
          <cell r="AT41">
            <v>475000</v>
          </cell>
          <cell r="BE41">
            <v>494500</v>
          </cell>
          <cell r="BF41">
            <v>494500</v>
          </cell>
          <cell r="BM41">
            <v>1020930</v>
          </cell>
          <cell r="BX41">
            <v>487500</v>
          </cell>
          <cell r="BY41">
            <v>487500</v>
          </cell>
          <cell r="CF41">
            <v>494500</v>
          </cell>
          <cell r="CQ41">
            <v>482500</v>
          </cell>
          <cell r="CR41">
            <v>482500</v>
          </cell>
          <cell r="CY41">
            <v>487500</v>
          </cell>
          <cell r="DJ41">
            <v>465500</v>
          </cell>
          <cell r="DK41">
            <v>465500</v>
          </cell>
          <cell r="DR41">
            <v>482500</v>
          </cell>
          <cell r="EC41">
            <v>469000</v>
          </cell>
          <cell r="ED41">
            <v>469000</v>
          </cell>
          <cell r="EK41">
            <v>1018731</v>
          </cell>
          <cell r="EV41">
            <v>477500</v>
          </cell>
          <cell r="EW41">
            <v>465500</v>
          </cell>
          <cell r="FD41">
            <v>515485</v>
          </cell>
          <cell r="FO41">
            <v>487500</v>
          </cell>
          <cell r="FP41">
            <v>487500</v>
          </cell>
          <cell r="FW41">
            <v>15344029</v>
          </cell>
          <cell r="GH41">
            <v>451000</v>
          </cell>
          <cell r="GI41">
            <v>451000</v>
          </cell>
          <cell r="GP41">
            <v>487500</v>
          </cell>
          <cell r="HA41">
            <v>479000</v>
          </cell>
          <cell r="HB41">
            <v>479000</v>
          </cell>
          <cell r="HI41">
            <v>451000</v>
          </cell>
          <cell r="HT41">
            <v>479000</v>
          </cell>
          <cell r="HU41">
            <v>479000</v>
          </cell>
          <cell r="IB41">
            <v>479000</v>
          </cell>
        </row>
        <row r="42">
          <cell r="G42">
            <v>109002</v>
          </cell>
          <cell r="H42" t="str">
            <v>PPh pasal 25</v>
          </cell>
          <cell r="GP42">
            <v>3846145</v>
          </cell>
          <cell r="IB42">
            <v>1115350</v>
          </cell>
        </row>
        <row r="43">
          <cell r="G43">
            <v>109003</v>
          </cell>
          <cell r="H43" t="str">
            <v>PPN</v>
          </cell>
          <cell r="AT43">
            <v>890670</v>
          </cell>
          <cell r="CF43">
            <v>516710</v>
          </cell>
          <cell r="CT43">
            <v>79200</v>
          </cell>
          <cell r="CY43">
            <v>571396</v>
          </cell>
          <cell r="DR43">
            <v>686484</v>
          </cell>
          <cell r="FD43">
            <v>2992500</v>
          </cell>
          <cell r="GP43">
            <v>557519</v>
          </cell>
          <cell r="HI43">
            <v>1809921</v>
          </cell>
          <cell r="IB43">
            <v>583676</v>
          </cell>
        </row>
        <row r="44">
          <cell r="G44">
            <v>109004</v>
          </cell>
          <cell r="H44" t="str">
            <v>Asuransi</v>
          </cell>
        </row>
        <row r="46">
          <cell r="G46">
            <v>110000</v>
          </cell>
          <cell r="H46" t="str">
            <v>PERSEDIAAN BARANG</v>
          </cell>
        </row>
        <row r="47">
          <cell r="G47">
            <v>110001</v>
          </cell>
          <cell r="H47" t="str">
            <v>Persediaan Barang Gsc</v>
          </cell>
          <cell r="L47">
            <v>37938185</v>
          </cell>
          <cell r="M47">
            <v>147887961</v>
          </cell>
          <cell r="R47">
            <v>52830928</v>
          </cell>
          <cell r="AA47">
            <v>7015238</v>
          </cell>
          <cell r="AE47">
            <v>44714021</v>
          </cell>
          <cell r="AF47">
            <v>194802033</v>
          </cell>
          <cell r="AK47">
            <v>59307727</v>
          </cell>
          <cell r="AT47">
            <v>16597150</v>
          </cell>
          <cell r="AX47">
            <v>99163269</v>
          </cell>
          <cell r="AY47">
            <v>134415059</v>
          </cell>
          <cell r="BD47">
            <v>43906725</v>
          </cell>
          <cell r="BM47">
            <v>10236466</v>
          </cell>
          <cell r="BQ47">
            <v>17015695</v>
          </cell>
          <cell r="BR47">
            <v>117704508</v>
          </cell>
          <cell r="BW47">
            <v>48469304</v>
          </cell>
          <cell r="CF47">
            <v>6947710</v>
          </cell>
          <cell r="CJ47">
            <v>70791719</v>
          </cell>
          <cell r="CK47">
            <v>133153228</v>
          </cell>
          <cell r="CP47">
            <v>62404704</v>
          </cell>
          <cell r="CY47">
            <v>8908271</v>
          </cell>
          <cell r="DC47">
            <v>31242696</v>
          </cell>
          <cell r="DD47">
            <v>116852711</v>
          </cell>
          <cell r="DI47">
            <v>37217655</v>
          </cell>
          <cell r="DR47">
            <v>810000</v>
          </cell>
          <cell r="DV47">
            <v>91095294</v>
          </cell>
          <cell r="DW47">
            <v>127096710</v>
          </cell>
          <cell r="EB47">
            <v>47038531</v>
          </cell>
          <cell r="EK47">
            <v>8698495</v>
          </cell>
          <cell r="EO47">
            <v>39662442</v>
          </cell>
          <cell r="EP47">
            <v>127465395</v>
          </cell>
          <cell r="EU47">
            <v>110761219</v>
          </cell>
          <cell r="FD47">
            <v>8329810</v>
          </cell>
          <cell r="FH47">
            <v>69394460</v>
          </cell>
          <cell r="FI47">
            <v>106046561</v>
          </cell>
          <cell r="FN47">
            <v>34292317</v>
          </cell>
          <cell r="FW47">
            <v>11616150</v>
          </cell>
          <cell r="GA47">
            <v>48447923</v>
          </cell>
          <cell r="GB47">
            <v>157095094</v>
          </cell>
          <cell r="GG47">
            <v>38308463</v>
          </cell>
          <cell r="GP47">
            <v>250000</v>
          </cell>
          <cell r="GT47">
            <v>84592194</v>
          </cell>
          <cell r="GU47">
            <v>128883868</v>
          </cell>
          <cell r="GZ47">
            <v>36958998</v>
          </cell>
          <cell r="HI47">
            <v>1535000</v>
          </cell>
          <cell r="HM47">
            <v>47728861</v>
          </cell>
          <cell r="HN47">
            <v>1176134921</v>
          </cell>
          <cell r="HS47">
            <v>42181110</v>
          </cell>
          <cell r="IB47">
            <v>2265000</v>
          </cell>
        </row>
        <row r="48">
          <cell r="G48">
            <v>110004</v>
          </cell>
          <cell r="H48" t="str">
            <v>Wip  Gsc (Work In Process)</v>
          </cell>
          <cell r="L48">
            <v>19107275</v>
          </cell>
          <cell r="AA48">
            <v>13721375</v>
          </cell>
          <cell r="AE48">
            <v>7742275</v>
          </cell>
          <cell r="AT48">
            <v>15225375</v>
          </cell>
          <cell r="AX48">
            <v>30157125</v>
          </cell>
          <cell r="BM48">
            <v>25696719</v>
          </cell>
          <cell r="BQ48">
            <v>12815425</v>
          </cell>
          <cell r="CF48">
            <v>18896500</v>
          </cell>
          <cell r="CJ48">
            <v>12137000</v>
          </cell>
          <cell r="CY48">
            <v>28022250</v>
          </cell>
          <cell r="DC48">
            <v>12327825</v>
          </cell>
          <cell r="DR48">
            <v>16001700</v>
          </cell>
          <cell r="DV48">
            <v>17099000</v>
          </cell>
          <cell r="EK48">
            <v>17833250</v>
          </cell>
          <cell r="EO48">
            <v>10152750</v>
          </cell>
          <cell r="FD48">
            <v>24520500</v>
          </cell>
          <cell r="FH48">
            <v>20791750</v>
          </cell>
          <cell r="FW48">
            <v>20952000</v>
          </cell>
          <cell r="GA48">
            <v>19119700</v>
          </cell>
          <cell r="GP48">
            <v>13480400</v>
          </cell>
          <cell r="GT48">
            <v>24170500</v>
          </cell>
          <cell r="HI48">
            <v>26787000</v>
          </cell>
          <cell r="HM48">
            <v>15801000</v>
          </cell>
          <cell r="IB48">
            <v>17472000</v>
          </cell>
        </row>
        <row r="50">
          <cell r="G50">
            <v>111000</v>
          </cell>
          <cell r="H50" t="str">
            <v>UANG MUKA PEMBELIAN</v>
          </cell>
        </row>
        <row r="51">
          <cell r="G51">
            <v>111001</v>
          </cell>
          <cell r="H51" t="str">
            <v>Uang Muka Pembelian</v>
          </cell>
        </row>
        <row r="54">
          <cell r="G54">
            <v>150000</v>
          </cell>
          <cell r="H54" t="str">
            <v>HARTA TETAP</v>
          </cell>
        </row>
        <row r="55">
          <cell r="G55">
            <v>150151</v>
          </cell>
          <cell r="H55" t="str">
            <v>Tanah</v>
          </cell>
        </row>
        <row r="56">
          <cell r="G56">
            <v>150152</v>
          </cell>
          <cell r="H56" t="str">
            <v>Bangunan</v>
          </cell>
        </row>
        <row r="57">
          <cell r="G57">
            <v>150153</v>
          </cell>
          <cell r="H57" t="str">
            <v>Implasment</v>
          </cell>
        </row>
        <row r="58">
          <cell r="G58">
            <v>150154</v>
          </cell>
          <cell r="H58" t="str">
            <v>Peralatan Body Repair</v>
          </cell>
          <cell r="CF58">
            <v>6845850</v>
          </cell>
          <cell r="EK58">
            <v>2200000</v>
          </cell>
        </row>
        <row r="59">
          <cell r="G59">
            <v>150155</v>
          </cell>
          <cell r="H59" t="str">
            <v>Peralatan General Repair</v>
          </cell>
        </row>
        <row r="60">
          <cell r="G60">
            <v>150156</v>
          </cell>
          <cell r="H60" t="str">
            <v>Peralatan Sporing</v>
          </cell>
          <cell r="AT60">
            <v>13000000</v>
          </cell>
          <cell r="BM60">
            <v>8878800</v>
          </cell>
        </row>
        <row r="61">
          <cell r="G61">
            <v>150157</v>
          </cell>
          <cell r="H61" t="str">
            <v>Peralatan AC</v>
          </cell>
        </row>
        <row r="62">
          <cell r="G62">
            <v>150158</v>
          </cell>
          <cell r="H62" t="str">
            <v>Peralatan Variasi</v>
          </cell>
        </row>
        <row r="63">
          <cell r="G63">
            <v>150159</v>
          </cell>
          <cell r="H63" t="str">
            <v>Peralatan Ganti oli</v>
          </cell>
        </row>
        <row r="64">
          <cell r="G64">
            <v>150160</v>
          </cell>
          <cell r="H64" t="str">
            <v>Peralatan Cucian</v>
          </cell>
        </row>
        <row r="65">
          <cell r="G65">
            <v>150161</v>
          </cell>
          <cell r="H65" t="str">
            <v>Peralatan salon</v>
          </cell>
        </row>
        <row r="66">
          <cell r="G66">
            <v>150162</v>
          </cell>
          <cell r="H66" t="str">
            <v>Peralatan Genset &amp; Kompresor</v>
          </cell>
        </row>
        <row r="67">
          <cell r="G67">
            <v>150163</v>
          </cell>
          <cell r="H67" t="str">
            <v>Peralatan dan perlengkapan Kantor</v>
          </cell>
        </row>
        <row r="68">
          <cell r="G68">
            <v>150164</v>
          </cell>
          <cell r="H68" t="str">
            <v>Kendaraan</v>
          </cell>
          <cell r="AT68">
            <v>3500000</v>
          </cell>
          <cell r="CY68">
            <v>4000000</v>
          </cell>
        </row>
        <row r="70">
          <cell r="G70">
            <v>180000</v>
          </cell>
          <cell r="H70" t="str">
            <v>AKUMULASI PENYUSUTAN</v>
          </cell>
        </row>
        <row r="71">
          <cell r="G71">
            <v>180001</v>
          </cell>
          <cell r="H71" t="str">
            <v>Usaha  Bangunan</v>
          </cell>
        </row>
        <row r="72">
          <cell r="G72">
            <v>180002</v>
          </cell>
          <cell r="H72" t="str">
            <v>Emplashment</v>
          </cell>
        </row>
        <row r="73">
          <cell r="G73">
            <v>180003</v>
          </cell>
          <cell r="H73" t="str">
            <v>Peralatan Bengkel</v>
          </cell>
          <cell r="BY73">
            <v>500000</v>
          </cell>
        </row>
        <row r="74">
          <cell r="G74">
            <v>180004</v>
          </cell>
          <cell r="H74" t="str">
            <v>Peralatan Kantor</v>
          </cell>
        </row>
        <row r="75">
          <cell r="G75">
            <v>180005</v>
          </cell>
          <cell r="H75" t="str">
            <v>Kendaraan</v>
          </cell>
        </row>
        <row r="77">
          <cell r="G77">
            <v>190000</v>
          </cell>
          <cell r="H77" t="str">
            <v>Pendapatan Diterima Dimuka</v>
          </cell>
        </row>
        <row r="78">
          <cell r="G78">
            <v>190001</v>
          </cell>
          <cell r="H78" t="str">
            <v>Pendapatan Diterima Dimuka</v>
          </cell>
          <cell r="V78">
            <v>57276000</v>
          </cell>
          <cell r="AA78">
            <v>81698500</v>
          </cell>
          <cell r="AO78">
            <v>23523000</v>
          </cell>
          <cell r="AT78">
            <v>14862750</v>
          </cell>
          <cell r="BH78">
            <v>35002600</v>
          </cell>
          <cell r="BM78">
            <v>18992600</v>
          </cell>
          <cell r="CA78">
            <v>52997250</v>
          </cell>
          <cell r="CF78">
            <v>23358500</v>
          </cell>
          <cell r="CT78">
            <v>27986000</v>
          </cell>
          <cell r="CY78">
            <v>45563750</v>
          </cell>
          <cell r="DM78">
            <v>22469000</v>
          </cell>
          <cell r="DR78">
            <v>69262500</v>
          </cell>
          <cell r="EF78">
            <v>13323000</v>
          </cell>
          <cell r="EH78">
            <v>1000001</v>
          </cell>
          <cell r="EK78">
            <v>17707000</v>
          </cell>
          <cell r="EY78">
            <v>60347000</v>
          </cell>
          <cell r="FA78">
            <v>900000</v>
          </cell>
          <cell r="FD78">
            <v>60179000</v>
          </cell>
          <cell r="FR78">
            <v>14333000</v>
          </cell>
          <cell r="FW78">
            <v>10300000</v>
          </cell>
          <cell r="GK78">
            <v>60405000</v>
          </cell>
          <cell r="GP78">
            <v>36582000</v>
          </cell>
          <cell r="HD78">
            <v>11938000</v>
          </cell>
          <cell r="HI78">
            <v>41693000</v>
          </cell>
          <cell r="HW78">
            <v>26415000</v>
          </cell>
          <cell r="IB78">
            <v>31627000</v>
          </cell>
        </row>
        <row r="80">
          <cell r="G80">
            <v>191000</v>
          </cell>
          <cell r="H80" t="str">
            <v>Jaminan Asuransi</v>
          </cell>
        </row>
        <row r="81">
          <cell r="G81">
            <v>191001</v>
          </cell>
          <cell r="H81" t="str">
            <v>Jaminan Asuransi Mitra</v>
          </cell>
          <cell r="AA81">
            <v>90000</v>
          </cell>
        </row>
        <row r="83">
          <cell r="G83">
            <v>200000</v>
          </cell>
          <cell r="H83" t="str">
            <v>HUTANG LANCAR</v>
          </cell>
        </row>
        <row r="84">
          <cell r="G84">
            <v>200001</v>
          </cell>
          <cell r="H84" t="str">
            <v>Hutang Ke Supplier</v>
          </cell>
          <cell r="Y84">
            <v>139184245</v>
          </cell>
          <cell r="AA84">
            <v>45342057</v>
          </cell>
          <cell r="AG84">
            <v>194802033</v>
          </cell>
          <cell r="AR84">
            <v>195519610</v>
          </cell>
          <cell r="AT84">
            <v>39160504</v>
          </cell>
          <cell r="AZ84">
            <v>134415059</v>
          </cell>
          <cell r="BK84">
            <v>183754465</v>
          </cell>
          <cell r="BS84">
            <v>117704508</v>
          </cell>
          <cell r="CD84">
            <v>190871345</v>
          </cell>
          <cell r="CF84">
            <v>38633204</v>
          </cell>
          <cell r="CL84">
            <v>133153228</v>
          </cell>
          <cell r="CW84">
            <v>179329315</v>
          </cell>
          <cell r="CY84">
            <v>38756580</v>
          </cell>
          <cell r="DE84">
            <v>116852711</v>
          </cell>
          <cell r="DP84">
            <v>165476104</v>
          </cell>
          <cell r="DR84">
            <v>46301262</v>
          </cell>
          <cell r="DX84">
            <v>127096710</v>
          </cell>
          <cell r="EI84">
            <v>198152314</v>
          </cell>
          <cell r="EK84">
            <v>52953159</v>
          </cell>
          <cell r="EQ84">
            <v>127465395</v>
          </cell>
          <cell r="FB84">
            <v>159288736</v>
          </cell>
          <cell r="FD84">
            <v>60319804</v>
          </cell>
          <cell r="FU84">
            <v>163165671</v>
          </cell>
          <cell r="FW84">
            <v>23604595</v>
          </cell>
          <cell r="GC84">
            <v>157095094</v>
          </cell>
          <cell r="GN84">
            <v>231204695</v>
          </cell>
          <cell r="GP84">
            <v>46987154</v>
          </cell>
          <cell r="GV84">
            <v>128883868</v>
          </cell>
          <cell r="HD84">
            <v>1400000</v>
          </cell>
          <cell r="HG84">
            <v>141359510</v>
          </cell>
          <cell r="HI84">
            <v>35746873</v>
          </cell>
          <cell r="HO84">
            <v>1176134921</v>
          </cell>
          <cell r="HZ84">
            <v>175067556</v>
          </cell>
          <cell r="IB84">
            <v>60510226</v>
          </cell>
        </row>
        <row r="86">
          <cell r="G86">
            <v>201000</v>
          </cell>
          <cell r="H86" t="str">
            <v>HUTANG JANGKA PENDEK</v>
          </cell>
        </row>
        <row r="87">
          <cell r="G87">
            <v>201001</v>
          </cell>
          <cell r="N87">
            <v>147887961</v>
          </cell>
          <cell r="BM87">
            <v>39150550</v>
          </cell>
          <cell r="FJ87">
            <v>106046561</v>
          </cell>
        </row>
        <row r="89">
          <cell r="G89">
            <v>202000</v>
          </cell>
          <cell r="H89" t="str">
            <v>HUTANG JANGKA PANJANG</v>
          </cell>
        </row>
        <row r="90">
          <cell r="G90">
            <v>202001</v>
          </cell>
          <cell r="H90" t="str">
            <v>KGM</v>
          </cell>
        </row>
        <row r="92">
          <cell r="G92">
            <v>203000</v>
          </cell>
          <cell r="H92" t="str">
            <v>HUTANG LAIN-LAIN</v>
          </cell>
        </row>
        <row r="93">
          <cell r="G93">
            <v>203001</v>
          </cell>
          <cell r="H93" t="str">
            <v>Astek</v>
          </cell>
        </row>
        <row r="94">
          <cell r="G94">
            <v>203002</v>
          </cell>
          <cell r="H94" t="str">
            <v xml:space="preserve">Hutang Uang Muka </v>
          </cell>
          <cell r="T94">
            <v>7884700</v>
          </cell>
          <cell r="AA94">
            <v>9900700</v>
          </cell>
          <cell r="AM94">
            <v>650000</v>
          </cell>
          <cell r="AT94">
            <v>10882656</v>
          </cell>
          <cell r="BF94">
            <v>8193025</v>
          </cell>
          <cell r="BM94">
            <v>8193025</v>
          </cell>
          <cell r="BY94">
            <v>9573575</v>
          </cell>
          <cell r="CF94">
            <v>9573575</v>
          </cell>
          <cell r="CR94">
            <v>11396900</v>
          </cell>
          <cell r="CY94">
            <v>11396900</v>
          </cell>
          <cell r="DK94">
            <v>11381900</v>
          </cell>
          <cell r="DR94">
            <v>11381900</v>
          </cell>
          <cell r="ED94">
            <v>11381900</v>
          </cell>
          <cell r="EK94">
            <v>11381900</v>
          </cell>
          <cell r="EW94">
            <v>11381900</v>
          </cell>
          <cell r="FD94">
            <v>14435075</v>
          </cell>
          <cell r="FP94">
            <v>11381900</v>
          </cell>
          <cell r="FW94">
            <v>11381900</v>
          </cell>
          <cell r="GI94">
            <v>11381900</v>
          </cell>
          <cell r="GP94">
            <v>11381900</v>
          </cell>
          <cell r="HB94">
            <v>11381900</v>
          </cell>
          <cell r="HI94">
            <v>11381900</v>
          </cell>
          <cell r="HU94">
            <v>10938575</v>
          </cell>
          <cell r="IB94">
            <v>10938575</v>
          </cell>
        </row>
        <row r="95">
          <cell r="G95">
            <v>203003</v>
          </cell>
          <cell r="H95" t="str">
            <v>Biaya Dibayar Dimuka</v>
          </cell>
          <cell r="AM95">
            <v>7234700</v>
          </cell>
        </row>
        <row r="96">
          <cell r="G96">
            <v>203004</v>
          </cell>
          <cell r="H96" t="str">
            <v>Hutang OR</v>
          </cell>
          <cell r="V96">
            <v>6400000</v>
          </cell>
          <cell r="AO96">
            <v>10800000</v>
          </cell>
          <cell r="BH96">
            <v>10400000</v>
          </cell>
          <cell r="CA96">
            <v>14600000</v>
          </cell>
          <cell r="CT96">
            <v>12900000</v>
          </cell>
          <cell r="DM96">
            <v>6600000</v>
          </cell>
          <cell r="EF96">
            <v>10200000</v>
          </cell>
          <cell r="EY96">
            <v>9200000</v>
          </cell>
          <cell r="FR96">
            <v>10600000</v>
          </cell>
          <cell r="GK96">
            <v>8150000</v>
          </cell>
          <cell r="HD96">
            <v>9800000</v>
          </cell>
          <cell r="HI96">
            <v>200000</v>
          </cell>
          <cell r="HW96">
            <v>11000000</v>
          </cell>
        </row>
        <row r="97">
          <cell r="G97">
            <v>203005</v>
          </cell>
          <cell r="H97" t="str">
            <v>Biaya Yg Msh Hrs Dibayar</v>
          </cell>
        </row>
        <row r="98">
          <cell r="G98">
            <v>203006</v>
          </cell>
          <cell r="H98" t="str">
            <v>Lain-lain</v>
          </cell>
        </row>
        <row r="99">
          <cell r="G99">
            <v>203007</v>
          </cell>
          <cell r="H99" t="str">
            <v>Jamsostek</v>
          </cell>
          <cell r="T99">
            <v>877450</v>
          </cell>
          <cell r="AA99">
            <v>4164892</v>
          </cell>
          <cell r="AM99">
            <v>1024500</v>
          </cell>
          <cell r="AT99">
            <v>4843365</v>
          </cell>
          <cell r="BF99">
            <v>1024500</v>
          </cell>
          <cell r="BM99">
            <v>7508214</v>
          </cell>
          <cell r="BY99">
            <v>1024500</v>
          </cell>
          <cell r="CF99">
            <v>7525574</v>
          </cell>
          <cell r="CR99">
            <v>1024500</v>
          </cell>
          <cell r="CY99">
            <v>7508215</v>
          </cell>
          <cell r="DK99">
            <v>1024500</v>
          </cell>
          <cell r="DR99">
            <v>7721995</v>
          </cell>
          <cell r="ED99">
            <v>1024500</v>
          </cell>
          <cell r="EK99">
            <v>2776850</v>
          </cell>
          <cell r="EW99">
            <v>1024500</v>
          </cell>
          <cell r="FD99">
            <v>9686730</v>
          </cell>
          <cell r="FP99">
            <v>1335785</v>
          </cell>
          <cell r="FW99">
            <v>7835691</v>
          </cell>
          <cell r="GI99">
            <v>1024500</v>
          </cell>
          <cell r="GP99">
            <v>7835691</v>
          </cell>
          <cell r="HB99">
            <v>1024500</v>
          </cell>
          <cell r="HI99">
            <v>7835691</v>
          </cell>
          <cell r="HU99">
            <v>995250</v>
          </cell>
          <cell r="IB99">
            <v>7663561</v>
          </cell>
        </row>
        <row r="100">
          <cell r="G100">
            <v>203008</v>
          </cell>
          <cell r="H100" t="str">
            <v>Hutang Kgm</v>
          </cell>
          <cell r="GM100">
            <v>400000</v>
          </cell>
        </row>
        <row r="102">
          <cell r="G102">
            <v>204000</v>
          </cell>
          <cell r="H102" t="str">
            <v>PAJAK</v>
          </cell>
        </row>
        <row r="103">
          <cell r="G103">
            <v>204001</v>
          </cell>
          <cell r="H103" t="str">
            <v>PPh Pasal 21</v>
          </cell>
        </row>
        <row r="104">
          <cell r="G104">
            <v>204002</v>
          </cell>
          <cell r="H104" t="str">
            <v>PPh Pasal 23 / PPh Pasal 4 Ayat 2</v>
          </cell>
        </row>
        <row r="105">
          <cell r="G105">
            <v>204003</v>
          </cell>
          <cell r="H105" t="str">
            <v>PPh Pasal 25 / PPh 29</v>
          </cell>
        </row>
        <row r="106">
          <cell r="G106">
            <v>204004</v>
          </cell>
          <cell r="H106" t="str">
            <v>Pajak Pertambahan Nilai</v>
          </cell>
        </row>
        <row r="108">
          <cell r="G108">
            <v>300000</v>
          </cell>
          <cell r="H108" t="str">
            <v>MODAL</v>
          </cell>
        </row>
        <row r="109">
          <cell r="G109">
            <v>300001</v>
          </cell>
          <cell r="H109" t="str">
            <v>Modal Disetor</v>
          </cell>
        </row>
        <row r="110">
          <cell r="G110">
            <v>300002</v>
          </cell>
          <cell r="H110" t="str">
            <v>Penyertaan Modal</v>
          </cell>
        </row>
        <row r="111">
          <cell r="G111">
            <v>300003</v>
          </cell>
          <cell r="H111" t="str">
            <v>Surplus Revaluasi Aset</v>
          </cell>
        </row>
        <row r="112">
          <cell r="G112">
            <v>300004</v>
          </cell>
          <cell r="H112" t="str">
            <v>Laba Ditahan</v>
          </cell>
        </row>
        <row r="114">
          <cell r="G114">
            <v>401000</v>
          </cell>
          <cell r="H114" t="str">
            <v>PENDAPATAN USAHA</v>
          </cell>
        </row>
        <row r="115">
          <cell r="G115">
            <v>401001</v>
          </cell>
          <cell r="H115" t="str">
            <v>Penjualan Toko</v>
          </cell>
          <cell r="J115">
            <v>13357000</v>
          </cell>
          <cell r="V115">
            <v>18698000</v>
          </cell>
          <cell r="AI115">
            <v>2125000</v>
          </cell>
          <cell r="AO115">
            <v>9785500</v>
          </cell>
          <cell r="BB115">
            <v>1347696</v>
          </cell>
          <cell r="BH115">
            <v>11683498</v>
          </cell>
          <cell r="BU115">
            <v>2835392</v>
          </cell>
          <cell r="CA115">
            <v>9549500</v>
          </cell>
          <cell r="CN115">
            <v>565500</v>
          </cell>
          <cell r="CT115">
            <v>15904000</v>
          </cell>
          <cell r="DM115">
            <v>12908500</v>
          </cell>
          <cell r="DZ115">
            <v>8390976</v>
          </cell>
          <cell r="EF115">
            <v>12936000</v>
          </cell>
          <cell r="ES115">
            <v>8990000</v>
          </cell>
          <cell r="EY115">
            <v>12847500</v>
          </cell>
          <cell r="FR115">
            <v>9681000</v>
          </cell>
          <cell r="GK115">
            <v>10277500</v>
          </cell>
          <cell r="HD115">
            <v>9061000</v>
          </cell>
          <cell r="HW115">
            <v>12687000</v>
          </cell>
        </row>
        <row r="116">
          <cell r="G116">
            <v>401002</v>
          </cell>
          <cell r="H116" t="str">
            <v>Pendapatan General repair</v>
          </cell>
          <cell r="P116">
            <v>4632000</v>
          </cell>
          <cell r="V116">
            <v>59002000</v>
          </cell>
          <cell r="AI116">
            <v>3297000</v>
          </cell>
          <cell r="AO116">
            <v>44352500</v>
          </cell>
          <cell r="BB116">
            <v>6412500</v>
          </cell>
          <cell r="BH116">
            <v>50485000</v>
          </cell>
          <cell r="BU116">
            <v>6213500</v>
          </cell>
          <cell r="CA116">
            <v>48293500</v>
          </cell>
          <cell r="CN116">
            <v>35688500</v>
          </cell>
          <cell r="CT116">
            <v>64931150</v>
          </cell>
          <cell r="DG116">
            <v>8434000</v>
          </cell>
          <cell r="DM116">
            <v>86944500</v>
          </cell>
          <cell r="DZ116">
            <v>9154500</v>
          </cell>
          <cell r="EF116">
            <v>66276000</v>
          </cell>
          <cell r="ES116">
            <v>1279000</v>
          </cell>
          <cell r="EY116">
            <v>76681000</v>
          </cell>
          <cell r="FL116">
            <v>3210500</v>
          </cell>
          <cell r="FR116">
            <v>78043500</v>
          </cell>
          <cell r="FX116">
            <v>-2324750</v>
          </cell>
          <cell r="GE116">
            <v>7170500</v>
          </cell>
          <cell r="GK116">
            <v>69139500</v>
          </cell>
          <cell r="GX116">
            <v>8545600</v>
          </cell>
          <cell r="HD116">
            <v>68648500</v>
          </cell>
          <cell r="HQ116">
            <v>13096000</v>
          </cell>
          <cell r="HW116">
            <v>66472000</v>
          </cell>
        </row>
        <row r="117">
          <cell r="G117">
            <v>401003</v>
          </cell>
          <cell r="H117" t="str">
            <v>Pendapatan Body Repair</v>
          </cell>
          <cell r="P117">
            <v>48831415</v>
          </cell>
          <cell r="V117">
            <v>14155000</v>
          </cell>
          <cell r="AI117">
            <v>27180457</v>
          </cell>
          <cell r="BB117">
            <v>86404245</v>
          </cell>
          <cell r="BH117">
            <v>1972000</v>
          </cell>
          <cell r="BU117">
            <v>27881747</v>
          </cell>
          <cell r="CN117">
            <v>82503038</v>
          </cell>
          <cell r="CT117">
            <v>6396000</v>
          </cell>
          <cell r="DG117">
            <v>26837195</v>
          </cell>
          <cell r="DM117">
            <v>5280000</v>
          </cell>
          <cell r="DZ117">
            <v>55618137</v>
          </cell>
          <cell r="EF117">
            <v>10432000</v>
          </cell>
          <cell r="ES117">
            <v>31146487</v>
          </cell>
          <cell r="EY117">
            <v>38321000</v>
          </cell>
          <cell r="FL117">
            <v>78592185</v>
          </cell>
          <cell r="FR117">
            <v>6655000</v>
          </cell>
          <cell r="GE117">
            <v>67218880</v>
          </cell>
          <cell r="GK117">
            <v>15155000</v>
          </cell>
          <cell r="GX117">
            <v>81308300</v>
          </cell>
          <cell r="HD117">
            <v>5300000</v>
          </cell>
          <cell r="HQ117">
            <v>30756810</v>
          </cell>
          <cell r="HW117">
            <v>9189500</v>
          </cell>
        </row>
        <row r="118">
          <cell r="G118">
            <v>401004</v>
          </cell>
          <cell r="H118" t="str">
            <v xml:space="preserve">Pendapatan Sporing </v>
          </cell>
          <cell r="V118">
            <v>20319000</v>
          </cell>
          <cell r="AI118">
            <v>1365000</v>
          </cell>
          <cell r="AO118">
            <v>5579000</v>
          </cell>
          <cell r="BH118">
            <v>8820000</v>
          </cell>
          <cell r="BU118">
            <v>1642000</v>
          </cell>
          <cell r="CA118">
            <v>2881000</v>
          </cell>
          <cell r="CN118">
            <v>5000</v>
          </cell>
          <cell r="CT118">
            <v>3943000</v>
          </cell>
          <cell r="DG118">
            <v>1415000</v>
          </cell>
          <cell r="DM118">
            <v>1121000</v>
          </cell>
          <cell r="DZ118">
            <v>868000</v>
          </cell>
          <cell r="EF118">
            <v>13992000</v>
          </cell>
          <cell r="ES118">
            <v>2850000</v>
          </cell>
          <cell r="EY118">
            <v>13834000</v>
          </cell>
          <cell r="FR118">
            <v>9162000</v>
          </cell>
          <cell r="GK118">
            <v>6383000</v>
          </cell>
          <cell r="HD118">
            <v>2298000</v>
          </cell>
          <cell r="HW118">
            <v>12349000</v>
          </cell>
        </row>
        <row r="119">
          <cell r="G119">
            <v>401005</v>
          </cell>
          <cell r="H119" t="str">
            <v>Pendapatan AC</v>
          </cell>
          <cell r="P119">
            <v>515500</v>
          </cell>
          <cell r="V119">
            <v>4767500</v>
          </cell>
          <cell r="AO119">
            <v>2449000</v>
          </cell>
          <cell r="BB119">
            <v>1125500</v>
          </cell>
          <cell r="BH119">
            <v>2670000</v>
          </cell>
          <cell r="BU119">
            <v>480000</v>
          </cell>
          <cell r="CA119">
            <v>2933500</v>
          </cell>
          <cell r="CN119">
            <v>2432500</v>
          </cell>
          <cell r="CT119">
            <v>2167000</v>
          </cell>
          <cell r="DG119">
            <v>94000</v>
          </cell>
          <cell r="DM119">
            <v>5576500</v>
          </cell>
          <cell r="DZ119">
            <v>713000</v>
          </cell>
          <cell r="EF119">
            <v>3138000</v>
          </cell>
          <cell r="ES119">
            <v>1159000</v>
          </cell>
          <cell r="EY119">
            <v>4415000</v>
          </cell>
          <cell r="FL119">
            <v>2427500</v>
          </cell>
          <cell r="FR119">
            <v>1063000</v>
          </cell>
          <cell r="GE119">
            <v>1600250</v>
          </cell>
          <cell r="GK119">
            <v>3341000</v>
          </cell>
          <cell r="GX119">
            <v>384500</v>
          </cell>
          <cell r="HD119">
            <v>5916500</v>
          </cell>
          <cell r="HQ119">
            <v>325000</v>
          </cell>
          <cell r="HW119">
            <v>2965500</v>
          </cell>
        </row>
        <row r="120">
          <cell r="G120">
            <v>401006</v>
          </cell>
          <cell r="H120" t="str">
            <v>Pendapatan Variasi</v>
          </cell>
        </row>
        <row r="121">
          <cell r="G121">
            <v>401007</v>
          </cell>
          <cell r="H121" t="str">
            <v>Pendapatan Ganti Oli</v>
          </cell>
          <cell r="P121">
            <v>3840000</v>
          </cell>
          <cell r="V121">
            <v>55731500</v>
          </cell>
          <cell r="AI121">
            <v>3480000</v>
          </cell>
          <cell r="AO121">
            <v>45643500</v>
          </cell>
          <cell r="BB121">
            <v>4863000</v>
          </cell>
          <cell r="BH121">
            <v>49024000</v>
          </cell>
          <cell r="BU121">
            <v>4285000</v>
          </cell>
          <cell r="CA121">
            <v>46775000</v>
          </cell>
          <cell r="CN121">
            <v>4931000</v>
          </cell>
          <cell r="CT121">
            <v>56209000</v>
          </cell>
          <cell r="DG121">
            <v>2214000</v>
          </cell>
          <cell r="DM121">
            <v>64565500</v>
          </cell>
          <cell r="DZ121">
            <v>4395000</v>
          </cell>
          <cell r="EF121">
            <v>58846800</v>
          </cell>
          <cell r="ES121">
            <v>2762000</v>
          </cell>
          <cell r="EY121">
            <v>62769000</v>
          </cell>
          <cell r="FL121">
            <v>5585800</v>
          </cell>
          <cell r="FR121">
            <v>62656800</v>
          </cell>
          <cell r="GE121">
            <v>3082000</v>
          </cell>
          <cell r="GK121">
            <v>63119000</v>
          </cell>
          <cell r="GX121">
            <v>3420200</v>
          </cell>
          <cell r="HD121">
            <v>44748500</v>
          </cell>
          <cell r="HQ121">
            <v>4262000</v>
          </cell>
          <cell r="HW121">
            <v>64343300</v>
          </cell>
        </row>
        <row r="122">
          <cell r="G122">
            <v>401008</v>
          </cell>
          <cell r="H122" t="str">
            <v>Pendapatan Cucian</v>
          </cell>
        </row>
        <row r="123">
          <cell r="G123">
            <v>401009</v>
          </cell>
          <cell r="H123" t="str">
            <v>Pendapatan salon</v>
          </cell>
          <cell r="P123">
            <v>145000</v>
          </cell>
          <cell r="V123">
            <v>1816000</v>
          </cell>
          <cell r="AO123">
            <v>856000</v>
          </cell>
          <cell r="BH123">
            <v>8635100</v>
          </cell>
          <cell r="BU123">
            <v>200000</v>
          </cell>
          <cell r="CA123">
            <v>4241400</v>
          </cell>
          <cell r="CT123">
            <v>1201996</v>
          </cell>
          <cell r="DM123">
            <v>350000</v>
          </cell>
          <cell r="DZ123">
            <v>1620000</v>
          </cell>
          <cell r="EF123">
            <v>3710008</v>
          </cell>
          <cell r="ES123">
            <v>235000</v>
          </cell>
          <cell r="EY123">
            <v>1340000</v>
          </cell>
          <cell r="FR123">
            <v>2460000</v>
          </cell>
          <cell r="HD123">
            <v>260000</v>
          </cell>
        </row>
        <row r="125">
          <cell r="G125">
            <v>402000</v>
          </cell>
          <cell r="H125" t="str">
            <v>JASA BENGKEL</v>
          </cell>
        </row>
        <row r="126">
          <cell r="G126">
            <v>402001</v>
          </cell>
          <cell r="H126" t="str">
            <v>Pendapatan Jasa Toko</v>
          </cell>
        </row>
        <row r="127">
          <cell r="G127">
            <v>402002</v>
          </cell>
          <cell r="H127" t="str">
            <v>Pendapatan Jasa General repair</v>
          </cell>
          <cell r="P127">
            <v>6525000</v>
          </cell>
          <cell r="V127">
            <v>39310000</v>
          </cell>
          <cell r="X127">
            <v>30000</v>
          </cell>
          <cell r="AI127">
            <v>2195000</v>
          </cell>
          <cell r="AO127">
            <v>29734750</v>
          </cell>
          <cell r="BB127">
            <v>2735000</v>
          </cell>
          <cell r="BH127">
            <v>33221250</v>
          </cell>
          <cell r="BU127">
            <v>2050000</v>
          </cell>
          <cell r="CA127">
            <v>31802500</v>
          </cell>
          <cell r="CN127">
            <v>6500000</v>
          </cell>
          <cell r="CT127">
            <v>39282753</v>
          </cell>
          <cell r="DG127">
            <v>2467200</v>
          </cell>
          <cell r="DM127">
            <v>50131000</v>
          </cell>
          <cell r="DZ127">
            <v>4810000</v>
          </cell>
          <cell r="EF127">
            <v>36873000</v>
          </cell>
          <cell r="ES127">
            <v>780000</v>
          </cell>
          <cell r="EY127">
            <v>44988250</v>
          </cell>
          <cell r="FL127">
            <v>3290000</v>
          </cell>
          <cell r="FR127">
            <v>52871500</v>
          </cell>
          <cell r="GE127">
            <v>1781125</v>
          </cell>
          <cell r="GK127">
            <v>42774250</v>
          </cell>
          <cell r="GX127">
            <v>3919000</v>
          </cell>
          <cell r="HD127">
            <v>35668000</v>
          </cell>
          <cell r="HQ127">
            <v>11235000</v>
          </cell>
          <cell r="HW127">
            <v>43324400</v>
          </cell>
          <cell r="IC127">
            <v>-5035222</v>
          </cell>
        </row>
        <row r="128">
          <cell r="G128">
            <v>402003</v>
          </cell>
          <cell r="H128" t="str">
            <v>Pendapatan Jasa Body Repair</v>
          </cell>
          <cell r="P128">
            <v>55873345</v>
          </cell>
          <cell r="V128">
            <v>29497000</v>
          </cell>
          <cell r="AI128">
            <v>45881300</v>
          </cell>
          <cell r="AO128">
            <v>17590000</v>
          </cell>
          <cell r="BB128">
            <v>93610775</v>
          </cell>
          <cell r="BH128">
            <v>15730000</v>
          </cell>
          <cell r="BU128">
            <v>32085850</v>
          </cell>
          <cell r="CA128">
            <v>12035000</v>
          </cell>
          <cell r="CN128">
            <v>73491975</v>
          </cell>
          <cell r="CT128">
            <v>15690000</v>
          </cell>
          <cell r="DG128">
            <v>33911125</v>
          </cell>
          <cell r="DM128">
            <v>24935000</v>
          </cell>
          <cell r="DZ128">
            <v>71003150</v>
          </cell>
          <cell r="EF128">
            <v>17533000</v>
          </cell>
          <cell r="ES128">
            <v>35923300</v>
          </cell>
          <cell r="EY128">
            <v>30746000</v>
          </cell>
          <cell r="FL128">
            <v>63139129</v>
          </cell>
          <cell r="FR128">
            <v>28579000</v>
          </cell>
          <cell r="GE128">
            <v>29970750</v>
          </cell>
          <cell r="GK128">
            <v>15467000</v>
          </cell>
          <cell r="GX128">
            <v>58963600</v>
          </cell>
          <cell r="HD128">
            <v>35720000</v>
          </cell>
          <cell r="HJ128">
            <v>-200000</v>
          </cell>
          <cell r="HQ128">
            <v>44792500</v>
          </cell>
          <cell r="HW128">
            <v>35591500</v>
          </cell>
        </row>
        <row r="129">
          <cell r="G129">
            <v>402004</v>
          </cell>
          <cell r="H129" t="str">
            <v xml:space="preserve">Pendapatan Jasa Sporing </v>
          </cell>
          <cell r="P129">
            <v>140000</v>
          </cell>
          <cell r="V129">
            <v>8618000</v>
          </cell>
          <cell r="AI129">
            <v>180000</v>
          </cell>
          <cell r="AO129">
            <v>6335000</v>
          </cell>
          <cell r="BB129">
            <v>20000</v>
          </cell>
          <cell r="BH129">
            <v>6050000</v>
          </cell>
          <cell r="BU129">
            <v>300000</v>
          </cell>
          <cell r="CA129">
            <v>5325000</v>
          </cell>
          <cell r="CN129">
            <v>300000</v>
          </cell>
          <cell r="CT129">
            <v>4690000</v>
          </cell>
          <cell r="DG129">
            <v>215000</v>
          </cell>
          <cell r="DM129">
            <v>5790000</v>
          </cell>
          <cell r="DZ129">
            <v>20000</v>
          </cell>
          <cell r="EF129">
            <v>6915000</v>
          </cell>
          <cell r="ES129">
            <v>60000</v>
          </cell>
          <cell r="EY129">
            <v>6600000</v>
          </cell>
          <cell r="FL129">
            <v>310000</v>
          </cell>
          <cell r="FR129">
            <v>5555000</v>
          </cell>
          <cell r="GE129">
            <v>215000</v>
          </cell>
          <cell r="GK129">
            <v>5775000</v>
          </cell>
          <cell r="GX129">
            <v>704000</v>
          </cell>
          <cell r="HD129">
            <v>6875000</v>
          </cell>
          <cell r="HQ129">
            <v>140000</v>
          </cell>
          <cell r="HW129">
            <v>8876000</v>
          </cell>
        </row>
        <row r="130">
          <cell r="G130">
            <v>402005</v>
          </cell>
          <cell r="H130" t="str">
            <v>Pendapatan Jasa AC</v>
          </cell>
          <cell r="P130">
            <v>270000</v>
          </cell>
          <cell r="V130">
            <v>2100000</v>
          </cell>
          <cell r="AO130">
            <v>1020000</v>
          </cell>
          <cell r="BB130">
            <v>385000</v>
          </cell>
          <cell r="BH130">
            <v>1735000</v>
          </cell>
          <cell r="BU130">
            <v>475000</v>
          </cell>
          <cell r="CA130">
            <v>1885000</v>
          </cell>
          <cell r="CN130">
            <v>1395000</v>
          </cell>
          <cell r="CT130">
            <v>1500000</v>
          </cell>
          <cell r="DG130">
            <v>150000</v>
          </cell>
          <cell r="DM130">
            <v>2475000</v>
          </cell>
          <cell r="DZ130">
            <v>225000</v>
          </cell>
          <cell r="EF130">
            <v>2235000</v>
          </cell>
          <cell r="ES130">
            <v>740000</v>
          </cell>
          <cell r="EY130">
            <v>2100000</v>
          </cell>
          <cell r="FL130">
            <v>746000</v>
          </cell>
          <cell r="FR130">
            <v>1270000</v>
          </cell>
          <cell r="GE130">
            <v>385000</v>
          </cell>
          <cell r="GK130">
            <v>1880000</v>
          </cell>
          <cell r="GX130">
            <v>460000</v>
          </cell>
          <cell r="HD130">
            <v>1697000</v>
          </cell>
          <cell r="HQ130">
            <v>220000</v>
          </cell>
          <cell r="HW130">
            <v>1207500</v>
          </cell>
        </row>
        <row r="131">
          <cell r="G131">
            <v>402006</v>
          </cell>
          <cell r="H131" t="str">
            <v>Pendapatan Jasa Variasi</v>
          </cell>
          <cell r="GX131">
            <v>0</v>
          </cell>
        </row>
        <row r="132">
          <cell r="G132">
            <v>402007</v>
          </cell>
          <cell r="H132" t="str">
            <v>Pendapatan Jasa Ganti Oli</v>
          </cell>
          <cell r="P132">
            <v>185000</v>
          </cell>
          <cell r="V132">
            <v>3983000</v>
          </cell>
          <cell r="AI132">
            <v>1957000</v>
          </cell>
          <cell r="AO132">
            <v>2466000</v>
          </cell>
          <cell r="BB132">
            <v>475000</v>
          </cell>
          <cell r="BH132">
            <v>2005000</v>
          </cell>
          <cell r="BU132">
            <v>220000</v>
          </cell>
          <cell r="CA132">
            <v>3725000</v>
          </cell>
          <cell r="CN132">
            <v>476000</v>
          </cell>
          <cell r="CT132">
            <v>2650000</v>
          </cell>
          <cell r="DG132">
            <v>800000</v>
          </cell>
          <cell r="DM132">
            <v>3742500</v>
          </cell>
          <cell r="DZ132">
            <v>295000</v>
          </cell>
          <cell r="EF132">
            <v>3287000</v>
          </cell>
          <cell r="ES132">
            <v>135000</v>
          </cell>
          <cell r="EY132">
            <v>3809500</v>
          </cell>
          <cell r="FL132">
            <v>240000</v>
          </cell>
          <cell r="FR132">
            <v>2705000</v>
          </cell>
          <cell r="GE132">
            <v>150000</v>
          </cell>
          <cell r="GK132">
            <v>3795000</v>
          </cell>
          <cell r="GX132">
            <v>288000</v>
          </cell>
          <cell r="HD132">
            <v>2967500</v>
          </cell>
          <cell r="HQ132">
            <v>300000</v>
          </cell>
          <cell r="HW132">
            <v>3064000</v>
          </cell>
        </row>
        <row r="133">
          <cell r="G133">
            <v>402008</v>
          </cell>
          <cell r="H133" t="str">
            <v>Pendapatan Jasa Cucian</v>
          </cell>
          <cell r="P133">
            <v>60000</v>
          </cell>
          <cell r="V133">
            <v>13215000</v>
          </cell>
          <cell r="AI133">
            <v>30000</v>
          </cell>
          <cell r="AO133">
            <v>9910000</v>
          </cell>
          <cell r="BB133">
            <v>30000</v>
          </cell>
          <cell r="BH133">
            <v>10785000</v>
          </cell>
          <cell r="BU133">
            <v>30000</v>
          </cell>
          <cell r="CA133">
            <v>13200000</v>
          </cell>
          <cell r="CT133">
            <v>12935000</v>
          </cell>
          <cell r="DG133">
            <v>30000</v>
          </cell>
          <cell r="DM133">
            <v>13155000</v>
          </cell>
          <cell r="DZ133">
            <v>30000</v>
          </cell>
          <cell r="EF133">
            <v>11295000</v>
          </cell>
          <cell r="EY133">
            <v>13335000</v>
          </cell>
          <cell r="FR133">
            <v>10390000</v>
          </cell>
          <cell r="GE133">
            <v>60000</v>
          </cell>
          <cell r="GK133">
            <v>11850000</v>
          </cell>
          <cell r="GX133">
            <v>90000</v>
          </cell>
          <cell r="HD133">
            <v>11190000</v>
          </cell>
          <cell r="HW133">
            <v>13455000</v>
          </cell>
        </row>
        <row r="134">
          <cell r="G134">
            <v>402009</v>
          </cell>
          <cell r="H134" t="str">
            <v>Pendapatan Jasa Salon</v>
          </cell>
          <cell r="P134">
            <v>350000</v>
          </cell>
          <cell r="V134">
            <v>3142000</v>
          </cell>
          <cell r="AO134">
            <v>3280000</v>
          </cell>
          <cell r="BH134">
            <v>2541000</v>
          </cell>
          <cell r="BU134">
            <v>45000</v>
          </cell>
          <cell r="CA134">
            <v>1332000</v>
          </cell>
          <cell r="CN134">
            <v>100000</v>
          </cell>
          <cell r="CT134">
            <v>1875004</v>
          </cell>
          <cell r="DM134">
            <v>2450000</v>
          </cell>
          <cell r="EF134">
            <v>4000000</v>
          </cell>
          <cell r="ES134">
            <v>25000</v>
          </cell>
          <cell r="EY134">
            <v>2530000</v>
          </cell>
          <cell r="FL134">
            <v>300000</v>
          </cell>
          <cell r="FR134">
            <v>1790000</v>
          </cell>
          <cell r="GK134">
            <v>2300000</v>
          </cell>
          <cell r="HD134">
            <v>1650000</v>
          </cell>
        </row>
        <row r="136">
          <cell r="G136">
            <v>450000</v>
          </cell>
          <cell r="H136" t="str">
            <v>RETUR &amp; POTONGAN PENJUALAN</v>
          </cell>
        </row>
        <row r="137">
          <cell r="G137">
            <v>450001</v>
          </cell>
          <cell r="H137" t="str">
            <v>Retur &amp; Potongan Toko</v>
          </cell>
          <cell r="AA137">
            <v>80000</v>
          </cell>
          <cell r="CY137">
            <v>145000</v>
          </cell>
          <cell r="FW137">
            <v>350000</v>
          </cell>
        </row>
        <row r="138">
          <cell r="G138">
            <v>450002</v>
          </cell>
          <cell r="H138" t="str">
            <v>Retur &amp; Potongan General Repair</v>
          </cell>
          <cell r="GP138">
            <v>250000</v>
          </cell>
          <cell r="HI138">
            <v>20000</v>
          </cell>
        </row>
        <row r="139">
          <cell r="G139">
            <v>450003</v>
          </cell>
          <cell r="H139" t="str">
            <v>Retur &amp; Potongan Body Repair</v>
          </cell>
        </row>
        <row r="140">
          <cell r="G140">
            <v>450004</v>
          </cell>
          <cell r="H140" t="str">
            <v>Retur &amp; Potongan Spooring</v>
          </cell>
        </row>
        <row r="141">
          <cell r="G141">
            <v>450005</v>
          </cell>
          <cell r="H141" t="str">
            <v>Retur &amp; Potongan AC</v>
          </cell>
        </row>
        <row r="142">
          <cell r="G142">
            <v>450006</v>
          </cell>
          <cell r="H142" t="str">
            <v>Retur &amp; Potongan Variasi</v>
          </cell>
        </row>
        <row r="143">
          <cell r="G143">
            <v>450007</v>
          </cell>
          <cell r="H143" t="str">
            <v>Retur &amp; Potongan Ganti Oli</v>
          </cell>
        </row>
        <row r="144">
          <cell r="G144">
            <v>450008</v>
          </cell>
          <cell r="H144" t="str">
            <v>Retur &amp; Potongan Cucian</v>
          </cell>
          <cell r="DR144">
            <v>30000</v>
          </cell>
        </row>
        <row r="145">
          <cell r="G145">
            <v>450009</v>
          </cell>
          <cell r="H145" t="str">
            <v>Retur &amp; Potongan Salon</v>
          </cell>
        </row>
        <row r="147">
          <cell r="G147">
            <v>500000</v>
          </cell>
          <cell r="H147" t="str">
            <v>COST OF GOODS SOLD</v>
          </cell>
        </row>
        <row r="148">
          <cell r="G148">
            <v>500001</v>
          </cell>
          <cell r="H148" t="str">
            <v>Unit.Toko</v>
          </cell>
        </row>
        <row r="149">
          <cell r="G149">
            <v>500002</v>
          </cell>
          <cell r="H149" t="str">
            <v>Unit.General Repair</v>
          </cell>
        </row>
        <row r="150">
          <cell r="G150">
            <v>500003</v>
          </cell>
          <cell r="H150" t="str">
            <v>Unit.Body Repair</v>
          </cell>
          <cell r="K150">
            <v>57045460</v>
          </cell>
          <cell r="AD150">
            <v>52456296</v>
          </cell>
          <cell r="AW150">
            <v>129320394</v>
          </cell>
          <cell r="BP150">
            <v>29831120</v>
          </cell>
          <cell r="CI150">
            <v>82928719</v>
          </cell>
          <cell r="DB150">
            <v>43570521</v>
          </cell>
          <cell r="DU150">
            <v>108194294</v>
          </cell>
          <cell r="EN150">
            <v>49815192</v>
          </cell>
          <cell r="FG150">
            <v>90186210</v>
          </cell>
          <cell r="FZ150">
            <v>67567623</v>
          </cell>
          <cell r="GS150">
            <v>108762694</v>
          </cell>
          <cell r="HL150">
            <v>63529861</v>
          </cell>
        </row>
        <row r="151">
          <cell r="G151">
            <v>500004</v>
          </cell>
          <cell r="H151" t="str">
            <v>Unit.Sporing Balancing</v>
          </cell>
        </row>
        <row r="152">
          <cell r="G152">
            <v>500005</v>
          </cell>
          <cell r="H152" t="str">
            <v>Unit.Ac</v>
          </cell>
        </row>
        <row r="153">
          <cell r="G153">
            <v>500006</v>
          </cell>
          <cell r="H153" t="str">
            <v>Unit.Variasi</v>
          </cell>
        </row>
        <row r="154">
          <cell r="G154">
            <v>500007</v>
          </cell>
          <cell r="H154" t="str">
            <v>Unit.Ganti Oli</v>
          </cell>
        </row>
        <row r="155">
          <cell r="G155">
            <v>500008</v>
          </cell>
          <cell r="H155" t="str">
            <v>Unit.Cucian</v>
          </cell>
        </row>
        <row r="156">
          <cell r="G156">
            <v>500009</v>
          </cell>
          <cell r="H156" t="str">
            <v>Unit.Salon</v>
          </cell>
        </row>
        <row r="158">
          <cell r="G158">
            <v>604000</v>
          </cell>
          <cell r="H158" t="str">
            <v>Usaha Toko</v>
          </cell>
        </row>
        <row r="159">
          <cell r="G159">
            <v>604001</v>
          </cell>
          <cell r="H159" t="str">
            <v>Gaji</v>
          </cell>
        </row>
        <row r="160">
          <cell r="G160">
            <v>604002</v>
          </cell>
          <cell r="H160" t="str">
            <v>Tunjangan makan</v>
          </cell>
        </row>
        <row r="161">
          <cell r="G161">
            <v>604003</v>
          </cell>
          <cell r="H161" t="str">
            <v>Lembur</v>
          </cell>
        </row>
        <row r="162">
          <cell r="G162">
            <v>604004</v>
          </cell>
          <cell r="H162" t="str">
            <v>THR</v>
          </cell>
        </row>
        <row r="163">
          <cell r="G163">
            <v>604005</v>
          </cell>
          <cell r="H163" t="str">
            <v>Astek</v>
          </cell>
        </row>
        <row r="164">
          <cell r="G164">
            <v>604006</v>
          </cell>
          <cell r="H164" t="str">
            <v>PPh pasal 21</v>
          </cell>
        </row>
        <row r="165">
          <cell r="G165">
            <v>604007</v>
          </cell>
          <cell r="H165" t="str">
            <v>Telepon / Komunikasi</v>
          </cell>
        </row>
        <row r="166">
          <cell r="G166">
            <v>604008</v>
          </cell>
          <cell r="H166" t="str">
            <v>Listrik dan PDAM</v>
          </cell>
        </row>
        <row r="167">
          <cell r="G167">
            <v>604009</v>
          </cell>
          <cell r="H167" t="str">
            <v>Penyusutan</v>
          </cell>
        </row>
        <row r="168">
          <cell r="G168">
            <v>604010</v>
          </cell>
          <cell r="H168" t="str">
            <v>Kantong Plastik</v>
          </cell>
        </row>
        <row r="169">
          <cell r="G169">
            <v>604011</v>
          </cell>
          <cell r="H169" t="str">
            <v>Material / Consumable / ATK</v>
          </cell>
          <cell r="AT169">
            <v>64000</v>
          </cell>
          <cell r="IB169">
            <v>49500</v>
          </cell>
        </row>
        <row r="170">
          <cell r="G170">
            <v>604012</v>
          </cell>
          <cell r="H170" t="str">
            <v>Dinas luar / Perjalanan Dinas</v>
          </cell>
        </row>
        <row r="171">
          <cell r="G171">
            <v>604013</v>
          </cell>
          <cell r="H171" t="str">
            <v>Jasa Pihak ketiga</v>
          </cell>
        </row>
        <row r="172">
          <cell r="G172">
            <v>604014</v>
          </cell>
          <cell r="H172" t="str">
            <v>BBM</v>
          </cell>
        </row>
        <row r="173">
          <cell r="G173">
            <v>604015</v>
          </cell>
          <cell r="H173" t="str">
            <v>Perawatan Peralatan / Kendaraan</v>
          </cell>
        </row>
        <row r="174">
          <cell r="G174">
            <v>604016</v>
          </cell>
          <cell r="H174" t="str">
            <v>Insentif</v>
          </cell>
        </row>
        <row r="175">
          <cell r="G175">
            <v>604017</v>
          </cell>
          <cell r="H175" t="str">
            <v>Upah Borongan</v>
          </cell>
        </row>
        <row r="176">
          <cell r="G176">
            <v>604018</v>
          </cell>
          <cell r="H176" t="str">
            <v>Cuci Foto Kendaraan</v>
          </cell>
        </row>
        <row r="177">
          <cell r="G177">
            <v>604019</v>
          </cell>
          <cell r="H177" t="str">
            <v>Derek Kendaraan</v>
          </cell>
        </row>
        <row r="178">
          <cell r="G178">
            <v>604020</v>
          </cell>
          <cell r="H178" t="str">
            <v>Solar Oven dan Dempul</v>
          </cell>
        </row>
        <row r="179">
          <cell r="G179">
            <v>604021</v>
          </cell>
          <cell r="H179" t="str">
            <v>Jamuan dan Entertaiment</v>
          </cell>
        </row>
        <row r="180">
          <cell r="G180">
            <v>604022</v>
          </cell>
          <cell r="H180" t="str">
            <v>Restribusi dan Parkir</v>
          </cell>
        </row>
        <row r="181">
          <cell r="G181">
            <v>604023</v>
          </cell>
          <cell r="H181" t="str">
            <v>Perizinan</v>
          </cell>
        </row>
        <row r="182">
          <cell r="G182">
            <v>604024</v>
          </cell>
          <cell r="H182" t="str">
            <v>Keamanan dan Kebersihan</v>
          </cell>
        </row>
        <row r="183">
          <cell r="G183">
            <v>604025</v>
          </cell>
          <cell r="H183" t="str">
            <v>Expedisi</v>
          </cell>
        </row>
        <row r="184">
          <cell r="G184">
            <v>604026</v>
          </cell>
          <cell r="H184" t="str">
            <v>Collections</v>
          </cell>
        </row>
        <row r="185">
          <cell r="G185">
            <v>604027</v>
          </cell>
          <cell r="H185" t="str">
            <v>Rumah Tangga / Konsumsi</v>
          </cell>
        </row>
        <row r="186">
          <cell r="G186">
            <v>604028</v>
          </cell>
          <cell r="H186" t="str">
            <v>Berobat Karyawan</v>
          </cell>
        </row>
        <row r="187">
          <cell r="G187">
            <v>604029</v>
          </cell>
          <cell r="H187" t="str">
            <v>Sumbangan</v>
          </cell>
        </row>
        <row r="188">
          <cell r="G188">
            <v>604030</v>
          </cell>
          <cell r="H188" t="str">
            <v>Tunjangan Duka dan Nikah</v>
          </cell>
        </row>
        <row r="189">
          <cell r="G189">
            <v>604031</v>
          </cell>
          <cell r="H189" t="str">
            <v>Seragam Kerja</v>
          </cell>
        </row>
        <row r="190">
          <cell r="G190">
            <v>604032</v>
          </cell>
          <cell r="H190" t="str">
            <v>Clearance Karyawan</v>
          </cell>
        </row>
        <row r="191">
          <cell r="G191">
            <v>604033</v>
          </cell>
          <cell r="H191" t="str">
            <v>Pendidikan dan Pelatihan</v>
          </cell>
        </row>
        <row r="192">
          <cell r="G192">
            <v>604034</v>
          </cell>
          <cell r="H192" t="str">
            <v>Auditor</v>
          </cell>
        </row>
        <row r="193">
          <cell r="G193">
            <v>604035</v>
          </cell>
          <cell r="H193" t="str">
            <v>Iklan / Promosi</v>
          </cell>
        </row>
        <row r="194">
          <cell r="G194">
            <v>604036</v>
          </cell>
          <cell r="H194" t="str">
            <v>Gaji Karyawan Harian</v>
          </cell>
        </row>
        <row r="195">
          <cell r="G195">
            <v>604037</v>
          </cell>
          <cell r="H195" t="str">
            <v>Lain - Lain</v>
          </cell>
        </row>
        <row r="196">
          <cell r="G196">
            <v>604038</v>
          </cell>
          <cell r="H196" t="str">
            <v>Perlengkapan Kantor</v>
          </cell>
        </row>
        <row r="197">
          <cell r="G197">
            <v>604039</v>
          </cell>
          <cell r="H197" t="str">
            <v>Meterai / Benda Pos</v>
          </cell>
        </row>
        <row r="199">
          <cell r="G199">
            <v>605000</v>
          </cell>
          <cell r="H199" t="str">
            <v>General Repair</v>
          </cell>
        </row>
        <row r="200">
          <cell r="G200">
            <v>605001</v>
          </cell>
          <cell r="H200" t="str">
            <v>Gaji</v>
          </cell>
        </row>
        <row r="201">
          <cell r="G201">
            <v>605002</v>
          </cell>
          <cell r="H201" t="str">
            <v>Tunjangan makan</v>
          </cell>
        </row>
        <row r="202">
          <cell r="G202">
            <v>605003</v>
          </cell>
          <cell r="H202" t="str">
            <v>Lembur</v>
          </cell>
        </row>
        <row r="203">
          <cell r="G203">
            <v>605004</v>
          </cell>
          <cell r="H203" t="str">
            <v>THR</v>
          </cell>
        </row>
        <row r="204">
          <cell r="G204">
            <v>605005</v>
          </cell>
          <cell r="H204" t="str">
            <v>Astek</v>
          </cell>
        </row>
        <row r="205">
          <cell r="G205">
            <v>605006</v>
          </cell>
          <cell r="H205" t="str">
            <v>PPh pasal 21</v>
          </cell>
        </row>
        <row r="206">
          <cell r="G206">
            <v>605007</v>
          </cell>
          <cell r="H206" t="str">
            <v>Telepon / Komunikasi</v>
          </cell>
        </row>
        <row r="207">
          <cell r="G207">
            <v>605008</v>
          </cell>
          <cell r="H207" t="str">
            <v>Listrik dan PDAM</v>
          </cell>
        </row>
        <row r="208">
          <cell r="G208">
            <v>605009</v>
          </cell>
          <cell r="H208" t="str">
            <v>Penyusutan</v>
          </cell>
        </row>
        <row r="209">
          <cell r="G209">
            <v>605010</v>
          </cell>
          <cell r="H209" t="str">
            <v>Kantong Plastik</v>
          </cell>
        </row>
        <row r="210">
          <cell r="G210">
            <v>605011</v>
          </cell>
          <cell r="H210" t="str">
            <v>Material / Consumable / ATK</v>
          </cell>
          <cell r="AA210">
            <v>385000</v>
          </cell>
          <cell r="AT210">
            <v>329500</v>
          </cell>
          <cell r="BM210">
            <v>358500</v>
          </cell>
          <cell r="CF210">
            <v>344400</v>
          </cell>
          <cell r="CY210">
            <v>223800</v>
          </cell>
          <cell r="DR210">
            <v>26000</v>
          </cell>
          <cell r="EK210">
            <v>71500</v>
          </cell>
          <cell r="FD210">
            <v>199500</v>
          </cell>
          <cell r="FW210">
            <v>129000</v>
          </cell>
          <cell r="GP210">
            <v>619000</v>
          </cell>
          <cell r="HI210">
            <v>129100</v>
          </cell>
          <cell r="IB210">
            <v>699000</v>
          </cell>
        </row>
        <row r="211">
          <cell r="G211">
            <v>605012</v>
          </cell>
          <cell r="H211" t="str">
            <v>Dinas luar / Perjalanan Dinas</v>
          </cell>
          <cell r="AA211">
            <v>0</v>
          </cell>
          <cell r="CY211">
            <v>450000</v>
          </cell>
        </row>
        <row r="212">
          <cell r="G212">
            <v>605013</v>
          </cell>
          <cell r="H212" t="str">
            <v>Jasa Pihak ketiga</v>
          </cell>
          <cell r="AA212">
            <v>975000</v>
          </cell>
          <cell r="AT212">
            <v>1350000</v>
          </cell>
          <cell r="BM212">
            <v>2175000</v>
          </cell>
          <cell r="CF212">
            <v>660000</v>
          </cell>
          <cell r="CY212">
            <v>1792000</v>
          </cell>
          <cell r="DR212">
            <v>1978000</v>
          </cell>
          <cell r="EK212">
            <v>1519000</v>
          </cell>
          <cell r="FD212">
            <v>5705000</v>
          </cell>
          <cell r="FW212">
            <v>4200000</v>
          </cell>
          <cell r="GP212">
            <v>5030000</v>
          </cell>
          <cell r="HI212">
            <v>2595000</v>
          </cell>
          <cell r="IB212">
            <v>6477000</v>
          </cell>
        </row>
        <row r="213">
          <cell r="G213">
            <v>605014</v>
          </cell>
          <cell r="H213" t="str">
            <v>BBM</v>
          </cell>
          <cell r="BM213">
            <v>50000</v>
          </cell>
        </row>
        <row r="214">
          <cell r="G214">
            <v>605015</v>
          </cell>
          <cell r="H214" t="str">
            <v>Perawatan Peralatan / Kendaraan</v>
          </cell>
          <cell r="DR214">
            <v>50000</v>
          </cell>
        </row>
        <row r="215">
          <cell r="G215">
            <v>605016</v>
          </cell>
          <cell r="H215" t="str">
            <v>Insentif</v>
          </cell>
        </row>
        <row r="216">
          <cell r="G216">
            <v>605017</v>
          </cell>
          <cell r="H216" t="str">
            <v>Upah Borongan</v>
          </cell>
        </row>
        <row r="217">
          <cell r="G217">
            <v>605018</v>
          </cell>
          <cell r="H217" t="str">
            <v>Cuci Foto Kendaraan</v>
          </cell>
        </row>
        <row r="218">
          <cell r="G218">
            <v>605019</v>
          </cell>
          <cell r="H218" t="str">
            <v>Derek Kendaraan</v>
          </cell>
        </row>
        <row r="219">
          <cell r="G219">
            <v>605020</v>
          </cell>
          <cell r="H219" t="str">
            <v>Solar Oven dan Dempul</v>
          </cell>
        </row>
        <row r="220">
          <cell r="G220">
            <v>605021</v>
          </cell>
          <cell r="H220" t="str">
            <v>Jamuan dan Entertaiment</v>
          </cell>
        </row>
        <row r="221">
          <cell r="G221">
            <v>605022</v>
          </cell>
          <cell r="H221" t="str">
            <v>Restribusi dan Parkir</v>
          </cell>
        </row>
        <row r="222">
          <cell r="G222">
            <v>605023</v>
          </cell>
          <cell r="H222" t="str">
            <v>Perizinan</v>
          </cell>
        </row>
        <row r="223">
          <cell r="G223">
            <v>605024</v>
          </cell>
          <cell r="H223" t="str">
            <v>Keamanan dan Kebersihan</v>
          </cell>
        </row>
        <row r="224">
          <cell r="G224">
            <v>605025</v>
          </cell>
          <cell r="H224" t="str">
            <v>Expedisi</v>
          </cell>
        </row>
        <row r="225">
          <cell r="G225">
            <v>605026</v>
          </cell>
          <cell r="H225" t="str">
            <v>Collections</v>
          </cell>
        </row>
        <row r="226">
          <cell r="G226">
            <v>605027</v>
          </cell>
          <cell r="H226" t="str">
            <v>Rumah Tangga / Konsumsi</v>
          </cell>
        </row>
        <row r="227">
          <cell r="G227">
            <v>605028</v>
          </cell>
          <cell r="H227" t="str">
            <v>Berobat Karyawan</v>
          </cell>
        </row>
        <row r="228">
          <cell r="G228">
            <v>605029</v>
          </cell>
          <cell r="H228" t="str">
            <v>Sumbangan</v>
          </cell>
        </row>
        <row r="229">
          <cell r="G229">
            <v>605030</v>
          </cell>
          <cell r="H229" t="str">
            <v>Tunjangan Duka dan Nikah</v>
          </cell>
        </row>
        <row r="230">
          <cell r="G230">
            <v>605031</v>
          </cell>
          <cell r="H230" t="str">
            <v>Seragam Kerja</v>
          </cell>
        </row>
        <row r="231">
          <cell r="G231">
            <v>605032</v>
          </cell>
          <cell r="H231" t="str">
            <v>Clearance Karyawan</v>
          </cell>
        </row>
        <row r="232">
          <cell r="G232">
            <v>605033</v>
          </cell>
          <cell r="H232" t="str">
            <v>Pendidikan dan Pelatihan</v>
          </cell>
        </row>
        <row r="233">
          <cell r="G233">
            <v>605034</v>
          </cell>
          <cell r="H233" t="str">
            <v>Auditor</v>
          </cell>
        </row>
        <row r="234">
          <cell r="G234">
            <v>605035</v>
          </cell>
          <cell r="H234" t="str">
            <v>Iklan / Promosi</v>
          </cell>
        </row>
        <row r="235">
          <cell r="G235">
            <v>605036</v>
          </cell>
          <cell r="H235" t="str">
            <v>Gaji Karyawan Harian</v>
          </cell>
        </row>
        <row r="236">
          <cell r="G236">
            <v>605037</v>
          </cell>
          <cell r="H236" t="str">
            <v>Lain - Lain</v>
          </cell>
        </row>
        <row r="237">
          <cell r="G237">
            <v>605038</v>
          </cell>
          <cell r="H237" t="str">
            <v>Perlengkapan Kantor</v>
          </cell>
        </row>
        <row r="238">
          <cell r="G238">
            <v>605039</v>
          </cell>
          <cell r="H238" t="str">
            <v>Meterai / Benda Pos</v>
          </cell>
        </row>
        <row r="240">
          <cell r="G240">
            <v>606000</v>
          </cell>
          <cell r="H240" t="str">
            <v>Body Repair</v>
          </cell>
        </row>
        <row r="241">
          <cell r="G241">
            <v>606001</v>
          </cell>
          <cell r="H241" t="str">
            <v>Gaji</v>
          </cell>
        </row>
        <row r="242">
          <cell r="G242">
            <v>606002</v>
          </cell>
          <cell r="H242" t="str">
            <v>Tunjangan makan</v>
          </cell>
        </row>
        <row r="243">
          <cell r="G243">
            <v>606003</v>
          </cell>
          <cell r="H243" t="str">
            <v>Lembur</v>
          </cell>
        </row>
        <row r="244">
          <cell r="G244">
            <v>606004</v>
          </cell>
          <cell r="H244" t="str">
            <v>THR</v>
          </cell>
        </row>
        <row r="245">
          <cell r="G245">
            <v>606005</v>
          </cell>
          <cell r="H245" t="str">
            <v>Astek</v>
          </cell>
        </row>
        <row r="246">
          <cell r="G246">
            <v>606006</v>
          </cell>
          <cell r="H246" t="str">
            <v>PPh pasal 21</v>
          </cell>
        </row>
        <row r="247">
          <cell r="G247">
            <v>606007</v>
          </cell>
          <cell r="H247" t="str">
            <v>Telepon / Komunikasi</v>
          </cell>
        </row>
        <row r="248">
          <cell r="G248">
            <v>606008</v>
          </cell>
          <cell r="H248" t="str">
            <v>Listrik dan PDAM</v>
          </cell>
        </row>
        <row r="249">
          <cell r="G249">
            <v>606009</v>
          </cell>
          <cell r="H249" t="str">
            <v>Penyusutan</v>
          </cell>
        </row>
        <row r="250">
          <cell r="G250">
            <v>606010</v>
          </cell>
          <cell r="H250" t="str">
            <v>Kantong Plastik</v>
          </cell>
          <cell r="IB250">
            <v>90000</v>
          </cell>
        </row>
        <row r="251">
          <cell r="G251">
            <v>606011</v>
          </cell>
          <cell r="H251" t="str">
            <v>Material / Consumable / ATK</v>
          </cell>
          <cell r="Q251">
            <v>52830928</v>
          </cell>
          <cell r="AA251">
            <v>82000</v>
          </cell>
          <cell r="AJ251">
            <v>59307727</v>
          </cell>
          <cell r="AT251">
            <v>308000</v>
          </cell>
          <cell r="BC251">
            <v>43906725</v>
          </cell>
          <cell r="BM251">
            <v>450000</v>
          </cell>
          <cell r="BV251">
            <v>48469304</v>
          </cell>
          <cell r="CF251">
            <v>91250</v>
          </cell>
          <cell r="CO251">
            <v>62404704</v>
          </cell>
          <cell r="CY251">
            <v>165300</v>
          </cell>
          <cell r="DH251">
            <v>37217655</v>
          </cell>
          <cell r="DR251">
            <v>392000</v>
          </cell>
          <cell r="EA251">
            <v>47038531</v>
          </cell>
          <cell r="EK251">
            <v>34000</v>
          </cell>
          <cell r="ET251">
            <v>110761219</v>
          </cell>
          <cell r="FD251">
            <v>170000</v>
          </cell>
          <cell r="FM251">
            <v>34292317</v>
          </cell>
          <cell r="FW251">
            <v>111500</v>
          </cell>
          <cell r="GF251">
            <v>38308463</v>
          </cell>
          <cell r="GP251">
            <v>710000</v>
          </cell>
          <cell r="GY251">
            <v>36958998</v>
          </cell>
          <cell r="HI251">
            <v>443000</v>
          </cell>
          <cell r="HR251">
            <v>42181110</v>
          </cell>
          <cell r="IB251">
            <v>210000</v>
          </cell>
        </row>
        <row r="252">
          <cell r="G252">
            <v>606012</v>
          </cell>
          <cell r="H252" t="str">
            <v>Dinas luar / Perjalanan Dinas</v>
          </cell>
        </row>
        <row r="253">
          <cell r="G253">
            <v>606013</v>
          </cell>
          <cell r="H253" t="str">
            <v>Jasa Pihak ketiga</v>
          </cell>
          <cell r="AA253">
            <v>10000</v>
          </cell>
          <cell r="AT253">
            <v>550000</v>
          </cell>
          <cell r="CY253">
            <v>555000</v>
          </cell>
          <cell r="FD253">
            <v>125000</v>
          </cell>
          <cell r="GP253">
            <v>2025000</v>
          </cell>
          <cell r="HI253">
            <v>1600000</v>
          </cell>
          <cell r="IB253">
            <v>3280000</v>
          </cell>
        </row>
        <row r="254">
          <cell r="G254">
            <v>606014</v>
          </cell>
          <cell r="H254" t="str">
            <v>BBM</v>
          </cell>
        </row>
        <row r="255">
          <cell r="G255">
            <v>606015</v>
          </cell>
          <cell r="H255" t="str">
            <v>Perawatan Peralatan / Kendaraan</v>
          </cell>
        </row>
        <row r="256">
          <cell r="G256">
            <v>606016</v>
          </cell>
          <cell r="H256" t="str">
            <v>Insentif</v>
          </cell>
        </row>
        <row r="257">
          <cell r="G257">
            <v>606017</v>
          </cell>
          <cell r="H257" t="str">
            <v>Upah Borongan</v>
          </cell>
        </row>
        <row r="258">
          <cell r="G258">
            <v>606018</v>
          </cell>
          <cell r="H258" t="str">
            <v>Cuci Foto Kendaraan</v>
          </cell>
        </row>
        <row r="259">
          <cell r="G259">
            <v>606019</v>
          </cell>
          <cell r="H259" t="str">
            <v>Derek Kendaraan</v>
          </cell>
          <cell r="CF259">
            <v>100000</v>
          </cell>
        </row>
        <row r="260">
          <cell r="G260">
            <v>606020</v>
          </cell>
          <cell r="H260" t="str">
            <v>Solar Oven dan Dempul</v>
          </cell>
          <cell r="AA260">
            <v>492000</v>
          </cell>
          <cell r="AT260">
            <v>492000</v>
          </cell>
          <cell r="BM260">
            <v>722000</v>
          </cell>
          <cell r="CF260">
            <v>272000</v>
          </cell>
          <cell r="CY260">
            <v>65000</v>
          </cell>
          <cell r="DR260">
            <v>71500</v>
          </cell>
          <cell r="EK260">
            <v>217000</v>
          </cell>
          <cell r="FD260">
            <v>136000</v>
          </cell>
          <cell r="FW260">
            <v>52000</v>
          </cell>
          <cell r="GP260">
            <v>78000</v>
          </cell>
          <cell r="HI260">
            <v>56000</v>
          </cell>
          <cell r="IB260">
            <v>389800</v>
          </cell>
        </row>
        <row r="261">
          <cell r="G261">
            <v>606021</v>
          </cell>
          <cell r="H261" t="str">
            <v>Jamuan dan Entertaiment</v>
          </cell>
        </row>
        <row r="262">
          <cell r="G262">
            <v>606022</v>
          </cell>
          <cell r="H262" t="str">
            <v>Restribusi dan Parkir</v>
          </cell>
        </row>
        <row r="263">
          <cell r="G263">
            <v>606023</v>
          </cell>
          <cell r="H263" t="str">
            <v>Perizinan</v>
          </cell>
        </row>
        <row r="264">
          <cell r="G264">
            <v>606024</v>
          </cell>
          <cell r="H264" t="str">
            <v>Keamanan dan Kebersihan</v>
          </cell>
        </row>
        <row r="265">
          <cell r="G265">
            <v>606025</v>
          </cell>
          <cell r="H265" t="str">
            <v>Expedisi</v>
          </cell>
        </row>
        <row r="266">
          <cell r="G266">
            <v>606026</v>
          </cell>
          <cell r="H266" t="str">
            <v>Collections</v>
          </cell>
        </row>
        <row r="267">
          <cell r="G267">
            <v>606027</v>
          </cell>
          <cell r="H267" t="str">
            <v>Rumah Tangga / Konsumsi</v>
          </cell>
        </row>
        <row r="268">
          <cell r="G268">
            <v>606028</v>
          </cell>
          <cell r="H268" t="str">
            <v>Berobat Karyawan</v>
          </cell>
        </row>
        <row r="269">
          <cell r="G269">
            <v>606029</v>
          </cell>
          <cell r="H269" t="str">
            <v>Sumbangan</v>
          </cell>
        </row>
        <row r="270">
          <cell r="G270">
            <v>606030</v>
          </cell>
          <cell r="H270" t="str">
            <v>Tunjangan Duka dan Nikah</v>
          </cell>
        </row>
        <row r="271">
          <cell r="G271">
            <v>606031</v>
          </cell>
          <cell r="H271" t="str">
            <v>Seragam Kerja</v>
          </cell>
        </row>
        <row r="272">
          <cell r="G272">
            <v>606032</v>
          </cell>
          <cell r="H272" t="str">
            <v>Clearance Karyawan</v>
          </cell>
        </row>
        <row r="273">
          <cell r="G273">
            <v>606033</v>
          </cell>
          <cell r="H273" t="str">
            <v>Pendidikan dan Pelatihan</v>
          </cell>
        </row>
        <row r="274">
          <cell r="G274">
            <v>606034</v>
          </cell>
          <cell r="H274" t="str">
            <v>Auditor</v>
          </cell>
        </row>
        <row r="275">
          <cell r="G275">
            <v>606035</v>
          </cell>
          <cell r="H275" t="str">
            <v>Iklan / Promosi</v>
          </cell>
        </row>
        <row r="276">
          <cell r="G276">
            <v>606036</v>
          </cell>
          <cell r="H276" t="str">
            <v>Gaji Karyawan Harian</v>
          </cell>
        </row>
        <row r="277">
          <cell r="G277">
            <v>606037</v>
          </cell>
          <cell r="H277" t="str">
            <v>Lain - Lain</v>
          </cell>
        </row>
        <row r="278">
          <cell r="G278">
            <v>606038</v>
          </cell>
          <cell r="H278" t="str">
            <v>Perlengkapan Kantor</v>
          </cell>
        </row>
        <row r="279">
          <cell r="G279">
            <v>606039</v>
          </cell>
          <cell r="H279" t="str">
            <v>Meterai / Benda Pos</v>
          </cell>
        </row>
        <row r="281">
          <cell r="G281">
            <v>607000</v>
          </cell>
          <cell r="H281" t="str">
            <v>Air Conditioner</v>
          </cell>
        </row>
        <row r="282">
          <cell r="G282">
            <v>607001</v>
          </cell>
          <cell r="H282" t="str">
            <v>Gaji</v>
          </cell>
        </row>
        <row r="283">
          <cell r="G283">
            <v>607002</v>
          </cell>
          <cell r="H283" t="str">
            <v>Tunjangan makan</v>
          </cell>
        </row>
        <row r="284">
          <cell r="G284">
            <v>607003</v>
          </cell>
          <cell r="H284" t="str">
            <v>Lembur</v>
          </cell>
        </row>
        <row r="285">
          <cell r="G285">
            <v>607004</v>
          </cell>
          <cell r="H285" t="str">
            <v>THR</v>
          </cell>
        </row>
        <row r="286">
          <cell r="G286">
            <v>607005</v>
          </cell>
          <cell r="H286" t="str">
            <v>Astek</v>
          </cell>
        </row>
        <row r="287">
          <cell r="G287">
            <v>607006</v>
          </cell>
          <cell r="H287" t="str">
            <v>PPh pasal 21</v>
          </cell>
        </row>
        <row r="288">
          <cell r="G288">
            <v>607007</v>
          </cell>
          <cell r="H288" t="str">
            <v>Telepon / Komunikasi</v>
          </cell>
        </row>
        <row r="289">
          <cell r="G289">
            <v>607008</v>
          </cell>
          <cell r="H289" t="str">
            <v>Listrik dan PDAM</v>
          </cell>
        </row>
        <row r="290">
          <cell r="G290">
            <v>607009</v>
          </cell>
          <cell r="H290" t="str">
            <v>Penyusutan</v>
          </cell>
        </row>
        <row r="291">
          <cell r="G291">
            <v>607010</v>
          </cell>
          <cell r="H291" t="str">
            <v>Kantong Plastik</v>
          </cell>
        </row>
        <row r="292">
          <cell r="G292">
            <v>607011</v>
          </cell>
          <cell r="H292" t="str">
            <v>Material / Consumable / ATK</v>
          </cell>
          <cell r="AA292">
            <v>32000</v>
          </cell>
          <cell r="CY292">
            <v>18000</v>
          </cell>
          <cell r="HI292">
            <v>2000</v>
          </cell>
        </row>
        <row r="293">
          <cell r="G293">
            <v>607012</v>
          </cell>
          <cell r="H293" t="str">
            <v>Dinas luar / Perjalanan Dinas</v>
          </cell>
        </row>
        <row r="294">
          <cell r="G294">
            <v>607013</v>
          </cell>
          <cell r="H294" t="str">
            <v>Jasa Pihak ketiga</v>
          </cell>
          <cell r="AA294">
            <v>50000</v>
          </cell>
          <cell r="CY294">
            <v>50000</v>
          </cell>
        </row>
        <row r="295">
          <cell r="G295">
            <v>607014</v>
          </cell>
          <cell r="H295" t="str">
            <v>BBM</v>
          </cell>
        </row>
        <row r="296">
          <cell r="G296">
            <v>607015</v>
          </cell>
          <cell r="H296" t="str">
            <v>Perawatan Peralatan / Kendaraan</v>
          </cell>
        </row>
        <row r="297">
          <cell r="G297">
            <v>607016</v>
          </cell>
          <cell r="H297" t="str">
            <v>Insentif</v>
          </cell>
        </row>
        <row r="298">
          <cell r="G298">
            <v>607017</v>
          </cell>
          <cell r="H298" t="str">
            <v>Upah Borongan</v>
          </cell>
        </row>
        <row r="299">
          <cell r="G299">
            <v>607018</v>
          </cell>
          <cell r="H299" t="str">
            <v>Cuci Foto Kendaraan</v>
          </cell>
        </row>
        <row r="300">
          <cell r="G300">
            <v>607019</v>
          </cell>
          <cell r="H300" t="str">
            <v>Derek Kendaraan</v>
          </cell>
        </row>
        <row r="301">
          <cell r="G301">
            <v>607020</v>
          </cell>
          <cell r="H301" t="str">
            <v>Solar Oven dan Dempul</v>
          </cell>
        </row>
        <row r="302">
          <cell r="G302">
            <v>607021</v>
          </cell>
          <cell r="H302" t="str">
            <v>Jamuan dan Entertaiment</v>
          </cell>
        </row>
        <row r="303">
          <cell r="G303">
            <v>607022</v>
          </cell>
          <cell r="H303" t="str">
            <v>Restribusi dan Parkir</v>
          </cell>
        </row>
        <row r="304">
          <cell r="G304">
            <v>607023</v>
          </cell>
          <cell r="H304" t="str">
            <v>Perizinan</v>
          </cell>
        </row>
        <row r="305">
          <cell r="G305">
            <v>607024</v>
          </cell>
          <cell r="H305" t="str">
            <v>Keamanan dan Kebersihan</v>
          </cell>
        </row>
        <row r="306">
          <cell r="G306">
            <v>607025</v>
          </cell>
          <cell r="H306" t="str">
            <v>Expedisi</v>
          </cell>
        </row>
        <row r="307">
          <cell r="G307">
            <v>607026</v>
          </cell>
          <cell r="H307" t="str">
            <v>Collections</v>
          </cell>
        </row>
        <row r="308">
          <cell r="G308">
            <v>607027</v>
          </cell>
          <cell r="H308" t="str">
            <v>Rumah Tangga / Konsumsi</v>
          </cell>
        </row>
        <row r="309">
          <cell r="G309">
            <v>607028</v>
          </cell>
          <cell r="H309" t="str">
            <v>Berobat Karyawan</v>
          </cell>
        </row>
        <row r="310">
          <cell r="G310">
            <v>607029</v>
          </cell>
          <cell r="H310" t="str">
            <v>Sumbangan</v>
          </cell>
        </row>
        <row r="311">
          <cell r="G311">
            <v>607030</v>
          </cell>
          <cell r="H311" t="str">
            <v>Tunjangan Duka dan Nikah</v>
          </cell>
        </row>
        <row r="312">
          <cell r="G312">
            <v>607031</v>
          </cell>
          <cell r="H312" t="str">
            <v>Seragam Kerja</v>
          </cell>
        </row>
        <row r="313">
          <cell r="G313">
            <v>607032</v>
          </cell>
          <cell r="H313" t="str">
            <v>Clearance Karyawan</v>
          </cell>
        </row>
        <row r="314">
          <cell r="G314">
            <v>607033</v>
          </cell>
          <cell r="H314" t="str">
            <v>Pendidikan dan Pelatihan</v>
          </cell>
        </row>
        <row r="315">
          <cell r="G315">
            <v>607034</v>
          </cell>
          <cell r="H315" t="str">
            <v>Auditor</v>
          </cell>
        </row>
        <row r="316">
          <cell r="G316">
            <v>607035</v>
          </cell>
          <cell r="H316" t="str">
            <v>Iklan / Promosi</v>
          </cell>
        </row>
        <row r="317">
          <cell r="G317">
            <v>607036</v>
          </cell>
          <cell r="H317" t="str">
            <v>Gaji Karyawan Harian</v>
          </cell>
        </row>
        <row r="318">
          <cell r="G318">
            <v>607037</v>
          </cell>
          <cell r="H318" t="str">
            <v>Lain - Lain</v>
          </cell>
        </row>
        <row r="319">
          <cell r="G319">
            <v>607038</v>
          </cell>
          <cell r="H319" t="str">
            <v>Perlengkapan Kantor</v>
          </cell>
        </row>
        <row r="320">
          <cell r="G320">
            <v>607039</v>
          </cell>
          <cell r="H320" t="str">
            <v>Meterai / Benda Pos</v>
          </cell>
        </row>
        <row r="322">
          <cell r="G322">
            <v>608000</v>
          </cell>
          <cell r="H322" t="str">
            <v>Variasi</v>
          </cell>
        </row>
        <row r="323">
          <cell r="G323">
            <v>608001</v>
          </cell>
          <cell r="H323" t="str">
            <v>Gaji</v>
          </cell>
        </row>
        <row r="324">
          <cell r="G324">
            <v>608002</v>
          </cell>
          <cell r="H324" t="str">
            <v>Tunjangan makan</v>
          </cell>
        </row>
        <row r="325">
          <cell r="G325">
            <v>608003</v>
          </cell>
          <cell r="H325" t="str">
            <v>Lembur</v>
          </cell>
        </row>
        <row r="326">
          <cell r="G326">
            <v>608004</v>
          </cell>
          <cell r="H326" t="str">
            <v>THR</v>
          </cell>
        </row>
        <row r="327">
          <cell r="G327">
            <v>608005</v>
          </cell>
          <cell r="H327" t="str">
            <v>Astek</v>
          </cell>
        </row>
        <row r="328">
          <cell r="G328">
            <v>608006</v>
          </cell>
          <cell r="H328" t="str">
            <v>PPh pasal 21</v>
          </cell>
        </row>
        <row r="329">
          <cell r="G329">
            <v>608007</v>
          </cell>
          <cell r="H329" t="str">
            <v>Telepon / Komunikasi</v>
          </cell>
        </row>
        <row r="330">
          <cell r="G330">
            <v>608008</v>
          </cell>
          <cell r="H330" t="str">
            <v>Listrik dan PDAM</v>
          </cell>
        </row>
        <row r="331">
          <cell r="G331">
            <v>608009</v>
          </cell>
          <cell r="H331" t="str">
            <v>Penyusutan</v>
          </cell>
        </row>
        <row r="332">
          <cell r="G332">
            <v>608010</v>
          </cell>
          <cell r="H332" t="str">
            <v>Kantong Plastik</v>
          </cell>
        </row>
        <row r="333">
          <cell r="G333">
            <v>608011</v>
          </cell>
          <cell r="H333" t="str">
            <v>Material / Consumable / ATK</v>
          </cell>
        </row>
        <row r="334">
          <cell r="G334">
            <v>608012</v>
          </cell>
          <cell r="H334" t="str">
            <v>Dinas luar / Perjalanan Dinas</v>
          </cell>
        </row>
        <row r="335">
          <cell r="G335">
            <v>608013</v>
          </cell>
          <cell r="H335" t="str">
            <v>Jasa Pihak ketiga</v>
          </cell>
        </row>
        <row r="336">
          <cell r="G336">
            <v>608014</v>
          </cell>
          <cell r="H336" t="str">
            <v>BBM</v>
          </cell>
        </row>
        <row r="337">
          <cell r="G337">
            <v>608015</v>
          </cell>
          <cell r="H337" t="str">
            <v>Perawatan Peralatan / Kendaraan</v>
          </cell>
        </row>
        <row r="338">
          <cell r="G338">
            <v>608016</v>
          </cell>
          <cell r="H338" t="str">
            <v>Insentif</v>
          </cell>
        </row>
        <row r="339">
          <cell r="G339">
            <v>608017</v>
          </cell>
          <cell r="H339" t="str">
            <v>Upah Borongan</v>
          </cell>
        </row>
        <row r="340">
          <cell r="G340">
            <v>608018</v>
          </cell>
          <cell r="H340" t="str">
            <v>Cuci Foto Kendaraan</v>
          </cell>
        </row>
        <row r="341">
          <cell r="G341">
            <v>608019</v>
          </cell>
          <cell r="H341" t="str">
            <v>Derek Kendaraan</v>
          </cell>
        </row>
        <row r="342">
          <cell r="G342">
            <v>608020</v>
          </cell>
          <cell r="H342" t="str">
            <v>Solar Oven dan Dempul</v>
          </cell>
        </row>
        <row r="343">
          <cell r="G343">
            <v>608021</v>
          </cell>
          <cell r="H343" t="str">
            <v>Jamuan dan Entertaiment</v>
          </cell>
        </row>
        <row r="344">
          <cell r="G344">
            <v>608022</v>
          </cell>
          <cell r="H344" t="str">
            <v>Restribusi dan Parkir</v>
          </cell>
        </row>
        <row r="345">
          <cell r="G345">
            <v>608023</v>
          </cell>
          <cell r="H345" t="str">
            <v>Perizinan</v>
          </cell>
        </row>
        <row r="346">
          <cell r="G346">
            <v>608024</v>
          </cell>
          <cell r="H346" t="str">
            <v>Keamanan dan Kebersihan</v>
          </cell>
        </row>
        <row r="347">
          <cell r="G347">
            <v>608025</v>
          </cell>
          <cell r="H347" t="str">
            <v>Expedisi</v>
          </cell>
        </row>
        <row r="348">
          <cell r="G348">
            <v>608026</v>
          </cell>
          <cell r="H348" t="str">
            <v>Collections</v>
          </cell>
        </row>
        <row r="349">
          <cell r="G349">
            <v>608027</v>
          </cell>
          <cell r="H349" t="str">
            <v>Rumah Tangga / Konsumsi</v>
          </cell>
        </row>
        <row r="350">
          <cell r="G350">
            <v>608028</v>
          </cell>
          <cell r="H350" t="str">
            <v>Berobat Karyawan</v>
          </cell>
        </row>
        <row r="351">
          <cell r="G351">
            <v>608029</v>
          </cell>
          <cell r="H351" t="str">
            <v>Sumbangan</v>
          </cell>
        </row>
        <row r="352">
          <cell r="G352">
            <v>608030</v>
          </cell>
          <cell r="H352" t="str">
            <v>Tunjangan Duka dan Nikah</v>
          </cell>
        </row>
        <row r="353">
          <cell r="G353">
            <v>608031</v>
          </cell>
          <cell r="H353" t="str">
            <v>Seragam Kerja</v>
          </cell>
        </row>
        <row r="354">
          <cell r="G354">
            <v>608032</v>
          </cell>
          <cell r="H354" t="str">
            <v>Clearance Karyawan</v>
          </cell>
        </row>
        <row r="355">
          <cell r="G355">
            <v>608033</v>
          </cell>
          <cell r="H355" t="str">
            <v>Pendidikan dan Pelatihan</v>
          </cell>
        </row>
        <row r="356">
          <cell r="G356">
            <v>608034</v>
          </cell>
          <cell r="H356" t="str">
            <v>Auditor</v>
          </cell>
        </row>
        <row r="357">
          <cell r="G357">
            <v>608035</v>
          </cell>
          <cell r="H357" t="str">
            <v>Iklan / Promosi</v>
          </cell>
        </row>
        <row r="358">
          <cell r="G358">
            <v>608036</v>
          </cell>
          <cell r="H358" t="str">
            <v>Gaji Karyawan Harian</v>
          </cell>
        </row>
        <row r="359">
          <cell r="G359">
            <v>608037</v>
          </cell>
          <cell r="H359" t="str">
            <v>Lain - Lain</v>
          </cell>
        </row>
        <row r="360">
          <cell r="G360">
            <v>608038</v>
          </cell>
          <cell r="H360" t="str">
            <v>Perlengkapan Kantor</v>
          </cell>
        </row>
        <row r="361">
          <cell r="G361">
            <v>608039</v>
          </cell>
          <cell r="H361" t="str">
            <v>Meterai / Benda Pos</v>
          </cell>
        </row>
        <row r="363">
          <cell r="G363">
            <v>609000</v>
          </cell>
          <cell r="H363" t="str">
            <v>Ganti Oli</v>
          </cell>
        </row>
        <row r="364">
          <cell r="G364">
            <v>609001</v>
          </cell>
          <cell r="H364" t="str">
            <v>Gaji</v>
          </cell>
        </row>
        <row r="365">
          <cell r="G365">
            <v>609002</v>
          </cell>
          <cell r="H365" t="str">
            <v>Tunjangan makan</v>
          </cell>
        </row>
        <row r="366">
          <cell r="G366">
            <v>609003</v>
          </cell>
          <cell r="H366" t="str">
            <v>Lembur</v>
          </cell>
        </row>
        <row r="367">
          <cell r="G367">
            <v>609004</v>
          </cell>
          <cell r="H367" t="str">
            <v>THR</v>
          </cell>
        </row>
        <row r="368">
          <cell r="G368">
            <v>609005</v>
          </cell>
          <cell r="H368" t="str">
            <v>Astek</v>
          </cell>
        </row>
        <row r="369">
          <cell r="G369">
            <v>609006</v>
          </cell>
          <cell r="H369" t="str">
            <v>PPh pasal 21</v>
          </cell>
        </row>
        <row r="370">
          <cell r="G370">
            <v>609007</v>
          </cell>
          <cell r="H370" t="str">
            <v>Telepon / Komunikasi</v>
          </cell>
        </row>
        <row r="371">
          <cell r="G371">
            <v>609008</v>
          </cell>
          <cell r="H371" t="str">
            <v>Listrik dan PDAM</v>
          </cell>
        </row>
        <row r="372">
          <cell r="G372">
            <v>609009</v>
          </cell>
          <cell r="H372" t="str">
            <v>Penyusutan</v>
          </cell>
        </row>
        <row r="373">
          <cell r="G373">
            <v>609010</v>
          </cell>
          <cell r="H373" t="str">
            <v>Kantong Plastik</v>
          </cell>
        </row>
        <row r="374">
          <cell r="G374">
            <v>609011</v>
          </cell>
          <cell r="H374" t="str">
            <v>Material / Consumable / ATK</v>
          </cell>
          <cell r="DR374">
            <v>375000</v>
          </cell>
        </row>
        <row r="375">
          <cell r="G375">
            <v>609012</v>
          </cell>
          <cell r="H375" t="str">
            <v>Dinas luar / Perjalanan Dinas</v>
          </cell>
        </row>
        <row r="376">
          <cell r="G376">
            <v>609013</v>
          </cell>
          <cell r="H376" t="str">
            <v>Jasa Pihak ketiga</v>
          </cell>
        </row>
        <row r="377">
          <cell r="G377">
            <v>609014</v>
          </cell>
          <cell r="H377" t="str">
            <v>BBM</v>
          </cell>
        </row>
        <row r="378">
          <cell r="G378">
            <v>609015</v>
          </cell>
          <cell r="H378" t="str">
            <v>Perawatan Peralatan / Kendaraan</v>
          </cell>
        </row>
        <row r="379">
          <cell r="G379">
            <v>609016</v>
          </cell>
          <cell r="H379" t="str">
            <v>Insentif</v>
          </cell>
        </row>
        <row r="380">
          <cell r="G380">
            <v>609017</v>
          </cell>
          <cell r="H380" t="str">
            <v>Upah Borongan</v>
          </cell>
        </row>
        <row r="381">
          <cell r="G381">
            <v>609018</v>
          </cell>
          <cell r="H381" t="str">
            <v>Cuci Foto Kendaraan</v>
          </cell>
        </row>
        <row r="382">
          <cell r="G382">
            <v>609019</v>
          </cell>
          <cell r="H382" t="str">
            <v>Derek Kendaraan</v>
          </cell>
        </row>
        <row r="383">
          <cell r="G383">
            <v>609020</v>
          </cell>
          <cell r="H383" t="str">
            <v>Solar Oven dan Dempul</v>
          </cell>
        </row>
        <row r="384">
          <cell r="G384">
            <v>609021</v>
          </cell>
          <cell r="H384" t="str">
            <v>Jamuan dan Entertaiment</v>
          </cell>
        </row>
        <row r="385">
          <cell r="G385">
            <v>609022</v>
          </cell>
          <cell r="H385" t="str">
            <v>Restribusi dan Parkir</v>
          </cell>
        </row>
        <row r="386">
          <cell r="G386">
            <v>609023</v>
          </cell>
          <cell r="H386" t="str">
            <v>Perizinan</v>
          </cell>
        </row>
        <row r="387">
          <cell r="G387">
            <v>609024</v>
          </cell>
          <cell r="H387" t="str">
            <v>Keamanan dan Kebersihan</v>
          </cell>
        </row>
        <row r="388">
          <cell r="G388">
            <v>609025</v>
          </cell>
          <cell r="H388" t="str">
            <v>Expedisi</v>
          </cell>
        </row>
        <row r="389">
          <cell r="G389">
            <v>609026</v>
          </cell>
          <cell r="H389" t="str">
            <v>Collections</v>
          </cell>
        </row>
        <row r="390">
          <cell r="G390">
            <v>609027</v>
          </cell>
          <cell r="H390" t="str">
            <v>Rumah Tangga / Konsumsi</v>
          </cell>
        </row>
        <row r="391">
          <cell r="G391">
            <v>609028</v>
          </cell>
          <cell r="H391" t="str">
            <v>Berobat Karyawan</v>
          </cell>
        </row>
        <row r="392">
          <cell r="G392">
            <v>609029</v>
          </cell>
          <cell r="H392" t="str">
            <v>Sumbangan</v>
          </cell>
        </row>
        <row r="393">
          <cell r="G393">
            <v>609030</v>
          </cell>
          <cell r="H393" t="str">
            <v>Tunjangan Duka dan Nikah</v>
          </cell>
        </row>
        <row r="394">
          <cell r="G394">
            <v>609031</v>
          </cell>
          <cell r="H394" t="str">
            <v>Seragam Kerja</v>
          </cell>
        </row>
        <row r="395">
          <cell r="G395">
            <v>609032</v>
          </cell>
          <cell r="H395" t="str">
            <v>Clearance Karyawan</v>
          </cell>
        </row>
        <row r="396">
          <cell r="G396">
            <v>609033</v>
          </cell>
          <cell r="H396" t="str">
            <v>Pendidikan dan Pelatihan</v>
          </cell>
        </row>
        <row r="397">
          <cell r="G397">
            <v>609034</v>
          </cell>
          <cell r="H397" t="str">
            <v>Auditor</v>
          </cell>
        </row>
        <row r="398">
          <cell r="G398">
            <v>609035</v>
          </cell>
          <cell r="H398" t="str">
            <v>Iklan / Promosi</v>
          </cell>
        </row>
        <row r="399">
          <cell r="G399">
            <v>609036</v>
          </cell>
          <cell r="H399" t="str">
            <v>Gaji Karyawan Harian</v>
          </cell>
        </row>
        <row r="400">
          <cell r="G400">
            <v>609037</v>
          </cell>
          <cell r="H400" t="str">
            <v>Lain - Lain</v>
          </cell>
        </row>
        <row r="401">
          <cell r="G401">
            <v>609038</v>
          </cell>
          <cell r="H401" t="str">
            <v>Perlengkapan Kantor</v>
          </cell>
        </row>
        <row r="402">
          <cell r="G402">
            <v>609039</v>
          </cell>
          <cell r="H402" t="str">
            <v>Meterai / Benda Pos</v>
          </cell>
        </row>
        <row r="404">
          <cell r="G404">
            <v>610000</v>
          </cell>
          <cell r="H404" t="str">
            <v>Cucian</v>
          </cell>
        </row>
        <row r="405">
          <cell r="G405">
            <v>610001</v>
          </cell>
          <cell r="H405" t="str">
            <v>Gaji</v>
          </cell>
        </row>
        <row r="406">
          <cell r="G406">
            <v>610002</v>
          </cell>
          <cell r="H406" t="str">
            <v>Tunjangan makan</v>
          </cell>
        </row>
        <row r="407">
          <cell r="G407">
            <v>610003</v>
          </cell>
          <cell r="H407" t="str">
            <v>Lembur</v>
          </cell>
        </row>
        <row r="408">
          <cell r="G408">
            <v>610004</v>
          </cell>
          <cell r="H408" t="str">
            <v>THR</v>
          </cell>
        </row>
        <row r="409">
          <cell r="G409">
            <v>610005</v>
          </cell>
          <cell r="H409" t="str">
            <v>Astek</v>
          </cell>
        </row>
        <row r="410">
          <cell r="G410">
            <v>610006</v>
          </cell>
          <cell r="H410" t="str">
            <v>PPh pasal 21</v>
          </cell>
        </row>
        <row r="411">
          <cell r="G411">
            <v>610007</v>
          </cell>
          <cell r="H411" t="str">
            <v>Telepon / Komunikasi</v>
          </cell>
        </row>
        <row r="412">
          <cell r="G412">
            <v>610008</v>
          </cell>
          <cell r="H412" t="str">
            <v>Listrik dan PDAM</v>
          </cell>
        </row>
        <row r="413">
          <cell r="G413">
            <v>610009</v>
          </cell>
          <cell r="H413" t="str">
            <v>Penyusutan</v>
          </cell>
        </row>
        <row r="414">
          <cell r="G414">
            <v>610010</v>
          </cell>
          <cell r="H414" t="str">
            <v>Kantong Plastik</v>
          </cell>
        </row>
        <row r="415">
          <cell r="G415">
            <v>610011</v>
          </cell>
          <cell r="H415" t="str">
            <v>Material / Consumable / ATK</v>
          </cell>
          <cell r="AA415">
            <v>288050</v>
          </cell>
          <cell r="AT415">
            <v>304400</v>
          </cell>
          <cell r="BM415">
            <v>180000</v>
          </cell>
          <cell r="CF415">
            <v>200000</v>
          </cell>
          <cell r="CY415">
            <v>318950</v>
          </cell>
          <cell r="DR415">
            <v>510125</v>
          </cell>
          <cell r="EK415">
            <v>447250</v>
          </cell>
          <cell r="FD415">
            <v>552075</v>
          </cell>
          <cell r="FW415">
            <v>482775</v>
          </cell>
          <cell r="GP415">
            <v>538000</v>
          </cell>
          <cell r="HI415">
            <v>584000</v>
          </cell>
          <cell r="IB415">
            <v>205000</v>
          </cell>
        </row>
        <row r="416">
          <cell r="G416">
            <v>610012</v>
          </cell>
          <cell r="H416" t="str">
            <v>Dinas luar / Perjalanan Dinas</v>
          </cell>
        </row>
        <row r="417">
          <cell r="G417">
            <v>610013</v>
          </cell>
          <cell r="H417" t="str">
            <v>Jasa Pihak ketiga</v>
          </cell>
        </row>
        <row r="418">
          <cell r="G418">
            <v>610014</v>
          </cell>
          <cell r="H418" t="str">
            <v>BBM</v>
          </cell>
        </row>
        <row r="419">
          <cell r="G419">
            <v>610015</v>
          </cell>
          <cell r="H419" t="str">
            <v>Perawatan Peralatan / Kendaraan</v>
          </cell>
        </row>
        <row r="420">
          <cell r="G420">
            <v>610016</v>
          </cell>
          <cell r="H420" t="str">
            <v>Insentif</v>
          </cell>
        </row>
        <row r="421">
          <cell r="G421">
            <v>610017</v>
          </cell>
          <cell r="H421" t="str">
            <v>Upah Borongan</v>
          </cell>
          <cell r="AA421">
            <v>1906300</v>
          </cell>
          <cell r="BM421">
            <v>100000</v>
          </cell>
        </row>
        <row r="422">
          <cell r="G422">
            <v>610018</v>
          </cell>
          <cell r="H422" t="str">
            <v>Cuci Foto Kendaraan</v>
          </cell>
        </row>
        <row r="423">
          <cell r="G423">
            <v>610019</v>
          </cell>
          <cell r="H423" t="str">
            <v>Derek Kendaraan</v>
          </cell>
        </row>
        <row r="424">
          <cell r="G424">
            <v>610020</v>
          </cell>
          <cell r="H424" t="str">
            <v>Solar Oven dan Dempul</v>
          </cell>
        </row>
        <row r="425">
          <cell r="G425">
            <v>610021</v>
          </cell>
          <cell r="H425" t="str">
            <v>Jamuan dan Entertaiment</v>
          </cell>
        </row>
        <row r="426">
          <cell r="G426">
            <v>610022</v>
          </cell>
          <cell r="H426" t="str">
            <v>Restribusi dan Parkir</v>
          </cell>
        </row>
        <row r="427">
          <cell r="G427">
            <v>610023</v>
          </cell>
          <cell r="H427" t="str">
            <v>Perizinan</v>
          </cell>
        </row>
        <row r="428">
          <cell r="G428">
            <v>610024</v>
          </cell>
          <cell r="H428" t="str">
            <v>Keamanan dan Kebersihan</v>
          </cell>
        </row>
        <row r="429">
          <cell r="G429">
            <v>610025</v>
          </cell>
          <cell r="H429" t="str">
            <v>Expedisi</v>
          </cell>
        </row>
        <row r="430">
          <cell r="G430">
            <v>610026</v>
          </cell>
          <cell r="H430" t="str">
            <v>Collections</v>
          </cell>
        </row>
        <row r="431">
          <cell r="G431">
            <v>610027</v>
          </cell>
          <cell r="H431" t="str">
            <v>Rumah Tangga / Konsumsi</v>
          </cell>
        </row>
        <row r="432">
          <cell r="G432">
            <v>610028</v>
          </cell>
          <cell r="H432" t="str">
            <v>Berobat Karyawan</v>
          </cell>
        </row>
        <row r="433">
          <cell r="G433">
            <v>610029</v>
          </cell>
          <cell r="H433" t="str">
            <v>Sumbangan</v>
          </cell>
        </row>
        <row r="434">
          <cell r="G434">
            <v>610030</v>
          </cell>
          <cell r="H434" t="str">
            <v>Tunjangan Duka dan Nikah</v>
          </cell>
        </row>
        <row r="435">
          <cell r="G435">
            <v>610031</v>
          </cell>
          <cell r="H435" t="str">
            <v>Seragam Kerja</v>
          </cell>
        </row>
        <row r="436">
          <cell r="G436">
            <v>610032</v>
          </cell>
          <cell r="H436" t="str">
            <v>Clearance Karyawan</v>
          </cell>
        </row>
        <row r="437">
          <cell r="G437">
            <v>610033</v>
          </cell>
          <cell r="H437" t="str">
            <v>Pendidikan dan Pelatihan</v>
          </cell>
        </row>
        <row r="438">
          <cell r="G438">
            <v>610034</v>
          </cell>
          <cell r="H438" t="str">
            <v>Auditor</v>
          </cell>
        </row>
        <row r="439">
          <cell r="G439">
            <v>610035</v>
          </cell>
          <cell r="H439" t="str">
            <v>Iklan / Promosi</v>
          </cell>
        </row>
        <row r="440">
          <cell r="G440">
            <v>610036</v>
          </cell>
          <cell r="H440" t="str">
            <v>Gaji Karyawan Harian</v>
          </cell>
        </row>
        <row r="441">
          <cell r="G441">
            <v>610037</v>
          </cell>
          <cell r="H441" t="str">
            <v>Lain - Lain</v>
          </cell>
        </row>
        <row r="442">
          <cell r="G442">
            <v>610038</v>
          </cell>
          <cell r="H442" t="str">
            <v>Perlengkapan Kantor</v>
          </cell>
        </row>
        <row r="443">
          <cell r="G443">
            <v>610039</v>
          </cell>
          <cell r="H443" t="str">
            <v>Meterai / Benda Pos</v>
          </cell>
        </row>
        <row r="445">
          <cell r="G445">
            <v>611000</v>
          </cell>
          <cell r="H445" t="str">
            <v>Salon</v>
          </cell>
        </row>
        <row r="446">
          <cell r="G446">
            <v>611001</v>
          </cell>
          <cell r="H446" t="str">
            <v>Gaji</v>
          </cell>
        </row>
        <row r="447">
          <cell r="G447">
            <v>611002</v>
          </cell>
          <cell r="H447" t="str">
            <v>Tunjangan makan</v>
          </cell>
        </row>
        <row r="448">
          <cell r="G448">
            <v>611003</v>
          </cell>
          <cell r="H448" t="str">
            <v>Lembur</v>
          </cell>
        </row>
        <row r="449">
          <cell r="G449">
            <v>611004</v>
          </cell>
          <cell r="H449" t="str">
            <v>THR</v>
          </cell>
        </row>
        <row r="450">
          <cell r="G450">
            <v>611005</v>
          </cell>
          <cell r="H450" t="str">
            <v>Astek</v>
          </cell>
        </row>
        <row r="451">
          <cell r="G451">
            <v>611006</v>
          </cell>
          <cell r="H451" t="str">
            <v>PPh pasal 21</v>
          </cell>
        </row>
        <row r="452">
          <cell r="G452">
            <v>611007</v>
          </cell>
          <cell r="H452" t="str">
            <v>Telepon / Komunikasi</v>
          </cell>
        </row>
        <row r="453">
          <cell r="G453">
            <v>611008</v>
          </cell>
          <cell r="H453" t="str">
            <v>Listrik dan PDAM</v>
          </cell>
        </row>
        <row r="454">
          <cell r="G454">
            <v>611009</v>
          </cell>
          <cell r="H454" t="str">
            <v>Penyusutan</v>
          </cell>
        </row>
        <row r="455">
          <cell r="G455">
            <v>611010</v>
          </cell>
          <cell r="H455" t="str">
            <v>Kantong Plastik</v>
          </cell>
        </row>
        <row r="456">
          <cell r="G456">
            <v>611011</v>
          </cell>
          <cell r="H456" t="str">
            <v>Material / Consumable / ATK</v>
          </cell>
          <cell r="DR456">
            <v>20000</v>
          </cell>
        </row>
        <row r="457">
          <cell r="G457">
            <v>611012</v>
          </cell>
          <cell r="H457" t="str">
            <v>Dinas luar / Perjalanan Dinas</v>
          </cell>
        </row>
        <row r="458">
          <cell r="G458">
            <v>611013</v>
          </cell>
          <cell r="H458" t="str">
            <v>Jasa Pihak ketiga</v>
          </cell>
        </row>
        <row r="459">
          <cell r="G459">
            <v>611014</v>
          </cell>
          <cell r="H459" t="str">
            <v>BBM</v>
          </cell>
        </row>
        <row r="460">
          <cell r="G460">
            <v>611015</v>
          </cell>
          <cell r="H460" t="str">
            <v>Perawatan Peralatan / Kendaraan</v>
          </cell>
        </row>
        <row r="461">
          <cell r="G461">
            <v>611016</v>
          </cell>
          <cell r="H461" t="str">
            <v>Insentif</v>
          </cell>
        </row>
        <row r="462">
          <cell r="G462">
            <v>611017</v>
          </cell>
          <cell r="H462" t="str">
            <v>Upah Borongan</v>
          </cell>
        </row>
        <row r="463">
          <cell r="G463">
            <v>611018</v>
          </cell>
          <cell r="H463" t="str">
            <v>Cuci Foto Kendaraan</v>
          </cell>
        </row>
        <row r="464">
          <cell r="G464">
            <v>611019</v>
          </cell>
          <cell r="H464" t="str">
            <v>Derek Kendaraan</v>
          </cell>
        </row>
        <row r="465">
          <cell r="G465">
            <v>611020</v>
          </cell>
          <cell r="H465" t="str">
            <v>Solar Oven dan Dempul</v>
          </cell>
        </row>
        <row r="466">
          <cell r="G466">
            <v>611021</v>
          </cell>
          <cell r="H466" t="str">
            <v>Jamuan dan Entertaiment</v>
          </cell>
        </row>
        <row r="467">
          <cell r="G467">
            <v>611022</v>
          </cell>
          <cell r="H467" t="str">
            <v>Restribusi dan Parkir</v>
          </cell>
        </row>
        <row r="468">
          <cell r="G468">
            <v>611023</v>
          </cell>
          <cell r="H468" t="str">
            <v>Perizinan</v>
          </cell>
        </row>
        <row r="469">
          <cell r="G469">
            <v>611024</v>
          </cell>
          <cell r="H469" t="str">
            <v>Keamanan dan Kebersihan</v>
          </cell>
        </row>
        <row r="470">
          <cell r="G470">
            <v>611025</v>
          </cell>
          <cell r="H470" t="str">
            <v>Expedisi</v>
          </cell>
        </row>
        <row r="471">
          <cell r="G471">
            <v>611026</v>
          </cell>
          <cell r="H471" t="str">
            <v>Collections</v>
          </cell>
        </row>
        <row r="472">
          <cell r="G472">
            <v>611027</v>
          </cell>
          <cell r="H472" t="str">
            <v>Rumah Tangga / Konsumsi</v>
          </cell>
        </row>
        <row r="473">
          <cell r="G473">
            <v>611028</v>
          </cell>
          <cell r="H473" t="str">
            <v>Berobat Karyawan</v>
          </cell>
        </row>
        <row r="474">
          <cell r="G474">
            <v>611029</v>
          </cell>
          <cell r="H474" t="str">
            <v>Sumbangan</v>
          </cell>
        </row>
        <row r="475">
          <cell r="G475">
            <v>611030</v>
          </cell>
          <cell r="H475" t="str">
            <v>Tunjangan Duka dan Nikah</v>
          </cell>
        </row>
        <row r="476">
          <cell r="G476">
            <v>611031</v>
          </cell>
          <cell r="H476" t="str">
            <v>Seragam Kerja</v>
          </cell>
        </row>
        <row r="477">
          <cell r="G477">
            <v>611032</v>
          </cell>
          <cell r="H477" t="str">
            <v>Clearance Karyawan</v>
          </cell>
        </row>
        <row r="478">
          <cell r="G478">
            <v>611033</v>
          </cell>
          <cell r="H478" t="str">
            <v>Pendidikan dan Pelatihan</v>
          </cell>
        </row>
        <row r="479">
          <cell r="G479">
            <v>611034</v>
          </cell>
          <cell r="H479" t="str">
            <v>Auditor</v>
          </cell>
        </row>
        <row r="480">
          <cell r="G480">
            <v>611035</v>
          </cell>
          <cell r="H480" t="str">
            <v>Iklan / Promosi</v>
          </cell>
        </row>
        <row r="481">
          <cell r="G481">
            <v>611036</v>
          </cell>
          <cell r="H481" t="str">
            <v>Gaji Karyawan Harian</v>
          </cell>
        </row>
        <row r="482">
          <cell r="G482">
            <v>611037</v>
          </cell>
          <cell r="H482" t="str">
            <v>Lain - Lain</v>
          </cell>
        </row>
        <row r="483">
          <cell r="G483">
            <v>611038</v>
          </cell>
          <cell r="H483" t="str">
            <v>Perlengkapan Kantor</v>
          </cell>
        </row>
        <row r="484">
          <cell r="G484">
            <v>611039</v>
          </cell>
          <cell r="H484" t="str">
            <v>Meterai / Benda Pos</v>
          </cell>
        </row>
        <row r="486">
          <cell r="G486">
            <v>612000</v>
          </cell>
          <cell r="H486" t="str">
            <v>Usaha Spooring</v>
          </cell>
        </row>
        <row r="487">
          <cell r="G487">
            <v>612001</v>
          </cell>
          <cell r="H487" t="str">
            <v>Gaji</v>
          </cell>
        </row>
        <row r="488">
          <cell r="G488">
            <v>612002</v>
          </cell>
          <cell r="H488" t="str">
            <v>Tunjangan makan</v>
          </cell>
        </row>
        <row r="489">
          <cell r="G489">
            <v>612003</v>
          </cell>
          <cell r="H489" t="str">
            <v>Lembur</v>
          </cell>
        </row>
        <row r="490">
          <cell r="G490">
            <v>612004</v>
          </cell>
          <cell r="H490" t="str">
            <v>THR</v>
          </cell>
        </row>
        <row r="491">
          <cell r="G491">
            <v>612005</v>
          </cell>
          <cell r="H491" t="str">
            <v>Astek</v>
          </cell>
        </row>
        <row r="492">
          <cell r="G492">
            <v>612006</v>
          </cell>
          <cell r="H492" t="str">
            <v>PPh pasal 21</v>
          </cell>
        </row>
        <row r="493">
          <cell r="G493">
            <v>612007</v>
          </cell>
          <cell r="H493" t="str">
            <v>Telepon / Komunikasi</v>
          </cell>
        </row>
        <row r="494">
          <cell r="G494">
            <v>612008</v>
          </cell>
          <cell r="H494" t="str">
            <v>Listrik dan PDAM</v>
          </cell>
        </row>
        <row r="495">
          <cell r="G495">
            <v>612009</v>
          </cell>
          <cell r="H495" t="str">
            <v>Penyusutan</v>
          </cell>
        </row>
        <row r="496">
          <cell r="G496">
            <v>612010</v>
          </cell>
          <cell r="H496" t="str">
            <v>Kantong Plastik</v>
          </cell>
        </row>
        <row r="497">
          <cell r="G497">
            <v>612011</v>
          </cell>
          <cell r="H497" t="str">
            <v>Material / Consumable / ATK</v>
          </cell>
        </row>
        <row r="498">
          <cell r="G498">
            <v>612012</v>
          </cell>
          <cell r="H498" t="str">
            <v>Dinas luar / Perjalanan Dinas</v>
          </cell>
        </row>
        <row r="499">
          <cell r="G499">
            <v>612013</v>
          </cell>
          <cell r="H499" t="str">
            <v>Jasa Pihak ketiga</v>
          </cell>
        </row>
        <row r="500">
          <cell r="G500">
            <v>612014</v>
          </cell>
          <cell r="H500" t="str">
            <v>BBM</v>
          </cell>
        </row>
        <row r="501">
          <cell r="G501">
            <v>612015</v>
          </cell>
          <cell r="H501" t="str">
            <v>Perawatan Peralatan / Kendaraan</v>
          </cell>
        </row>
        <row r="502">
          <cell r="G502">
            <v>612016</v>
          </cell>
          <cell r="H502" t="str">
            <v>Insentif</v>
          </cell>
        </row>
        <row r="503">
          <cell r="G503">
            <v>612017</v>
          </cell>
          <cell r="H503" t="str">
            <v>Upah Borongan</v>
          </cell>
        </row>
        <row r="504">
          <cell r="G504">
            <v>612018</v>
          </cell>
          <cell r="H504" t="str">
            <v>Cuci Foto Kendaraan</v>
          </cell>
        </row>
        <row r="505">
          <cell r="G505">
            <v>612019</v>
          </cell>
          <cell r="H505" t="str">
            <v>Derek Kendaraan</v>
          </cell>
        </row>
        <row r="506">
          <cell r="G506">
            <v>612020</v>
          </cell>
          <cell r="H506" t="str">
            <v>Solar Oven dan Dempul</v>
          </cell>
        </row>
        <row r="507">
          <cell r="G507">
            <v>612021</v>
          </cell>
          <cell r="H507" t="str">
            <v>Jamuan dan Entertaiment</v>
          </cell>
        </row>
        <row r="508">
          <cell r="G508">
            <v>612022</v>
          </cell>
          <cell r="H508" t="str">
            <v>Restribusi dan Parkir</v>
          </cell>
        </row>
        <row r="509">
          <cell r="G509">
            <v>612023</v>
          </cell>
          <cell r="H509" t="str">
            <v>Perizinan</v>
          </cell>
        </row>
        <row r="510">
          <cell r="G510">
            <v>612024</v>
          </cell>
          <cell r="H510" t="str">
            <v>Keamanan dan Kebersihan</v>
          </cell>
        </row>
        <row r="511">
          <cell r="G511">
            <v>612025</v>
          </cell>
          <cell r="H511" t="str">
            <v>Expedisi</v>
          </cell>
        </row>
        <row r="512">
          <cell r="G512">
            <v>612026</v>
          </cell>
          <cell r="H512" t="str">
            <v>Collections</v>
          </cell>
        </row>
        <row r="513">
          <cell r="G513">
            <v>612027</v>
          </cell>
          <cell r="H513" t="str">
            <v>Rumah Tangga / Konsumsi</v>
          </cell>
        </row>
        <row r="514">
          <cell r="G514">
            <v>612028</v>
          </cell>
          <cell r="H514" t="str">
            <v>Berobat Karyawan</v>
          </cell>
        </row>
        <row r="515">
          <cell r="G515">
            <v>612029</v>
          </cell>
          <cell r="H515" t="str">
            <v>Sumbangan</v>
          </cell>
        </row>
        <row r="516">
          <cell r="G516">
            <v>612030</v>
          </cell>
          <cell r="H516" t="str">
            <v>Tunjangan Duka dan Nikah</v>
          </cell>
        </row>
        <row r="517">
          <cell r="G517">
            <v>612031</v>
          </cell>
          <cell r="H517" t="str">
            <v>Seragam Kerja</v>
          </cell>
        </row>
        <row r="518">
          <cell r="G518">
            <v>612032</v>
          </cell>
          <cell r="H518" t="str">
            <v>Clearance Karyawan</v>
          </cell>
        </row>
        <row r="519">
          <cell r="G519">
            <v>612033</v>
          </cell>
          <cell r="H519" t="str">
            <v>Pendidikan dan Pelatihan</v>
          </cell>
        </row>
        <row r="520">
          <cell r="G520">
            <v>612034</v>
          </cell>
          <cell r="H520" t="str">
            <v>Auditor</v>
          </cell>
        </row>
        <row r="521">
          <cell r="G521">
            <v>612035</v>
          </cell>
          <cell r="H521" t="str">
            <v>Iklan / Promosi</v>
          </cell>
        </row>
        <row r="522">
          <cell r="G522">
            <v>612036</v>
          </cell>
          <cell r="H522" t="str">
            <v>Gaji Karyawan Harian</v>
          </cell>
        </row>
        <row r="523">
          <cell r="G523">
            <v>612037</v>
          </cell>
          <cell r="H523" t="str">
            <v>Lain - Lain</v>
          </cell>
        </row>
        <row r="524">
          <cell r="G524">
            <v>612038</v>
          </cell>
          <cell r="H524" t="str">
            <v>Perlengkapan Kantor</v>
          </cell>
        </row>
        <row r="525">
          <cell r="G525">
            <v>612039</v>
          </cell>
          <cell r="H525" t="str">
            <v>Meterai / Benda Pos</v>
          </cell>
        </row>
        <row r="527">
          <cell r="G527">
            <v>650000</v>
          </cell>
          <cell r="H527" t="str">
            <v>Administrasi dan Umum</v>
          </cell>
        </row>
        <row r="528">
          <cell r="G528">
            <v>650001</v>
          </cell>
          <cell r="H528" t="str">
            <v>Gaji</v>
          </cell>
          <cell r="S528">
            <v>57796250</v>
          </cell>
          <cell r="T528">
            <v>293200</v>
          </cell>
          <cell r="AA528">
            <v>48359069</v>
          </cell>
          <cell r="AL528">
            <v>57796250</v>
          </cell>
          <cell r="AM528">
            <v>720000</v>
          </cell>
          <cell r="AT528">
            <v>47711586</v>
          </cell>
          <cell r="BE528">
            <v>57796250</v>
          </cell>
          <cell r="BF528">
            <v>470200</v>
          </cell>
          <cell r="BM528">
            <v>47852097</v>
          </cell>
          <cell r="BX528">
            <v>57796250</v>
          </cell>
          <cell r="BY528">
            <v>340000</v>
          </cell>
          <cell r="CF528">
            <v>46102324</v>
          </cell>
          <cell r="CQ528">
            <v>57796250</v>
          </cell>
          <cell r="CR528">
            <v>288000</v>
          </cell>
          <cell r="CY528">
            <v>43630595</v>
          </cell>
          <cell r="DJ528">
            <v>57796250</v>
          </cell>
          <cell r="DK528">
            <v>528000</v>
          </cell>
          <cell r="DR528">
            <v>43404398</v>
          </cell>
          <cell r="EC528">
            <v>57796250</v>
          </cell>
          <cell r="ED528">
            <v>581000</v>
          </cell>
          <cell r="EK528">
            <v>43853712</v>
          </cell>
          <cell r="EV528">
            <v>57796250</v>
          </cell>
          <cell r="EW528">
            <v>227700</v>
          </cell>
          <cell r="FD528">
            <v>44151413</v>
          </cell>
          <cell r="FO528">
            <v>57796250</v>
          </cell>
          <cell r="FP528">
            <v>288000</v>
          </cell>
          <cell r="FW528">
            <v>44090278</v>
          </cell>
          <cell r="GH528">
            <v>57796250</v>
          </cell>
          <cell r="GI528">
            <v>866200</v>
          </cell>
          <cell r="GP528">
            <v>42998044</v>
          </cell>
          <cell r="HA528">
            <v>57796250</v>
          </cell>
          <cell r="HB528">
            <v>579400</v>
          </cell>
          <cell r="HI528">
            <v>50014500</v>
          </cell>
          <cell r="HT528">
            <v>56158750</v>
          </cell>
          <cell r="HU528">
            <v>480000</v>
          </cell>
          <cell r="IB528">
            <v>43336617</v>
          </cell>
        </row>
        <row r="529">
          <cell r="G529">
            <v>650002</v>
          </cell>
          <cell r="H529" t="str">
            <v>Tunjangan makan</v>
          </cell>
          <cell r="AA529">
            <v>4179000</v>
          </cell>
          <cell r="AT529">
            <v>4782000</v>
          </cell>
          <cell r="BM529">
            <v>6954000</v>
          </cell>
          <cell r="CF529">
            <v>5111000</v>
          </cell>
          <cell r="CY529">
            <v>6331000</v>
          </cell>
          <cell r="DR529">
            <v>5564000</v>
          </cell>
          <cell r="EK529">
            <v>50000</v>
          </cell>
          <cell r="FD529">
            <v>6622000</v>
          </cell>
          <cell r="FW529">
            <v>5663000</v>
          </cell>
          <cell r="GP529">
            <v>5348000</v>
          </cell>
          <cell r="HI529">
            <v>6748000</v>
          </cell>
          <cell r="HW529">
            <v>116000</v>
          </cell>
          <cell r="IB529">
            <v>5022000</v>
          </cell>
        </row>
        <row r="530">
          <cell r="G530">
            <v>650003</v>
          </cell>
          <cell r="H530" t="str">
            <v>Lembur</v>
          </cell>
          <cell r="S530">
            <v>5336931</v>
          </cell>
          <cell r="AA530">
            <v>7160921</v>
          </cell>
          <cell r="AL530">
            <v>5869914</v>
          </cell>
          <cell r="AT530">
            <v>8349229</v>
          </cell>
          <cell r="BE530">
            <v>5640963</v>
          </cell>
          <cell r="BM530">
            <v>8568073</v>
          </cell>
          <cell r="BX530">
            <v>5967176</v>
          </cell>
          <cell r="CF530">
            <v>8228439</v>
          </cell>
          <cell r="CQ530">
            <v>5594905</v>
          </cell>
          <cell r="CY530">
            <v>8480354</v>
          </cell>
          <cell r="DJ530">
            <v>5940102</v>
          </cell>
          <cell r="DR530">
            <v>7278827</v>
          </cell>
          <cell r="EC530">
            <v>5555788</v>
          </cell>
          <cell r="EK530">
            <v>7303759</v>
          </cell>
          <cell r="EV530">
            <v>4806087</v>
          </cell>
          <cell r="FD530">
            <v>6193368</v>
          </cell>
          <cell r="FO530">
            <v>6216222</v>
          </cell>
          <cell r="FW530">
            <v>7971132</v>
          </cell>
          <cell r="GH530">
            <v>5672956</v>
          </cell>
          <cell r="GP530">
            <v>7760818</v>
          </cell>
          <cell r="HA530">
            <v>5722203</v>
          </cell>
          <cell r="HI530">
            <v>2691280</v>
          </cell>
          <cell r="HT530">
            <v>5754883</v>
          </cell>
          <cell r="IB530">
            <v>8116037</v>
          </cell>
        </row>
        <row r="531">
          <cell r="G531">
            <v>650004</v>
          </cell>
          <cell r="H531" t="str">
            <v>THR</v>
          </cell>
          <cell r="EK531">
            <v>0</v>
          </cell>
        </row>
        <row r="532">
          <cell r="G532">
            <v>650005</v>
          </cell>
          <cell r="H532" t="str">
            <v>Astek</v>
          </cell>
          <cell r="EK532">
            <v>0</v>
          </cell>
        </row>
        <row r="533">
          <cell r="G533">
            <v>650006</v>
          </cell>
          <cell r="H533" t="str">
            <v>PPh pasal 21</v>
          </cell>
          <cell r="EK533">
            <v>0</v>
          </cell>
        </row>
        <row r="534">
          <cell r="G534">
            <v>650007</v>
          </cell>
          <cell r="H534" t="str">
            <v>Telepon / Komunikasi</v>
          </cell>
          <cell r="AA534">
            <v>1318046</v>
          </cell>
          <cell r="AT534">
            <v>851334</v>
          </cell>
          <cell r="BM534">
            <v>1262873</v>
          </cell>
          <cell r="CF534">
            <v>932917</v>
          </cell>
          <cell r="CY534">
            <v>1404132</v>
          </cell>
          <cell r="DR534">
            <v>980697</v>
          </cell>
          <cell r="EK534">
            <v>972554</v>
          </cell>
          <cell r="FD534">
            <v>1451960</v>
          </cell>
          <cell r="FW534">
            <v>1330166</v>
          </cell>
          <cell r="GP534">
            <v>1198414</v>
          </cell>
          <cell r="HI534">
            <v>867459</v>
          </cell>
          <cell r="IB534">
            <v>824021</v>
          </cell>
        </row>
        <row r="535">
          <cell r="G535">
            <v>650008</v>
          </cell>
          <cell r="H535" t="str">
            <v>Listrik dan PDAM</v>
          </cell>
          <cell r="AA535">
            <v>10068302</v>
          </cell>
          <cell r="AT535">
            <v>9940784</v>
          </cell>
          <cell r="BM535">
            <v>10696501</v>
          </cell>
          <cell r="CF535">
            <v>9815211</v>
          </cell>
          <cell r="CY535">
            <v>13928303</v>
          </cell>
          <cell r="DR535">
            <v>12829257</v>
          </cell>
          <cell r="EK535">
            <v>12206353</v>
          </cell>
          <cell r="FD535">
            <v>13567241</v>
          </cell>
          <cell r="FW535">
            <v>11769688</v>
          </cell>
          <cell r="GP535">
            <v>14939212</v>
          </cell>
          <cell r="HI535">
            <v>13546054</v>
          </cell>
          <cell r="IB535">
            <v>11575540</v>
          </cell>
        </row>
        <row r="536">
          <cell r="G536">
            <v>650009</v>
          </cell>
          <cell r="H536" t="str">
            <v>Penyusutan</v>
          </cell>
          <cell r="EK536">
            <v>0</v>
          </cell>
        </row>
        <row r="537">
          <cell r="G537">
            <v>650010</v>
          </cell>
          <cell r="H537" t="str">
            <v>Kantong Plastik</v>
          </cell>
          <cell r="EK537">
            <v>0</v>
          </cell>
        </row>
        <row r="538">
          <cell r="G538">
            <v>650011</v>
          </cell>
          <cell r="H538" t="str">
            <v>Material / Consumable / ATK</v>
          </cell>
          <cell r="AA538">
            <v>2641200</v>
          </cell>
          <cell r="AT538">
            <v>1345000</v>
          </cell>
          <cell r="BM538">
            <v>1170500</v>
          </cell>
          <cell r="CF538">
            <v>3212650</v>
          </cell>
          <cell r="CY538">
            <v>637350</v>
          </cell>
          <cell r="DR538">
            <v>1883500</v>
          </cell>
          <cell r="EK538">
            <v>2157000</v>
          </cell>
          <cell r="FD538">
            <v>1179500</v>
          </cell>
          <cell r="FW538">
            <v>130000</v>
          </cell>
          <cell r="GP538">
            <v>1089000</v>
          </cell>
          <cell r="HI538">
            <v>2474500</v>
          </cell>
          <cell r="IB538">
            <v>1718500</v>
          </cell>
        </row>
        <row r="539">
          <cell r="G539">
            <v>650012</v>
          </cell>
          <cell r="H539" t="str">
            <v>Dinas luar / Perjalanan Dinas</v>
          </cell>
          <cell r="AA539">
            <v>400000</v>
          </cell>
          <cell r="AT539">
            <v>600000</v>
          </cell>
          <cell r="BM539">
            <v>5148000</v>
          </cell>
          <cell r="CF539">
            <v>800000</v>
          </cell>
          <cell r="DR539">
            <v>550000</v>
          </cell>
          <cell r="FD539">
            <v>500000</v>
          </cell>
          <cell r="FW539">
            <v>450000</v>
          </cell>
          <cell r="GP539">
            <v>400000</v>
          </cell>
          <cell r="HI539">
            <v>400000</v>
          </cell>
          <cell r="IB539">
            <v>4086400</v>
          </cell>
        </row>
        <row r="540">
          <cell r="G540">
            <v>650013</v>
          </cell>
          <cell r="H540" t="str">
            <v>Jasa Pihak ketiga</v>
          </cell>
          <cell r="AA540">
            <v>160000</v>
          </cell>
          <cell r="AT540">
            <v>30000</v>
          </cell>
          <cell r="BM540">
            <v>300000</v>
          </cell>
        </row>
        <row r="541">
          <cell r="G541">
            <v>650014</v>
          </cell>
          <cell r="H541" t="str">
            <v>BBM</v>
          </cell>
          <cell r="V541">
            <v>50000</v>
          </cell>
          <cell r="AA541">
            <v>1250570</v>
          </cell>
          <cell r="AT541">
            <v>817515</v>
          </cell>
          <cell r="BM541">
            <v>801800</v>
          </cell>
          <cell r="CF541">
            <v>1098500</v>
          </cell>
          <cell r="CY541">
            <v>791500</v>
          </cell>
          <cell r="DR541">
            <v>780500</v>
          </cell>
          <cell r="EK541">
            <v>802000</v>
          </cell>
          <cell r="FD541">
            <v>1410500</v>
          </cell>
          <cell r="FW541">
            <v>630000</v>
          </cell>
          <cell r="GP541">
            <v>1083357</v>
          </cell>
          <cell r="HI541">
            <v>880500</v>
          </cell>
          <cell r="IB541">
            <v>1301615</v>
          </cell>
        </row>
        <row r="542">
          <cell r="G542">
            <v>650015</v>
          </cell>
          <cell r="H542" t="str">
            <v>Perawatan Peralatan / Kendaraan</v>
          </cell>
          <cell r="AH542">
            <v>447000</v>
          </cell>
          <cell r="AT542">
            <v>70000</v>
          </cell>
          <cell r="BM542">
            <v>126000</v>
          </cell>
          <cell r="BT542">
            <v>390000</v>
          </cell>
          <cell r="CF542">
            <v>1800000</v>
          </cell>
          <cell r="CY542">
            <v>895000</v>
          </cell>
          <cell r="DR542">
            <v>890000</v>
          </cell>
          <cell r="EK542">
            <v>160000</v>
          </cell>
          <cell r="FD542">
            <v>1160000</v>
          </cell>
          <cell r="FW542">
            <v>1765000</v>
          </cell>
          <cell r="GP542">
            <v>355000</v>
          </cell>
          <cell r="HI542">
            <v>610000</v>
          </cell>
          <cell r="IB542">
            <v>106000</v>
          </cell>
        </row>
        <row r="543">
          <cell r="G543">
            <v>650016</v>
          </cell>
          <cell r="H543" t="str">
            <v>Insentif</v>
          </cell>
          <cell r="CF543">
            <v>1500000</v>
          </cell>
          <cell r="EK543">
            <v>0</v>
          </cell>
        </row>
        <row r="544">
          <cell r="G544">
            <v>650017</v>
          </cell>
          <cell r="H544" t="str">
            <v>Upah Borongan</v>
          </cell>
          <cell r="EK544">
            <v>0</v>
          </cell>
        </row>
        <row r="545">
          <cell r="G545">
            <v>650018</v>
          </cell>
          <cell r="H545" t="str">
            <v>Cuci Foto Kendaraan</v>
          </cell>
          <cell r="EK545">
            <v>0</v>
          </cell>
          <cell r="FW545">
            <v>190000</v>
          </cell>
        </row>
        <row r="546">
          <cell r="G546">
            <v>650019</v>
          </cell>
          <cell r="H546" t="str">
            <v>Derek Kendaraan</v>
          </cell>
          <cell r="AA546">
            <v>620000</v>
          </cell>
          <cell r="EK546">
            <v>0</v>
          </cell>
          <cell r="FD546">
            <v>100000</v>
          </cell>
          <cell r="FW546">
            <v>247500</v>
          </cell>
          <cell r="GP546">
            <v>100000</v>
          </cell>
          <cell r="IB546">
            <v>625000</v>
          </cell>
        </row>
        <row r="547">
          <cell r="G547">
            <v>650020</v>
          </cell>
          <cell r="H547" t="str">
            <v>Solar Oven dan Dempul</v>
          </cell>
          <cell r="EK547">
            <v>0</v>
          </cell>
        </row>
        <row r="548">
          <cell r="G548">
            <v>650021</v>
          </cell>
          <cell r="H548" t="str">
            <v>Jamuan dan Entertaiment</v>
          </cell>
          <cell r="AA548">
            <v>869000</v>
          </cell>
          <cell r="AT548">
            <v>964000</v>
          </cell>
          <cell r="BM548">
            <v>1365000</v>
          </cell>
          <cell r="CF548">
            <v>113000</v>
          </cell>
          <cell r="CY548">
            <v>291000</v>
          </cell>
          <cell r="DR548">
            <v>192200</v>
          </cell>
          <cell r="EK548">
            <v>5900000</v>
          </cell>
          <cell r="FD548">
            <v>216000</v>
          </cell>
          <cell r="FW548">
            <v>190000</v>
          </cell>
          <cell r="GP548">
            <v>458000</v>
          </cell>
          <cell r="HI548">
            <v>365000</v>
          </cell>
          <cell r="IB548">
            <v>1500300</v>
          </cell>
        </row>
        <row r="549">
          <cell r="G549">
            <v>650022</v>
          </cell>
          <cell r="H549" t="str">
            <v>Restribusi dan Parkir</v>
          </cell>
          <cell r="AA549">
            <v>107500</v>
          </cell>
          <cell r="AT549">
            <v>109500</v>
          </cell>
          <cell r="BM549">
            <v>93500</v>
          </cell>
          <cell r="CF549">
            <v>127000</v>
          </cell>
          <cell r="CY549">
            <v>121500</v>
          </cell>
          <cell r="DR549">
            <v>126000</v>
          </cell>
          <cell r="EK549">
            <v>108000</v>
          </cell>
          <cell r="FD549">
            <v>166000</v>
          </cell>
          <cell r="FW549">
            <v>133500</v>
          </cell>
          <cell r="GP549">
            <v>166000</v>
          </cell>
          <cell r="HI549">
            <v>115000</v>
          </cell>
          <cell r="IB549">
            <v>401500</v>
          </cell>
        </row>
        <row r="550">
          <cell r="G550">
            <v>650023</v>
          </cell>
          <cell r="H550" t="str">
            <v>Perizinan</v>
          </cell>
          <cell r="CY550">
            <v>300000</v>
          </cell>
          <cell r="EK550">
            <v>0</v>
          </cell>
          <cell r="GP550">
            <v>170000</v>
          </cell>
        </row>
        <row r="551">
          <cell r="G551">
            <v>650024</v>
          </cell>
          <cell r="H551" t="str">
            <v>Keamanan dan Kebersihan</v>
          </cell>
          <cell r="AA551">
            <v>354200</v>
          </cell>
          <cell r="AT551">
            <v>250000</v>
          </cell>
          <cell r="BM551">
            <v>267500</v>
          </cell>
          <cell r="CY551">
            <v>500000</v>
          </cell>
          <cell r="DR551">
            <v>681200</v>
          </cell>
          <cell r="EK551">
            <v>560000</v>
          </cell>
          <cell r="FD551">
            <v>250000</v>
          </cell>
          <cell r="GP551">
            <v>2570000</v>
          </cell>
          <cell r="HI551">
            <v>250000</v>
          </cell>
          <cell r="IB551">
            <v>250000</v>
          </cell>
        </row>
        <row r="552">
          <cell r="G552">
            <v>650025</v>
          </cell>
          <cell r="H552" t="str">
            <v>Expedisi</v>
          </cell>
          <cell r="AA552">
            <v>103000</v>
          </cell>
          <cell r="AT552">
            <v>19000</v>
          </cell>
          <cell r="BM552">
            <v>79000</v>
          </cell>
          <cell r="CF552">
            <v>78000</v>
          </cell>
          <cell r="CY552">
            <v>19000</v>
          </cell>
          <cell r="DR552">
            <v>196000</v>
          </cell>
          <cell r="EK552">
            <v>98000</v>
          </cell>
          <cell r="FD552">
            <v>38000</v>
          </cell>
          <cell r="FW552">
            <v>170000</v>
          </cell>
          <cell r="HI552">
            <v>92000</v>
          </cell>
          <cell r="IB552">
            <v>206000</v>
          </cell>
        </row>
        <row r="553">
          <cell r="G553">
            <v>650026</v>
          </cell>
          <cell r="H553" t="str">
            <v>Collections</v>
          </cell>
          <cell r="AA553">
            <v>2085000</v>
          </cell>
          <cell r="AT553">
            <v>2022000</v>
          </cell>
          <cell r="BM553">
            <v>2802447</v>
          </cell>
          <cell r="CF553">
            <v>3673000</v>
          </cell>
          <cell r="CY553">
            <v>1485000</v>
          </cell>
          <cell r="DR553">
            <v>1345000</v>
          </cell>
          <cell r="EK553">
            <v>2480000</v>
          </cell>
          <cell r="FD553">
            <v>5245000</v>
          </cell>
          <cell r="FW553">
            <v>709000</v>
          </cell>
          <cell r="GP553">
            <v>910000</v>
          </cell>
          <cell r="HI553">
            <v>7035000</v>
          </cell>
          <cell r="IB553">
            <v>10327500</v>
          </cell>
        </row>
        <row r="554">
          <cell r="G554">
            <v>650027</v>
          </cell>
          <cell r="H554" t="str">
            <v>Rumah Tangga / Konsumsi</v>
          </cell>
          <cell r="AA554">
            <v>503200</v>
          </cell>
          <cell r="AT554">
            <v>578800</v>
          </cell>
          <cell r="BM554">
            <v>658250</v>
          </cell>
          <cell r="CF554">
            <v>507675</v>
          </cell>
          <cell r="CY554">
            <v>689700</v>
          </cell>
          <cell r="DR554">
            <v>499200</v>
          </cell>
          <cell r="EK554">
            <v>0</v>
          </cell>
          <cell r="FD554">
            <v>635000</v>
          </cell>
          <cell r="FW554">
            <v>1284500</v>
          </cell>
          <cell r="GP554">
            <v>722650</v>
          </cell>
          <cell r="HI554">
            <v>782400</v>
          </cell>
          <cell r="IB554">
            <v>653600</v>
          </cell>
        </row>
        <row r="555">
          <cell r="G555">
            <v>650028</v>
          </cell>
          <cell r="H555" t="str">
            <v>Berobat Karyawan</v>
          </cell>
          <cell r="AM555">
            <v>256106</v>
          </cell>
          <cell r="BF555">
            <v>256106</v>
          </cell>
          <cell r="BM555">
            <v>333106</v>
          </cell>
          <cell r="BY555">
            <v>256106</v>
          </cell>
          <cell r="CF555">
            <v>321747</v>
          </cell>
          <cell r="CR555">
            <v>256106</v>
          </cell>
          <cell r="CY555">
            <v>333106</v>
          </cell>
          <cell r="DK555">
            <v>256106</v>
          </cell>
          <cell r="DR555">
            <v>347106</v>
          </cell>
          <cell r="ED555">
            <v>256110</v>
          </cell>
          <cell r="EK555">
            <v>347106</v>
          </cell>
          <cell r="EW555">
            <v>256106</v>
          </cell>
          <cell r="GI555">
            <v>519231</v>
          </cell>
          <cell r="HB555">
            <v>519231</v>
          </cell>
          <cell r="HU555">
            <v>407947</v>
          </cell>
        </row>
        <row r="556">
          <cell r="G556">
            <v>650029</v>
          </cell>
          <cell r="H556" t="str">
            <v>Sumbangan</v>
          </cell>
          <cell r="T556">
            <v>182000</v>
          </cell>
          <cell r="CF556">
            <v>200000</v>
          </cell>
          <cell r="EK556">
            <v>456800</v>
          </cell>
          <cell r="FD556">
            <v>600000</v>
          </cell>
          <cell r="GP556">
            <v>240000</v>
          </cell>
        </row>
        <row r="557">
          <cell r="G557">
            <v>650030</v>
          </cell>
          <cell r="H557" t="str">
            <v>Tunjangan Duka dan Nikah</v>
          </cell>
          <cell r="AT557">
            <v>500000</v>
          </cell>
          <cell r="BM557">
            <v>500000</v>
          </cell>
          <cell r="CY557">
            <v>300000</v>
          </cell>
          <cell r="DR557">
            <v>150000</v>
          </cell>
          <cell r="EK557">
            <v>150000</v>
          </cell>
          <cell r="HI557">
            <v>250000</v>
          </cell>
          <cell r="IB557">
            <v>500000</v>
          </cell>
        </row>
        <row r="558">
          <cell r="G558">
            <v>650031</v>
          </cell>
          <cell r="H558" t="str">
            <v>Seragam Kerja</v>
          </cell>
          <cell r="AA558">
            <v>102000</v>
          </cell>
          <cell r="AT558">
            <v>600000</v>
          </cell>
          <cell r="EK558">
            <v>0</v>
          </cell>
        </row>
        <row r="559">
          <cell r="G559">
            <v>650032</v>
          </cell>
          <cell r="H559" t="str">
            <v>Clearance Karyawan</v>
          </cell>
          <cell r="EK559">
            <v>0</v>
          </cell>
          <cell r="IB559">
            <v>20880000</v>
          </cell>
        </row>
        <row r="560">
          <cell r="G560">
            <v>650033</v>
          </cell>
          <cell r="H560" t="str">
            <v>Pendidikan dan Pelatihan</v>
          </cell>
          <cell r="AT560">
            <v>3633000</v>
          </cell>
          <cell r="CF560">
            <v>5630000</v>
          </cell>
          <cell r="CY560">
            <v>135000</v>
          </cell>
          <cell r="DR560">
            <v>4010000</v>
          </cell>
          <cell r="EK560">
            <v>0</v>
          </cell>
          <cell r="FD560">
            <v>300000</v>
          </cell>
        </row>
        <row r="561">
          <cell r="G561">
            <v>650034</v>
          </cell>
          <cell r="H561" t="str">
            <v>Auditor</v>
          </cell>
          <cell r="DR561">
            <v>3750000</v>
          </cell>
          <cell r="EK561">
            <v>0</v>
          </cell>
          <cell r="FD561">
            <v>0</v>
          </cell>
        </row>
        <row r="562">
          <cell r="G562">
            <v>650035</v>
          </cell>
          <cell r="H562" t="str">
            <v>Iklan / Promosi</v>
          </cell>
          <cell r="AA562">
            <v>511000</v>
          </cell>
          <cell r="AT562">
            <v>1371000</v>
          </cell>
          <cell r="BM562">
            <v>813000</v>
          </cell>
          <cell r="CF562">
            <v>680500</v>
          </cell>
          <cell r="CY562">
            <v>764500</v>
          </cell>
          <cell r="DR562">
            <v>1104500</v>
          </cell>
          <cell r="EK562">
            <v>0</v>
          </cell>
          <cell r="FD562">
            <v>1124000</v>
          </cell>
          <cell r="FW562">
            <v>470000</v>
          </cell>
          <cell r="GP562">
            <v>2483500</v>
          </cell>
          <cell r="HI562">
            <v>562000</v>
          </cell>
          <cell r="IB562">
            <v>419400</v>
          </cell>
        </row>
        <row r="563">
          <cell r="G563">
            <v>650036</v>
          </cell>
          <cell r="H563" t="str">
            <v>Gaji Karyawan Harian</v>
          </cell>
          <cell r="AA563">
            <v>11110510</v>
          </cell>
          <cell r="AT563">
            <v>13986185</v>
          </cell>
          <cell r="BM563">
            <v>16768830</v>
          </cell>
          <cell r="CF563">
            <v>12987237</v>
          </cell>
          <cell r="CY563">
            <v>16054551</v>
          </cell>
          <cell r="DR563">
            <v>16069775</v>
          </cell>
          <cell r="EF563">
            <v>2700000</v>
          </cell>
          <cell r="EK563">
            <v>295000</v>
          </cell>
          <cell r="FD563">
            <v>16732719</v>
          </cell>
          <cell r="FW563">
            <v>16023090</v>
          </cell>
          <cell r="GP563">
            <v>15890138</v>
          </cell>
          <cell r="HI563">
            <v>18648219</v>
          </cell>
          <cell r="IB563">
            <v>14328346</v>
          </cell>
        </row>
        <row r="564">
          <cell r="G564">
            <v>650037</v>
          </cell>
          <cell r="H564" t="str">
            <v>Lain - Lain</v>
          </cell>
          <cell r="AT564">
            <v>778500</v>
          </cell>
          <cell r="EK564">
            <v>15665029</v>
          </cell>
          <cell r="FW564">
            <v>3350000</v>
          </cell>
          <cell r="GP564">
            <v>3125000</v>
          </cell>
          <cell r="HI564">
            <v>180000</v>
          </cell>
          <cell r="IB564">
            <v>180000</v>
          </cell>
        </row>
        <row r="565">
          <cell r="G565">
            <v>650038</v>
          </cell>
          <cell r="H565" t="str">
            <v>Perlengkapan Kantor</v>
          </cell>
          <cell r="AT565">
            <v>183000</v>
          </cell>
          <cell r="BM565">
            <v>885500</v>
          </cell>
          <cell r="CF565">
            <v>1265000</v>
          </cell>
          <cell r="CY565">
            <v>775000</v>
          </cell>
          <cell r="DR565">
            <v>493000</v>
          </cell>
          <cell r="EK565">
            <v>108000</v>
          </cell>
          <cell r="FD565">
            <v>955250</v>
          </cell>
          <cell r="FW565">
            <v>283500</v>
          </cell>
          <cell r="GP565">
            <v>1110000</v>
          </cell>
          <cell r="HI565">
            <v>791250</v>
          </cell>
          <cell r="IB565">
            <v>893500</v>
          </cell>
        </row>
        <row r="566">
          <cell r="G566">
            <v>650044</v>
          </cell>
          <cell r="H566" t="str">
            <v>Bonus Karyawan</v>
          </cell>
          <cell r="AA566">
            <v>479000</v>
          </cell>
          <cell r="EK566">
            <v>70822000</v>
          </cell>
        </row>
        <row r="567">
          <cell r="G567">
            <v>650040</v>
          </cell>
          <cell r="H567" t="str">
            <v>Perawatan gedung</v>
          </cell>
          <cell r="FD567">
            <v>2500</v>
          </cell>
        </row>
        <row r="568">
          <cell r="G568">
            <v>650039</v>
          </cell>
          <cell r="H568" t="str">
            <v>Meterai / Benda Pos</v>
          </cell>
          <cell r="AA568">
            <v>420000</v>
          </cell>
          <cell r="BM568">
            <v>618000</v>
          </cell>
          <cell r="CF568">
            <v>21000</v>
          </cell>
          <cell r="CY568">
            <v>428000</v>
          </cell>
          <cell r="DR568">
            <v>558000</v>
          </cell>
          <cell r="EK568">
            <v>180000</v>
          </cell>
          <cell r="FD568">
            <v>416000</v>
          </cell>
          <cell r="FW568">
            <v>360000</v>
          </cell>
          <cell r="GP568">
            <v>360000</v>
          </cell>
          <cell r="HI568">
            <v>240000</v>
          </cell>
          <cell r="IB568">
            <v>300000</v>
          </cell>
        </row>
        <row r="570">
          <cell r="G570">
            <v>700000</v>
          </cell>
          <cell r="H570" t="str">
            <v>BIAYA BUNGA PINJAMAN</v>
          </cell>
        </row>
        <row r="571">
          <cell r="G571">
            <v>700001</v>
          </cell>
          <cell r="H571" t="str">
            <v>Bunga pinjaman Bank</v>
          </cell>
        </row>
        <row r="572">
          <cell r="G572">
            <v>700002</v>
          </cell>
          <cell r="H572" t="str">
            <v>Jasa Bunga Bank</v>
          </cell>
        </row>
        <row r="573">
          <cell r="G573">
            <v>700003</v>
          </cell>
          <cell r="H573" t="str">
            <v>Biaya Admin Bank</v>
          </cell>
          <cell r="Y573">
            <v>310000</v>
          </cell>
          <cell r="AR573">
            <v>82000</v>
          </cell>
          <cell r="AT573">
            <v>5000</v>
          </cell>
          <cell r="BK573">
            <v>156870</v>
          </cell>
          <cell r="BL573">
            <v>25000</v>
          </cell>
          <cell r="BM573">
            <v>5000</v>
          </cell>
          <cell r="CD573">
            <v>163384</v>
          </cell>
          <cell r="CE573">
            <v>25000</v>
          </cell>
          <cell r="CF573">
            <v>10000</v>
          </cell>
          <cell r="CW573">
            <v>377104</v>
          </cell>
          <cell r="CX573">
            <v>25000</v>
          </cell>
          <cell r="CY573">
            <v>40000</v>
          </cell>
          <cell r="DP573">
            <v>161836</v>
          </cell>
          <cell r="DQ573">
            <v>25000</v>
          </cell>
          <cell r="DR573">
            <v>5000</v>
          </cell>
          <cell r="EI573">
            <v>172036</v>
          </cell>
          <cell r="EJ573">
            <v>25000</v>
          </cell>
          <cell r="EK573">
            <v>40000</v>
          </cell>
          <cell r="FB573">
            <v>175661</v>
          </cell>
          <cell r="FC573">
            <v>25000</v>
          </cell>
          <cell r="FD573">
            <v>5000</v>
          </cell>
          <cell r="FU573">
            <v>192717</v>
          </cell>
          <cell r="FV573">
            <v>25000</v>
          </cell>
          <cell r="GN573">
            <v>424512</v>
          </cell>
          <cell r="GO573">
            <v>25000</v>
          </cell>
          <cell r="GP573">
            <v>40000</v>
          </cell>
          <cell r="HG573">
            <v>223619</v>
          </cell>
          <cell r="HH573">
            <v>25000</v>
          </cell>
          <cell r="HI573">
            <v>5000</v>
          </cell>
          <cell r="HX573">
            <v>506900</v>
          </cell>
          <cell r="HZ573">
            <v>233888</v>
          </cell>
          <cell r="IA573">
            <v>25000</v>
          </cell>
          <cell r="IB573">
            <v>5000</v>
          </cell>
        </row>
        <row r="575">
          <cell r="G575">
            <v>755000</v>
          </cell>
          <cell r="H575" t="str">
            <v>P A J A K</v>
          </cell>
        </row>
        <row r="576">
          <cell r="G576">
            <v>755001</v>
          </cell>
          <cell r="H576" t="str">
            <v>Estimasi Pajak Badan &amp; Cadangan Pajak</v>
          </cell>
        </row>
        <row r="578">
          <cell r="G578">
            <v>800000</v>
          </cell>
          <cell r="H578" t="str">
            <v>BIAYA DAN PENDAPATAN</v>
          </cell>
        </row>
        <row r="579">
          <cell r="G579">
            <v>800001</v>
          </cell>
          <cell r="H579" t="str">
            <v>Terminasi (Pesangon Karyawan)</v>
          </cell>
        </row>
        <row r="580">
          <cell r="G580">
            <v>800002</v>
          </cell>
          <cell r="H580" t="str">
            <v>Selisih kas</v>
          </cell>
        </row>
        <row r="581">
          <cell r="G581">
            <v>800003</v>
          </cell>
          <cell r="H581" t="str">
            <v>Biaya lain-lain</v>
          </cell>
        </row>
        <row r="582">
          <cell r="G582">
            <v>800004</v>
          </cell>
          <cell r="H582" t="str">
            <v>Pendapatan lain-lain</v>
          </cell>
          <cell r="V582">
            <v>203000</v>
          </cell>
          <cell r="X582">
            <v>45000000</v>
          </cell>
          <cell r="AO582">
            <v>15000</v>
          </cell>
          <cell r="BH582">
            <v>521000</v>
          </cell>
          <cell r="CA582">
            <v>518000</v>
          </cell>
          <cell r="CT582">
            <v>2542000</v>
          </cell>
          <cell r="CY582">
            <v>93000</v>
          </cell>
          <cell r="DM582">
            <v>2033000</v>
          </cell>
          <cell r="EY582">
            <v>1675167</v>
          </cell>
          <cell r="FR582">
            <v>13292000</v>
          </cell>
          <cell r="GK582">
            <v>3000</v>
          </cell>
          <cell r="HD582">
            <v>24000</v>
          </cell>
          <cell r="HW582">
            <v>1012000</v>
          </cell>
        </row>
        <row r="583">
          <cell r="G583">
            <v>800005</v>
          </cell>
          <cell r="H583" t="str">
            <v>Pendapatan Bunga Bank</v>
          </cell>
          <cell r="X583">
            <v>505382.25</v>
          </cell>
          <cell r="AQ583">
            <v>565270.21</v>
          </cell>
          <cell r="BJ583">
            <v>534329.03</v>
          </cell>
          <cell r="CC583">
            <v>459616.63</v>
          </cell>
          <cell r="CV583">
            <v>547352.93999999994</v>
          </cell>
          <cell r="DO583">
            <v>499518.34</v>
          </cell>
          <cell r="EH583">
            <v>406243</v>
          </cell>
          <cell r="FA583">
            <v>466766</v>
          </cell>
          <cell r="FT583">
            <v>575988</v>
          </cell>
          <cell r="GM583">
            <v>501815</v>
          </cell>
          <cell r="HF583">
            <v>578377.37</v>
          </cell>
          <cell r="HY583">
            <v>1777578</v>
          </cell>
        </row>
        <row r="585">
          <cell r="G585">
            <v>850000</v>
          </cell>
          <cell r="H585" t="str">
            <v>Rekening luar biasa</v>
          </cell>
        </row>
        <row r="586">
          <cell r="G586">
            <v>850001</v>
          </cell>
          <cell r="H586" t="str">
            <v>Pembetulan Pajak</v>
          </cell>
        </row>
        <row r="587">
          <cell r="G587">
            <v>850002</v>
          </cell>
          <cell r="H587" t="str">
            <v>Bunga / denda pajak</v>
          </cell>
        </row>
        <row r="588">
          <cell r="G588">
            <v>850003</v>
          </cell>
          <cell r="H588" t="str">
            <v>Koreksi LK Tahun Lalu</v>
          </cell>
        </row>
        <row r="589">
          <cell r="G589">
            <v>850004</v>
          </cell>
          <cell r="H589" t="str">
            <v>Kerugian Penghapusan - Asset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ggal"/>
      <sheetName val="Renovasi"/>
      <sheetName val="x"/>
      <sheetName val="Sewa"/>
      <sheetName val="SAA"/>
    </sheetNames>
    <sheetDataSet>
      <sheetData sheetId="0">
        <row r="2">
          <cell r="G2">
            <v>1</v>
          </cell>
          <cell r="H2" t="str">
            <v>Januari</v>
          </cell>
          <cell r="I2" t="str">
            <v>Jan</v>
          </cell>
        </row>
        <row r="3">
          <cell r="G3">
            <v>2</v>
          </cell>
          <cell r="H3" t="str">
            <v>Pebruari</v>
          </cell>
          <cell r="I3" t="str">
            <v>Peb</v>
          </cell>
        </row>
        <row r="4">
          <cell r="C4">
            <v>2007</v>
          </cell>
          <cell r="G4">
            <v>3</v>
          </cell>
          <cell r="H4" t="str">
            <v>Maret</v>
          </cell>
          <cell r="I4" t="str">
            <v>Mar</v>
          </cell>
        </row>
        <row r="5">
          <cell r="G5">
            <v>4</v>
          </cell>
          <cell r="H5" t="str">
            <v>April</v>
          </cell>
          <cell r="I5" t="str">
            <v>Apr</v>
          </cell>
        </row>
        <row r="6">
          <cell r="G6">
            <v>5</v>
          </cell>
          <cell r="H6" t="str">
            <v>Mei</v>
          </cell>
          <cell r="I6" t="str">
            <v>Mei</v>
          </cell>
        </row>
        <row r="7">
          <cell r="G7">
            <v>6</v>
          </cell>
          <cell r="H7" t="str">
            <v>Juni</v>
          </cell>
          <cell r="I7" t="str">
            <v>Jun</v>
          </cell>
        </row>
        <row r="8">
          <cell r="G8">
            <v>7</v>
          </cell>
          <cell r="H8" t="str">
            <v>Juli</v>
          </cell>
          <cell r="I8" t="str">
            <v>Jul</v>
          </cell>
        </row>
        <row r="9">
          <cell r="G9">
            <v>8</v>
          </cell>
          <cell r="H9" t="str">
            <v>Agustus</v>
          </cell>
          <cell r="I9" t="str">
            <v>Agust</v>
          </cell>
        </row>
        <row r="10">
          <cell r="G10">
            <v>9</v>
          </cell>
          <cell r="H10" t="str">
            <v>September</v>
          </cell>
          <cell r="I10" t="str">
            <v>Sept</v>
          </cell>
        </row>
        <row r="11">
          <cell r="G11">
            <v>10</v>
          </cell>
          <cell r="H11" t="str">
            <v>Oktober</v>
          </cell>
          <cell r="I11" t="str">
            <v>Okt</v>
          </cell>
        </row>
        <row r="12">
          <cell r="G12">
            <v>11</v>
          </cell>
          <cell r="H12" t="str">
            <v>November</v>
          </cell>
          <cell r="I12" t="str">
            <v>Nov</v>
          </cell>
        </row>
        <row r="13">
          <cell r="G13">
            <v>12</v>
          </cell>
          <cell r="H13" t="str">
            <v>Desember</v>
          </cell>
          <cell r="I13" t="str">
            <v>Des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KTR"/>
      <sheetName val="Absensi Kantor"/>
      <sheetName val="DU Bul Ktr"/>
      <sheetName val="DU KHT KTR"/>
      <sheetName val="DU KHL KTR"/>
      <sheetName val="ABS WKR"/>
      <sheetName val="Absensi Waker"/>
      <sheetName val="DU KHT WAKER"/>
      <sheetName val="DU KHL WAKER"/>
      <sheetName val="Absensi Bbt II "/>
      <sheetName val="DU Bul Bbt II"/>
      <sheetName val="DU KHT_ Bbt"/>
      <sheetName val="DU KHL_BBT"/>
      <sheetName val="BRG PTR BBT"/>
      <sheetName val="BRG LG BAG"/>
      <sheetName val="BRG BB BAG"/>
      <sheetName val="BRG BKR MT BBT"/>
      <sheetName val="BRG TSP BBT"/>
      <sheetName val="Abse Listrik"/>
      <sheetName val="DU KHT Listrik"/>
      <sheetName val="DU KHL Listrik"/>
      <sheetName val="Absensi Tehnik Civil"/>
      <sheetName val="DU Bul Tehnik Civil"/>
      <sheetName val="DU KHT Tehnik Civil"/>
      <sheetName val="DU KHL Tehnik Civil"/>
      <sheetName val="Abse Work Shop"/>
      <sheetName val="DU Bul Work Shop"/>
      <sheetName val="DU KHT Work Shop"/>
      <sheetName val="DU KHL Work Shop"/>
      <sheetName val="Absensi Traksi"/>
      <sheetName val="DU Bul Traksi"/>
      <sheetName val="DU KHT Traksi"/>
      <sheetName val="DU KHL Traksi"/>
      <sheetName val="Absensi Survey"/>
      <sheetName val="DU Bul Survey"/>
      <sheetName val="DU KHT Survey"/>
      <sheetName val="DU KHL Survey"/>
      <sheetName val="Absensi LC1"/>
      <sheetName val="DU BUL LC1"/>
      <sheetName val="DU KHT LC1"/>
      <sheetName val="DU KHL LC1"/>
      <sheetName val="BRG LC1"/>
      <sheetName val="Absensi LC2"/>
      <sheetName val="DU BUL LC2"/>
      <sheetName val="DU KHT LC2"/>
      <sheetName val="DU KHL LC2"/>
      <sheetName val="BRG LC2"/>
      <sheetName val="Absensi_afd_1"/>
      <sheetName val="DU BUL Afd_1"/>
      <sheetName val="DU KHT Afdeling_1"/>
      <sheetName val="DU KHL Afd_1"/>
      <sheetName val="Absensi Afd_ 2"/>
      <sheetName val="DU BUL Afd_ 2"/>
      <sheetName val="DU KHT Afd_ 2"/>
      <sheetName val="DU KHL Afd_ 2"/>
      <sheetName val="Absensi Afd_ 3"/>
      <sheetName val="DU KHT Afd_ 3"/>
      <sheetName val="DU KHL Afd_ 3"/>
      <sheetName val="Absensi_afd_4"/>
      <sheetName val="DU BUL Afd_4"/>
      <sheetName val="DU KHT Afd_4"/>
      <sheetName val="DU KHL Afd_4"/>
      <sheetName val="Absensi Staff"/>
      <sheetName val="DU STAF"/>
      <sheetName val="Abs_Traksi (2)"/>
      <sheetName val="Absensi Traksi (2)"/>
      <sheetName val="DU KHL Traksi (2)"/>
      <sheetName val="Rekpitulasi Beras"/>
      <sheetName val="REKAP UPAH"/>
      <sheetName val="Absensi Bbt II  (2)"/>
      <sheetName val="DU Bul Bbt II (2)"/>
      <sheetName val="Slip Gaji KHT"/>
      <sheetName val="data (2)"/>
      <sheetName val="DU BUà¶_x0003__x0003_3_x0000__x0000_"/>
      <sheetName val="REKAP BARANG"/>
      <sheetName val="DU BUà¶_x0003__x0003_3"/>
      <sheetName val="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1">
          <cell r="A1" t="str">
            <v>PT. FAIRCO AGRO MANDIRI</v>
          </cell>
        </row>
        <row r="2">
          <cell r="A2" t="str">
            <v>Kaliorang Estate</v>
          </cell>
        </row>
        <row r="4">
          <cell r="A4" t="str">
            <v>REKAPITULASI CATU BERAS KHT</v>
          </cell>
        </row>
        <row r="5">
          <cell r="A5" t="str">
            <v>PERIODE : April 2008</v>
          </cell>
        </row>
        <row r="6">
          <cell r="I6">
            <v>5000</v>
          </cell>
        </row>
        <row r="7">
          <cell r="A7" t="str">
            <v>No</v>
          </cell>
          <cell r="B7" t="str">
            <v>NIK</v>
          </cell>
          <cell r="D7" t="str">
            <v>AFDELING/BAGIAN</v>
          </cell>
          <cell r="F7" t="str">
            <v>JUMLAH</v>
          </cell>
          <cell r="G7" t="str">
            <v>JUMLAH HK DIBAYAR</v>
          </cell>
          <cell r="H7" t="str">
            <v>JUMLAH BERAS (KG)</v>
          </cell>
          <cell r="I7" t="str">
            <v>TOTAL BIAYA</v>
          </cell>
        </row>
        <row r="8">
          <cell r="F8" t="str">
            <v>KARYAWAN</v>
          </cell>
        </row>
        <row r="10">
          <cell r="A10">
            <v>1</v>
          </cell>
          <cell r="D10" t="str">
            <v>KANTOR</v>
          </cell>
          <cell r="F10">
            <v>3</v>
          </cell>
          <cell r="G10" t="e">
            <v>#VALUE!</v>
          </cell>
          <cell r="H10" t="e">
            <v>#VALUE!</v>
          </cell>
          <cell r="I10" t="e">
            <v>#VALUE!</v>
          </cell>
        </row>
        <row r="11">
          <cell r="A11">
            <v>2</v>
          </cell>
          <cell r="D11" t="str">
            <v>BIBITAN</v>
          </cell>
          <cell r="F11">
            <v>20</v>
          </cell>
          <cell r="G11" t="e">
            <v>#VALUE!</v>
          </cell>
          <cell r="H11" t="e">
            <v>#VALUE!</v>
          </cell>
          <cell r="I11" t="e">
            <v>#VALUE!</v>
          </cell>
        </row>
        <row r="12">
          <cell r="A12">
            <v>3</v>
          </cell>
          <cell r="D12" t="str">
            <v>TEHNIK (WORK SHOP)</v>
          </cell>
          <cell r="F12">
            <v>1</v>
          </cell>
          <cell r="G12">
            <v>26</v>
          </cell>
          <cell r="H12">
            <v>10</v>
          </cell>
          <cell r="I12">
            <v>50000</v>
          </cell>
        </row>
        <row r="13">
          <cell r="A13">
            <v>4</v>
          </cell>
          <cell r="D13" t="str">
            <v>TEHNIK (LISTRIK)</v>
          </cell>
          <cell r="F13">
            <v>1</v>
          </cell>
          <cell r="G13">
            <v>26</v>
          </cell>
          <cell r="H13">
            <v>20</v>
          </cell>
          <cell r="I13">
            <v>100000</v>
          </cell>
        </row>
        <row r="14">
          <cell r="A14">
            <v>5</v>
          </cell>
          <cell r="D14" t="str">
            <v>TEHNIK (TRAKSI)</v>
          </cell>
          <cell r="F14">
            <v>1</v>
          </cell>
          <cell r="G14">
            <v>52</v>
          </cell>
          <cell r="H14">
            <v>20</v>
          </cell>
          <cell r="I14">
            <v>100000</v>
          </cell>
        </row>
        <row r="15">
          <cell r="A15">
            <v>6</v>
          </cell>
          <cell r="D15" t="str">
            <v>TEHNIK (CIVIL)</v>
          </cell>
          <cell r="F15">
            <v>1</v>
          </cell>
          <cell r="G15" t="e">
            <v>#VALUE!</v>
          </cell>
          <cell r="H15" t="e">
            <v>#VALUE!</v>
          </cell>
          <cell r="I15" t="e">
            <v>#VALUE!</v>
          </cell>
        </row>
        <row r="16">
          <cell r="A16">
            <v>7</v>
          </cell>
          <cell r="D16" t="str">
            <v>SURVEY</v>
          </cell>
          <cell r="F16">
            <v>5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8</v>
          </cell>
          <cell r="D17" t="str">
            <v>WAKER</v>
          </cell>
          <cell r="F17">
            <v>19</v>
          </cell>
          <cell r="G17">
            <v>254</v>
          </cell>
          <cell r="H17" t="e">
            <v>#VALUE!</v>
          </cell>
          <cell r="I17" t="e">
            <v>#VALUE!</v>
          </cell>
        </row>
        <row r="18">
          <cell r="A18">
            <v>9</v>
          </cell>
          <cell r="D18" t="str">
            <v>LAND CLEARING 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10</v>
          </cell>
          <cell r="D19" t="str">
            <v>LAND CLEARING 2</v>
          </cell>
          <cell r="F19">
            <v>1</v>
          </cell>
          <cell r="G19">
            <v>25</v>
          </cell>
          <cell r="H19">
            <v>19.230769230769234</v>
          </cell>
          <cell r="I19">
            <v>96153.846153846171</v>
          </cell>
        </row>
        <row r="20">
          <cell r="A20">
            <v>11</v>
          </cell>
          <cell r="D20" t="str">
            <v>AFDELING 1</v>
          </cell>
          <cell r="F20">
            <v>3</v>
          </cell>
          <cell r="G20">
            <v>75</v>
          </cell>
          <cell r="H20">
            <v>48.07692307692308</v>
          </cell>
          <cell r="I20">
            <v>240384.6153846154</v>
          </cell>
        </row>
        <row r="21">
          <cell r="A21">
            <v>12</v>
          </cell>
          <cell r="D21" t="str">
            <v>AFDELING 2</v>
          </cell>
          <cell r="F21">
            <v>7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13</v>
          </cell>
          <cell r="D22" t="str">
            <v>AFDELING 3</v>
          </cell>
          <cell r="F22">
            <v>1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14</v>
          </cell>
          <cell r="D23" t="str">
            <v>AFDELING 4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SUB TOTAL</v>
          </cell>
          <cell r="F24">
            <v>63</v>
          </cell>
          <cell r="G24" t="e">
            <v>#VALUE!</v>
          </cell>
          <cell r="H24" t="e">
            <v>#VALUE!</v>
          </cell>
          <cell r="I24" t="e">
            <v>#VALUE!</v>
          </cell>
        </row>
        <row r="25">
          <cell r="D25" t="str">
            <v>PEMBURU</v>
          </cell>
          <cell r="F25" t="str">
            <v>Group</v>
          </cell>
        </row>
        <row r="26">
          <cell r="A26">
            <v>1</v>
          </cell>
          <cell r="D26" t="str">
            <v>♣</v>
          </cell>
          <cell r="E26" t="str">
            <v>AFD 1</v>
          </cell>
          <cell r="F26">
            <v>4</v>
          </cell>
          <cell r="G26">
            <v>30</v>
          </cell>
          <cell r="H26">
            <v>100</v>
          </cell>
          <cell r="I26">
            <v>500000</v>
          </cell>
        </row>
        <row r="27">
          <cell r="A27">
            <v>2</v>
          </cell>
          <cell r="D27" t="str">
            <v>♣</v>
          </cell>
          <cell r="E27" t="str">
            <v>BIBITAN</v>
          </cell>
          <cell r="F27">
            <v>1</v>
          </cell>
          <cell r="G27">
            <v>30</v>
          </cell>
          <cell r="H27">
            <v>25</v>
          </cell>
          <cell r="I27">
            <v>125000</v>
          </cell>
        </row>
        <row r="28">
          <cell r="A28">
            <v>3</v>
          </cell>
          <cell r="D28" t="str">
            <v>♣</v>
          </cell>
          <cell r="E28" t="str">
            <v>AFD 2</v>
          </cell>
          <cell r="F28">
            <v>4</v>
          </cell>
          <cell r="G28">
            <v>30</v>
          </cell>
          <cell r="H28">
            <v>100</v>
          </cell>
          <cell r="I28">
            <v>500000</v>
          </cell>
        </row>
        <row r="29">
          <cell r="A29">
            <v>4</v>
          </cell>
          <cell r="D29" t="str">
            <v>♣</v>
          </cell>
          <cell r="E29" t="str">
            <v>AFD 3</v>
          </cell>
          <cell r="F29">
            <v>5</v>
          </cell>
          <cell r="G29">
            <v>30</v>
          </cell>
          <cell r="H29">
            <v>125</v>
          </cell>
          <cell r="I29">
            <v>625000</v>
          </cell>
        </row>
        <row r="30">
          <cell r="A30">
            <v>5</v>
          </cell>
          <cell r="D30" t="str">
            <v>♣</v>
          </cell>
          <cell r="E30" t="str">
            <v>AFD 4</v>
          </cell>
          <cell r="F30">
            <v>4</v>
          </cell>
          <cell r="G30">
            <v>30</v>
          </cell>
          <cell r="H30">
            <v>100</v>
          </cell>
          <cell r="I30">
            <v>500000</v>
          </cell>
        </row>
        <row r="31">
          <cell r="A31">
            <v>6</v>
          </cell>
          <cell r="D31" t="str">
            <v>♣</v>
          </cell>
          <cell r="E31" t="str">
            <v>AFD 5</v>
          </cell>
          <cell r="F31">
            <v>2</v>
          </cell>
          <cell r="G31">
            <v>30</v>
          </cell>
          <cell r="H31">
            <v>50</v>
          </cell>
          <cell r="I31">
            <v>250000</v>
          </cell>
        </row>
        <row r="32">
          <cell r="A32" t="str">
            <v>SUB TOTAL</v>
          </cell>
          <cell r="F32">
            <v>18</v>
          </cell>
          <cell r="G32">
            <v>150</v>
          </cell>
          <cell r="H32">
            <v>450</v>
          </cell>
          <cell r="I32">
            <v>2250000</v>
          </cell>
        </row>
        <row r="33">
          <cell r="A33" t="str">
            <v>GRAND TOTAL</v>
          </cell>
          <cell r="G33" t="e">
            <v>#VALUE!</v>
          </cell>
          <cell r="H33" t="e">
            <v>#VALUE!</v>
          </cell>
          <cell r="I33" t="e">
            <v>#VALUE!</v>
          </cell>
        </row>
      </sheetData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GeneralInfo"/>
      <sheetName val="OFF"/>
      <sheetName val="TCM Lists"/>
      <sheetName val="Lead-New'02"/>
      <sheetName val="des"/>
      <sheetName val="Ex_Rate"/>
      <sheetName val="Accounts Payable (AA)"/>
      <sheetName val="10-1-1"/>
      <sheetName val="Disp. 2013"/>
      <sheetName val="new tech Q"/>
      <sheetName val="PTCI Alyui Bay Exp -  2004 (Rp)"/>
      <sheetName val="WPL"/>
      <sheetName val="Dropdown"/>
      <sheetName val="1997"/>
      <sheetName val="Family"/>
      <sheetName val="Erlang_table"/>
      <sheetName val="FIXED FLOAT"/>
      <sheetName val="COGS"/>
      <sheetName val="Ist"/>
      <sheetName val="Desc "/>
      <sheetName val="Interdata"/>
      <sheetName val="COM-HARDWARE"/>
      <sheetName val="EQUIPMENT"/>
      <sheetName val="Diagnostics"/>
      <sheetName val="Questions"/>
      <sheetName val="LHM"/>
      <sheetName val="Advance Uninvoice"/>
      <sheetName val="2007-3-INV - SO"/>
      <sheetName val="Marshal"/>
      <sheetName val="CODE"/>
      <sheetName val="Customize Your Purchase Order"/>
      <sheetName val="Data_Umum"/>
      <sheetName val="Quantitatif"/>
      <sheetName val="FE-1770.P1"/>
      <sheetName val="Mth-Vana"/>
      <sheetName val="TOPSIMPR"/>
      <sheetName val="Client Aje"/>
      <sheetName val="A"/>
      <sheetName val="MESEL"/>
      <sheetName val="COA"/>
      <sheetName val="G-Lead"/>
      <sheetName val="Company Setup"/>
      <sheetName val="Jagorawi"/>
      <sheetName val="Kantor Pusat"/>
      <sheetName val="Sheet2"/>
      <sheetName val="Publicity ytd 06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Tangg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Nl_A_RASO"/>
      <sheetName val="BATU AJO"/>
      <sheetName val="A_TOROP"/>
      <sheetName val="PEM_PEMB"/>
      <sheetName val="P_JWBN"/>
      <sheetName val="LM_62_8 "/>
      <sheetName val="LM_51"/>
      <sheetName val="MKR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Perkiraan"/>
      <sheetName val="Buku Bank (USD)"/>
      <sheetName val="Buku Bank (RP)"/>
      <sheetName val="Neraca saldo"/>
      <sheetName val="Jurnal Umum"/>
      <sheetName val="Rekap Penj"/>
      <sheetName val="Rekap Pemb"/>
      <sheetName val="PL_Srt2"/>
    </sheetNames>
    <sheetDataSet>
      <sheetData sheetId="0" refreshError="1">
        <row r="4">
          <cell r="A4" t="str">
            <v>11</v>
          </cell>
          <cell r="B4" t="str">
            <v>Kas</v>
          </cell>
        </row>
        <row r="5">
          <cell r="A5" t="str">
            <v>11001</v>
          </cell>
          <cell r="B5" t="str">
            <v xml:space="preserve">Kas </v>
          </cell>
        </row>
        <row r="6">
          <cell r="A6" t="str">
            <v>12</v>
          </cell>
          <cell r="B6" t="str">
            <v>Bank</v>
          </cell>
        </row>
        <row r="7">
          <cell r="A7" t="str">
            <v>12001</v>
          </cell>
          <cell r="B7" t="str">
            <v xml:space="preserve">BCA-0840446727 (Rp) </v>
          </cell>
        </row>
        <row r="8">
          <cell r="A8" t="str">
            <v>12002</v>
          </cell>
          <cell r="B8" t="str">
            <v>BCA-0840556727 (US$)</v>
          </cell>
        </row>
        <row r="9">
          <cell r="A9" t="str">
            <v>12003</v>
          </cell>
          <cell r="B9" t="str">
            <v>BCA (Rp)</v>
          </cell>
        </row>
        <row r="10">
          <cell r="A10" t="str">
            <v>12004</v>
          </cell>
          <cell r="B10" t="str">
            <v>BCA (US$)</v>
          </cell>
        </row>
        <row r="11">
          <cell r="A11" t="str">
            <v>13</v>
          </cell>
          <cell r="B11" t="str">
            <v xml:space="preserve">Piutang </v>
          </cell>
        </row>
        <row r="12">
          <cell r="A12" t="str">
            <v>13001</v>
          </cell>
          <cell r="B12" t="str">
            <v>Piutang dagang</v>
          </cell>
        </row>
        <row r="13">
          <cell r="A13" t="str">
            <v>13002</v>
          </cell>
          <cell r="B13" t="str">
            <v>Piutang Lain-lain</v>
          </cell>
        </row>
        <row r="14">
          <cell r="A14" t="str">
            <v>13003</v>
          </cell>
          <cell r="B14" t="str">
            <v>Piutang Karyawan</v>
          </cell>
        </row>
        <row r="15">
          <cell r="A15" t="str">
            <v>13004</v>
          </cell>
          <cell r="B15" t="str">
            <v>Piutang Pemegang Saham</v>
          </cell>
        </row>
        <row r="16">
          <cell r="A16" t="str">
            <v>14</v>
          </cell>
          <cell r="B16" t="str">
            <v>Persediaan</v>
          </cell>
        </row>
        <row r="17">
          <cell r="A17" t="str">
            <v>14001</v>
          </cell>
          <cell r="B17" t="str">
            <v>Persediaan barang dagangan</v>
          </cell>
        </row>
        <row r="18">
          <cell r="A18" t="str">
            <v>14002</v>
          </cell>
          <cell r="B18" t="str">
            <v>Persediaan spare part</v>
          </cell>
        </row>
        <row r="19">
          <cell r="A19" t="str">
            <v>14003</v>
          </cell>
        </row>
        <row r="20">
          <cell r="A20" t="str">
            <v>15</v>
          </cell>
          <cell r="B20" t="str">
            <v>Biaya dibayar dimuka</v>
          </cell>
        </row>
        <row r="21">
          <cell r="A21" t="str">
            <v>15001</v>
          </cell>
          <cell r="B21" t="str">
            <v>PPN Masukan</v>
          </cell>
        </row>
        <row r="22">
          <cell r="A22" t="str">
            <v>15002</v>
          </cell>
          <cell r="B22" t="str">
            <v>PPh Pasal 22</v>
          </cell>
        </row>
        <row r="23">
          <cell r="A23" t="str">
            <v>15003</v>
          </cell>
          <cell r="B23" t="str">
            <v>PPh Pasal 23</v>
          </cell>
        </row>
        <row r="24">
          <cell r="A24" t="str">
            <v>15004</v>
          </cell>
          <cell r="B24" t="str">
            <v>PPh Pasal 25</v>
          </cell>
        </row>
        <row r="25">
          <cell r="A25" t="str">
            <v>15005</v>
          </cell>
          <cell r="B25" t="str">
            <v>Fiskal</v>
          </cell>
        </row>
        <row r="26">
          <cell r="A26" t="str">
            <v>15006</v>
          </cell>
          <cell r="B26" t="str">
            <v>Sewa dibayar dimuka</v>
          </cell>
        </row>
        <row r="27">
          <cell r="A27" t="str">
            <v>15007</v>
          </cell>
          <cell r="B27" t="str">
            <v>Uang Muka Pembelian</v>
          </cell>
        </row>
        <row r="28">
          <cell r="A28" t="str">
            <v>15008</v>
          </cell>
          <cell r="B28" t="str">
            <v>Asuransi dibayar dimuka</v>
          </cell>
        </row>
        <row r="29">
          <cell r="A29" t="str">
            <v>15009</v>
          </cell>
          <cell r="B29" t="str">
            <v>Piutang PPN</v>
          </cell>
        </row>
        <row r="30">
          <cell r="A30" t="str">
            <v>15010</v>
          </cell>
          <cell r="B30" t="str">
            <v>Pajak dibayar dimuka</v>
          </cell>
        </row>
        <row r="31">
          <cell r="A31" t="str">
            <v>16</v>
          </cell>
          <cell r="B31" t="str">
            <v>Aktiva Tetap</v>
          </cell>
        </row>
        <row r="32">
          <cell r="A32" t="str">
            <v>16001</v>
          </cell>
          <cell r="B32" t="str">
            <v>Tanah</v>
          </cell>
        </row>
        <row r="33">
          <cell r="A33" t="str">
            <v>16002</v>
          </cell>
          <cell r="B33" t="str">
            <v>Bangunan</v>
          </cell>
        </row>
        <row r="34">
          <cell r="A34" t="str">
            <v>16003</v>
          </cell>
          <cell r="B34" t="str">
            <v>Inventaris</v>
          </cell>
        </row>
        <row r="35">
          <cell r="A35" t="str">
            <v>16004</v>
          </cell>
          <cell r="B35" t="str">
            <v>Kendaraan</v>
          </cell>
        </row>
        <row r="36">
          <cell r="A36" t="str">
            <v>16005</v>
          </cell>
          <cell r="B36" t="str">
            <v>Amortisasi Leasehold</v>
          </cell>
        </row>
        <row r="37">
          <cell r="A37" t="str">
            <v>17</v>
          </cell>
          <cell r="B37" t="str">
            <v>Akumulasi Penyusutan</v>
          </cell>
        </row>
        <row r="38">
          <cell r="A38" t="str">
            <v>17001</v>
          </cell>
          <cell r="B38" t="str">
            <v>Akumulasi Penyusutan Bangunan</v>
          </cell>
        </row>
        <row r="39">
          <cell r="A39" t="str">
            <v>17002</v>
          </cell>
          <cell r="B39" t="str">
            <v>Akumulasi Penyusutan Inventaris</v>
          </cell>
        </row>
        <row r="40">
          <cell r="A40" t="str">
            <v>17003</v>
          </cell>
          <cell r="B40" t="str">
            <v>Akumulasi Penyusutan Kendaraan</v>
          </cell>
        </row>
        <row r="41">
          <cell r="A41" t="str">
            <v>18</v>
          </cell>
          <cell r="B41" t="str">
            <v>Surat Berharga</v>
          </cell>
        </row>
        <row r="42">
          <cell r="A42" t="str">
            <v>18001</v>
          </cell>
        </row>
        <row r="43">
          <cell r="A43" t="str">
            <v>23</v>
          </cell>
          <cell r="B43" t="str">
            <v>Investasi</v>
          </cell>
        </row>
        <row r="44">
          <cell r="A44" t="str">
            <v>23001</v>
          </cell>
          <cell r="B44" t="str">
            <v>Investasi PT. Catur Karsa Manunggal</v>
          </cell>
        </row>
        <row r="45">
          <cell r="A45" t="str">
            <v>24</v>
          </cell>
          <cell r="B45" t="str">
            <v>Aktiva Lain-lain</v>
          </cell>
        </row>
        <row r="46">
          <cell r="A46" t="str">
            <v>24001</v>
          </cell>
          <cell r="B46" t="str">
            <v>Biaya ditangguhkan</v>
          </cell>
        </row>
        <row r="47">
          <cell r="A47" t="str">
            <v>24002</v>
          </cell>
          <cell r="B47" t="str">
            <v>Jaminan</v>
          </cell>
        </row>
        <row r="48">
          <cell r="A48" t="str">
            <v>24003</v>
          </cell>
        </row>
        <row r="49">
          <cell r="A49" t="str">
            <v>31</v>
          </cell>
        </row>
        <row r="50">
          <cell r="A50" t="str">
            <v>31001</v>
          </cell>
          <cell r="B50" t="str">
            <v xml:space="preserve">Hutang dagang </v>
          </cell>
        </row>
        <row r="51">
          <cell r="A51" t="str">
            <v>31002</v>
          </cell>
          <cell r="B51" t="str">
            <v>Hutang dagang import</v>
          </cell>
        </row>
        <row r="52">
          <cell r="A52" t="str">
            <v>31003</v>
          </cell>
          <cell r="B52" t="str">
            <v>Hutang Lain-lain</v>
          </cell>
        </row>
        <row r="53">
          <cell r="A53" t="str">
            <v>31004</v>
          </cell>
          <cell r="B53" t="str">
            <v>Hutang Biaya</v>
          </cell>
        </row>
        <row r="54">
          <cell r="A54" t="str">
            <v>31005</v>
          </cell>
          <cell r="B54" t="str">
            <v>Hutang Pajak</v>
          </cell>
        </row>
        <row r="55">
          <cell r="A55" t="str">
            <v>31006</v>
          </cell>
          <cell r="B55" t="str">
            <v>PPN Keluaran</v>
          </cell>
        </row>
        <row r="56">
          <cell r="A56" t="str">
            <v>31007</v>
          </cell>
          <cell r="B56" t="str">
            <v>Hutang Leasing</v>
          </cell>
        </row>
        <row r="57">
          <cell r="A57" t="str">
            <v>31008</v>
          </cell>
          <cell r="B57" t="str">
            <v>Titipan</v>
          </cell>
        </row>
        <row r="58">
          <cell r="A58" t="str">
            <v>31009</v>
          </cell>
          <cell r="B58" t="str">
            <v>Uang Muka Penjualan</v>
          </cell>
        </row>
        <row r="59">
          <cell r="A59" t="str">
            <v>41</v>
          </cell>
          <cell r="B59" t="str">
            <v>Modal</v>
          </cell>
        </row>
        <row r="60">
          <cell r="A60" t="str">
            <v>41001</v>
          </cell>
          <cell r="B60" t="str">
            <v>Modal Dasar</v>
          </cell>
        </row>
        <row r="61">
          <cell r="A61" t="str">
            <v>41002</v>
          </cell>
          <cell r="B61" t="str">
            <v>Modal disetor</v>
          </cell>
        </row>
        <row r="62">
          <cell r="A62" t="str">
            <v>41003</v>
          </cell>
          <cell r="B62" t="str">
            <v>Modal dalam portapel</v>
          </cell>
        </row>
        <row r="63">
          <cell r="A63" t="str">
            <v>42</v>
          </cell>
          <cell r="B63" t="str">
            <v>Laba</v>
          </cell>
        </row>
        <row r="64">
          <cell r="A64" t="str">
            <v>42001</v>
          </cell>
          <cell r="B64" t="str">
            <v>Laba ditahan</v>
          </cell>
        </row>
        <row r="65">
          <cell r="A65" t="str">
            <v>42002</v>
          </cell>
          <cell r="B65" t="str">
            <v>Laba berjalan</v>
          </cell>
        </row>
        <row r="66">
          <cell r="A66" t="str">
            <v>51</v>
          </cell>
          <cell r="B66" t="str">
            <v>Penjualan</v>
          </cell>
        </row>
        <row r="67">
          <cell r="A67" t="str">
            <v>51001</v>
          </cell>
          <cell r="B67" t="str">
            <v>Penjualan</v>
          </cell>
        </row>
        <row r="68">
          <cell r="A68" t="str">
            <v>51002</v>
          </cell>
          <cell r="B68" t="str">
            <v>Retur Penjualan</v>
          </cell>
        </row>
        <row r="69">
          <cell r="A69" t="str">
            <v>51003</v>
          </cell>
          <cell r="B69" t="str">
            <v>Discount Penjualan</v>
          </cell>
        </row>
        <row r="70">
          <cell r="A70" t="str">
            <v>52</v>
          </cell>
          <cell r="B70" t="str">
            <v xml:space="preserve">Harga Pokok </v>
          </cell>
        </row>
        <row r="71">
          <cell r="A71" t="str">
            <v>52001</v>
          </cell>
          <cell r="B71" t="str">
            <v>Harga Pokok Penjualan</v>
          </cell>
        </row>
        <row r="72">
          <cell r="A72" t="str">
            <v>52002</v>
          </cell>
          <cell r="B72" t="str">
            <v xml:space="preserve">Pembelian </v>
          </cell>
        </row>
        <row r="73">
          <cell r="A73" t="str">
            <v>52003</v>
          </cell>
          <cell r="B73" t="str">
            <v>Pembelian Import</v>
          </cell>
        </row>
        <row r="74">
          <cell r="A74" t="str">
            <v>52004</v>
          </cell>
          <cell r="B74" t="str">
            <v xml:space="preserve">Biaya import </v>
          </cell>
        </row>
        <row r="75">
          <cell r="A75" t="str">
            <v>52005</v>
          </cell>
          <cell r="B75" t="str">
            <v>Ongkos Angkut</v>
          </cell>
        </row>
        <row r="76">
          <cell r="A76" t="str">
            <v>52006</v>
          </cell>
          <cell r="B76" t="str">
            <v>Retur Pembelian</v>
          </cell>
        </row>
        <row r="77">
          <cell r="A77" t="str">
            <v>52007</v>
          </cell>
          <cell r="B77" t="str">
            <v>Discount Pembelian</v>
          </cell>
        </row>
        <row r="78">
          <cell r="A78" t="str">
            <v>52008</v>
          </cell>
          <cell r="B78" t="str">
            <v>Biaya Lain-lain</v>
          </cell>
        </row>
        <row r="79">
          <cell r="A79" t="str">
            <v>61</v>
          </cell>
          <cell r="B79" t="str">
            <v>Biaya</v>
          </cell>
        </row>
        <row r="80">
          <cell r="A80" t="str">
            <v>61100</v>
          </cell>
          <cell r="B80" t="str">
            <v>Biaya Penjualan</v>
          </cell>
        </row>
        <row r="81">
          <cell r="A81" t="str">
            <v>61101</v>
          </cell>
          <cell r="B81" t="str">
            <v>Biaya Transport dinas</v>
          </cell>
        </row>
        <row r="82">
          <cell r="A82" t="str">
            <v>61102</v>
          </cell>
          <cell r="B82" t="str">
            <v>Biaya Perjalanan dinas</v>
          </cell>
        </row>
        <row r="83">
          <cell r="A83" t="str">
            <v>61103</v>
          </cell>
          <cell r="B83" t="str">
            <v>Biaya Rapat/Pendidikan/latihan</v>
          </cell>
        </row>
        <row r="84">
          <cell r="A84" t="str">
            <v>61104</v>
          </cell>
          <cell r="B84" t="str">
            <v>Biaya Pengiriman dokumen</v>
          </cell>
        </row>
        <row r="85">
          <cell r="A85" t="str">
            <v>61105</v>
          </cell>
          <cell r="B85" t="str">
            <v>Biaya Promosi</v>
          </cell>
        </row>
        <row r="86">
          <cell r="A86" t="str">
            <v>61106</v>
          </cell>
          <cell r="B86" t="str">
            <v>Biaya Telepon, Fax &amp; Internet</v>
          </cell>
        </row>
        <row r="87">
          <cell r="A87" t="str">
            <v>61107</v>
          </cell>
          <cell r="B87" t="str">
            <v>Biaya Pemeliharaan &amp; Perawatan Kendaraan</v>
          </cell>
        </row>
        <row r="88">
          <cell r="A88" t="str">
            <v>61108</v>
          </cell>
          <cell r="B88" t="str">
            <v>Biaya Entertainment</v>
          </cell>
        </row>
        <row r="89">
          <cell r="A89" t="str">
            <v>61109</v>
          </cell>
          <cell r="B89" t="str">
            <v>Biaya Asuransi Kendaraan</v>
          </cell>
        </row>
        <row r="90">
          <cell r="A90" t="str">
            <v>61110</v>
          </cell>
          <cell r="B90" t="str">
            <v>Biaya Angkutan</v>
          </cell>
        </row>
        <row r="91">
          <cell r="A91" t="str">
            <v>61111</v>
          </cell>
          <cell r="B91" t="str">
            <v>Biaya Cetakan, Fotocopy</v>
          </cell>
        </row>
        <row r="92">
          <cell r="A92" t="str">
            <v>61112</v>
          </cell>
          <cell r="B92" t="str">
            <v>Biaya Asuransi gudang</v>
          </cell>
        </row>
        <row r="93">
          <cell r="A93" t="str">
            <v>61113</v>
          </cell>
          <cell r="B93" t="str">
            <v>Biaya Gudang</v>
          </cell>
        </row>
        <row r="94">
          <cell r="A94" t="str">
            <v>61114</v>
          </cell>
          <cell r="B94" t="str">
            <v>Biaya Perawatan Gudang</v>
          </cell>
        </row>
        <row r="95">
          <cell r="A95" t="str">
            <v>61115</v>
          </cell>
          <cell r="B95" t="str">
            <v>Biaya Komisi Penjualan</v>
          </cell>
        </row>
        <row r="96">
          <cell r="A96" t="str">
            <v>61116</v>
          </cell>
          <cell r="B96" t="str">
            <v>Biaya Penjualan Lain-lain</v>
          </cell>
        </row>
        <row r="97">
          <cell r="A97" t="str">
            <v>61117</v>
          </cell>
        </row>
        <row r="98">
          <cell r="A98" t="str">
            <v>61200</v>
          </cell>
          <cell r="B98" t="str">
            <v>Biaya Administrasi &amp; Umum</v>
          </cell>
        </row>
        <row r="99">
          <cell r="A99" t="str">
            <v>61201</v>
          </cell>
          <cell r="B99" t="str">
            <v>Biaya Tol, Parkir &amp; Bensin</v>
          </cell>
        </row>
        <row r="100">
          <cell r="A100" t="str">
            <v>61202</v>
          </cell>
          <cell r="B100" t="str">
            <v>Biaya Perjalanan dinas</v>
          </cell>
        </row>
        <row r="101">
          <cell r="A101" t="str">
            <v>61203</v>
          </cell>
          <cell r="B101" t="str">
            <v>Biaya Gaji,upah,lembur &amp; THR</v>
          </cell>
        </row>
        <row r="102">
          <cell r="A102" t="str">
            <v>61204</v>
          </cell>
          <cell r="B102" t="str">
            <v>Biaya Pengobatan</v>
          </cell>
        </row>
        <row r="103">
          <cell r="A103" t="str">
            <v>61205</v>
          </cell>
          <cell r="B103" t="str">
            <v>Biaya Bunga Kredit</v>
          </cell>
        </row>
        <row r="104">
          <cell r="A104" t="str">
            <v>61206</v>
          </cell>
          <cell r="B104" t="str">
            <v>Biaya Keamanan &amp; Kebersihan</v>
          </cell>
        </row>
        <row r="105">
          <cell r="A105" t="str">
            <v>61207</v>
          </cell>
          <cell r="B105" t="str">
            <v>Biaya Sumbangan</v>
          </cell>
        </row>
        <row r="106">
          <cell r="A106" t="str">
            <v>61208</v>
          </cell>
          <cell r="B106" t="str">
            <v>Biaya Kantor</v>
          </cell>
        </row>
        <row r="107">
          <cell r="A107" t="str">
            <v>61209</v>
          </cell>
          <cell r="B107" t="str">
            <v>Biaya Kendaraan</v>
          </cell>
        </row>
        <row r="108">
          <cell r="A108" t="str">
            <v>61210</v>
          </cell>
          <cell r="B108" t="str">
            <v>Biaya Entertainment</v>
          </cell>
        </row>
        <row r="109">
          <cell r="A109" t="str">
            <v>61211</v>
          </cell>
          <cell r="B109" t="str">
            <v>Biaya Listrik &amp; Air</v>
          </cell>
        </row>
        <row r="110">
          <cell r="A110" t="str">
            <v>61212</v>
          </cell>
          <cell r="B110" t="str">
            <v>Biaya Air</v>
          </cell>
        </row>
        <row r="111">
          <cell r="A111" t="str">
            <v>61213</v>
          </cell>
          <cell r="B111" t="str">
            <v>Biaya Perawatan Kantor</v>
          </cell>
        </row>
        <row r="112">
          <cell r="A112" t="str">
            <v>61214</v>
          </cell>
          <cell r="B112" t="str">
            <v>Biaya Seragam</v>
          </cell>
        </row>
        <row r="113">
          <cell r="A113" t="str">
            <v>61215</v>
          </cell>
          <cell r="B113" t="str">
            <v>Biaya Asuransi Kantor</v>
          </cell>
        </row>
        <row r="114">
          <cell r="A114" t="str">
            <v>61216</v>
          </cell>
          <cell r="B114" t="str">
            <v>Biaya Profesional Fee</v>
          </cell>
        </row>
        <row r="115">
          <cell r="A115" t="str">
            <v>61217</v>
          </cell>
          <cell r="B115" t="str">
            <v>Biaya Perawatan Inventaris</v>
          </cell>
        </row>
        <row r="116">
          <cell r="A116" t="str">
            <v>61218</v>
          </cell>
          <cell r="B116" t="str">
            <v>Biaya Amortitasi Leasehold</v>
          </cell>
        </row>
        <row r="117">
          <cell r="A117" t="str">
            <v>61219</v>
          </cell>
          <cell r="B117" t="str">
            <v>Biaya Penyusutan Inventaris</v>
          </cell>
        </row>
        <row r="118">
          <cell r="A118" t="str">
            <v>61220</v>
          </cell>
          <cell r="B118" t="str">
            <v>Biaya Penyusutan Kendaraan</v>
          </cell>
        </row>
        <row r="119">
          <cell r="A119" t="str">
            <v>61221</v>
          </cell>
          <cell r="B119" t="str">
            <v>Biaya Administrasi Bank</v>
          </cell>
        </row>
        <row r="120">
          <cell r="A120" t="str">
            <v>61222</v>
          </cell>
          <cell r="B120" t="str">
            <v>Biaya Pajak</v>
          </cell>
        </row>
        <row r="121">
          <cell r="A121" t="str">
            <v>61223</v>
          </cell>
          <cell r="B121" t="str">
            <v>Biaya Asuransi Karyawan</v>
          </cell>
        </row>
        <row r="122">
          <cell r="A122" t="str">
            <v>61224</v>
          </cell>
          <cell r="B122" t="str">
            <v>Biaya Sewa Ruangan</v>
          </cell>
        </row>
        <row r="123">
          <cell r="A123" t="str">
            <v>61225</v>
          </cell>
          <cell r="B123" t="str">
            <v>Biaya Lain-lain</v>
          </cell>
        </row>
        <row r="124">
          <cell r="A124" t="str">
            <v>61226</v>
          </cell>
        </row>
        <row r="125">
          <cell r="A125" t="str">
            <v>71</v>
          </cell>
          <cell r="B125" t="str">
            <v>Pendapatan diluar usaha</v>
          </cell>
        </row>
        <row r="126">
          <cell r="A126" t="str">
            <v>71001</v>
          </cell>
          <cell r="B126" t="str">
            <v>Pendapatan Jasa Giro</v>
          </cell>
        </row>
        <row r="127">
          <cell r="A127" t="str">
            <v>71002</v>
          </cell>
          <cell r="B127" t="str">
            <v>Pendapatan Selisih Kurs</v>
          </cell>
        </row>
        <row r="128">
          <cell r="A128" t="str">
            <v>71003</v>
          </cell>
          <cell r="B128" t="str">
            <v xml:space="preserve"> Pendapatan Lain-lain</v>
          </cell>
        </row>
        <row r="130">
          <cell r="A130" t="str">
            <v>81</v>
          </cell>
        </row>
        <row r="131">
          <cell r="A131" t="str">
            <v>81001</v>
          </cell>
          <cell r="B131" t="str">
            <v>Biaya Pajak Jasa Giro</v>
          </cell>
        </row>
        <row r="132">
          <cell r="A132" t="str">
            <v>81002</v>
          </cell>
          <cell r="B132" t="str">
            <v>Rugi Selisih Kurs</v>
          </cell>
        </row>
        <row r="133">
          <cell r="A133" t="str">
            <v>91</v>
          </cell>
        </row>
        <row r="134">
          <cell r="A134" t="str">
            <v>91001</v>
          </cell>
          <cell r="B134" t="str">
            <v>Ikhtisar R/L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bs"/>
      <sheetName val="pl"/>
      <sheetName val="AJE"/>
      <sheetName val="3000"/>
      <sheetName val="3100"/>
      <sheetName val="3200"/>
      <sheetName val="3300"/>
      <sheetName val="3400"/>
      <sheetName val="3500"/>
      <sheetName val="3550"/>
      <sheetName val="3800"/>
      <sheetName val="FA Movement"/>
      <sheetName val="4100"/>
      <sheetName val="4500"/>
      <sheetName val="4600"/>
      <sheetName val="4700"/>
      <sheetName val="4800"/>
      <sheetName val="5000"/>
      <sheetName val="6000"/>
      <sheetName val="6100"/>
      <sheetName val="6200"/>
      <sheetName val="6300"/>
      <sheetName val="Payroll"/>
      <sheetName val="JRNl_A_RASO"/>
    </sheetNames>
    <sheetDataSet>
      <sheetData sheetId="0" refreshError="1"/>
      <sheetData sheetId="1" refreshError="1">
        <row r="125">
          <cell r="F125">
            <v>363588066.81199998</v>
          </cell>
          <cell r="I125">
            <v>91599527.88000001</v>
          </cell>
          <cell r="M125">
            <v>64058092825.5</v>
          </cell>
        </row>
        <row r="126">
          <cell r="M126">
            <v>1267903946.25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D132">
            <v>0</v>
          </cell>
          <cell r="E132">
            <v>0</v>
          </cell>
          <cell r="F132">
            <v>98926.980399999986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6005087.25</v>
          </cell>
        </row>
        <row r="133">
          <cell r="D133">
            <v>791229.43435</v>
          </cell>
          <cell r="E133">
            <v>0</v>
          </cell>
          <cell r="F133">
            <v>20871.569599999999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77462735.750000015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49039397.5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2487893.5532000004</v>
          </cell>
          <cell r="M136">
            <v>11200869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D140">
            <v>2293786.6029500002</v>
          </cell>
          <cell r="E140">
            <v>0</v>
          </cell>
          <cell r="F140">
            <v>439154.86240000004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111094914.5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130587.5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13868561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485448.5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9089985.25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117928169.91530001</v>
          </cell>
          <cell r="M148">
            <v>515056056.25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72094999.75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23131343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5055000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D156">
            <v>0</v>
          </cell>
          <cell r="E156">
            <v>0</v>
          </cell>
          <cell r="F156">
            <v>734160868.28320014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12595375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444840000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D171">
            <v>175692568.70799997</v>
          </cell>
          <cell r="E171">
            <v>0</v>
          </cell>
          <cell r="F171">
            <v>2765810953.8080001</v>
          </cell>
          <cell r="G171">
            <v>0</v>
          </cell>
          <cell r="H171">
            <v>0</v>
          </cell>
          <cell r="I171">
            <v>173772209.07000002</v>
          </cell>
          <cell r="J171">
            <v>0</v>
          </cell>
          <cell r="K171">
            <v>0</v>
          </cell>
          <cell r="L171">
            <v>0</v>
          </cell>
          <cell r="M171">
            <v>10057085018.25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54120471.540000007</v>
          </cell>
          <cell r="M173">
            <v>8514810.5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6617371.9100000001</v>
          </cell>
          <cell r="M174">
            <v>15165000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37969596983.25</v>
          </cell>
        </row>
        <row r="177">
          <cell r="D177">
            <v>1484281395.8247499</v>
          </cell>
          <cell r="E177">
            <v>0</v>
          </cell>
          <cell r="F177">
            <v>340855306.93919998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176223306266.75</v>
          </cell>
        </row>
        <row r="178">
          <cell r="D178">
            <v>0</v>
          </cell>
          <cell r="E178">
            <v>0</v>
          </cell>
          <cell r="F178">
            <v>44401176.183600001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5512092814.5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1906050600.5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50689911026.25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D188">
            <v>69670230.420000002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187035000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215277032.25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18626495.5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3904060.75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207676.25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9023680.5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27087891.5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5205891.75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117935930.25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890185.5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1600160.25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</sheetData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badan"/>
      <sheetName val="WP"/>
      <sheetName val="PTKP"/>
      <sheetName val="pph"/>
      <sheetName val="PPh21"/>
      <sheetName val="Gaji dan Tunjangan"/>
      <sheetName val="1721Induk"/>
      <sheetName val=" 1721-T"/>
      <sheetName val="1721-II"/>
      <sheetName val="1721-I"/>
      <sheetName val="Daft. BP Final"/>
      <sheetName val="Daft. BP Non Final"/>
      <sheetName val="1721-A1 Hendry"/>
      <sheetName val="1721-A1 JoniW"/>
      <sheetName val="1721-A1 (3)"/>
      <sheetName val="1721-A2 "/>
      <sheetName val="BP(NonFinal)"/>
      <sheetName val="Juksi-BP(NonFinal)"/>
      <sheetName val="BP(Final)"/>
      <sheetName val="Juksi-BP(Final)"/>
    </sheetNames>
    <sheetDataSet>
      <sheetData sheetId="0"/>
      <sheetData sheetId="1"/>
      <sheetData sheetId="2"/>
      <sheetData sheetId="3">
        <row r="8">
          <cell r="A8">
            <v>1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 t="str">
            <v>JONI W</v>
          </cell>
          <cell r="J8" t="str">
            <v>J</v>
          </cell>
          <cell r="K8" t="str">
            <v>O</v>
          </cell>
          <cell r="L8" t="str">
            <v>N</v>
          </cell>
          <cell r="M8" t="str">
            <v>I</v>
          </cell>
          <cell r="N8">
            <v>0</v>
          </cell>
          <cell r="O8" t="str">
            <v>W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Bandar Lampung</v>
          </cell>
          <cell r="AH8" t="str">
            <v>B</v>
          </cell>
          <cell r="AI8" t="str">
            <v>a</v>
          </cell>
          <cell r="AJ8" t="str">
            <v>n</v>
          </cell>
          <cell r="AK8" t="str">
            <v>d</v>
          </cell>
          <cell r="AL8" t="str">
            <v>a</v>
          </cell>
          <cell r="AM8" t="str">
            <v>r</v>
          </cell>
          <cell r="AN8">
            <v>0</v>
          </cell>
          <cell r="AO8" t="str">
            <v>L</v>
          </cell>
          <cell r="AP8" t="str">
            <v>a</v>
          </cell>
          <cell r="AQ8" t="str">
            <v>m</v>
          </cell>
          <cell r="AR8" t="str">
            <v>p</v>
          </cell>
          <cell r="AS8" t="str">
            <v>u</v>
          </cell>
          <cell r="AT8" t="str">
            <v>n</v>
          </cell>
          <cell r="AU8" t="str">
            <v>g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 t="str">
            <v>08.501.797.8-322.000</v>
          </cell>
          <cell r="BZ8" t="str">
            <v>DIREKTUR</v>
          </cell>
          <cell r="CA8" t="str">
            <v>X</v>
          </cell>
          <cell r="CB8">
            <v>0</v>
          </cell>
          <cell r="CC8" t="str">
            <v>L</v>
          </cell>
          <cell r="CD8">
            <v>0</v>
          </cell>
          <cell r="CE8" t="str">
            <v>X</v>
          </cell>
          <cell r="CF8" t="str">
            <v>K/1</v>
          </cell>
          <cell r="CG8" t="str">
            <v>1</v>
          </cell>
          <cell r="CH8" t="str">
            <v>Januari</v>
          </cell>
          <cell r="CI8" t="str">
            <v>Desember</v>
          </cell>
          <cell r="CJ8">
            <v>1</v>
          </cell>
          <cell r="CK8">
            <v>12</v>
          </cell>
          <cell r="CL8">
            <v>12</v>
          </cell>
          <cell r="CM8">
            <v>45600000</v>
          </cell>
          <cell r="CO8">
            <v>12000000</v>
          </cell>
          <cell r="CS8">
            <v>57600000</v>
          </cell>
          <cell r="CT8">
            <v>6500000</v>
          </cell>
          <cell r="CU8">
            <v>64100000</v>
          </cell>
          <cell r="CV8">
            <v>2880000</v>
          </cell>
          <cell r="CW8">
            <v>325000</v>
          </cell>
          <cell r="CY8">
            <v>3205000</v>
          </cell>
          <cell r="CZ8">
            <v>60895000</v>
          </cell>
          <cell r="DB8">
            <v>60895000</v>
          </cell>
          <cell r="DC8">
            <v>18480000</v>
          </cell>
          <cell r="DD8">
            <v>42415000</v>
          </cell>
          <cell r="DE8">
            <v>2544900</v>
          </cell>
          <cell r="DG8">
            <v>2544900</v>
          </cell>
          <cell r="DI8">
            <v>1669683.3333333333</v>
          </cell>
          <cell r="DJ8">
            <v>875216.66666666674</v>
          </cell>
        </row>
        <row r="9">
          <cell r="A9">
            <v>2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2</v>
          </cell>
          <cell r="I9" t="str">
            <v>HENRY DANIEL</v>
          </cell>
          <cell r="J9" t="str">
            <v>H</v>
          </cell>
          <cell r="K9" t="str">
            <v>E</v>
          </cell>
          <cell r="L9" t="str">
            <v>N</v>
          </cell>
          <cell r="M9" t="str">
            <v>R</v>
          </cell>
          <cell r="N9" t="str">
            <v>Y</v>
          </cell>
          <cell r="O9">
            <v>0</v>
          </cell>
          <cell r="P9" t="str">
            <v>D</v>
          </cell>
          <cell r="Q9" t="str">
            <v>A</v>
          </cell>
          <cell r="R9" t="str">
            <v>N</v>
          </cell>
          <cell r="S9" t="str">
            <v>I</v>
          </cell>
          <cell r="T9" t="str">
            <v>E</v>
          </cell>
          <cell r="U9" t="str">
            <v>L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 t="str">
            <v>Kebon Jeruk, Jakarta Barat</v>
          </cell>
          <cell r="AH9" t="str">
            <v>K</v>
          </cell>
          <cell r="AI9" t="str">
            <v>e</v>
          </cell>
          <cell r="AJ9" t="str">
            <v>b</v>
          </cell>
          <cell r="AK9" t="str">
            <v>o</v>
          </cell>
          <cell r="AL9" t="str">
            <v>n</v>
          </cell>
          <cell r="AM9">
            <v>0</v>
          </cell>
          <cell r="AN9" t="str">
            <v>J</v>
          </cell>
          <cell r="AO9" t="str">
            <v>e</v>
          </cell>
          <cell r="AP9" t="str">
            <v>r</v>
          </cell>
          <cell r="AQ9" t="str">
            <v>u</v>
          </cell>
          <cell r="AR9" t="str">
            <v>k</v>
          </cell>
          <cell r="AS9" t="str">
            <v>,</v>
          </cell>
          <cell r="AT9">
            <v>0</v>
          </cell>
          <cell r="AU9" t="str">
            <v>J</v>
          </cell>
          <cell r="AV9" t="str">
            <v>a</v>
          </cell>
          <cell r="AW9" t="str">
            <v>k</v>
          </cell>
          <cell r="AX9" t="str">
            <v>a</v>
          </cell>
          <cell r="AY9" t="str">
            <v>r</v>
          </cell>
          <cell r="AZ9" t="str">
            <v>t</v>
          </cell>
          <cell r="BA9" t="str">
            <v>a</v>
          </cell>
          <cell r="BB9">
            <v>0</v>
          </cell>
          <cell r="BC9" t="str">
            <v>B</v>
          </cell>
          <cell r="BD9" t="str">
            <v>a</v>
          </cell>
          <cell r="BE9" t="str">
            <v>24.585.713.1-039.000</v>
          </cell>
          <cell r="BZ9" t="str">
            <v>WAKIL DIREKTUR</v>
          </cell>
          <cell r="CA9">
            <v>0</v>
          </cell>
          <cell r="CB9" t="str">
            <v>X</v>
          </cell>
          <cell r="CC9" t="str">
            <v>L</v>
          </cell>
          <cell r="CD9">
            <v>0</v>
          </cell>
          <cell r="CE9" t="str">
            <v>X</v>
          </cell>
          <cell r="CF9" t="str">
            <v>TK/0</v>
          </cell>
          <cell r="CG9" t="str">
            <v>0</v>
          </cell>
          <cell r="CH9" t="str">
            <v>Januari</v>
          </cell>
          <cell r="CI9" t="str">
            <v>Desember</v>
          </cell>
          <cell r="CJ9">
            <v>1</v>
          </cell>
          <cell r="CK9">
            <v>12</v>
          </cell>
          <cell r="CL9">
            <v>12</v>
          </cell>
          <cell r="CM9">
            <v>32400000</v>
          </cell>
          <cell r="CO9">
            <v>6000000</v>
          </cell>
          <cell r="CS9">
            <v>38400000</v>
          </cell>
          <cell r="CT9">
            <v>4500000</v>
          </cell>
          <cell r="CU9">
            <v>42900000</v>
          </cell>
          <cell r="CV9">
            <v>1920000</v>
          </cell>
          <cell r="CW9">
            <v>225000</v>
          </cell>
          <cell r="CY9">
            <v>2145000</v>
          </cell>
          <cell r="CZ9">
            <v>40755000</v>
          </cell>
          <cell r="DB9">
            <v>40755000</v>
          </cell>
          <cell r="DC9">
            <v>15840000</v>
          </cell>
          <cell r="DD9">
            <v>24915000</v>
          </cell>
          <cell r="DE9">
            <v>1245750</v>
          </cell>
          <cell r="DG9">
            <v>1245750</v>
          </cell>
          <cell r="DI9">
            <v>878750</v>
          </cell>
          <cell r="DJ9">
            <v>367000</v>
          </cell>
        </row>
        <row r="10">
          <cell r="A10">
            <v>3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3</v>
          </cell>
          <cell r="I10" t="str">
            <v>JOHAN ONGGO</v>
          </cell>
          <cell r="J10" t="str">
            <v>J</v>
          </cell>
          <cell r="K10" t="str">
            <v>O</v>
          </cell>
          <cell r="L10" t="str">
            <v>H</v>
          </cell>
          <cell r="M10" t="str">
            <v>A</v>
          </cell>
          <cell r="N10" t="str">
            <v>N</v>
          </cell>
          <cell r="O10">
            <v>0</v>
          </cell>
          <cell r="P10" t="str">
            <v>O</v>
          </cell>
          <cell r="Q10" t="str">
            <v>N</v>
          </cell>
          <cell r="R10" t="str">
            <v>G</v>
          </cell>
          <cell r="S10" t="str">
            <v>G</v>
          </cell>
          <cell r="T10" t="str">
            <v>O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 t="str">
            <v>Bandar Lampung</v>
          </cell>
          <cell r="AH10" t="str">
            <v>B</v>
          </cell>
          <cell r="AI10" t="str">
            <v>a</v>
          </cell>
          <cell r="AJ10" t="str">
            <v>n</v>
          </cell>
          <cell r="AK10" t="str">
            <v>d</v>
          </cell>
          <cell r="AL10" t="str">
            <v>a</v>
          </cell>
          <cell r="AM10" t="str">
            <v>r</v>
          </cell>
          <cell r="AN10">
            <v>0</v>
          </cell>
          <cell r="AO10" t="str">
            <v>L</v>
          </cell>
          <cell r="AP10" t="str">
            <v>a</v>
          </cell>
          <cell r="AQ10" t="str">
            <v>m</v>
          </cell>
          <cell r="AR10" t="str">
            <v>p</v>
          </cell>
          <cell r="AS10" t="str">
            <v>u</v>
          </cell>
          <cell r="AT10" t="str">
            <v>n</v>
          </cell>
          <cell r="AU10" t="str">
            <v>g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Z10" t="str">
            <v>Karyawan</v>
          </cell>
          <cell r="CA10" t="str">
            <v>X</v>
          </cell>
          <cell r="CB10">
            <v>0</v>
          </cell>
          <cell r="CC10" t="str">
            <v>L</v>
          </cell>
          <cell r="CD10">
            <v>0</v>
          </cell>
          <cell r="CE10" t="str">
            <v>X</v>
          </cell>
          <cell r="CF10" t="str">
            <v>K/2</v>
          </cell>
          <cell r="CG10" t="str">
            <v>2</v>
          </cell>
          <cell r="CH10" t="str">
            <v>Januari</v>
          </cell>
          <cell r="CI10" t="str">
            <v>Desember</v>
          </cell>
          <cell r="CJ10">
            <v>1</v>
          </cell>
          <cell r="CK10">
            <v>12</v>
          </cell>
          <cell r="CL10">
            <v>12</v>
          </cell>
          <cell r="CM10">
            <v>19200000</v>
          </cell>
          <cell r="CO10">
            <v>6410000</v>
          </cell>
          <cell r="CS10">
            <v>25610000</v>
          </cell>
          <cell r="CT10">
            <v>2700000</v>
          </cell>
          <cell r="CU10">
            <v>28310000</v>
          </cell>
          <cell r="CV10">
            <v>1280500</v>
          </cell>
          <cell r="CW10">
            <v>135000</v>
          </cell>
          <cell r="CY10">
            <v>1415500</v>
          </cell>
          <cell r="CZ10">
            <v>26894500</v>
          </cell>
          <cell r="DB10">
            <v>26894500</v>
          </cell>
          <cell r="DC10">
            <v>19800000</v>
          </cell>
          <cell r="DD10">
            <v>7094000</v>
          </cell>
          <cell r="DE10">
            <v>425640</v>
          </cell>
          <cell r="DG10">
            <v>425640</v>
          </cell>
          <cell r="DI10">
            <v>171150</v>
          </cell>
          <cell r="DJ10">
            <v>254490</v>
          </cell>
        </row>
        <row r="11">
          <cell r="A11">
            <v>4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4</v>
          </cell>
          <cell r="I11" t="str">
            <v>ARIFIN/AHENG</v>
          </cell>
          <cell r="J11" t="str">
            <v>A</v>
          </cell>
          <cell r="K11" t="str">
            <v>R</v>
          </cell>
          <cell r="L11" t="str">
            <v>I</v>
          </cell>
          <cell r="M11" t="str">
            <v>F</v>
          </cell>
          <cell r="N11" t="str">
            <v>I</v>
          </cell>
          <cell r="O11" t="str">
            <v>N</v>
          </cell>
          <cell r="P11" t="str">
            <v>/</v>
          </cell>
          <cell r="Q11" t="str">
            <v>A</v>
          </cell>
          <cell r="R11" t="str">
            <v>H</v>
          </cell>
          <cell r="S11" t="str">
            <v>E</v>
          </cell>
          <cell r="T11" t="str">
            <v>N</v>
          </cell>
          <cell r="U11" t="str">
            <v>G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str">
            <v>Bandar Lampung</v>
          </cell>
          <cell r="AH11" t="str">
            <v>B</v>
          </cell>
          <cell r="AI11" t="str">
            <v>a</v>
          </cell>
          <cell r="AJ11" t="str">
            <v>n</v>
          </cell>
          <cell r="AK11" t="str">
            <v>d</v>
          </cell>
          <cell r="AL11" t="str">
            <v>a</v>
          </cell>
          <cell r="AM11" t="str">
            <v>r</v>
          </cell>
          <cell r="AN11">
            <v>0</v>
          </cell>
          <cell r="AO11" t="str">
            <v>L</v>
          </cell>
          <cell r="AP11" t="str">
            <v>a</v>
          </cell>
          <cell r="AQ11" t="str">
            <v>m</v>
          </cell>
          <cell r="AR11" t="str">
            <v>p</v>
          </cell>
          <cell r="AS11" t="str">
            <v>u</v>
          </cell>
          <cell r="AT11" t="str">
            <v>n</v>
          </cell>
          <cell r="AU11" t="str">
            <v>g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Z11" t="str">
            <v>Karyawan</v>
          </cell>
          <cell r="CA11" t="str">
            <v>X</v>
          </cell>
          <cell r="CB11">
            <v>0</v>
          </cell>
          <cell r="CC11" t="str">
            <v>L</v>
          </cell>
          <cell r="CD11">
            <v>0</v>
          </cell>
          <cell r="CE11" t="str">
            <v>X</v>
          </cell>
          <cell r="CF11" t="str">
            <v>K/2</v>
          </cell>
          <cell r="CG11" t="str">
            <v>2</v>
          </cell>
          <cell r="CH11" t="str">
            <v>Januari</v>
          </cell>
          <cell r="CI11" t="str">
            <v>Desember</v>
          </cell>
          <cell r="CJ11">
            <v>1</v>
          </cell>
          <cell r="CK11">
            <v>12</v>
          </cell>
          <cell r="CL11">
            <v>12</v>
          </cell>
          <cell r="CM11">
            <v>18600000</v>
          </cell>
          <cell r="CO11">
            <v>3395000</v>
          </cell>
          <cell r="CS11">
            <v>21995000</v>
          </cell>
          <cell r="CT11">
            <v>2200000</v>
          </cell>
          <cell r="CU11">
            <v>24195000</v>
          </cell>
          <cell r="CV11">
            <v>1099750</v>
          </cell>
          <cell r="CW11">
            <v>110000</v>
          </cell>
          <cell r="CY11">
            <v>1209750</v>
          </cell>
          <cell r="CZ11">
            <v>22985250</v>
          </cell>
          <cell r="DB11">
            <v>22985250</v>
          </cell>
          <cell r="DC11">
            <v>19800000</v>
          </cell>
          <cell r="DD11">
            <v>3185000</v>
          </cell>
          <cell r="DE11">
            <v>191100</v>
          </cell>
          <cell r="DG11">
            <v>191100</v>
          </cell>
          <cell r="DI11">
            <v>55166.666666666664</v>
          </cell>
          <cell r="DJ11">
            <v>135933.33333333334</v>
          </cell>
        </row>
        <row r="12">
          <cell r="A12">
            <v>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5</v>
          </cell>
          <cell r="I12" t="str">
            <v>HERU SUJANTO</v>
          </cell>
          <cell r="J12" t="str">
            <v>H</v>
          </cell>
          <cell r="K12" t="str">
            <v>E</v>
          </cell>
          <cell r="L12" t="str">
            <v>R</v>
          </cell>
          <cell r="M12" t="str">
            <v>U</v>
          </cell>
          <cell r="N12">
            <v>0</v>
          </cell>
          <cell r="O12" t="str">
            <v>S</v>
          </cell>
          <cell r="P12" t="str">
            <v>U</v>
          </cell>
          <cell r="Q12" t="str">
            <v>J</v>
          </cell>
          <cell r="R12" t="str">
            <v>A</v>
          </cell>
          <cell r="S12" t="str">
            <v>N</v>
          </cell>
          <cell r="T12" t="str">
            <v>T</v>
          </cell>
          <cell r="U12" t="str">
            <v>O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str">
            <v>Bandar Lampung</v>
          </cell>
          <cell r="AH12" t="str">
            <v>B</v>
          </cell>
          <cell r="AI12" t="str">
            <v>a</v>
          </cell>
          <cell r="AJ12" t="str">
            <v>n</v>
          </cell>
          <cell r="AK12" t="str">
            <v>d</v>
          </cell>
          <cell r="AL12" t="str">
            <v>a</v>
          </cell>
          <cell r="AM12" t="str">
            <v>r</v>
          </cell>
          <cell r="AN12">
            <v>0</v>
          </cell>
          <cell r="AO12" t="str">
            <v>L</v>
          </cell>
          <cell r="AP12" t="str">
            <v>a</v>
          </cell>
          <cell r="AQ12" t="str">
            <v>m</v>
          </cell>
          <cell r="AR12" t="str">
            <v>p</v>
          </cell>
          <cell r="AS12" t="str">
            <v>u</v>
          </cell>
          <cell r="AT12" t="str">
            <v>n</v>
          </cell>
          <cell r="AU12" t="str">
            <v>g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Z12" t="str">
            <v>Karyawan</v>
          </cell>
          <cell r="CA12" t="str">
            <v>X</v>
          </cell>
          <cell r="CB12">
            <v>0</v>
          </cell>
          <cell r="CC12" t="str">
            <v>L</v>
          </cell>
          <cell r="CD12">
            <v>0</v>
          </cell>
          <cell r="CE12" t="str">
            <v>X</v>
          </cell>
          <cell r="CF12" t="str">
            <v>K/1</v>
          </cell>
          <cell r="CG12" t="str">
            <v>1</v>
          </cell>
          <cell r="CH12" t="str">
            <v>Januari</v>
          </cell>
          <cell r="CI12" t="str">
            <v>Desember</v>
          </cell>
          <cell r="CJ12">
            <v>1</v>
          </cell>
          <cell r="CK12">
            <v>12</v>
          </cell>
          <cell r="CL12">
            <v>12</v>
          </cell>
          <cell r="CM12">
            <v>16200000</v>
          </cell>
          <cell r="CO12">
            <v>6440000</v>
          </cell>
          <cell r="CS12">
            <v>22640000</v>
          </cell>
          <cell r="CT12">
            <v>2500000</v>
          </cell>
          <cell r="CU12">
            <v>25140000</v>
          </cell>
          <cell r="CV12">
            <v>1132000</v>
          </cell>
          <cell r="CW12">
            <v>125000</v>
          </cell>
          <cell r="CY12">
            <v>1257000</v>
          </cell>
          <cell r="CZ12">
            <v>23883000</v>
          </cell>
          <cell r="DB12">
            <v>23883000</v>
          </cell>
          <cell r="DC12">
            <v>18480000</v>
          </cell>
          <cell r="DD12">
            <v>5403000</v>
          </cell>
          <cell r="DE12">
            <v>324180</v>
          </cell>
          <cell r="DG12">
            <v>324180</v>
          </cell>
          <cell r="DI12">
            <v>89841.666666666672</v>
          </cell>
          <cell r="DJ12">
            <v>234338.33333333331</v>
          </cell>
        </row>
        <row r="13">
          <cell r="A13">
            <v>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6</v>
          </cell>
          <cell r="I13" t="str">
            <v>HAIRA</v>
          </cell>
          <cell r="J13" t="str">
            <v>H</v>
          </cell>
          <cell r="K13" t="str">
            <v>A</v>
          </cell>
          <cell r="L13" t="str">
            <v>I</v>
          </cell>
          <cell r="M13" t="str">
            <v>R</v>
          </cell>
          <cell r="N13" t="str">
            <v>A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str">
            <v>Bandar Lampung</v>
          </cell>
          <cell r="AH13" t="str">
            <v>B</v>
          </cell>
          <cell r="AI13" t="str">
            <v>a</v>
          </cell>
          <cell r="AJ13" t="str">
            <v>n</v>
          </cell>
          <cell r="AK13" t="str">
            <v>d</v>
          </cell>
          <cell r="AL13" t="str">
            <v>a</v>
          </cell>
          <cell r="AM13" t="str">
            <v>r</v>
          </cell>
          <cell r="AN13">
            <v>0</v>
          </cell>
          <cell r="AO13" t="str">
            <v>L</v>
          </cell>
          <cell r="AP13" t="str">
            <v>a</v>
          </cell>
          <cell r="AQ13" t="str">
            <v>m</v>
          </cell>
          <cell r="AR13" t="str">
            <v>p</v>
          </cell>
          <cell r="AS13" t="str">
            <v>u</v>
          </cell>
          <cell r="AT13" t="str">
            <v>n</v>
          </cell>
          <cell r="AU13" t="str">
            <v>g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Z13" t="str">
            <v>Karyawan</v>
          </cell>
          <cell r="CA13">
            <v>0</v>
          </cell>
          <cell r="CB13" t="str">
            <v>X</v>
          </cell>
          <cell r="CC13" t="str">
            <v>P</v>
          </cell>
          <cell r="CD13" t="str">
            <v>X</v>
          </cell>
          <cell r="CE13">
            <v>0</v>
          </cell>
          <cell r="CF13" t="str">
            <v>TK/0</v>
          </cell>
          <cell r="CG13" t="str">
            <v>0</v>
          </cell>
          <cell r="CH13" t="str">
            <v>Januari</v>
          </cell>
          <cell r="CI13" t="str">
            <v>Desember</v>
          </cell>
          <cell r="CJ13">
            <v>1</v>
          </cell>
          <cell r="CK13">
            <v>12</v>
          </cell>
          <cell r="CL13">
            <v>12</v>
          </cell>
          <cell r="CM13">
            <v>15000000</v>
          </cell>
          <cell r="CO13">
            <v>6440000</v>
          </cell>
          <cell r="CS13">
            <v>21440000</v>
          </cell>
          <cell r="CT13">
            <v>2250000</v>
          </cell>
          <cell r="CU13">
            <v>23690000</v>
          </cell>
          <cell r="CV13">
            <v>1072000</v>
          </cell>
          <cell r="CW13">
            <v>112500</v>
          </cell>
          <cell r="CY13">
            <v>1184500</v>
          </cell>
          <cell r="CZ13">
            <v>22505500</v>
          </cell>
          <cell r="DB13">
            <v>22505500</v>
          </cell>
          <cell r="DC13">
            <v>15840000</v>
          </cell>
          <cell r="DD13">
            <v>6665000</v>
          </cell>
          <cell r="DE13">
            <v>399900</v>
          </cell>
          <cell r="DG13">
            <v>399900</v>
          </cell>
          <cell r="DI13">
            <v>169450</v>
          </cell>
          <cell r="DJ13">
            <v>230450</v>
          </cell>
        </row>
        <row r="14">
          <cell r="A14">
            <v>7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7</v>
          </cell>
          <cell r="I14" t="str">
            <v>MARYANA</v>
          </cell>
          <cell r="J14" t="str">
            <v>M</v>
          </cell>
          <cell r="K14" t="str">
            <v>A</v>
          </cell>
          <cell r="L14" t="str">
            <v>R</v>
          </cell>
          <cell r="M14" t="str">
            <v>Y</v>
          </cell>
          <cell r="N14" t="str">
            <v>A</v>
          </cell>
          <cell r="O14" t="str">
            <v>N</v>
          </cell>
          <cell r="P14" t="str">
            <v>A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str">
            <v>Bandar Lampung</v>
          </cell>
          <cell r="AH14" t="str">
            <v>B</v>
          </cell>
          <cell r="AI14" t="str">
            <v>a</v>
          </cell>
          <cell r="AJ14" t="str">
            <v>n</v>
          </cell>
          <cell r="AK14" t="str">
            <v>d</v>
          </cell>
          <cell r="AL14" t="str">
            <v>a</v>
          </cell>
          <cell r="AM14" t="str">
            <v>r</v>
          </cell>
          <cell r="AN14">
            <v>0</v>
          </cell>
          <cell r="AO14" t="str">
            <v>L</v>
          </cell>
          <cell r="AP14" t="str">
            <v>a</v>
          </cell>
          <cell r="AQ14" t="str">
            <v>m</v>
          </cell>
          <cell r="AR14" t="str">
            <v>p</v>
          </cell>
          <cell r="AS14" t="str">
            <v>u</v>
          </cell>
          <cell r="AT14" t="str">
            <v>n</v>
          </cell>
          <cell r="AU14" t="str">
            <v>g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Z14" t="str">
            <v>Karyawan</v>
          </cell>
          <cell r="CA14">
            <v>0</v>
          </cell>
          <cell r="CB14" t="str">
            <v>X</v>
          </cell>
          <cell r="CC14" t="str">
            <v>P</v>
          </cell>
          <cell r="CD14" t="str">
            <v>X</v>
          </cell>
          <cell r="CE14">
            <v>0</v>
          </cell>
          <cell r="CF14" t="str">
            <v>TK/0</v>
          </cell>
          <cell r="CG14" t="str">
            <v>0</v>
          </cell>
          <cell r="CH14" t="str">
            <v>Januari</v>
          </cell>
          <cell r="CI14" t="str">
            <v>Desember</v>
          </cell>
          <cell r="CJ14">
            <v>1</v>
          </cell>
          <cell r="CK14">
            <v>12</v>
          </cell>
          <cell r="CL14">
            <v>12</v>
          </cell>
          <cell r="CM14">
            <v>12600000</v>
          </cell>
          <cell r="CO14">
            <v>6440000</v>
          </cell>
          <cell r="CS14">
            <v>19040000</v>
          </cell>
          <cell r="CT14">
            <v>1800000</v>
          </cell>
          <cell r="CU14">
            <v>20840000</v>
          </cell>
          <cell r="CV14">
            <v>952000</v>
          </cell>
          <cell r="CW14">
            <v>90000</v>
          </cell>
          <cell r="CY14">
            <v>1042000</v>
          </cell>
          <cell r="CZ14">
            <v>19798000</v>
          </cell>
          <cell r="DB14">
            <v>19798000</v>
          </cell>
          <cell r="DC14">
            <v>15840000</v>
          </cell>
          <cell r="DD14">
            <v>3958000</v>
          </cell>
          <cell r="DE14">
            <v>237480</v>
          </cell>
          <cell r="DG14">
            <v>237480</v>
          </cell>
          <cell r="DI14">
            <v>107075</v>
          </cell>
          <cell r="DJ14">
            <v>130405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e">
            <v>#VALUE!</v>
          </cell>
          <cell r="I15" t="str">
            <v>SURONO</v>
          </cell>
          <cell r="J15" t="str">
            <v>S</v>
          </cell>
          <cell r="K15" t="str">
            <v>U</v>
          </cell>
          <cell r="L15" t="str">
            <v>R</v>
          </cell>
          <cell r="M15" t="str">
            <v>O</v>
          </cell>
          <cell r="N15" t="str">
            <v>N</v>
          </cell>
          <cell r="O15" t="str">
            <v>O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str">
            <v>Bandar Lampung</v>
          </cell>
          <cell r="AH15" t="str">
            <v>B</v>
          </cell>
          <cell r="AI15" t="str">
            <v>a</v>
          </cell>
          <cell r="AJ15" t="str">
            <v>n</v>
          </cell>
          <cell r="AK15" t="str">
            <v>d</v>
          </cell>
          <cell r="AL15" t="str">
            <v>a</v>
          </cell>
          <cell r="AM15" t="str">
            <v>r</v>
          </cell>
          <cell r="AN15">
            <v>0</v>
          </cell>
          <cell r="AO15" t="str">
            <v>L</v>
          </cell>
          <cell r="AP15" t="str">
            <v>a</v>
          </cell>
          <cell r="AQ15" t="str">
            <v>m</v>
          </cell>
          <cell r="AR15" t="str">
            <v>p</v>
          </cell>
          <cell r="AS15" t="str">
            <v>u</v>
          </cell>
          <cell r="AT15" t="str">
            <v>n</v>
          </cell>
          <cell r="AU15" t="str">
            <v>g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Z15" t="str">
            <v>Karyawan</v>
          </cell>
          <cell r="CA15" t="str">
            <v>X</v>
          </cell>
          <cell r="CB15">
            <v>0</v>
          </cell>
          <cell r="CC15" t="str">
            <v>L</v>
          </cell>
          <cell r="CD15">
            <v>0</v>
          </cell>
          <cell r="CE15" t="str">
            <v>X</v>
          </cell>
          <cell r="CF15" t="str">
            <v>K/1</v>
          </cell>
          <cell r="CG15" t="str">
            <v>1</v>
          </cell>
          <cell r="CH15" t="str">
            <v>Januari</v>
          </cell>
          <cell r="CI15" t="str">
            <v>Desember</v>
          </cell>
          <cell r="CJ15">
            <v>1</v>
          </cell>
          <cell r="CK15">
            <v>12</v>
          </cell>
          <cell r="CL15">
            <v>12</v>
          </cell>
          <cell r="CM15">
            <v>12000000</v>
          </cell>
          <cell r="CO15">
            <v>3950000</v>
          </cell>
          <cell r="CS15">
            <v>15950000</v>
          </cell>
          <cell r="CT15">
            <v>1800000</v>
          </cell>
          <cell r="CU15">
            <v>17750000</v>
          </cell>
          <cell r="CV15">
            <v>797500</v>
          </cell>
          <cell r="CW15">
            <v>90000</v>
          </cell>
          <cell r="CY15">
            <v>887500</v>
          </cell>
          <cell r="CZ15">
            <v>16862500</v>
          </cell>
          <cell r="DB15">
            <v>16862500</v>
          </cell>
          <cell r="DC15">
            <v>18480000</v>
          </cell>
          <cell r="DD15">
            <v>0</v>
          </cell>
          <cell r="DE15">
            <v>0</v>
          </cell>
          <cell r="DG15" t="str">
            <v>NIHIL</v>
          </cell>
          <cell r="DI15">
            <v>0</v>
          </cell>
          <cell r="DJ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e">
            <v>#VALUE!</v>
          </cell>
          <cell r="I16" t="str">
            <v>MINAR</v>
          </cell>
          <cell r="J16" t="str">
            <v>M</v>
          </cell>
          <cell r="K16" t="str">
            <v>I</v>
          </cell>
          <cell r="L16" t="str">
            <v>N</v>
          </cell>
          <cell r="M16" t="str">
            <v>A</v>
          </cell>
          <cell r="N16" t="str">
            <v>R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str">
            <v>Bandar Lampung</v>
          </cell>
          <cell r="AH16" t="str">
            <v>B</v>
          </cell>
          <cell r="AI16" t="str">
            <v>a</v>
          </cell>
          <cell r="AJ16" t="str">
            <v>n</v>
          </cell>
          <cell r="AK16" t="str">
            <v>d</v>
          </cell>
          <cell r="AL16" t="str">
            <v>a</v>
          </cell>
          <cell r="AM16" t="str">
            <v>r</v>
          </cell>
          <cell r="AN16">
            <v>0</v>
          </cell>
          <cell r="AO16" t="str">
            <v>L</v>
          </cell>
          <cell r="AP16" t="str">
            <v>a</v>
          </cell>
          <cell r="AQ16" t="str">
            <v>m</v>
          </cell>
          <cell r="AR16" t="str">
            <v>p</v>
          </cell>
          <cell r="AS16" t="str">
            <v>u</v>
          </cell>
          <cell r="AT16" t="str">
            <v>n</v>
          </cell>
          <cell r="AU16" t="str">
            <v>g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Z16" t="str">
            <v>Karyawan</v>
          </cell>
          <cell r="CA16" t="str">
            <v>X</v>
          </cell>
          <cell r="CB16">
            <v>0</v>
          </cell>
          <cell r="CC16" t="str">
            <v>L</v>
          </cell>
          <cell r="CD16">
            <v>0</v>
          </cell>
          <cell r="CE16" t="str">
            <v>X</v>
          </cell>
          <cell r="CF16" t="str">
            <v>K/1</v>
          </cell>
          <cell r="CG16" t="str">
            <v>1</v>
          </cell>
          <cell r="CH16" t="str">
            <v>Januari</v>
          </cell>
          <cell r="CI16" t="str">
            <v>Desember</v>
          </cell>
          <cell r="CJ16">
            <v>1</v>
          </cell>
          <cell r="CK16">
            <v>12</v>
          </cell>
          <cell r="CL16">
            <v>12</v>
          </cell>
          <cell r="CM16">
            <v>10320000</v>
          </cell>
          <cell r="CO16">
            <v>4160000</v>
          </cell>
          <cell r="CS16">
            <v>14480000</v>
          </cell>
          <cell r="CT16">
            <v>1700000</v>
          </cell>
          <cell r="CU16">
            <v>16180000</v>
          </cell>
          <cell r="CV16">
            <v>724000</v>
          </cell>
          <cell r="CW16">
            <v>85000</v>
          </cell>
          <cell r="CY16">
            <v>809000</v>
          </cell>
          <cell r="CZ16">
            <v>15371000</v>
          </cell>
          <cell r="DB16">
            <v>15371000</v>
          </cell>
          <cell r="DC16">
            <v>18480000</v>
          </cell>
          <cell r="DD16">
            <v>0</v>
          </cell>
          <cell r="DE16">
            <v>0</v>
          </cell>
          <cell r="DG16" t="str">
            <v>NIHIL</v>
          </cell>
          <cell r="DI16">
            <v>0</v>
          </cell>
          <cell r="DJ16">
            <v>0</v>
          </cell>
        </row>
        <row r="17">
          <cell r="A17">
            <v>8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8</v>
          </cell>
          <cell r="I17" t="str">
            <v>ROHANA</v>
          </cell>
          <cell r="J17" t="str">
            <v>R</v>
          </cell>
          <cell r="K17" t="str">
            <v>O</v>
          </cell>
          <cell r="L17" t="str">
            <v>H</v>
          </cell>
          <cell r="M17" t="str">
            <v>A</v>
          </cell>
          <cell r="N17" t="str">
            <v>N</v>
          </cell>
          <cell r="O17" t="str">
            <v>A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str">
            <v>Bandar Lampung</v>
          </cell>
          <cell r="AH17" t="str">
            <v>B</v>
          </cell>
          <cell r="AI17" t="str">
            <v>a</v>
          </cell>
          <cell r="AJ17" t="str">
            <v>n</v>
          </cell>
          <cell r="AK17" t="str">
            <v>d</v>
          </cell>
          <cell r="AL17" t="str">
            <v>a</v>
          </cell>
          <cell r="AM17" t="str">
            <v>r</v>
          </cell>
          <cell r="AN17">
            <v>0</v>
          </cell>
          <cell r="AO17" t="str">
            <v>L</v>
          </cell>
          <cell r="AP17" t="str">
            <v>a</v>
          </cell>
          <cell r="AQ17" t="str">
            <v>m</v>
          </cell>
          <cell r="AR17" t="str">
            <v>p</v>
          </cell>
          <cell r="AS17" t="str">
            <v>u</v>
          </cell>
          <cell r="AT17" t="str">
            <v>n</v>
          </cell>
          <cell r="AU17" t="str">
            <v>g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Z17" t="str">
            <v>Karyawan</v>
          </cell>
          <cell r="CA17">
            <v>0</v>
          </cell>
          <cell r="CB17" t="str">
            <v>X</v>
          </cell>
          <cell r="CC17" t="str">
            <v>P</v>
          </cell>
          <cell r="CD17" t="str">
            <v>X</v>
          </cell>
          <cell r="CE17">
            <v>0</v>
          </cell>
          <cell r="CF17" t="str">
            <v>TK/0</v>
          </cell>
          <cell r="CG17" t="str">
            <v>0</v>
          </cell>
          <cell r="CH17" t="str">
            <v>Januari</v>
          </cell>
          <cell r="CI17" t="str">
            <v>Desember</v>
          </cell>
          <cell r="CJ17">
            <v>1</v>
          </cell>
          <cell r="CK17">
            <v>12</v>
          </cell>
          <cell r="CL17">
            <v>12</v>
          </cell>
          <cell r="CM17">
            <v>10700000</v>
          </cell>
          <cell r="CO17">
            <v>6320000</v>
          </cell>
          <cell r="CS17">
            <v>17020000</v>
          </cell>
          <cell r="CT17">
            <v>1550000</v>
          </cell>
          <cell r="CU17">
            <v>18570000</v>
          </cell>
          <cell r="CV17">
            <v>851000</v>
          </cell>
          <cell r="CW17">
            <v>77500</v>
          </cell>
          <cell r="CY17">
            <v>928500</v>
          </cell>
          <cell r="CZ17">
            <v>17641500</v>
          </cell>
          <cell r="DB17">
            <v>17641500</v>
          </cell>
          <cell r="DC17">
            <v>15840000</v>
          </cell>
          <cell r="DD17">
            <v>1801000</v>
          </cell>
          <cell r="DE17">
            <v>108060</v>
          </cell>
          <cell r="DG17">
            <v>108060</v>
          </cell>
          <cell r="DI17">
            <v>56608.333333333336</v>
          </cell>
          <cell r="DJ17">
            <v>51451.666666666664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e">
            <v>#VALUE!</v>
          </cell>
          <cell r="I18" t="str">
            <v>SUKRI</v>
          </cell>
          <cell r="J18" t="str">
            <v>S</v>
          </cell>
          <cell r="K18" t="str">
            <v>U</v>
          </cell>
          <cell r="L18" t="str">
            <v>K</v>
          </cell>
          <cell r="M18" t="str">
            <v>R</v>
          </cell>
          <cell r="N18" t="str">
            <v>I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str">
            <v>Bandar Lampung</v>
          </cell>
          <cell r="AH18" t="str">
            <v>B</v>
          </cell>
          <cell r="AI18" t="str">
            <v>a</v>
          </cell>
          <cell r="AJ18" t="str">
            <v>n</v>
          </cell>
          <cell r="AK18" t="str">
            <v>d</v>
          </cell>
          <cell r="AL18" t="str">
            <v>a</v>
          </cell>
          <cell r="AM18" t="str">
            <v>r</v>
          </cell>
          <cell r="AN18">
            <v>0</v>
          </cell>
          <cell r="AO18" t="str">
            <v>L</v>
          </cell>
          <cell r="AP18" t="str">
            <v>a</v>
          </cell>
          <cell r="AQ18" t="str">
            <v>m</v>
          </cell>
          <cell r="AR18" t="str">
            <v>p</v>
          </cell>
          <cell r="AS18" t="str">
            <v>u</v>
          </cell>
          <cell r="AT18" t="str">
            <v>n</v>
          </cell>
          <cell r="AU18" t="str">
            <v>g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Z18" t="str">
            <v>Karyawan</v>
          </cell>
          <cell r="CA18">
            <v>0</v>
          </cell>
          <cell r="CB18" t="str">
            <v>X</v>
          </cell>
          <cell r="CC18" t="str">
            <v>L</v>
          </cell>
          <cell r="CD18">
            <v>0</v>
          </cell>
          <cell r="CE18" t="str">
            <v>X</v>
          </cell>
          <cell r="CF18" t="str">
            <v>TK/0</v>
          </cell>
          <cell r="CG18" t="str">
            <v>0</v>
          </cell>
          <cell r="CH18" t="str">
            <v>Januari</v>
          </cell>
          <cell r="CI18" t="str">
            <v>Desember</v>
          </cell>
          <cell r="CJ18">
            <v>1</v>
          </cell>
          <cell r="CK18">
            <v>12</v>
          </cell>
          <cell r="CL18">
            <v>12</v>
          </cell>
          <cell r="CM18">
            <v>10560000</v>
          </cell>
          <cell r="CO18">
            <v>3240000</v>
          </cell>
          <cell r="CS18">
            <v>13800000</v>
          </cell>
          <cell r="CT18">
            <v>1900000</v>
          </cell>
          <cell r="CU18">
            <v>15700000</v>
          </cell>
          <cell r="CV18">
            <v>690000</v>
          </cell>
          <cell r="CW18">
            <v>95000</v>
          </cell>
          <cell r="CY18">
            <v>785000</v>
          </cell>
          <cell r="CZ18">
            <v>14915000</v>
          </cell>
          <cell r="DB18">
            <v>14915000</v>
          </cell>
          <cell r="DC18">
            <v>15840000</v>
          </cell>
          <cell r="DD18">
            <v>0</v>
          </cell>
          <cell r="DE18">
            <v>0</v>
          </cell>
          <cell r="DG18" t="str">
            <v>NIHIL</v>
          </cell>
          <cell r="DI18">
            <v>0</v>
          </cell>
          <cell r="DJ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 t="e">
            <v>#VALUE!</v>
          </cell>
          <cell r="I19" t="str">
            <v>ALI</v>
          </cell>
          <cell r="J19" t="str">
            <v>A</v>
          </cell>
          <cell r="K19" t="str">
            <v>L</v>
          </cell>
          <cell r="L19" t="str">
            <v>I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Bandar Lampung</v>
          </cell>
          <cell r="AH19" t="str">
            <v>B</v>
          </cell>
          <cell r="AI19" t="str">
            <v>a</v>
          </cell>
          <cell r="AJ19" t="str">
            <v>n</v>
          </cell>
          <cell r="AK19" t="str">
            <v>d</v>
          </cell>
          <cell r="AL19" t="str">
            <v>a</v>
          </cell>
          <cell r="AM19" t="str">
            <v>r</v>
          </cell>
          <cell r="AN19">
            <v>0</v>
          </cell>
          <cell r="AO19" t="str">
            <v>L</v>
          </cell>
          <cell r="AP19" t="str">
            <v>a</v>
          </cell>
          <cell r="AQ19" t="str">
            <v>m</v>
          </cell>
          <cell r="AR19" t="str">
            <v>p</v>
          </cell>
          <cell r="AS19" t="str">
            <v>u</v>
          </cell>
          <cell r="AT19" t="str">
            <v>n</v>
          </cell>
          <cell r="AU19" t="str">
            <v>g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Z19" t="str">
            <v>Karyawan</v>
          </cell>
          <cell r="CA19">
            <v>0</v>
          </cell>
          <cell r="CB19" t="str">
            <v>X</v>
          </cell>
          <cell r="CC19" t="str">
            <v>L</v>
          </cell>
          <cell r="CD19">
            <v>0</v>
          </cell>
          <cell r="CE19" t="str">
            <v>X</v>
          </cell>
          <cell r="CF19" t="str">
            <v>TK/0</v>
          </cell>
          <cell r="CG19" t="str">
            <v>0</v>
          </cell>
          <cell r="CH19" t="str">
            <v>Januari</v>
          </cell>
          <cell r="CI19" t="str">
            <v>Desember</v>
          </cell>
          <cell r="CJ19">
            <v>1</v>
          </cell>
          <cell r="CK19">
            <v>12</v>
          </cell>
          <cell r="CL19">
            <v>12</v>
          </cell>
          <cell r="CM19">
            <v>10320000</v>
          </cell>
          <cell r="CO19">
            <v>3585000</v>
          </cell>
          <cell r="CS19">
            <v>13905000</v>
          </cell>
          <cell r="CT19">
            <v>1900000</v>
          </cell>
          <cell r="CU19">
            <v>15805000</v>
          </cell>
          <cell r="CV19">
            <v>695250</v>
          </cell>
          <cell r="CW19">
            <v>95000</v>
          </cell>
          <cell r="CY19">
            <v>790250</v>
          </cell>
          <cell r="CZ19">
            <v>15014750</v>
          </cell>
          <cell r="DB19">
            <v>15014750</v>
          </cell>
          <cell r="DC19">
            <v>15840000</v>
          </cell>
          <cell r="DD19">
            <v>0</v>
          </cell>
          <cell r="DE19">
            <v>0</v>
          </cell>
          <cell r="DG19" t="str">
            <v>NIHIL</v>
          </cell>
          <cell r="DI19">
            <v>0</v>
          </cell>
          <cell r="DJ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e">
            <v>#VALUE!</v>
          </cell>
          <cell r="I20" t="str">
            <v>SUTRISNO</v>
          </cell>
          <cell r="J20" t="str">
            <v>S</v>
          </cell>
          <cell r="K20" t="str">
            <v>U</v>
          </cell>
          <cell r="L20" t="str">
            <v>T</v>
          </cell>
          <cell r="M20" t="str">
            <v>R</v>
          </cell>
          <cell r="N20" t="str">
            <v>I</v>
          </cell>
          <cell r="O20" t="str">
            <v>S</v>
          </cell>
          <cell r="P20" t="str">
            <v>N</v>
          </cell>
          <cell r="Q20" t="str">
            <v>O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str">
            <v>Bandar Lampung</v>
          </cell>
          <cell r="AH20" t="str">
            <v>B</v>
          </cell>
          <cell r="AI20" t="str">
            <v>a</v>
          </cell>
          <cell r="AJ20" t="str">
            <v>n</v>
          </cell>
          <cell r="AK20" t="str">
            <v>d</v>
          </cell>
          <cell r="AL20" t="str">
            <v>a</v>
          </cell>
          <cell r="AM20" t="str">
            <v>r</v>
          </cell>
          <cell r="AN20">
            <v>0</v>
          </cell>
          <cell r="AO20" t="str">
            <v>L</v>
          </cell>
          <cell r="AP20" t="str">
            <v>a</v>
          </cell>
          <cell r="AQ20" t="str">
            <v>m</v>
          </cell>
          <cell r="AR20" t="str">
            <v>p</v>
          </cell>
          <cell r="AS20" t="str">
            <v>u</v>
          </cell>
          <cell r="AT20" t="str">
            <v>n</v>
          </cell>
          <cell r="AU20" t="str">
            <v>g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Z20" t="str">
            <v>Karyawan</v>
          </cell>
          <cell r="CA20">
            <v>0</v>
          </cell>
          <cell r="CB20" t="str">
            <v>X</v>
          </cell>
          <cell r="CC20" t="str">
            <v>L</v>
          </cell>
          <cell r="CD20">
            <v>0</v>
          </cell>
          <cell r="CE20" t="str">
            <v>X</v>
          </cell>
          <cell r="CF20" t="str">
            <v>TK/0</v>
          </cell>
          <cell r="CG20" t="str">
            <v>0</v>
          </cell>
          <cell r="CH20" t="str">
            <v>Januari</v>
          </cell>
          <cell r="CI20" t="str">
            <v>Desember</v>
          </cell>
          <cell r="CJ20">
            <v>1</v>
          </cell>
          <cell r="CK20">
            <v>12</v>
          </cell>
          <cell r="CL20">
            <v>12</v>
          </cell>
          <cell r="CM20">
            <v>10200000</v>
          </cell>
          <cell r="CO20">
            <v>2660000</v>
          </cell>
          <cell r="CS20">
            <v>12860000</v>
          </cell>
          <cell r="CT20">
            <v>1200000</v>
          </cell>
          <cell r="CU20">
            <v>14060000</v>
          </cell>
          <cell r="CV20">
            <v>643000</v>
          </cell>
          <cell r="CW20">
            <v>60000</v>
          </cell>
          <cell r="CY20">
            <v>703000</v>
          </cell>
          <cell r="CZ20">
            <v>13357000</v>
          </cell>
          <cell r="DB20">
            <v>13357000</v>
          </cell>
          <cell r="DC20">
            <v>15840000</v>
          </cell>
          <cell r="DD20">
            <v>0</v>
          </cell>
          <cell r="DE20">
            <v>0</v>
          </cell>
          <cell r="DG20" t="str">
            <v>NIHIL</v>
          </cell>
          <cell r="DI20">
            <v>0</v>
          </cell>
          <cell r="DJ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e">
            <v>#VALUE!</v>
          </cell>
          <cell r="I21" t="str">
            <v>MUIS</v>
          </cell>
          <cell r="J21" t="str">
            <v>M</v>
          </cell>
          <cell r="K21" t="str">
            <v>U</v>
          </cell>
          <cell r="L21" t="str">
            <v>I</v>
          </cell>
          <cell r="M21" t="str">
            <v>S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str">
            <v>Bandar Lampung</v>
          </cell>
          <cell r="AH21" t="str">
            <v>B</v>
          </cell>
          <cell r="AI21" t="str">
            <v>a</v>
          </cell>
          <cell r="AJ21" t="str">
            <v>n</v>
          </cell>
          <cell r="AK21" t="str">
            <v>d</v>
          </cell>
          <cell r="AL21" t="str">
            <v>a</v>
          </cell>
          <cell r="AM21" t="str">
            <v>r</v>
          </cell>
          <cell r="AN21">
            <v>0</v>
          </cell>
          <cell r="AO21" t="str">
            <v>L</v>
          </cell>
          <cell r="AP21" t="str">
            <v>a</v>
          </cell>
          <cell r="AQ21" t="str">
            <v>m</v>
          </cell>
          <cell r="AR21" t="str">
            <v>p</v>
          </cell>
          <cell r="AS21" t="str">
            <v>u</v>
          </cell>
          <cell r="AT21" t="str">
            <v>n</v>
          </cell>
          <cell r="AU21" t="str">
            <v>g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Z21" t="str">
            <v>Karyawan</v>
          </cell>
          <cell r="CA21" t="str">
            <v>X</v>
          </cell>
          <cell r="CB21">
            <v>0</v>
          </cell>
          <cell r="CC21" t="str">
            <v>L</v>
          </cell>
          <cell r="CD21">
            <v>0</v>
          </cell>
          <cell r="CE21" t="str">
            <v>X</v>
          </cell>
          <cell r="CF21" t="str">
            <v>K/3</v>
          </cell>
          <cell r="CG21" t="str">
            <v>3</v>
          </cell>
          <cell r="CH21" t="str">
            <v>Januari</v>
          </cell>
          <cell r="CI21" t="str">
            <v>Desember</v>
          </cell>
          <cell r="CJ21">
            <v>1</v>
          </cell>
          <cell r="CK21">
            <v>12</v>
          </cell>
          <cell r="CL21">
            <v>12</v>
          </cell>
          <cell r="CM21">
            <v>10560000</v>
          </cell>
          <cell r="CO21">
            <v>3215000</v>
          </cell>
          <cell r="CS21">
            <v>13775000</v>
          </cell>
          <cell r="CT21">
            <v>1300000</v>
          </cell>
          <cell r="CU21">
            <v>15075000</v>
          </cell>
          <cell r="CV21">
            <v>688750</v>
          </cell>
          <cell r="CW21">
            <v>65000</v>
          </cell>
          <cell r="CY21">
            <v>753750</v>
          </cell>
          <cell r="CZ21">
            <v>14321250</v>
          </cell>
          <cell r="DB21">
            <v>14321250</v>
          </cell>
          <cell r="DC21">
            <v>21120000</v>
          </cell>
          <cell r="DD21">
            <v>0</v>
          </cell>
          <cell r="DE21">
            <v>0</v>
          </cell>
          <cell r="DG21" t="str">
            <v>NIHIL</v>
          </cell>
          <cell r="DI21">
            <v>0</v>
          </cell>
          <cell r="DJ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e">
            <v>#VALUE!</v>
          </cell>
          <cell r="I22" t="str">
            <v>RAHMAT</v>
          </cell>
          <cell r="J22" t="str">
            <v>R</v>
          </cell>
          <cell r="K22" t="str">
            <v>A</v>
          </cell>
          <cell r="L22" t="str">
            <v>H</v>
          </cell>
          <cell r="M22" t="str">
            <v>M</v>
          </cell>
          <cell r="N22" t="str">
            <v>A</v>
          </cell>
          <cell r="O22" t="str">
            <v>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str">
            <v>Bandar Lampung</v>
          </cell>
          <cell r="AH22" t="str">
            <v>B</v>
          </cell>
          <cell r="AI22" t="str">
            <v>a</v>
          </cell>
          <cell r="AJ22" t="str">
            <v>n</v>
          </cell>
          <cell r="AK22" t="str">
            <v>d</v>
          </cell>
          <cell r="AL22" t="str">
            <v>a</v>
          </cell>
          <cell r="AM22" t="str">
            <v>r</v>
          </cell>
          <cell r="AN22">
            <v>0</v>
          </cell>
          <cell r="AO22" t="str">
            <v>L</v>
          </cell>
          <cell r="AP22" t="str">
            <v>a</v>
          </cell>
          <cell r="AQ22" t="str">
            <v>m</v>
          </cell>
          <cell r="AR22" t="str">
            <v>p</v>
          </cell>
          <cell r="AS22" t="str">
            <v>u</v>
          </cell>
          <cell r="AT22" t="str">
            <v>n</v>
          </cell>
          <cell r="AU22" t="str">
            <v>g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Z22" t="str">
            <v>Karyawan</v>
          </cell>
          <cell r="CA22">
            <v>0</v>
          </cell>
          <cell r="CB22" t="str">
            <v>X</v>
          </cell>
          <cell r="CC22" t="str">
            <v>L</v>
          </cell>
          <cell r="CD22">
            <v>0</v>
          </cell>
          <cell r="CE22" t="str">
            <v>X</v>
          </cell>
          <cell r="CF22" t="str">
            <v>TK/0</v>
          </cell>
          <cell r="CG22" t="str">
            <v>0</v>
          </cell>
          <cell r="CH22" t="str">
            <v>Januari</v>
          </cell>
          <cell r="CI22" t="str">
            <v>Desember</v>
          </cell>
          <cell r="CJ22">
            <v>1</v>
          </cell>
          <cell r="CK22">
            <v>12</v>
          </cell>
          <cell r="CL22">
            <v>12</v>
          </cell>
          <cell r="CM22">
            <v>10320000</v>
          </cell>
          <cell r="CO22">
            <v>3270000</v>
          </cell>
          <cell r="CS22">
            <v>13590000</v>
          </cell>
          <cell r="CT22">
            <v>1200000</v>
          </cell>
          <cell r="CU22">
            <v>14790000</v>
          </cell>
          <cell r="CV22">
            <v>679500</v>
          </cell>
          <cell r="CW22">
            <v>60000</v>
          </cell>
          <cell r="CY22">
            <v>739500</v>
          </cell>
          <cell r="CZ22">
            <v>14050500</v>
          </cell>
          <cell r="DB22">
            <v>14050500</v>
          </cell>
          <cell r="DC22">
            <v>15840000</v>
          </cell>
          <cell r="DD22">
            <v>0</v>
          </cell>
          <cell r="DE22">
            <v>0</v>
          </cell>
          <cell r="DG22" t="str">
            <v>NIHIL</v>
          </cell>
          <cell r="DI22">
            <v>0</v>
          </cell>
          <cell r="DJ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#VALUE!</v>
          </cell>
          <cell r="I23" t="str">
            <v>PITER</v>
          </cell>
          <cell r="J23" t="str">
            <v>P</v>
          </cell>
          <cell r="K23" t="str">
            <v>I</v>
          </cell>
          <cell r="L23" t="str">
            <v>T</v>
          </cell>
          <cell r="M23" t="str">
            <v>E</v>
          </cell>
          <cell r="N23" t="str">
            <v>R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Bandar Lampung</v>
          </cell>
          <cell r="AH23" t="str">
            <v>B</v>
          </cell>
          <cell r="AI23" t="str">
            <v>a</v>
          </cell>
          <cell r="AJ23" t="str">
            <v>n</v>
          </cell>
          <cell r="AK23" t="str">
            <v>d</v>
          </cell>
          <cell r="AL23" t="str">
            <v>a</v>
          </cell>
          <cell r="AM23" t="str">
            <v>r</v>
          </cell>
          <cell r="AN23">
            <v>0</v>
          </cell>
          <cell r="AO23" t="str">
            <v>L</v>
          </cell>
          <cell r="AP23" t="str">
            <v>a</v>
          </cell>
          <cell r="AQ23" t="str">
            <v>m</v>
          </cell>
          <cell r="AR23" t="str">
            <v>p</v>
          </cell>
          <cell r="AS23" t="str">
            <v>u</v>
          </cell>
          <cell r="AT23" t="str">
            <v>n</v>
          </cell>
          <cell r="AU23" t="str">
            <v>g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Z23" t="str">
            <v>Karyawan</v>
          </cell>
          <cell r="CA23">
            <v>0</v>
          </cell>
          <cell r="CB23" t="str">
            <v>X</v>
          </cell>
          <cell r="CC23" t="str">
            <v>L</v>
          </cell>
          <cell r="CD23">
            <v>0</v>
          </cell>
          <cell r="CE23" t="str">
            <v>X</v>
          </cell>
          <cell r="CF23" t="str">
            <v>TK/0</v>
          </cell>
          <cell r="CG23" t="str">
            <v>0</v>
          </cell>
          <cell r="CH23" t="str">
            <v>Januari</v>
          </cell>
          <cell r="CI23" t="str">
            <v>Desember</v>
          </cell>
          <cell r="CJ23">
            <v>1</v>
          </cell>
          <cell r="CK23">
            <v>12</v>
          </cell>
          <cell r="CL23">
            <v>12</v>
          </cell>
          <cell r="CM23">
            <v>10200000</v>
          </cell>
          <cell r="CO23">
            <v>3150000</v>
          </cell>
          <cell r="CS23">
            <v>13350000</v>
          </cell>
          <cell r="CT23">
            <v>1000000</v>
          </cell>
          <cell r="CU23">
            <v>14350000</v>
          </cell>
          <cell r="CV23">
            <v>667500</v>
          </cell>
          <cell r="CW23">
            <v>50000</v>
          </cell>
          <cell r="CY23">
            <v>717500</v>
          </cell>
          <cell r="CZ23">
            <v>13632500</v>
          </cell>
          <cell r="DB23">
            <v>13632500</v>
          </cell>
          <cell r="DC23">
            <v>15840000</v>
          </cell>
          <cell r="DD23">
            <v>0</v>
          </cell>
          <cell r="DE23">
            <v>0</v>
          </cell>
          <cell r="DG23" t="str">
            <v>NIHIL</v>
          </cell>
          <cell r="DI23">
            <v>0</v>
          </cell>
          <cell r="DJ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e">
            <v>#VALUE!</v>
          </cell>
          <cell r="I24" t="str">
            <v>JOHAN CHANDRA</v>
          </cell>
          <cell r="J24" t="str">
            <v>J</v>
          </cell>
          <cell r="K24" t="str">
            <v>O</v>
          </cell>
          <cell r="L24" t="str">
            <v>H</v>
          </cell>
          <cell r="M24" t="str">
            <v>A</v>
          </cell>
          <cell r="N24" t="str">
            <v>N</v>
          </cell>
          <cell r="O24">
            <v>0</v>
          </cell>
          <cell r="P24" t="str">
            <v>C</v>
          </cell>
          <cell r="Q24" t="str">
            <v>H</v>
          </cell>
          <cell r="R24" t="str">
            <v>A</v>
          </cell>
          <cell r="S24" t="str">
            <v>N</v>
          </cell>
          <cell r="T24" t="str">
            <v>D</v>
          </cell>
          <cell r="U24" t="str">
            <v>R</v>
          </cell>
          <cell r="V24" t="str">
            <v>A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Bandar Lampung</v>
          </cell>
          <cell r="AH24" t="str">
            <v>B</v>
          </cell>
          <cell r="AI24" t="str">
            <v>a</v>
          </cell>
          <cell r="AJ24" t="str">
            <v>n</v>
          </cell>
          <cell r="AK24" t="str">
            <v>d</v>
          </cell>
          <cell r="AL24" t="str">
            <v>a</v>
          </cell>
          <cell r="AM24" t="str">
            <v>r</v>
          </cell>
          <cell r="AN24">
            <v>0</v>
          </cell>
          <cell r="AO24" t="str">
            <v>L</v>
          </cell>
          <cell r="AP24" t="str">
            <v>a</v>
          </cell>
          <cell r="AQ24" t="str">
            <v>m</v>
          </cell>
          <cell r="AR24" t="str">
            <v>p</v>
          </cell>
          <cell r="AS24" t="str">
            <v>u</v>
          </cell>
          <cell r="AT24" t="str">
            <v>n</v>
          </cell>
          <cell r="AU24" t="str">
            <v>g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Z24" t="str">
            <v>Karyawan</v>
          </cell>
          <cell r="CA24">
            <v>0</v>
          </cell>
          <cell r="CB24" t="str">
            <v>X</v>
          </cell>
          <cell r="CC24" t="str">
            <v>L</v>
          </cell>
          <cell r="CD24">
            <v>0</v>
          </cell>
          <cell r="CE24" t="str">
            <v>X</v>
          </cell>
          <cell r="CF24" t="str">
            <v>TK/0</v>
          </cell>
          <cell r="CG24" t="str">
            <v>0</v>
          </cell>
          <cell r="CH24" t="str">
            <v>Desember</v>
          </cell>
          <cell r="CI24" t="str">
            <v>Desember</v>
          </cell>
          <cell r="CJ24">
            <v>12</v>
          </cell>
          <cell r="CK24">
            <v>12</v>
          </cell>
          <cell r="CL24">
            <v>1</v>
          </cell>
          <cell r="CM24">
            <v>1000000</v>
          </cell>
          <cell r="CO24">
            <v>500000</v>
          </cell>
          <cell r="CS24">
            <v>1500000</v>
          </cell>
          <cell r="CT24">
            <v>0</v>
          </cell>
          <cell r="CU24">
            <v>1500000</v>
          </cell>
          <cell r="CV24">
            <v>75000</v>
          </cell>
          <cell r="CW24">
            <v>0</v>
          </cell>
          <cell r="CY24">
            <v>75000</v>
          </cell>
          <cell r="CZ24">
            <v>1425000</v>
          </cell>
          <cell r="DB24">
            <v>1425000</v>
          </cell>
          <cell r="DC24">
            <v>15840000</v>
          </cell>
          <cell r="DD24">
            <v>0</v>
          </cell>
          <cell r="DE24">
            <v>0</v>
          </cell>
          <cell r="DG24" t="str">
            <v>NIHIL</v>
          </cell>
          <cell r="DI24">
            <v>0</v>
          </cell>
          <cell r="DJ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e">
            <v>#VALUE!</v>
          </cell>
          <cell r="I25" t="str">
            <v>CONDRO WAHONO</v>
          </cell>
          <cell r="J25" t="str">
            <v>C</v>
          </cell>
          <cell r="K25" t="str">
            <v>O</v>
          </cell>
          <cell r="L25" t="str">
            <v>N</v>
          </cell>
          <cell r="M25" t="str">
            <v>D</v>
          </cell>
          <cell r="N25" t="str">
            <v>R</v>
          </cell>
          <cell r="O25" t="str">
            <v>O</v>
          </cell>
          <cell r="P25">
            <v>0</v>
          </cell>
          <cell r="Q25" t="str">
            <v>W</v>
          </cell>
          <cell r="R25" t="str">
            <v>A</v>
          </cell>
          <cell r="S25" t="str">
            <v>H</v>
          </cell>
          <cell r="T25" t="str">
            <v>O</v>
          </cell>
          <cell r="U25" t="str">
            <v>N</v>
          </cell>
          <cell r="V25" t="str">
            <v>O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str">
            <v>Bandar Lampung</v>
          </cell>
          <cell r="AH25" t="str">
            <v>B</v>
          </cell>
          <cell r="AI25" t="str">
            <v>a</v>
          </cell>
          <cell r="AJ25" t="str">
            <v>n</v>
          </cell>
          <cell r="AK25" t="str">
            <v>d</v>
          </cell>
          <cell r="AL25" t="str">
            <v>a</v>
          </cell>
          <cell r="AM25" t="str">
            <v>r</v>
          </cell>
          <cell r="AN25">
            <v>0</v>
          </cell>
          <cell r="AO25" t="str">
            <v>L</v>
          </cell>
          <cell r="AP25" t="str">
            <v>a</v>
          </cell>
          <cell r="AQ25" t="str">
            <v>m</v>
          </cell>
          <cell r="AR25" t="str">
            <v>p</v>
          </cell>
          <cell r="AS25" t="str">
            <v>u</v>
          </cell>
          <cell r="AT25" t="str">
            <v>n</v>
          </cell>
          <cell r="AU25" t="str">
            <v>g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Z25" t="str">
            <v>Karyawan</v>
          </cell>
          <cell r="CA25" t="str">
            <v>X</v>
          </cell>
          <cell r="CB25">
            <v>0</v>
          </cell>
          <cell r="CC25" t="str">
            <v>L</v>
          </cell>
          <cell r="CD25">
            <v>0</v>
          </cell>
          <cell r="CE25" t="str">
            <v>X</v>
          </cell>
          <cell r="CF25" t="str">
            <v>K/2</v>
          </cell>
          <cell r="CG25" t="str">
            <v>2</v>
          </cell>
          <cell r="CH25" t="str">
            <v>Desember</v>
          </cell>
          <cell r="CI25" t="str">
            <v>Desember</v>
          </cell>
          <cell r="CJ25">
            <v>12</v>
          </cell>
          <cell r="CK25">
            <v>12</v>
          </cell>
          <cell r="CL25">
            <v>1</v>
          </cell>
          <cell r="CM25">
            <v>1100000</v>
          </cell>
          <cell r="CO25">
            <v>575000</v>
          </cell>
          <cell r="CS25">
            <v>1675000</v>
          </cell>
          <cell r="CT25">
            <v>0</v>
          </cell>
          <cell r="CU25">
            <v>1675000</v>
          </cell>
          <cell r="CV25">
            <v>83750</v>
          </cell>
          <cell r="CW25">
            <v>0</v>
          </cell>
          <cell r="CY25">
            <v>83750</v>
          </cell>
          <cell r="CZ25">
            <v>1591250</v>
          </cell>
          <cell r="DB25">
            <v>1591250</v>
          </cell>
          <cell r="DC25">
            <v>19800000</v>
          </cell>
          <cell r="DD25">
            <v>0</v>
          </cell>
          <cell r="DE25">
            <v>0</v>
          </cell>
          <cell r="DG25" t="str">
            <v>NIHIL</v>
          </cell>
          <cell r="DI25">
            <v>0</v>
          </cell>
          <cell r="DJ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e">
            <v>#VALUE!</v>
          </cell>
          <cell r="I26" t="str">
            <v>HENDRIKIMUS</v>
          </cell>
          <cell r="J26" t="str">
            <v>H</v>
          </cell>
          <cell r="K26" t="str">
            <v>E</v>
          </cell>
          <cell r="L26" t="str">
            <v>N</v>
          </cell>
          <cell r="M26" t="str">
            <v>D</v>
          </cell>
          <cell r="N26" t="str">
            <v>R</v>
          </cell>
          <cell r="O26" t="str">
            <v>I</v>
          </cell>
          <cell r="P26" t="str">
            <v>K</v>
          </cell>
          <cell r="Q26" t="str">
            <v>I</v>
          </cell>
          <cell r="R26" t="str">
            <v>M</v>
          </cell>
          <cell r="S26" t="str">
            <v>U</v>
          </cell>
          <cell r="T26" t="str">
            <v>S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str">
            <v>Bandar Lampung</v>
          </cell>
          <cell r="AH26" t="str">
            <v>B</v>
          </cell>
          <cell r="AI26" t="str">
            <v>a</v>
          </cell>
          <cell r="AJ26" t="str">
            <v>n</v>
          </cell>
          <cell r="AK26" t="str">
            <v>d</v>
          </cell>
          <cell r="AL26" t="str">
            <v>a</v>
          </cell>
          <cell r="AM26" t="str">
            <v>r</v>
          </cell>
          <cell r="AN26">
            <v>0</v>
          </cell>
          <cell r="AO26" t="str">
            <v>L</v>
          </cell>
          <cell r="AP26" t="str">
            <v>a</v>
          </cell>
          <cell r="AQ26" t="str">
            <v>m</v>
          </cell>
          <cell r="AR26" t="str">
            <v>p</v>
          </cell>
          <cell r="AS26" t="str">
            <v>u</v>
          </cell>
          <cell r="AT26" t="str">
            <v>n</v>
          </cell>
          <cell r="AU26" t="str">
            <v>g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Z26" t="str">
            <v>Karyawan</v>
          </cell>
          <cell r="CA26">
            <v>0</v>
          </cell>
          <cell r="CB26" t="str">
            <v>X</v>
          </cell>
          <cell r="CC26" t="str">
            <v>L</v>
          </cell>
          <cell r="CD26">
            <v>0</v>
          </cell>
          <cell r="CE26" t="str">
            <v>X</v>
          </cell>
          <cell r="CF26" t="str">
            <v>TK/0</v>
          </cell>
          <cell r="CG26" t="str">
            <v>0</v>
          </cell>
          <cell r="CH26" t="str">
            <v>Desember</v>
          </cell>
          <cell r="CI26" t="str">
            <v>Desember</v>
          </cell>
          <cell r="CJ26">
            <v>12</v>
          </cell>
          <cell r="CK26">
            <v>12</v>
          </cell>
          <cell r="CL26">
            <v>1</v>
          </cell>
          <cell r="CM26">
            <v>800000</v>
          </cell>
          <cell r="CO26">
            <v>575000</v>
          </cell>
          <cell r="CS26">
            <v>1375000</v>
          </cell>
          <cell r="CT26">
            <v>0</v>
          </cell>
          <cell r="CU26">
            <v>1375000</v>
          </cell>
          <cell r="CV26">
            <v>68750</v>
          </cell>
          <cell r="CW26">
            <v>0</v>
          </cell>
          <cell r="CY26">
            <v>68750</v>
          </cell>
          <cell r="CZ26">
            <v>1306250</v>
          </cell>
          <cell r="DB26">
            <v>1306250</v>
          </cell>
          <cell r="DC26">
            <v>15840000</v>
          </cell>
          <cell r="DD26">
            <v>0</v>
          </cell>
          <cell r="DE26">
            <v>0</v>
          </cell>
          <cell r="DG26" t="str">
            <v>NIHIL</v>
          </cell>
          <cell r="DI26">
            <v>0</v>
          </cell>
          <cell r="DJ26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"/>
      <sheetName val="1721"/>
      <sheetName val="A"/>
      <sheetName val="A (2)"/>
      <sheetName val="A (3)"/>
      <sheetName val="A1"/>
      <sheetName val="A2"/>
      <sheetName val="B"/>
      <sheetName val="C"/>
      <sheetName val="NAMA"/>
      <sheetName val="PERHITUNGAN_bener"/>
      <sheetName val="PERHITUNGAN"/>
      <sheetName val="p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F9" t="str">
            <v>TK/0</v>
          </cell>
          <cell r="G9">
            <v>12000000</v>
          </cell>
        </row>
        <row r="10">
          <cell r="F10" t="str">
            <v>TK/1</v>
          </cell>
          <cell r="G10">
            <v>13200000</v>
          </cell>
        </row>
        <row r="11">
          <cell r="F11" t="str">
            <v>TK/2</v>
          </cell>
          <cell r="G11">
            <v>14400000</v>
          </cell>
        </row>
        <row r="12">
          <cell r="F12" t="str">
            <v>TK/2</v>
          </cell>
          <cell r="G12">
            <v>14400000</v>
          </cell>
        </row>
        <row r="13">
          <cell r="F13" t="str">
            <v>TK/3</v>
          </cell>
          <cell r="G13">
            <v>15600000</v>
          </cell>
        </row>
        <row r="14">
          <cell r="F14" t="str">
            <v>K/0</v>
          </cell>
          <cell r="G14">
            <v>13200000</v>
          </cell>
        </row>
        <row r="15">
          <cell r="F15" t="str">
            <v>K/1</v>
          </cell>
          <cell r="G15">
            <v>14400000</v>
          </cell>
        </row>
        <row r="16">
          <cell r="F16" t="str">
            <v>K/2</v>
          </cell>
          <cell r="G16">
            <v>15600000</v>
          </cell>
        </row>
        <row r="17">
          <cell r="F17" t="str">
            <v>K/3</v>
          </cell>
          <cell r="G17">
            <v>16800000</v>
          </cell>
        </row>
        <row r="18">
          <cell r="F18" t="str">
            <v>K/I/0</v>
          </cell>
          <cell r="G18">
            <v>25400000</v>
          </cell>
        </row>
        <row r="19">
          <cell r="F19" t="str">
            <v>K/I/1</v>
          </cell>
          <cell r="G19">
            <v>26600000</v>
          </cell>
        </row>
        <row r="20">
          <cell r="F20" t="str">
            <v>K/I/2</v>
          </cell>
          <cell r="G20">
            <v>27800000</v>
          </cell>
        </row>
        <row r="21">
          <cell r="F21" t="str">
            <v>K/I/3</v>
          </cell>
          <cell r="G21">
            <v>29000000</v>
          </cell>
        </row>
      </sheetData>
      <sheetData sheetId="10"/>
      <sheetData sheetId="11"/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"/>
      <sheetName val="1721"/>
      <sheetName val="A"/>
      <sheetName val="A1"/>
      <sheetName val="A2"/>
      <sheetName val="B"/>
      <sheetName val="C"/>
      <sheetName val="Nama"/>
      <sheetName val="Perhitungan Be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F9" t="str">
            <v>TK/0</v>
          </cell>
          <cell r="G9">
            <v>12000000</v>
          </cell>
        </row>
        <row r="10">
          <cell r="F10" t="str">
            <v>TK/1</v>
          </cell>
          <cell r="G10">
            <v>13200000</v>
          </cell>
        </row>
        <row r="11">
          <cell r="F11" t="str">
            <v>TK/2</v>
          </cell>
          <cell r="G11">
            <v>14400000</v>
          </cell>
        </row>
        <row r="12">
          <cell r="F12" t="str">
            <v>TK/3</v>
          </cell>
          <cell r="G12">
            <v>15600000</v>
          </cell>
        </row>
        <row r="13">
          <cell r="F13" t="str">
            <v>K/0</v>
          </cell>
          <cell r="G13">
            <v>13200000</v>
          </cell>
        </row>
        <row r="14">
          <cell r="F14" t="str">
            <v>K/1</v>
          </cell>
          <cell r="G14">
            <v>14400000</v>
          </cell>
        </row>
        <row r="15">
          <cell r="F15" t="str">
            <v>K/2</v>
          </cell>
          <cell r="G15">
            <v>15600000</v>
          </cell>
        </row>
        <row r="16">
          <cell r="F16" t="str">
            <v>K/3</v>
          </cell>
          <cell r="G16">
            <v>16800000</v>
          </cell>
        </row>
        <row r="17">
          <cell r="F17" t="str">
            <v>K/I/0</v>
          </cell>
          <cell r="G17">
            <v>25200000</v>
          </cell>
        </row>
        <row r="18">
          <cell r="F18" t="str">
            <v>K/I/1</v>
          </cell>
          <cell r="G18">
            <v>26400000</v>
          </cell>
        </row>
        <row r="19">
          <cell r="F19" t="str">
            <v>K/I/2</v>
          </cell>
          <cell r="G19">
            <v>27600000</v>
          </cell>
        </row>
        <row r="20">
          <cell r="F20" t="str">
            <v>K/I/3</v>
          </cell>
          <cell r="G20">
            <v>28800000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KP"/>
      <sheetName val="PPh"/>
      <sheetName val="PPh Jan"/>
      <sheetName val="PPh Feb"/>
      <sheetName val="PPh Mar"/>
      <sheetName val="PPh April"/>
      <sheetName val="PPh Mei"/>
      <sheetName val="PPh Juni"/>
      <sheetName val="PPh Juli"/>
      <sheetName val="PPh Agst"/>
      <sheetName val="PPh Spt"/>
      <sheetName val="PPh Okt"/>
      <sheetName val="PPh Nop"/>
      <sheetName val="PPh Des"/>
      <sheetName val="gaji&amp;Tunjangan "/>
    </sheetNames>
    <sheetDataSet>
      <sheetData sheetId="0" refreshError="1">
        <row r="2">
          <cell r="A2" t="str">
            <v>K/0</v>
          </cell>
        </row>
        <row r="3">
          <cell r="A3" t="str">
            <v>K/1</v>
          </cell>
        </row>
        <row r="4">
          <cell r="A4" t="str">
            <v>K/2</v>
          </cell>
        </row>
        <row r="5">
          <cell r="A5" t="str">
            <v>K/3</v>
          </cell>
        </row>
        <row r="6">
          <cell r="A6" t="str">
            <v>K/I/0</v>
          </cell>
        </row>
        <row r="7">
          <cell r="A7" t="str">
            <v>K/I/1</v>
          </cell>
        </row>
        <row r="8">
          <cell r="A8" t="str">
            <v>K/I/2</v>
          </cell>
        </row>
        <row r="9">
          <cell r="A9" t="str">
            <v>K/I/3</v>
          </cell>
        </row>
        <row r="10">
          <cell r="A10" t="str">
            <v>TK/0</v>
          </cell>
        </row>
        <row r="11">
          <cell r="A11" t="str">
            <v>TK/1</v>
          </cell>
        </row>
        <row r="12">
          <cell r="A12" t="str">
            <v>TK/2</v>
          </cell>
        </row>
        <row r="13">
          <cell r="A13" t="str">
            <v>TK/3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data _2_"/>
      <sheetName val="DH_RI_SI Exceptions"/>
      <sheetName val="0"/>
      <sheetName val="Journal"/>
      <sheetName val="TBM"/>
      <sheetName val="Macro5"/>
      <sheetName val="Ex-Rate"/>
      <sheetName val="Ex_Rate"/>
      <sheetName val="Detail_FA"/>
      <sheetName val="Permanent info"/>
      <sheetName val="d_com"/>
      <sheetName val="panther"/>
      <sheetName val="Account Payable"/>
      <sheetName val="Revenue (10)"/>
      <sheetName val="ExchRates"/>
      <sheetName val="FKT_PJK"/>
      <sheetName val="Links"/>
      <sheetName val="A"/>
      <sheetName val="Lead"/>
      <sheetName val="1-Summary DEC'16"/>
      <sheetName val="Menu"/>
      <sheetName val="ARC_SEGMENT"/>
      <sheetName val="rinci"/>
      <sheetName val="CVR"/>
      <sheetName val="FORM-X-1"/>
      <sheetName val="COSTMAR"/>
      <sheetName val="Master"/>
      <sheetName val="FISIK RAB 2000"/>
      <sheetName val="12 Mo"/>
      <sheetName val="24 Mo"/>
      <sheetName val="AN_EL(16.0)"/>
      <sheetName val="Home Office"/>
      <sheetName val="T5"/>
      <sheetName val="T3"/>
      <sheetName val="T2"/>
      <sheetName val="BARSdec05"/>
      <sheetName val="Customize"/>
      <sheetName val="Assumptions"/>
      <sheetName val="Sheet1"/>
      <sheetName val="2002"/>
      <sheetName val="Journal Template"/>
      <sheetName val="Case 1 DATUM"/>
      <sheetName val="Nerla"/>
      <sheetName val="Biaya Departemen"/>
      <sheetName val="TB"/>
      <sheetName val="Marshal"/>
      <sheetName val="MATERIALFINAL"/>
      <sheetName val="GeneralInfo"/>
      <sheetName val="SUPPORT"/>
    </sheetNames>
    <sheetDataSet>
      <sheetData sheetId="0">
        <row r="1">
          <cell r="T1">
            <v>1</v>
          </cell>
          <cell r="U1" t="str">
            <v>seribu</v>
          </cell>
        </row>
        <row r="4">
          <cell r="T4">
            <v>1</v>
          </cell>
          <cell r="U4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 xml:space="preserve"> </v>
          </cell>
          <cell r="V6" t="str">
            <v xml:space="preserve"> </v>
          </cell>
        </row>
        <row r="7">
          <cell r="V7" t="str">
            <v xml:space="preserve"> 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PTKP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>
            <v>0</v>
          </cell>
          <cell r="V6">
            <v>0</v>
          </cell>
        </row>
        <row r="7">
          <cell r="V7">
            <v>0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"/>
      <sheetName val="SPM1"/>
      <sheetName val="SPM2"/>
      <sheetName val="T"/>
      <sheetName val="I"/>
      <sheetName val="1721-A1"/>
      <sheetName val="II"/>
      <sheetName val="D-BP"/>
      <sheetName val="D-BPF"/>
      <sheetName val="BP-F"/>
      <sheetName val="BP-TF"/>
      <sheetName val="Warning"/>
      <sheetName val="cttn"/>
      <sheetName val="#Non PT"/>
      <sheetName val="."/>
      <sheetName val="dt peg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#A-1"/>
      <sheetName val="e-T"/>
      <sheetName val="e-ms"/>
      <sheetName val="e-th"/>
      <sheetName val="DTP"/>
      <sheetName val="sum"/>
      <sheetName val="MacP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1">
          <cell r="B11" t="b">
            <v>1</v>
          </cell>
          <cell r="C11" t="b">
            <v>1</v>
          </cell>
          <cell r="D11" t="b">
            <v>1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"/>
      <sheetName val="acp"/>
      <sheetName val="Sheet2"/>
      <sheetName val="Agustus (Jamsotek)"/>
    </sheetNames>
    <sheetDataSet>
      <sheetData sheetId="0"/>
      <sheetData sheetId="1"/>
      <sheetData sheetId="2">
        <row r="2">
          <cell r="A2" t="str">
            <v>K/0</v>
          </cell>
          <cell r="B2">
            <v>17160000</v>
          </cell>
          <cell r="C2">
            <v>1430000</v>
          </cell>
        </row>
        <row r="3">
          <cell r="A3" t="str">
            <v>K/1</v>
          </cell>
          <cell r="B3">
            <v>18480000</v>
          </cell>
          <cell r="C3">
            <v>1540000</v>
          </cell>
        </row>
        <row r="4">
          <cell r="A4" t="str">
            <v>K/2</v>
          </cell>
          <cell r="B4">
            <v>19800000</v>
          </cell>
          <cell r="C4">
            <v>1650000</v>
          </cell>
        </row>
        <row r="5">
          <cell r="A5" t="str">
            <v>K/3</v>
          </cell>
          <cell r="B5">
            <v>21120000</v>
          </cell>
          <cell r="C5">
            <v>1760000</v>
          </cell>
        </row>
        <row r="6">
          <cell r="A6" t="str">
            <v>K/I/0</v>
          </cell>
          <cell r="B6">
            <v>33000000</v>
          </cell>
          <cell r="C6">
            <v>2750000</v>
          </cell>
        </row>
        <row r="7">
          <cell r="A7" t="str">
            <v>K/I/1</v>
          </cell>
          <cell r="B7">
            <v>34320000</v>
          </cell>
          <cell r="C7">
            <v>2860000</v>
          </cell>
        </row>
        <row r="8">
          <cell r="A8" t="str">
            <v>K/I/2</v>
          </cell>
          <cell r="B8">
            <v>35640000</v>
          </cell>
          <cell r="C8">
            <v>2970000</v>
          </cell>
        </row>
        <row r="9">
          <cell r="A9" t="str">
            <v>K/I/3</v>
          </cell>
          <cell r="B9">
            <v>36960000</v>
          </cell>
          <cell r="C9">
            <v>3080000</v>
          </cell>
        </row>
        <row r="10">
          <cell r="A10" t="str">
            <v>TK/0</v>
          </cell>
          <cell r="B10">
            <v>15840000</v>
          </cell>
          <cell r="C10">
            <v>1320000</v>
          </cell>
        </row>
        <row r="11">
          <cell r="A11" t="str">
            <v>TK/1</v>
          </cell>
          <cell r="B11">
            <v>17160000</v>
          </cell>
          <cell r="C11">
            <v>1430000</v>
          </cell>
        </row>
        <row r="12">
          <cell r="A12" t="str">
            <v>TK/2</v>
          </cell>
          <cell r="B12">
            <v>18480000</v>
          </cell>
          <cell r="C12">
            <v>1540000</v>
          </cell>
        </row>
        <row r="13">
          <cell r="A13" t="str">
            <v>TK/3</v>
          </cell>
          <cell r="B13">
            <v>19800000</v>
          </cell>
          <cell r="C13">
            <v>1650000</v>
          </cell>
        </row>
      </sheetData>
      <sheetData sheetId="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"/>
      <sheetName val="XXXXXXXX0"/>
      <sheetName val="XXXXXXXX1"/>
      <sheetName val="Laba"/>
      <sheetName val="Ekuitas"/>
      <sheetName val="Neraca"/>
      <sheetName val="WPCF"/>
      <sheetName val="Cash Flow"/>
      <sheetName val="Management Letter"/>
      <sheetName val="MP"/>
      <sheetName val="WS"/>
      <sheetName val="Aje"/>
      <sheetName val="Rje"/>
      <sheetName val="5100"/>
      <sheetName val="5120"/>
      <sheetName val="5121"/>
      <sheetName val="5200"/>
      <sheetName val="5210"/>
      <sheetName val="5300"/>
      <sheetName val="5400"/>
      <sheetName val="5410"/>
      <sheetName val="5500"/>
      <sheetName val="asuransi"/>
      <sheetName val="5510"/>
      <sheetName val="5600"/>
      <sheetName val="5700"/>
      <sheetName val="5710"/>
      <sheetName val="5711"/>
      <sheetName val="5800"/>
      <sheetName val="5810"/>
      <sheetName val="5811"/>
      <sheetName val="5821"/>
      <sheetName val="5900"/>
      <sheetName val="ditangguhkan"/>
      <sheetName val="5950"/>
      <sheetName val="6200"/>
      <sheetName val="6210"/>
      <sheetName val="6300"/>
      <sheetName val="6310"/>
      <sheetName val="6320"/>
      <sheetName val="6400"/>
      <sheetName val="6400 (2)"/>
      <sheetName val="6500"/>
      <sheetName val="6511"/>
      <sheetName val="6600"/>
      <sheetName val="7000"/>
      <sheetName val="7100"/>
      <sheetName val="8100"/>
      <sheetName val="8100 (2)"/>
      <sheetName val="8110"/>
      <sheetName val="8111"/>
      <sheetName val="8120"/>
      <sheetName val="8121"/>
      <sheetName val="8200"/>
      <sheetName val="8210"/>
      <sheetName val="8211"/>
      <sheetName val="8212"/>
      <sheetName val="8213"/>
      <sheetName val="8214"/>
      <sheetName val="8220"/>
      <sheetName val="8221"/>
      <sheetName val="8222"/>
      <sheetName val="8263"/>
      <sheetName val="8300"/>
      <sheetName val="8310"/>
      <sheetName val="8311"/>
      <sheetName val="8312"/>
      <sheetName val="8313"/>
      <sheetName val="8314"/>
      <sheetName val="8315"/>
      <sheetName val="8400"/>
      <sheetName val="9000"/>
      <sheetName val="9100"/>
      <sheetName val="5511"/>
      <sheetName val="5910"/>
      <sheetName val="6100"/>
      <sheetName val="6110"/>
      <sheetName val="Schedule Angsur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Rekap biaya"/>
      <sheetName val="Tabel PErkiraan"/>
      <sheetName val="AKTIVA TETAP-Fiskal"/>
      <sheetName val="Neraca (2)"/>
      <sheetName val="Trial RL  (2)"/>
      <sheetName val="Trial RL "/>
      <sheetName val="Neraca"/>
      <sheetName val="bUKU  Bank  "/>
      <sheetName val="bUKU  Bank   "/>
      <sheetName val="Jurnal umum   "/>
      <sheetName val="Rekap Pendapatan "/>
      <sheetName val="Rekap FP"/>
      <sheetName val="JASA ANGKUTAN"/>
      <sheetName val="JASA EMKL"/>
      <sheetName val="Jurnal Pengeluaran Bank"/>
      <sheetName val="RMS - STR"/>
    </sheetNames>
    <sheetDataSet>
      <sheetData sheetId="0" refreshError="1"/>
      <sheetData sheetId="1" refreshError="1"/>
      <sheetData sheetId="2" refreshError="1">
        <row r="3">
          <cell r="A3" t="str">
            <v>NO. REK</v>
          </cell>
          <cell r="B3" t="str">
            <v>Keterangan</v>
          </cell>
        </row>
        <row r="4">
          <cell r="A4">
            <v>101</v>
          </cell>
          <cell r="B4" t="str">
            <v>Kas</v>
          </cell>
        </row>
        <row r="5">
          <cell r="A5">
            <v>102</v>
          </cell>
          <cell r="B5" t="str">
            <v xml:space="preserve">Bank </v>
          </cell>
        </row>
        <row r="6">
          <cell r="A6">
            <v>103</v>
          </cell>
          <cell r="B6" t="str">
            <v>Piutang Usaha</v>
          </cell>
        </row>
        <row r="7">
          <cell r="A7">
            <v>104</v>
          </cell>
          <cell r="B7" t="str">
            <v>Piutang Karyawan</v>
          </cell>
        </row>
        <row r="8">
          <cell r="A8">
            <v>105</v>
          </cell>
          <cell r="B8" t="str">
            <v>Piutang Lain-lain</v>
          </cell>
        </row>
        <row r="9">
          <cell r="A9" t="str">
            <v>105-1</v>
          </cell>
          <cell r="B9" t="str">
            <v>Piutang Pemegang Saham</v>
          </cell>
        </row>
        <row r="10">
          <cell r="A10">
            <v>106</v>
          </cell>
          <cell r="B10" t="str">
            <v>Pajak dibayar dimuka</v>
          </cell>
        </row>
        <row r="11">
          <cell r="A11" t="str">
            <v>106-1</v>
          </cell>
          <cell r="B11" t="str">
            <v>Asuransi dibayar dimuka</v>
          </cell>
        </row>
        <row r="12">
          <cell r="A12">
            <v>107</v>
          </cell>
          <cell r="B12" t="str">
            <v>AT-Perlengkapan Kantor</v>
          </cell>
        </row>
        <row r="13">
          <cell r="A13">
            <v>108</v>
          </cell>
          <cell r="B13" t="str">
            <v>Akumulasi Penyusutan Perlengkapan Kantor</v>
          </cell>
        </row>
        <row r="14">
          <cell r="A14">
            <v>109</v>
          </cell>
          <cell r="B14" t="str">
            <v>Kendaraan</v>
          </cell>
        </row>
        <row r="15">
          <cell r="A15">
            <v>110</v>
          </cell>
          <cell r="B15" t="str">
            <v>Akumulasi Penyusutan Kendaraan</v>
          </cell>
        </row>
        <row r="16">
          <cell r="A16">
            <v>111</v>
          </cell>
          <cell r="B16" t="str">
            <v>Hutang Usaha</v>
          </cell>
        </row>
        <row r="17">
          <cell r="A17">
            <v>112</v>
          </cell>
          <cell r="B17" t="str">
            <v>Hutang Pajak</v>
          </cell>
        </row>
        <row r="18">
          <cell r="A18">
            <v>113</v>
          </cell>
          <cell r="B18" t="str">
            <v>Hutang Lain-lain</v>
          </cell>
        </row>
        <row r="19">
          <cell r="A19">
            <v>114</v>
          </cell>
          <cell r="B19" t="str">
            <v>PPN</v>
          </cell>
        </row>
        <row r="20">
          <cell r="A20">
            <v>115</v>
          </cell>
          <cell r="B20" t="str">
            <v>Modal</v>
          </cell>
        </row>
        <row r="21">
          <cell r="A21">
            <v>201</v>
          </cell>
          <cell r="B21" t="str">
            <v>Pendapatan</v>
          </cell>
        </row>
        <row r="22">
          <cell r="A22">
            <v>202</v>
          </cell>
          <cell r="B22" t="str">
            <v>Biaya Angkut</v>
          </cell>
        </row>
        <row r="23">
          <cell r="A23">
            <v>203</v>
          </cell>
          <cell r="B23" t="str">
            <v>Biaya Buruh Pelabuhan</v>
          </cell>
        </row>
        <row r="24">
          <cell r="A24">
            <v>204</v>
          </cell>
          <cell r="B24" t="str">
            <v>Biaya Gaji</v>
          </cell>
        </row>
        <row r="25">
          <cell r="A25">
            <v>205</v>
          </cell>
          <cell r="B25" t="str">
            <v>Biaya THR/Bonus</v>
          </cell>
        </row>
        <row r="26">
          <cell r="A26">
            <v>206</v>
          </cell>
          <cell r="B26" t="str">
            <v>Tunjangan</v>
          </cell>
        </row>
        <row r="27">
          <cell r="A27">
            <v>207</v>
          </cell>
          <cell r="B27" t="str">
            <v>Biaya Pengobatan</v>
          </cell>
        </row>
        <row r="28">
          <cell r="A28">
            <v>208</v>
          </cell>
          <cell r="B28" t="str">
            <v>Biaya Penyusutan Perlengkapan Kantor</v>
          </cell>
        </row>
        <row r="29">
          <cell r="A29">
            <v>209</v>
          </cell>
          <cell r="B29" t="str">
            <v>Biaya Penyusutan Kendaraan</v>
          </cell>
        </row>
        <row r="30">
          <cell r="A30" t="str">
            <v>209-1</v>
          </cell>
          <cell r="B30" t="str">
            <v>Biaya Asuransi</v>
          </cell>
        </row>
        <row r="31">
          <cell r="A31">
            <v>210</v>
          </cell>
          <cell r="B31" t="str">
            <v>Biaya Kantor</v>
          </cell>
        </row>
        <row r="32">
          <cell r="A32">
            <v>211</v>
          </cell>
          <cell r="B32" t="str">
            <v>Biaya Keamanan &amp; Kebersihan</v>
          </cell>
        </row>
        <row r="33">
          <cell r="A33">
            <v>212</v>
          </cell>
          <cell r="B33" t="str">
            <v>Biaya Parkir, Tol &amp; Bensin</v>
          </cell>
        </row>
        <row r="34">
          <cell r="A34">
            <v>213</v>
          </cell>
          <cell r="B34" t="str">
            <v>Biaya Telepon &amp; Fax</v>
          </cell>
        </row>
        <row r="35">
          <cell r="A35">
            <v>214</v>
          </cell>
          <cell r="B35" t="str">
            <v>Biaya Listrik &amp; Air</v>
          </cell>
        </row>
        <row r="36">
          <cell r="A36">
            <v>215</v>
          </cell>
          <cell r="B36" t="str">
            <v>Biaya Telepon seluler</v>
          </cell>
        </row>
        <row r="37">
          <cell r="A37">
            <v>216</v>
          </cell>
          <cell r="B37" t="str">
            <v>Sumbangan</v>
          </cell>
        </row>
        <row r="38">
          <cell r="A38">
            <v>217</v>
          </cell>
          <cell r="B38" t="str">
            <v>Biaya Pemeliharaan &amp; Perbaikan</v>
          </cell>
        </row>
        <row r="39">
          <cell r="A39">
            <v>218</v>
          </cell>
          <cell r="B39" t="str">
            <v>Biaya PPh</v>
          </cell>
        </row>
        <row r="40">
          <cell r="A40">
            <v>219</v>
          </cell>
          <cell r="B40" t="str">
            <v>Biaya Lain-lain</v>
          </cell>
        </row>
        <row r="41">
          <cell r="A41" t="str">
            <v>219-1</v>
          </cell>
          <cell r="B41" t="str">
            <v>Biaya Bunga Pinjaman</v>
          </cell>
        </row>
        <row r="42">
          <cell r="A42">
            <v>220</v>
          </cell>
          <cell r="B42" t="str">
            <v>Biaya Administrasi Bank</v>
          </cell>
        </row>
        <row r="43">
          <cell r="A43">
            <v>221</v>
          </cell>
          <cell r="B43" t="str">
            <v>Pendapatan (Biaya) Lain-lain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NS. AWAL"/>
      <sheetName val="AKT"/>
      <sheetName val="AKT Fiskal"/>
      <sheetName val="S.A hutang 2006"/>
      <sheetName val="BB Biaya"/>
      <sheetName val="BB AKtiva Lancar "/>
      <sheetName val="BB Aktiva Tetap"/>
      <sheetName val="BB Utang Lancar "/>
      <sheetName val="Rugi Laba"/>
      <sheetName val="Neraca   "/>
      <sheetName val="BB Pendapatan "/>
      <sheetName val="Rugi Laba Fiskal"/>
      <sheetName val="BB Modal "/>
      <sheetName val="Sheet4"/>
      <sheetName val="Sheet3"/>
      <sheetName val="FORMULA"/>
    </sheetNames>
    <sheetDataSet>
      <sheetData sheetId="0">
        <row r="3">
          <cell r="A3">
            <v>11001</v>
          </cell>
          <cell r="B3" t="str">
            <v>Kas</v>
          </cell>
        </row>
        <row r="4">
          <cell r="A4">
            <v>11002</v>
          </cell>
          <cell r="B4" t="str">
            <v>Kas SGD</v>
          </cell>
        </row>
        <row r="5">
          <cell r="A5">
            <v>11003</v>
          </cell>
          <cell r="B5" t="str">
            <v>Kas USD</v>
          </cell>
        </row>
        <row r="6">
          <cell r="A6">
            <v>12001</v>
          </cell>
          <cell r="B6" t="str">
            <v>Bank ICBC (Rp)</v>
          </cell>
        </row>
        <row r="7">
          <cell r="A7">
            <v>12002</v>
          </cell>
          <cell r="B7" t="str">
            <v>Bank ICBC (USD)</v>
          </cell>
        </row>
        <row r="8">
          <cell r="A8">
            <v>12003</v>
          </cell>
          <cell r="B8" t="str">
            <v>Bank BII (SGD)</v>
          </cell>
        </row>
        <row r="9">
          <cell r="A9">
            <v>13001</v>
          </cell>
          <cell r="B9" t="str">
            <v>Piutang Usaha</v>
          </cell>
        </row>
        <row r="10">
          <cell r="A10">
            <v>13002</v>
          </cell>
          <cell r="B10" t="str">
            <v>Piutang Pemegang Saham</v>
          </cell>
        </row>
        <row r="11">
          <cell r="A11">
            <v>13003</v>
          </cell>
          <cell r="B11" t="str">
            <v>Piutang Karyawan</v>
          </cell>
        </row>
        <row r="12">
          <cell r="A12">
            <v>13004</v>
          </cell>
          <cell r="B12" t="str">
            <v>Piutang Lain-lain</v>
          </cell>
        </row>
        <row r="13">
          <cell r="A13">
            <v>13005</v>
          </cell>
          <cell r="B13" t="str">
            <v>Persediaan</v>
          </cell>
        </row>
        <row r="14">
          <cell r="A14">
            <v>13006</v>
          </cell>
          <cell r="B14" t="str">
            <v>PPN Masukan</v>
          </cell>
        </row>
        <row r="15">
          <cell r="A15">
            <v>13007</v>
          </cell>
          <cell r="B15" t="str">
            <v>Piutang PPN</v>
          </cell>
        </row>
        <row r="16">
          <cell r="A16">
            <v>14001</v>
          </cell>
          <cell r="B16" t="str">
            <v>Sewa dibayar dimuka</v>
          </cell>
        </row>
        <row r="17">
          <cell r="A17">
            <v>14002</v>
          </cell>
          <cell r="B17" t="str">
            <v>Pajak Dibayar dimuka</v>
          </cell>
        </row>
        <row r="18">
          <cell r="A18">
            <v>14003</v>
          </cell>
          <cell r="B18" t="str">
            <v>Uang Muka Pembelian</v>
          </cell>
        </row>
        <row r="19">
          <cell r="A19">
            <v>14004</v>
          </cell>
          <cell r="B19" t="str">
            <v>Uang Jaminan</v>
          </cell>
        </row>
        <row r="20">
          <cell r="A20">
            <v>14005</v>
          </cell>
          <cell r="B20" t="str">
            <v>Uang Muka Lain-lain</v>
          </cell>
        </row>
        <row r="21">
          <cell r="A21">
            <v>21001</v>
          </cell>
          <cell r="B21" t="str">
            <v>Perlengkapan Kantor</v>
          </cell>
        </row>
        <row r="22">
          <cell r="A22">
            <v>21002</v>
          </cell>
          <cell r="B22" t="str">
            <v>Akumulasi Penyusutan Perlengkapan kantor</v>
          </cell>
        </row>
        <row r="23">
          <cell r="A23">
            <v>21003</v>
          </cell>
          <cell r="B23" t="str">
            <v>Kendaraan</v>
          </cell>
        </row>
        <row r="24">
          <cell r="A24">
            <v>21004</v>
          </cell>
          <cell r="B24" t="str">
            <v>Akumulasi Penyusutan Kendaraan</v>
          </cell>
        </row>
        <row r="25">
          <cell r="A25">
            <v>21005</v>
          </cell>
          <cell r="B25" t="str">
            <v>Amortisasi Leasehold</v>
          </cell>
        </row>
        <row r="26">
          <cell r="A26">
            <v>31001</v>
          </cell>
          <cell r="B26" t="str">
            <v>Hutang Dagang</v>
          </cell>
        </row>
        <row r="27">
          <cell r="A27">
            <v>31002</v>
          </cell>
          <cell r="B27" t="str">
            <v>Hutang Pemegang Saham</v>
          </cell>
        </row>
        <row r="28">
          <cell r="A28">
            <v>31003</v>
          </cell>
          <cell r="B28" t="str">
            <v>Hutang Pajak</v>
          </cell>
        </row>
        <row r="29">
          <cell r="A29">
            <v>31004</v>
          </cell>
          <cell r="B29" t="str">
            <v>Hutang Lain-lain</v>
          </cell>
        </row>
        <row r="30">
          <cell r="A30">
            <v>31005</v>
          </cell>
          <cell r="B30" t="str">
            <v>PPN Keluaran</v>
          </cell>
        </row>
        <row r="31">
          <cell r="A31">
            <v>31006</v>
          </cell>
          <cell r="B31" t="str">
            <v>Uang Muka Penjualan</v>
          </cell>
        </row>
        <row r="32">
          <cell r="A32">
            <v>31007</v>
          </cell>
          <cell r="B32" t="str">
            <v>Hutang Kantor Cabang</v>
          </cell>
        </row>
        <row r="33">
          <cell r="A33">
            <v>41001</v>
          </cell>
          <cell r="B33" t="str">
            <v>Modal</v>
          </cell>
        </row>
        <row r="34">
          <cell r="A34">
            <v>51001</v>
          </cell>
          <cell r="B34" t="str">
            <v xml:space="preserve">Penjualan </v>
          </cell>
        </row>
        <row r="35">
          <cell r="A35">
            <v>51002</v>
          </cell>
          <cell r="B35" t="str">
            <v>Pendapatan Jasa</v>
          </cell>
        </row>
        <row r="36">
          <cell r="A36">
            <v>51003</v>
          </cell>
          <cell r="B36" t="str">
            <v>Harga Pokok Penjualan</v>
          </cell>
        </row>
        <row r="37">
          <cell r="A37">
            <v>51004</v>
          </cell>
          <cell r="B37" t="str">
            <v>Pembelian</v>
          </cell>
        </row>
        <row r="38">
          <cell r="A38">
            <v>51005</v>
          </cell>
          <cell r="B38" t="str">
            <v>Ongkos Kirim</v>
          </cell>
        </row>
        <row r="39">
          <cell r="A39">
            <v>51006</v>
          </cell>
          <cell r="B39" t="str">
            <v>Retur Pembelian</v>
          </cell>
        </row>
        <row r="40">
          <cell r="A40">
            <v>61001</v>
          </cell>
          <cell r="B40" t="str">
            <v>Biaya Gaji</v>
          </cell>
        </row>
        <row r="41">
          <cell r="A41">
            <v>61002</v>
          </cell>
          <cell r="B41" t="str">
            <v>Tunjangan</v>
          </cell>
        </row>
        <row r="42">
          <cell r="A42">
            <v>61003</v>
          </cell>
          <cell r="B42" t="str">
            <v>THR/Bonus</v>
          </cell>
        </row>
        <row r="43">
          <cell r="A43">
            <v>61004</v>
          </cell>
          <cell r="B43" t="str">
            <v>Biaya Honorarium</v>
          </cell>
        </row>
        <row r="44">
          <cell r="A44">
            <v>61005</v>
          </cell>
          <cell r="B44" t="str">
            <v>Biaya Kantor</v>
          </cell>
        </row>
        <row r="45">
          <cell r="A45">
            <v>61006</v>
          </cell>
          <cell r="B45" t="str">
            <v>Biaya Entertainment</v>
          </cell>
        </row>
        <row r="46">
          <cell r="A46">
            <v>61007</v>
          </cell>
          <cell r="B46" t="str">
            <v>Biaya Telepon, Fax &amp; Internet</v>
          </cell>
        </row>
        <row r="47">
          <cell r="A47">
            <v>61008</v>
          </cell>
          <cell r="B47" t="str">
            <v>Biaya Listrik &amp; Air</v>
          </cell>
        </row>
        <row r="48">
          <cell r="A48">
            <v>61009</v>
          </cell>
          <cell r="B48" t="str">
            <v>Biaya Tol, Parkir &amp; Bensin</v>
          </cell>
        </row>
        <row r="49">
          <cell r="A49">
            <v>61010</v>
          </cell>
          <cell r="B49" t="str">
            <v>Biaya Penyusutan Perlengkapan kantor</v>
          </cell>
        </row>
        <row r="50">
          <cell r="A50">
            <v>61011</v>
          </cell>
          <cell r="B50" t="str">
            <v>Biaya Penyusutan Kendaraan</v>
          </cell>
        </row>
        <row r="51">
          <cell r="A51">
            <v>61012</v>
          </cell>
          <cell r="B51" t="str">
            <v>Biaya Amortisasi Leasehold</v>
          </cell>
        </row>
        <row r="52">
          <cell r="A52">
            <v>61013</v>
          </cell>
          <cell r="B52" t="str">
            <v>Biaya Pendidikan &amp; Pelatihan</v>
          </cell>
        </row>
        <row r="53">
          <cell r="A53">
            <v>61014</v>
          </cell>
          <cell r="B53" t="str">
            <v>Biaya Telepon Seluler</v>
          </cell>
        </row>
        <row r="54">
          <cell r="A54">
            <v>61015</v>
          </cell>
          <cell r="B54" t="str">
            <v>Biaya Sewa</v>
          </cell>
        </row>
        <row r="55">
          <cell r="A55">
            <v>61016</v>
          </cell>
          <cell r="B55" t="str">
            <v>Biaya Perjalanan Dinas</v>
          </cell>
        </row>
        <row r="56">
          <cell r="A56">
            <v>61017</v>
          </cell>
          <cell r="B56" t="str">
            <v>Biaya Transport Dinas</v>
          </cell>
        </row>
        <row r="57">
          <cell r="A57">
            <v>61018</v>
          </cell>
          <cell r="B57" t="str">
            <v xml:space="preserve">Biaya Konsultan </v>
          </cell>
        </row>
        <row r="58">
          <cell r="A58">
            <v>61019</v>
          </cell>
          <cell r="B58" t="str">
            <v>Biaya Pajak</v>
          </cell>
        </row>
        <row r="59">
          <cell r="A59">
            <v>61020</v>
          </cell>
          <cell r="B59" t="str">
            <v>Biaya Administrasi Bank</v>
          </cell>
        </row>
        <row r="60">
          <cell r="A60">
            <v>61021</v>
          </cell>
          <cell r="B60" t="str">
            <v>Biaya Lain-lain</v>
          </cell>
        </row>
        <row r="61">
          <cell r="A61">
            <v>61022</v>
          </cell>
          <cell r="B61" t="str">
            <v>Biaya Promosi</v>
          </cell>
        </row>
        <row r="62">
          <cell r="A62">
            <v>61023</v>
          </cell>
          <cell r="B62" t="str">
            <v>Biaya Service Charges</v>
          </cell>
        </row>
        <row r="63">
          <cell r="A63">
            <v>61024</v>
          </cell>
          <cell r="B63" t="str">
            <v>Biaya Pemeliharaan &amp; Perbaikan</v>
          </cell>
        </row>
        <row r="64">
          <cell r="A64">
            <v>61025</v>
          </cell>
          <cell r="B64" t="str">
            <v>Biaya Pengobatan</v>
          </cell>
        </row>
        <row r="65">
          <cell r="A65">
            <v>61026</v>
          </cell>
          <cell r="B65" t="str">
            <v>Biaya Pesangon</v>
          </cell>
        </row>
        <row r="66">
          <cell r="A66">
            <v>71001</v>
          </cell>
          <cell r="B66" t="str">
            <v>Pendapatan Jasa Giro</v>
          </cell>
        </row>
        <row r="67">
          <cell r="A67">
            <v>71002</v>
          </cell>
          <cell r="B67" t="str">
            <v>Pendapatan Lain-lain</v>
          </cell>
        </row>
        <row r="68">
          <cell r="A68">
            <v>71003</v>
          </cell>
          <cell r="B68" t="str">
            <v>Pendapatan Selisih Kurs</v>
          </cell>
        </row>
        <row r="69">
          <cell r="A69">
            <v>71004</v>
          </cell>
          <cell r="B69" t="str">
            <v>Ayat Silang</v>
          </cell>
        </row>
        <row r="70">
          <cell r="A70">
            <v>81001</v>
          </cell>
          <cell r="B70" t="str">
            <v>Biaya Pajak Jasa Giro</v>
          </cell>
        </row>
        <row r="71">
          <cell r="A71">
            <v>81002</v>
          </cell>
          <cell r="B71" t="str">
            <v>Rugi Selisih kurs</v>
          </cell>
        </row>
        <row r="72">
          <cell r="A72">
            <v>81003</v>
          </cell>
          <cell r="B72" t="str">
            <v>Laba (Rugi) Ditahan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LIst Reklas BDD n UM (3)"/>
      <sheetName val="LIst Reklas BDD n UM (2)"/>
      <sheetName val="LIst Reklas BDD n UM"/>
      <sheetName val="NS"/>
      <sheetName val="Periode"/>
      <sheetName val="Profil"/>
      <sheetName val="HIGKLIGHTS"/>
      <sheetName val="IS"/>
      <sheetName val="BS"/>
      <sheetName val="Sheet5"/>
      <sheetName val="Sumber dana"/>
      <sheetName val="SALES"/>
      <sheetName val="SALES (2)"/>
      <sheetName val="SALES CHART 2"/>
      <sheetName val="Sales Chart"/>
      <sheetName val="LAPKREDIT"/>
      <sheetName val="ANAPORT"/>
      <sheetName val="ANAPORT2"/>
      <sheetName val="Port per JENIS"/>
      <sheetName val="Port per Produk"/>
      <sheetName val="ANATUNG PST"/>
      <sheetName val="ANATUNG BDG"/>
      <sheetName val="ANATUNG CRB"/>
      <sheetName val="ANATUNG TSK"/>
      <sheetName val="ANATUNG PWK"/>
      <sheetName val="ANATUNG SMI"/>
      <sheetName val="ANATUNG BGR"/>
      <sheetName val="ANATUNG KRW"/>
      <sheetName val="ANATUNG GRT"/>
      <sheetName val="ANATUNG SMD"/>
      <sheetName val="ANATUNG BJR"/>
      <sheetName val="ANATUNG SBG"/>
      <sheetName val="ANATUNG PML"/>
      <sheetName val="ANATUNG PWO"/>
      <sheetName val="ALK"/>
      <sheetName val="ANATUNG PERMATA"/>
      <sheetName val="VINTAGE PERMATA"/>
      <sheetName val="AYDA"/>
      <sheetName val="ANABPKB"/>
      <sheetName val="BI"/>
      <sheetName val="Form1"/>
      <sheetName val="Form2"/>
      <sheetName val="Form3"/>
      <sheetName val="Form4"/>
      <sheetName val="Form5"/>
      <sheetName val="Form6"/>
      <sheetName val="Sheet1"/>
      <sheetName val="1 Th"/>
      <sheetName val="Sheet2"/>
      <sheetName val="Rinc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14">
          <cell r="J14">
            <v>30</v>
          </cell>
        </row>
        <row r="19">
          <cell r="J19">
            <v>31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"/>
      <sheetName val="SRC Resume (2)"/>
      <sheetName val="PAJE"/>
      <sheetName val="WBS1-wp "/>
      <sheetName val="PRJE"/>
      <sheetName val="WBS2-WP"/>
      <sheetName val="WPL WP"/>
      <sheetName val="WBS1"/>
      <sheetName val="WBS2"/>
      <sheetName val="WPL"/>
      <sheetName val=" (A)"/>
      <sheetName val="A-1."/>
      <sheetName val="A-2."/>
      <sheetName val="A-1-1"/>
      <sheetName val="A-2-1."/>
      <sheetName val="A-1"/>
      <sheetName val="A-3."/>
      <sheetName val="A-3.1"/>
      <sheetName val="A-4"/>
      <sheetName val="A-2-1"/>
      <sheetName val="(C)"/>
      <sheetName val="C-1"/>
      <sheetName val="C-2"/>
      <sheetName val="C-3."/>
      <sheetName val="C-4."/>
      <sheetName val="C-1-1"/>
      <sheetName val="C-5"/>
      <sheetName val=" (D)"/>
      <sheetName val="D-1"/>
      <sheetName val="D-1.1-1"/>
      <sheetName val="D-1.1"/>
      <sheetName val="D-3"/>
      <sheetName val="D-3.1"/>
      <sheetName val="D-4"/>
      <sheetName val="D-5"/>
      <sheetName val="prepaid Taxes (E)"/>
      <sheetName val="E-1"/>
      <sheetName val="E-2"/>
      <sheetName val="Prepayments (F)"/>
      <sheetName val="F-1"/>
      <sheetName val="F-2"/>
      <sheetName val="AR Others (G)"/>
      <sheetName val="Fixed Assets (J)"/>
      <sheetName val="list of FA"/>
      <sheetName val="J-2"/>
      <sheetName val="J-1"/>
      <sheetName val="J-3"/>
      <sheetName val="J-4"/>
      <sheetName val="J-5"/>
      <sheetName val="J-6"/>
      <sheetName val="deferred expenses (L)"/>
      <sheetName val="Accounts Payable (AA)"/>
      <sheetName val="AA-2"/>
      <sheetName val="Bank Loan (BB)"/>
      <sheetName val="BB-1"/>
      <sheetName val="BB-2"/>
      <sheetName val="Taxes Payable (CC)"/>
      <sheetName val="CC-1"/>
      <sheetName val="CC-2"/>
      <sheetName val="AP-Other (DD)"/>
      <sheetName val="DD-1"/>
      <sheetName val="Advance Received (EE) "/>
      <sheetName val=" EE-1"/>
      <sheetName val="Affiliate Payable (FF)"/>
      <sheetName val="FF-1"/>
      <sheetName val="Accrued Exp. (HH)"/>
      <sheetName val=" HH-1"/>
      <sheetName val="DTA (JJ)"/>
      <sheetName val="JJ-1"/>
      <sheetName val=" Equity (KK)"/>
      <sheetName val="Revenue (10)"/>
      <sheetName val="10-1"/>
      <sheetName val="10-1-1"/>
      <sheetName val="COG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Peri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>
        <row r="3">
          <cell r="D3">
            <v>0</v>
          </cell>
        </row>
        <row r="4">
          <cell r="A4" t="str">
            <v>Client:</v>
          </cell>
          <cell r="B4" t="str">
            <v>PT Saranaraya Reka Cipta</v>
          </cell>
          <cell r="H4" t="str">
            <v>Prepared by:</v>
          </cell>
          <cell r="I4" t="str">
            <v>Date:</v>
          </cell>
        </row>
        <row r="5">
          <cell r="H5" t="str">
            <v>MIR</v>
          </cell>
          <cell r="I5" t="str">
            <v>29/12/04</v>
          </cell>
        </row>
        <row r="6">
          <cell r="A6" t="str">
            <v>Period Ended:</v>
          </cell>
          <cell r="B6" t="str">
            <v>Desember 31, 2004</v>
          </cell>
          <cell r="H6" t="str">
            <v>Reviewed by:</v>
          </cell>
          <cell r="I6" t="str">
            <v>Date:</v>
          </cell>
        </row>
        <row r="8">
          <cell r="A8" t="str">
            <v>Details:</v>
          </cell>
          <cell r="B8" t="str">
            <v>Accounts Payable - Trade</v>
          </cell>
        </row>
        <row r="11">
          <cell r="A11" t="str">
            <v>Account Description</v>
          </cell>
          <cell r="C11" t="str">
            <v>WP Reff</v>
          </cell>
          <cell r="D11" t="str">
            <v>Balance Perbook Nov, 30, 2004</v>
          </cell>
          <cell r="E11" t="str">
            <v>PAJE/PRJE</v>
          </cell>
          <cell r="H11" t="str">
            <v>Audited Balance Nov 30, 2004</v>
          </cell>
          <cell r="I11" t="str">
            <v>PAJE/PRJE</v>
          </cell>
        </row>
        <row r="12">
          <cell r="F12" t="str">
            <v>Dr</v>
          </cell>
          <cell r="G12" t="str">
            <v>Cr</v>
          </cell>
          <cell r="I12" t="str">
            <v>Dr</v>
          </cell>
          <cell r="J12" t="str">
            <v>Cr</v>
          </cell>
        </row>
        <row r="13">
          <cell r="I13">
            <v>0</v>
          </cell>
        </row>
        <row r="14">
          <cell r="A14" t="str">
            <v>Pertamina</v>
          </cell>
          <cell r="D14">
            <v>1218703</v>
          </cell>
          <cell r="E14" t="str">
            <v>ü</v>
          </cell>
          <cell r="H14">
            <v>1218703</v>
          </cell>
        </row>
        <row r="15">
          <cell r="I15">
            <v>0</v>
          </cell>
        </row>
        <row r="16">
          <cell r="A16" t="str">
            <v>Total</v>
          </cell>
          <cell r="D16">
            <v>1218703</v>
          </cell>
          <cell r="E16">
            <v>0</v>
          </cell>
          <cell r="G16">
            <v>0</v>
          </cell>
          <cell r="H16">
            <v>1218703</v>
          </cell>
          <cell r="I16">
            <v>0</v>
          </cell>
        </row>
        <row r="17">
          <cell r="D17" t="str">
            <v>^</v>
          </cell>
        </row>
        <row r="18">
          <cell r="A18" t="str">
            <v>Objective:</v>
          </cell>
        </row>
        <row r="19">
          <cell r="A19" t="str">
            <v>To check the account payable is fairly stated.</v>
          </cell>
        </row>
        <row r="21">
          <cell r="A21" t="str">
            <v>Audit procedures:</v>
          </cell>
        </row>
        <row r="22">
          <cell r="A22" t="str">
            <v>1. Agree account payable balance to general ledger</v>
          </cell>
          <cell r="I22" t="str">
            <v>AA</v>
          </cell>
        </row>
        <row r="23">
          <cell r="A23" t="str">
            <v>2. Prepare and send confirmation to creditor</v>
          </cell>
          <cell r="I23" t="str">
            <v>AA-2</v>
          </cell>
        </row>
        <row r="24">
          <cell r="A24" t="str">
            <v xml:space="preserve">3. Test the account payable balance to supporting documents including purchase orders, </v>
          </cell>
        </row>
        <row r="25">
          <cell r="A25" t="str">
            <v xml:space="preserve">     invoice, cargo Receipts.</v>
          </cell>
        </row>
        <row r="26">
          <cell r="A26" t="str">
            <v>4. Checked the subsequent payment to payment instruction bank statements, etc.</v>
          </cell>
        </row>
        <row r="28">
          <cell r="A28" t="str">
            <v>Nature Of Account:</v>
          </cell>
        </row>
        <row r="29">
          <cell r="A29" t="str">
            <v xml:space="preserve">Utang Usaha  berasal dari pembelian asphalt ke Pertamina </v>
          </cell>
          <cell r="H29">
            <v>0</v>
          </cell>
        </row>
        <row r="31">
          <cell r="A31" t="str">
            <v>Results:</v>
          </cell>
        </row>
        <row r="32">
          <cell r="A32" t="str">
            <v>1. Account payable balance agree with general ledger</v>
          </cell>
        </row>
        <row r="33">
          <cell r="A33" t="str">
            <v>2. Confirmation sent on December 15, 2004</v>
          </cell>
        </row>
        <row r="34">
          <cell r="A34" t="str">
            <v>3. Account payable balance agreed to invoice issued by supplier</v>
          </cell>
        </row>
        <row r="35">
          <cell r="A35" t="str">
            <v>4 There was no subsequent payment in December 2004</v>
          </cell>
        </row>
        <row r="37">
          <cell r="A37" t="str">
            <v>Accounting entry:</v>
          </cell>
        </row>
        <row r="38">
          <cell r="A38" t="str">
            <v>Purchase journal:</v>
          </cell>
        </row>
        <row r="39">
          <cell r="A39" t="str">
            <v>Dr</v>
          </cell>
          <cell r="B39" t="str">
            <v>Purchase</v>
          </cell>
          <cell r="D39" t="str">
            <v>xxxxx</v>
          </cell>
        </row>
        <row r="40">
          <cell r="A40" t="str">
            <v>Cr</v>
          </cell>
          <cell r="B40" t="str">
            <v>Account payable</v>
          </cell>
          <cell r="E40" t="str">
            <v>xxxxx</v>
          </cell>
        </row>
        <row r="42">
          <cell r="A42" t="str">
            <v>Payment journal:</v>
          </cell>
        </row>
        <row r="43">
          <cell r="A43" t="str">
            <v>Dr</v>
          </cell>
          <cell r="B43" t="str">
            <v>Account payable</v>
          </cell>
          <cell r="D43" t="str">
            <v>xxxxx</v>
          </cell>
        </row>
        <row r="44">
          <cell r="A44" t="str">
            <v>Cr</v>
          </cell>
          <cell r="B44" t="str">
            <v>Bank</v>
          </cell>
          <cell r="E44" t="str">
            <v>xxxxx</v>
          </cell>
        </row>
        <row r="46">
          <cell r="A46" t="str">
            <v>Conclusion:</v>
          </cell>
          <cell r="B46" t="str">
            <v>Based on the audit procedures we performed, we convinced that this account is free of material misstatements.</v>
          </cell>
        </row>
        <row r="49">
          <cell r="A49" t="str">
            <v>Legend:</v>
          </cell>
        </row>
        <row r="50">
          <cell r="A50" t="str">
            <v>&lt;</v>
          </cell>
          <cell r="B50" t="str">
            <v>Cross footing</v>
          </cell>
        </row>
        <row r="51">
          <cell r="A51" t="str">
            <v>^</v>
          </cell>
          <cell r="B51" t="str">
            <v>Footed</v>
          </cell>
        </row>
        <row r="52">
          <cell r="A52" t="str">
            <v>ü</v>
          </cell>
          <cell r="B52" t="str">
            <v>Agreed with General Ledger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y Data"/>
      <sheetName val="1771"/>
      <sheetName val="1771 I"/>
      <sheetName val="1771 II"/>
      <sheetName val="8A-6"/>
      <sheetName val="1771 V"/>
      <sheetName val="1A"/>
      <sheetName val="Rekon Fiskal"/>
      <sheetName val="Laba-Rugi"/>
      <sheetName val="Neraca"/>
      <sheetName val="TB"/>
      <sheetName val="AT"/>
      <sheetName val="PPh21"/>
      <sheetName val="PPh 22-Credit pajak"/>
      <sheetName val="PPN"/>
      <sheetName val="selisih PP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9">
          <cell r="A69" t="str">
            <v>Lampung Selatan, 26 April 2023</v>
          </cell>
        </row>
        <row r="73">
          <cell r="A73" t="str">
            <v>Ibnu Syena Alfitra</v>
          </cell>
        </row>
        <row r="74">
          <cell r="A74" t="str">
            <v>Direktur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"/>
      <sheetName val="ADJ 2022"/>
      <sheetName val="ADJ 2021"/>
      <sheetName val="ADJ 2020"/>
      <sheetName val="Aset Tetap"/>
      <sheetName val="Summary"/>
      <sheetName val="AT"/>
      <sheetName val="2. Bangunan"/>
      <sheetName val="3. Sumur Bor"/>
      <sheetName val="4. Sarana &amp; Prasarana"/>
      <sheetName val="5. Mesin"/>
      <sheetName val="6. Instalasi Elektrik"/>
      <sheetName val="7. Kendaraan"/>
      <sheetName val="8 Peralatan &amp; Perlengkapan"/>
      <sheetName val="9. Infrastruktur"/>
      <sheetName val="Disclosure Aset"/>
      <sheetName val="1. Tanah"/>
      <sheetName val="Aset dlm pembangunan"/>
      <sheetName val="Jurnal 2022"/>
      <sheetName val="COA22"/>
      <sheetName val="PSAK 73"/>
      <sheetName val="TB Feb 2023"/>
      <sheetName val="Aging Feb 2023"/>
      <sheetName val="PSAK 71 22"/>
      <sheetName val="PSAK 71 21"/>
      <sheetName val="TB Inhouse"/>
      <sheetName val="CKPN_Feb_2023"/>
      <sheetName val="Aging Piutang"/>
      <sheetName val="suku bunga feb 23"/>
      <sheetName val="WP CF-Direct 21"/>
      <sheetName val="Pending &amp; Issues"/>
      <sheetName val="AJE-CAJE-RJE 21"/>
      <sheetName val="AJE-CAJE-RJE 22"/>
      <sheetName val="AJE-CAJE-RJE 23"/>
      <sheetName val="GL Jan 2023"/>
      <sheetName val="GL Feb 2023"/>
      <sheetName val="WBS IPO"/>
      <sheetName val="BS"/>
      <sheetName val="PL"/>
      <sheetName val="LPE"/>
      <sheetName val="CF-Direct"/>
      <sheetName val="4.CASH DAN BANK"/>
      <sheetName val="5. PIUTANG USAHA"/>
      <sheetName val="6. PIUTANG LAIN2"/>
      <sheetName val="7. PERSEDIAAN"/>
      <sheetName val="8. ASET TETAP"/>
      <sheetName val="9. ASET HAK GUNA"/>
      <sheetName val="10. UTANG USAHA"/>
      <sheetName val="11. UTANG BANK"/>
      <sheetName val="12. BEBAN AKRUAL"/>
      <sheetName val="13. LIABILITAS SEWA"/>
      <sheetName val="14. PERPAJAKAN"/>
      <sheetName val="15. UTANG LAIN2"/>
      <sheetName val="16. IPK"/>
      <sheetName val="17. MODAL"/>
      <sheetName val="18. PENJUALAN"/>
      <sheetName val="19. COGS"/>
      <sheetName val="20. BEBAN UMUM DAN ADM"/>
      <sheetName val="21. PEND (BEBAN) LAIN"/>
      <sheetName val="22. BEBAN KEUANGAN"/>
      <sheetName val="23. KOMPREHENSIF"/>
      <sheetName val="WP CF-Direct 22"/>
      <sheetName val="WP CF-Direct 23"/>
      <sheetName val="22. LPS 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9">
          <cell r="I29">
            <v>16920920342.154165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3C3A-7930-4ABA-B452-3089630322A4}">
  <dimension ref="A1:M39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2" sqref="C22"/>
    </sheetView>
  </sheetViews>
  <sheetFormatPr defaultRowHeight="14.5"/>
  <cols>
    <col min="2" max="2" width="32" bestFit="1" customWidth="1"/>
    <col min="3" max="5" width="18.54296875" customWidth="1"/>
    <col min="6" max="6" width="1.6328125" customWidth="1"/>
    <col min="7" max="9" width="18.54296875" customWidth="1"/>
    <col min="10" max="10" width="1.6328125" customWidth="1"/>
    <col min="11" max="11" width="17.36328125" bestFit="1" customWidth="1"/>
    <col min="12" max="12" width="15.36328125" style="31" bestFit="1" customWidth="1"/>
    <col min="13" max="13" width="16.36328125" bestFit="1" customWidth="1"/>
  </cols>
  <sheetData>
    <row r="1" spans="2:13" s="111" customFormat="1">
      <c r="C1" s="120">
        <v>2022</v>
      </c>
      <c r="D1" s="120"/>
      <c r="E1" s="120">
        <v>2022</v>
      </c>
      <c r="F1" s="120"/>
      <c r="G1" s="120">
        <v>2021</v>
      </c>
      <c r="H1" s="120"/>
      <c r="I1" s="120">
        <v>2021</v>
      </c>
      <c r="J1" s="120"/>
      <c r="K1" s="120">
        <v>2020</v>
      </c>
      <c r="L1" s="174"/>
      <c r="M1" s="120">
        <v>2020</v>
      </c>
    </row>
    <row r="2" spans="2:13" s="113" customFormat="1">
      <c r="B2" s="113" t="s">
        <v>245</v>
      </c>
      <c r="C2" s="114">
        <v>11934000000</v>
      </c>
      <c r="D2" s="114"/>
      <c r="E2" s="172">
        <f>C2+D2</f>
        <v>11934000000</v>
      </c>
      <c r="F2" s="114"/>
      <c r="G2" s="114">
        <v>11934000000</v>
      </c>
      <c r="H2" s="114"/>
      <c r="I2" s="172">
        <f>G2+H2</f>
        <v>11934000000</v>
      </c>
      <c r="J2" s="114"/>
      <c r="K2" s="115">
        <v>11934000000</v>
      </c>
      <c r="L2" s="158"/>
      <c r="M2" s="172">
        <f>K2+L2</f>
        <v>11934000000</v>
      </c>
    </row>
    <row r="3" spans="2:13" s="113" customFormat="1">
      <c r="B3" s="113" t="s">
        <v>244</v>
      </c>
      <c r="C3" s="114">
        <v>24671108216</v>
      </c>
      <c r="D3" s="114"/>
      <c r="E3" s="172">
        <f t="shared" ref="E3:E10" si="0">C3+D3</f>
        <v>24671108216</v>
      </c>
      <c r="F3" s="114"/>
      <c r="G3" s="114">
        <v>24671108216</v>
      </c>
      <c r="H3" s="114"/>
      <c r="I3" s="172">
        <f t="shared" ref="I3:I10" si="1">G3+H3</f>
        <v>24671108216</v>
      </c>
      <c r="J3" s="114"/>
      <c r="K3" s="115">
        <v>14898332500</v>
      </c>
      <c r="L3" s="158"/>
      <c r="M3" s="172">
        <f t="shared" ref="M3:M10" si="2">K3+L3</f>
        <v>14898332500</v>
      </c>
    </row>
    <row r="4" spans="2:13" s="113" customFormat="1">
      <c r="B4" s="113" t="s">
        <v>62</v>
      </c>
      <c r="C4" s="114">
        <v>12464903552</v>
      </c>
      <c r="D4" s="114"/>
      <c r="E4" s="172">
        <f t="shared" si="0"/>
        <v>12464903552</v>
      </c>
      <c r="F4" s="114"/>
      <c r="G4" s="114">
        <v>12427073552</v>
      </c>
      <c r="H4" s="114"/>
      <c r="I4" s="172">
        <f t="shared" si="1"/>
        <v>12427073552</v>
      </c>
      <c r="J4" s="114"/>
      <c r="K4" s="115">
        <v>12196073552</v>
      </c>
      <c r="L4" s="158"/>
      <c r="M4" s="172">
        <f t="shared" si="2"/>
        <v>12196073552</v>
      </c>
    </row>
    <row r="5" spans="2:13" s="113" customFormat="1">
      <c r="B5" s="113" t="s">
        <v>246</v>
      </c>
      <c r="C5" s="114">
        <v>1630238788</v>
      </c>
      <c r="D5" s="114"/>
      <c r="E5" s="172">
        <f t="shared" si="0"/>
        <v>1630238788</v>
      </c>
      <c r="F5" s="114"/>
      <c r="G5" s="114">
        <v>1431471000</v>
      </c>
      <c r="H5" s="114"/>
      <c r="I5" s="172">
        <f t="shared" si="1"/>
        <v>1431471000</v>
      </c>
      <c r="J5" s="114"/>
      <c r="K5" s="115">
        <v>1431471000</v>
      </c>
      <c r="L5" s="158"/>
      <c r="M5" s="172">
        <f t="shared" si="2"/>
        <v>1431471000</v>
      </c>
    </row>
    <row r="6" spans="2:13" s="113" customFormat="1">
      <c r="B6" s="113" t="s">
        <v>247</v>
      </c>
      <c r="C6" s="114">
        <v>545000000</v>
      </c>
      <c r="D6" s="114"/>
      <c r="E6" s="172">
        <f t="shared" si="0"/>
        <v>545000000</v>
      </c>
      <c r="F6" s="114"/>
      <c r="G6" s="114">
        <v>545000000</v>
      </c>
      <c r="H6" s="114"/>
      <c r="I6" s="172">
        <f t="shared" si="1"/>
        <v>545000000</v>
      </c>
      <c r="J6" s="114"/>
      <c r="K6" s="115">
        <v>545000000</v>
      </c>
      <c r="L6" s="158"/>
      <c r="M6" s="172">
        <f t="shared" si="2"/>
        <v>545000000</v>
      </c>
    </row>
    <row r="7" spans="2:13" s="113" customFormat="1">
      <c r="B7" s="113" t="s">
        <v>248</v>
      </c>
      <c r="C7" s="114">
        <v>234184005</v>
      </c>
      <c r="D7" s="114"/>
      <c r="E7" s="172">
        <f t="shared" si="0"/>
        <v>234184005</v>
      </c>
      <c r="F7" s="114"/>
      <c r="G7" s="114">
        <v>229134005</v>
      </c>
      <c r="H7" s="114"/>
      <c r="I7" s="172">
        <f t="shared" si="1"/>
        <v>229134005</v>
      </c>
      <c r="J7" s="114"/>
      <c r="K7" s="115">
        <v>227534005</v>
      </c>
      <c r="L7" s="158"/>
      <c r="M7" s="172">
        <f t="shared" si="2"/>
        <v>227534005</v>
      </c>
    </row>
    <row r="8" spans="2:13" s="113" customFormat="1">
      <c r="B8" s="113" t="s">
        <v>249</v>
      </c>
      <c r="C8" s="114">
        <v>1389452351</v>
      </c>
      <c r="D8" s="114"/>
      <c r="E8" s="172">
        <f t="shared" si="0"/>
        <v>1389452351</v>
      </c>
      <c r="F8" s="114"/>
      <c r="G8" s="114">
        <v>1371567751</v>
      </c>
      <c r="H8" s="114"/>
      <c r="I8" s="172">
        <f t="shared" si="1"/>
        <v>1371567751</v>
      </c>
      <c r="J8" s="114"/>
      <c r="K8" s="115">
        <v>1356328751</v>
      </c>
      <c r="L8" s="158"/>
      <c r="M8" s="172">
        <f t="shared" si="2"/>
        <v>1356328751</v>
      </c>
    </row>
    <row r="9" spans="2:13" s="113" customFormat="1">
      <c r="B9" s="113" t="s">
        <v>211</v>
      </c>
      <c r="C9" s="114">
        <v>337941600</v>
      </c>
      <c r="D9" s="114"/>
      <c r="E9" s="172">
        <f t="shared" si="0"/>
        <v>337941600</v>
      </c>
      <c r="F9" s="114"/>
      <c r="G9" s="114">
        <v>337941600</v>
      </c>
      <c r="H9" s="114"/>
      <c r="I9" s="172">
        <f t="shared" si="1"/>
        <v>337941600</v>
      </c>
      <c r="J9" s="114"/>
      <c r="K9" s="115">
        <v>337941600</v>
      </c>
      <c r="L9" s="158"/>
      <c r="M9" s="172">
        <f t="shared" si="2"/>
        <v>337941600</v>
      </c>
    </row>
    <row r="10" spans="2:13" s="113" customFormat="1">
      <c r="B10" s="113" t="s">
        <v>250</v>
      </c>
      <c r="C10" s="114">
        <v>112970000</v>
      </c>
      <c r="D10" s="114"/>
      <c r="E10" s="172">
        <f t="shared" si="0"/>
        <v>112970000</v>
      </c>
      <c r="F10" s="114"/>
      <c r="G10" s="114">
        <v>112970000</v>
      </c>
      <c r="H10" s="114"/>
      <c r="I10" s="172">
        <f t="shared" si="1"/>
        <v>112970000</v>
      </c>
      <c r="J10" s="114"/>
      <c r="K10" s="115">
        <v>112970000</v>
      </c>
      <c r="L10" s="158"/>
      <c r="M10" s="172">
        <f t="shared" si="2"/>
        <v>112970000</v>
      </c>
    </row>
    <row r="11" spans="2:13" s="111" customFormat="1">
      <c r="C11" s="116">
        <f>SUM(C2:C10)</f>
        <v>53319798512</v>
      </c>
      <c r="D11" s="116"/>
      <c r="E11" s="116">
        <f>SUM(E2:E10)</f>
        <v>53319798512</v>
      </c>
      <c r="F11" s="116"/>
      <c r="G11" s="116">
        <f>SUM(G2:G10)</f>
        <v>53060266124</v>
      </c>
      <c r="H11" s="116"/>
      <c r="I11" s="116">
        <f>SUM(I2:I10)</f>
        <v>53060266124</v>
      </c>
      <c r="J11" s="116"/>
      <c r="K11" s="116">
        <f>SUM(K2:K10)</f>
        <v>43039651408</v>
      </c>
      <c r="L11" s="175">
        <f>SUM(L2:L10)</f>
        <v>0</v>
      </c>
      <c r="M11" s="116">
        <f>SUM(M2:M10)</f>
        <v>43039651408</v>
      </c>
    </row>
    <row r="12" spans="2:13" s="111" customFormat="1">
      <c r="C12" s="117"/>
      <c r="D12" s="117"/>
      <c r="E12" s="117"/>
      <c r="F12" s="117"/>
      <c r="G12" s="117"/>
      <c r="H12" s="117"/>
      <c r="I12" s="117"/>
      <c r="J12" s="117"/>
      <c r="K12" s="116"/>
      <c r="L12" s="174"/>
      <c r="M12" s="162">
        <f>M11-'ADJ 2020'!F18</f>
        <v>-41695422982.880005</v>
      </c>
    </row>
    <row r="13" spans="2:13" s="111" customFormat="1">
      <c r="C13" s="117"/>
      <c r="D13" s="117"/>
      <c r="E13" s="117"/>
      <c r="F13" s="117"/>
      <c r="G13" s="117"/>
      <c r="H13" s="117"/>
      <c r="I13" s="117"/>
      <c r="J13" s="117"/>
      <c r="K13" s="116"/>
      <c r="L13" s="174"/>
    </row>
    <row r="14" spans="2:13">
      <c r="B14" t="s">
        <v>251</v>
      </c>
      <c r="C14" s="118">
        <v>5887753759</v>
      </c>
      <c r="D14" s="118"/>
      <c r="E14" s="172">
        <f>C14-D14</f>
        <v>5887753759</v>
      </c>
      <c r="F14" s="118"/>
      <c r="G14" s="118">
        <v>4654194214</v>
      </c>
      <c r="H14" s="118">
        <f>'ADJ 2021'!G21</f>
        <v>-2686299431.8217077</v>
      </c>
      <c r="I14" s="172">
        <f>G14-H14</f>
        <v>7340493645.8217077</v>
      </c>
      <c r="J14" s="118"/>
      <c r="K14" s="118">
        <v>3909277573</v>
      </c>
      <c r="L14" s="31">
        <f>'ADJ 2020'!G21</f>
        <v>-2022368792.1966257</v>
      </c>
      <c r="M14" s="172">
        <f>K14-L14</f>
        <v>5931646365.1966257</v>
      </c>
    </row>
    <row r="15" spans="2:13">
      <c r="B15" t="s">
        <v>252</v>
      </c>
      <c r="C15" s="118">
        <v>5321002979</v>
      </c>
      <c r="D15" s="118"/>
      <c r="E15" s="172">
        <f t="shared" ref="E15:E20" si="3">C15-D15</f>
        <v>5321002979</v>
      </c>
      <c r="F15" s="118"/>
      <c r="G15" s="118">
        <v>4543719794</v>
      </c>
      <c r="H15" s="118">
        <f>'ADJ 2021'!G22</f>
        <v>-10220461872.933331</v>
      </c>
      <c r="I15" s="172">
        <f t="shared" ref="I15:I20" si="4">G15-H15</f>
        <v>14764181666.933331</v>
      </c>
      <c r="J15" s="118"/>
      <c r="K15" s="118">
        <v>3779058952</v>
      </c>
      <c r="L15" s="31">
        <f>'ADJ 2020'!G22</f>
        <v>-8159656165.7718735</v>
      </c>
      <c r="M15" s="172">
        <f t="shared" ref="M15:M20" si="5">K15-L15</f>
        <v>11938715117.771873</v>
      </c>
    </row>
    <row r="16" spans="2:13">
      <c r="B16" t="s">
        <v>253</v>
      </c>
      <c r="C16" s="118">
        <v>758337911</v>
      </c>
      <c r="D16" s="118"/>
      <c r="E16" s="172">
        <f t="shared" si="3"/>
        <v>758337911</v>
      </c>
      <c r="F16" s="118"/>
      <c r="G16" s="118">
        <v>575795564</v>
      </c>
      <c r="H16" s="118">
        <f>'ADJ 2021'!G23</f>
        <v>-5728781936</v>
      </c>
      <c r="I16" s="172">
        <f t="shared" si="4"/>
        <v>6304577500</v>
      </c>
      <c r="J16" s="118"/>
      <c r="K16" s="118">
        <v>396861684</v>
      </c>
      <c r="L16" s="31">
        <f>'ADJ 2020'!G23</f>
        <v>-4865695816</v>
      </c>
      <c r="M16" s="172">
        <f t="shared" si="5"/>
        <v>5262557500</v>
      </c>
    </row>
    <row r="17" spans="1:13">
      <c r="B17" t="s">
        <v>254</v>
      </c>
      <c r="C17" s="118">
        <v>523581250</v>
      </c>
      <c r="D17" s="118"/>
      <c r="E17" s="172">
        <f t="shared" si="3"/>
        <v>523581250</v>
      </c>
      <c r="F17" s="118"/>
      <c r="G17" s="118">
        <v>467031250</v>
      </c>
      <c r="H17" s="118">
        <f>'ADJ 2021'!G24</f>
        <v>142467250</v>
      </c>
      <c r="I17" s="172">
        <f t="shared" si="4"/>
        <v>324564000</v>
      </c>
      <c r="J17" s="118"/>
      <c r="K17" s="118">
        <v>398906250</v>
      </c>
      <c r="L17" s="31">
        <f>'ADJ 2020'!G24</f>
        <v>146956250</v>
      </c>
      <c r="M17" s="172">
        <f t="shared" si="5"/>
        <v>251950000</v>
      </c>
    </row>
    <row r="18" spans="1:13">
      <c r="B18" t="s">
        <v>255</v>
      </c>
      <c r="C18" s="118">
        <v>202378387</v>
      </c>
      <c r="D18" s="118"/>
      <c r="E18" s="172">
        <f t="shared" si="3"/>
        <v>202378387</v>
      </c>
      <c r="F18" s="118"/>
      <c r="G18" s="118">
        <v>176328564</v>
      </c>
      <c r="H18" s="118">
        <f>'ADJ 2021'!G25</f>
        <v>-913836617.04166651</v>
      </c>
      <c r="I18" s="172">
        <f t="shared" si="4"/>
        <v>1090165181.0416665</v>
      </c>
      <c r="J18" s="118"/>
      <c r="K18" s="118">
        <v>145371960</v>
      </c>
      <c r="L18" s="31">
        <f>'ADJ 2020'!G25</f>
        <v>-863613908.29166651</v>
      </c>
      <c r="M18" s="172">
        <f t="shared" si="5"/>
        <v>1008985868.2916665</v>
      </c>
    </row>
    <row r="19" spans="1:13">
      <c r="B19" t="s">
        <v>256</v>
      </c>
      <c r="C19" s="118">
        <v>1323116936</v>
      </c>
      <c r="D19" s="118"/>
      <c r="E19" s="172">
        <f t="shared" si="3"/>
        <v>1323116936</v>
      </c>
      <c r="F19" s="118"/>
      <c r="G19" s="118">
        <v>1281284963</v>
      </c>
      <c r="H19" s="118">
        <f>'ADJ 2021'!G26</f>
        <v>-6440212952.8666668</v>
      </c>
      <c r="I19" s="172">
        <f t="shared" si="4"/>
        <v>7721497915.8666668</v>
      </c>
      <c r="J19" s="118"/>
      <c r="K19" s="118">
        <v>1238393423</v>
      </c>
      <c r="L19" s="31">
        <f>'ADJ 2020'!G26</f>
        <v>-5116412374.416667</v>
      </c>
      <c r="M19" s="172">
        <f t="shared" si="5"/>
        <v>6354805797.416667</v>
      </c>
    </row>
    <row r="20" spans="1:13">
      <c r="B20" t="s">
        <v>257</v>
      </c>
      <c r="C20" s="118">
        <v>284202368</v>
      </c>
      <c r="D20" s="118"/>
      <c r="E20" s="172">
        <f t="shared" si="3"/>
        <v>284202368</v>
      </c>
      <c r="F20" s="118"/>
      <c r="G20" s="118">
        <v>247367639</v>
      </c>
      <c r="H20" s="118">
        <f>'ADJ 2021'!G27</f>
        <v>-55558486</v>
      </c>
      <c r="I20" s="172">
        <f t="shared" si="4"/>
        <v>302926125</v>
      </c>
      <c r="J20" s="118"/>
      <c r="K20" s="118">
        <v>205124939</v>
      </c>
      <c r="L20" s="31">
        <f>'ADJ 2020'!G27</f>
        <v>-42168748.5</v>
      </c>
      <c r="M20" s="172">
        <f t="shared" si="5"/>
        <v>247293687.5</v>
      </c>
    </row>
    <row r="21" spans="1:13">
      <c r="B21" t="s">
        <v>258</v>
      </c>
      <c r="C21" s="118">
        <v>112970014</v>
      </c>
      <c r="D21" s="118"/>
      <c r="E21" s="172">
        <f>C21-D21</f>
        <v>112970014</v>
      </c>
      <c r="F21" s="118"/>
      <c r="G21" s="118">
        <v>96085012</v>
      </c>
      <c r="H21" s="118">
        <f>'ADJ 2021'!G28</f>
        <v>-2780118983.8333335</v>
      </c>
      <c r="I21" s="172">
        <f>G21-H21</f>
        <v>2876203995.8333335</v>
      </c>
      <c r="J21" s="118"/>
      <c r="K21" s="118">
        <v>67842508</v>
      </c>
      <c r="L21" s="31">
        <f>'ADJ 2020'!G28</f>
        <v>-2311147520.3333335</v>
      </c>
      <c r="M21" s="172">
        <f>K21-L21</f>
        <v>2378990028.3333335</v>
      </c>
    </row>
    <row r="22" spans="1:13" s="111" customFormat="1">
      <c r="C22" s="117">
        <f>SUM(C14:C21)</f>
        <v>14413343604</v>
      </c>
      <c r="D22" s="117"/>
      <c r="E22" s="117">
        <f>SUM(E14:E21)</f>
        <v>14413343604</v>
      </c>
      <c r="F22" s="117"/>
      <c r="G22" s="117">
        <f>SUM(G14:G21)</f>
        <v>12041807000</v>
      </c>
      <c r="H22" s="117"/>
      <c r="I22" s="117">
        <f>SUM(I14:I21)</f>
        <v>40724610030.496712</v>
      </c>
      <c r="J22" s="117"/>
      <c r="K22" s="117">
        <f>SUM(K14:K21)</f>
        <v>10140837289</v>
      </c>
      <c r="L22" s="117">
        <f>SUM(L14:L21)</f>
        <v>-23234107075.510162</v>
      </c>
      <c r="M22" s="117">
        <f>SUM(M14:M21)</f>
        <v>33374944364.510166</v>
      </c>
    </row>
    <row r="23" spans="1:13" s="111" customFormat="1">
      <c r="C23" s="117"/>
      <c r="D23" s="117"/>
      <c r="E23" s="117"/>
      <c r="F23" s="117"/>
      <c r="G23" s="117"/>
      <c r="H23" s="117"/>
      <c r="I23" s="117"/>
      <c r="J23" s="117"/>
      <c r="K23" s="117"/>
      <c r="L23" s="174"/>
      <c r="M23" s="117">
        <f>M22-'ADJ 2020'!F29</f>
        <v>0</v>
      </c>
    </row>
    <row r="24" spans="1:13" s="111" customFormat="1">
      <c r="B24" s="111" t="s">
        <v>286</v>
      </c>
      <c r="C24" s="117">
        <v>8151563821</v>
      </c>
      <c r="D24" s="117"/>
      <c r="E24" s="162">
        <f>C24-D24</f>
        <v>8151563821</v>
      </c>
      <c r="F24" s="117"/>
      <c r="G24" s="117">
        <v>2701171287</v>
      </c>
      <c r="H24" s="117"/>
      <c r="I24" s="162">
        <f>G24-H24</f>
        <v>2701171287</v>
      </c>
      <c r="J24" s="117"/>
      <c r="K24" s="117">
        <v>695537211</v>
      </c>
      <c r="L24" s="174">
        <f>-'ADJ 2020'!K38-'ADJ 2020'!K55</f>
        <v>17853016647.777828</v>
      </c>
      <c r="M24" s="162">
        <f>K24-L24</f>
        <v>-17157479436.777828</v>
      </c>
    </row>
    <row r="25" spans="1:13" s="111" customFormat="1">
      <c r="B25" s="111" t="s">
        <v>290</v>
      </c>
      <c r="C25" s="117"/>
      <c r="D25" s="117"/>
      <c r="E25" s="162">
        <f>C25-D25</f>
        <v>0</v>
      </c>
      <c r="F25" s="117"/>
      <c r="G25" s="117"/>
      <c r="H25" s="117"/>
      <c r="I25" s="162">
        <f>G25-H25</f>
        <v>0</v>
      </c>
      <c r="J25" s="117"/>
      <c r="K25" s="117">
        <v>2005634076</v>
      </c>
      <c r="L25" s="174"/>
      <c r="M25" s="162">
        <f>K25-L25</f>
        <v>2005634076</v>
      </c>
    </row>
    <row r="26" spans="1:13">
      <c r="C26" s="118"/>
      <c r="D26" s="118"/>
      <c r="E26" s="118"/>
      <c r="F26" s="118"/>
      <c r="G26" s="118"/>
      <c r="H26" s="118"/>
      <c r="I26" s="118"/>
      <c r="J26" s="118"/>
      <c r="K26" s="119"/>
    </row>
    <row r="27" spans="1:13" s="111" customFormat="1">
      <c r="A27" s="111" t="s">
        <v>259</v>
      </c>
      <c r="B27" s="111" t="s">
        <v>260</v>
      </c>
      <c r="C27" s="117">
        <v>2328601782</v>
      </c>
      <c r="D27" s="117"/>
      <c r="E27" s="162">
        <f>C27+D27</f>
        <v>2328601782</v>
      </c>
      <c r="F27" s="117"/>
      <c r="G27" s="117">
        <v>1841766477</v>
      </c>
      <c r="H27" s="117"/>
      <c r="I27" s="162">
        <f>G27+H27</f>
        <v>1841766477</v>
      </c>
      <c r="J27" s="117"/>
      <c r="K27" s="162">
        <v>1216185335</v>
      </c>
      <c r="L27" s="174">
        <f>-'ADJ 2020'!G43</f>
        <v>4319879011.1490002</v>
      </c>
      <c r="M27" s="162">
        <f>K27+L27</f>
        <v>5536064346.1490002</v>
      </c>
    </row>
    <row r="28" spans="1:13" s="111" customFormat="1">
      <c r="C28" s="117"/>
      <c r="D28" s="117"/>
      <c r="E28" s="117"/>
      <c r="F28" s="117"/>
      <c r="G28" s="117"/>
      <c r="H28" s="117"/>
      <c r="I28" s="117"/>
      <c r="J28" s="117"/>
      <c r="K28" s="162"/>
      <c r="L28" s="174"/>
      <c r="M28" s="162">
        <f>M27-'ADJ 2020'!F43</f>
        <v>0</v>
      </c>
    </row>
    <row r="29" spans="1:13">
      <c r="C29" s="118"/>
      <c r="D29" s="118"/>
      <c r="E29" s="118"/>
      <c r="F29" s="118"/>
      <c r="G29" s="118"/>
      <c r="H29" s="118"/>
      <c r="I29" s="118"/>
      <c r="J29" s="118"/>
      <c r="K29" s="119"/>
      <c r="M29" s="119"/>
    </row>
    <row r="30" spans="1:13">
      <c r="A30" t="s">
        <v>243</v>
      </c>
      <c r="B30" t="s">
        <v>261</v>
      </c>
      <c r="C30" s="118"/>
      <c r="D30" s="118"/>
      <c r="E30" s="119">
        <f>C30+D30</f>
        <v>0</v>
      </c>
      <c r="F30" s="118"/>
      <c r="G30" s="118"/>
      <c r="H30" s="118"/>
      <c r="I30" s="119">
        <f>G30+H30</f>
        <v>0</v>
      </c>
      <c r="J30" s="118"/>
      <c r="K30" s="119">
        <v>662689697</v>
      </c>
      <c r="L30" s="31">
        <f>-'ADJ 2020'!G44</f>
        <v>-662689697</v>
      </c>
      <c r="M30" s="119">
        <f>K30+L30</f>
        <v>0</v>
      </c>
    </row>
    <row r="31" spans="1:13">
      <c r="B31" t="s">
        <v>287</v>
      </c>
      <c r="C31" s="109">
        <v>26049820</v>
      </c>
      <c r="D31" s="109"/>
      <c r="E31" s="119">
        <f>C31+D31</f>
        <v>26049820</v>
      </c>
      <c r="F31" s="109"/>
      <c r="G31" s="109">
        <v>30960732</v>
      </c>
      <c r="H31" s="109"/>
      <c r="I31" s="119">
        <f>G31+H31</f>
        <v>30960732</v>
      </c>
      <c r="J31" s="109"/>
      <c r="K31" s="109"/>
      <c r="L31" s="31">
        <f>-'ADJ 2020'!G45</f>
        <v>182879646.08333331</v>
      </c>
      <c r="M31" s="119">
        <f>K31+L31</f>
        <v>182879646.08333331</v>
      </c>
    </row>
    <row r="32" spans="1:13">
      <c r="B32" t="s">
        <v>288</v>
      </c>
      <c r="C32" s="109">
        <v>16885002</v>
      </c>
      <c r="D32" s="109"/>
      <c r="E32" s="119">
        <f>C32+D32</f>
        <v>16885002</v>
      </c>
      <c r="F32" s="109"/>
      <c r="G32" s="109">
        <v>28242504</v>
      </c>
      <c r="H32" s="109"/>
      <c r="I32" s="119">
        <f>G32+H32</f>
        <v>28242504</v>
      </c>
      <c r="J32" s="109"/>
      <c r="K32" s="109"/>
      <c r="L32" s="31">
        <f>-'ADJ 2020'!G46</f>
        <v>497213967.5</v>
      </c>
      <c r="M32" s="119">
        <f>K32+L32</f>
        <v>497213967.5</v>
      </c>
    </row>
    <row r="33" spans="2:13">
      <c r="B33" t="s">
        <v>289</v>
      </c>
      <c r="C33" s="109"/>
      <c r="D33" s="109"/>
      <c r="E33" s="119">
        <f>C33+D33</f>
        <v>0</v>
      </c>
      <c r="F33" s="109"/>
      <c r="G33" s="109"/>
      <c r="H33" s="109"/>
      <c r="I33" s="119">
        <f>G33+H33</f>
        <v>0</v>
      </c>
      <c r="J33" s="109"/>
      <c r="K33" s="109"/>
      <c r="L33" s="31">
        <f>-'ADJ 2020'!G47</f>
        <v>1043807500</v>
      </c>
      <c r="M33" s="119">
        <f>K33+L33</f>
        <v>1043807500</v>
      </c>
    </row>
    <row r="34" spans="2:13" s="111" customFormat="1">
      <c r="C34" s="163">
        <f>SUM(C30:C33)</f>
        <v>42934822</v>
      </c>
      <c r="D34" s="163"/>
      <c r="E34" s="163">
        <f>SUM(E30:E33)</f>
        <v>42934822</v>
      </c>
      <c r="F34" s="163"/>
      <c r="G34" s="163">
        <f>SUM(G30:G33)</f>
        <v>59203236</v>
      </c>
      <c r="H34" s="163"/>
      <c r="I34" s="163">
        <f>SUM(I30:I33)</f>
        <v>59203236</v>
      </c>
      <c r="J34" s="163"/>
      <c r="K34" s="163">
        <f>SUM(K30:K33)</f>
        <v>662689697</v>
      </c>
      <c r="L34" s="163">
        <f>SUM(L30:L33)</f>
        <v>1061211416.5833333</v>
      </c>
      <c r="M34" s="163">
        <f>SUM(M30:M33)</f>
        <v>1723901113.5833333</v>
      </c>
    </row>
    <row r="35" spans="2:13">
      <c r="C35" s="109"/>
      <c r="D35" s="109"/>
      <c r="E35" s="109"/>
      <c r="F35" s="109"/>
      <c r="G35" s="109"/>
      <c r="H35" s="109"/>
      <c r="I35" s="109"/>
      <c r="J35" s="109"/>
      <c r="K35" s="109"/>
    </row>
    <row r="36" spans="2:13" s="111" customFormat="1">
      <c r="C36" s="163">
        <f>C27+C34</f>
        <v>2371536604</v>
      </c>
      <c r="D36" s="163"/>
      <c r="E36" s="163">
        <f>E27+E34</f>
        <v>2371536604</v>
      </c>
      <c r="F36" s="163"/>
      <c r="G36" s="163">
        <f>G27+G34</f>
        <v>1900969713</v>
      </c>
      <c r="H36" s="163"/>
      <c r="I36" s="163">
        <f>I27+I34</f>
        <v>1900969713</v>
      </c>
      <c r="J36" s="163"/>
      <c r="K36" s="163">
        <f>K27+K34</f>
        <v>1878875032</v>
      </c>
      <c r="L36" s="163">
        <f>L27+L34</f>
        <v>5381090427.7323332</v>
      </c>
      <c r="M36" s="163">
        <f>K36+L36</f>
        <v>7259965459.7323332</v>
      </c>
    </row>
    <row r="37" spans="2:13">
      <c r="C37" s="109"/>
      <c r="D37" s="109"/>
      <c r="E37" s="109"/>
      <c r="F37" s="109"/>
      <c r="G37" s="109"/>
      <c r="H37" s="109"/>
      <c r="I37" s="109"/>
      <c r="J37" s="109"/>
      <c r="K37" s="109"/>
      <c r="M37" s="176">
        <f>M36-'ADJ 2020'!F48</f>
        <v>0</v>
      </c>
    </row>
    <row r="38" spans="2:13">
      <c r="C38" s="31"/>
      <c r="D38" s="31"/>
      <c r="E38" s="31"/>
      <c r="F38" s="31"/>
      <c r="G38" s="31"/>
      <c r="H38" s="31"/>
      <c r="I38" s="31"/>
      <c r="J38" s="31"/>
    </row>
    <row r="39" spans="2:13">
      <c r="C39" s="31"/>
      <c r="D39" s="31"/>
      <c r="E39" s="31"/>
      <c r="F39" s="31"/>
      <c r="G39" s="31"/>
      <c r="H39" s="31"/>
      <c r="I39" s="31"/>
      <c r="J39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BD24-1FC8-4DA8-8336-7D0AC9903432}">
  <dimension ref="A1:P74"/>
  <sheetViews>
    <sheetView zoomScale="72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E15" sqref="E15"/>
    </sheetView>
  </sheetViews>
  <sheetFormatPr defaultColWidth="9.1796875" defaultRowHeight="14.5"/>
  <cols>
    <col min="1" max="1" width="5.7265625" style="124" customWidth="1"/>
    <col min="2" max="2" width="10.81640625" customWidth="1"/>
    <col min="3" max="3" width="1" customWidth="1"/>
    <col min="4" max="4" width="28.26953125" customWidth="1"/>
    <col min="5" max="5" width="19.90625" bestFit="1" customWidth="1"/>
    <col min="6" max="6" width="17.453125" bestFit="1" customWidth="1"/>
    <col min="7" max="7" width="17.26953125" customWidth="1"/>
    <col min="8" max="9" width="18.7265625" style="31" customWidth="1"/>
    <col min="10" max="11" width="18.7265625" customWidth="1"/>
    <col min="12" max="12" width="0.7265625" customWidth="1"/>
    <col min="13" max="14" width="18.7265625" customWidth="1"/>
    <col min="15" max="15" width="23.1796875" customWidth="1"/>
  </cols>
  <sheetData>
    <row r="1" spans="1:15">
      <c r="A1" t="s">
        <v>263</v>
      </c>
      <c r="C1" t="s">
        <v>264</v>
      </c>
      <c r="D1" t="s">
        <v>285</v>
      </c>
    </row>
    <row r="2" spans="1:15">
      <c r="A2" s="122" t="s">
        <v>265</v>
      </c>
      <c r="C2" t="s">
        <v>264</v>
      </c>
      <c r="D2" s="123" t="s">
        <v>292</v>
      </c>
    </row>
    <row r="3" spans="1:15">
      <c r="A3" s="122" t="s">
        <v>266</v>
      </c>
      <c r="E3" s="122"/>
      <c r="F3" s="122"/>
      <c r="G3" s="122"/>
    </row>
    <row r="4" spans="1:15" ht="7.5" customHeight="1">
      <c r="L4" s="125"/>
    </row>
    <row r="5" spans="1:15">
      <c r="A5" s="1223" t="s">
        <v>267</v>
      </c>
      <c r="B5" s="1225" t="s">
        <v>268</v>
      </c>
      <c r="C5" s="1223" t="s">
        <v>269</v>
      </c>
      <c r="D5" s="1223"/>
      <c r="E5" s="1223"/>
      <c r="F5" s="126"/>
      <c r="G5" s="126"/>
      <c r="H5" s="1227" t="s">
        <v>262</v>
      </c>
      <c r="I5" s="1227" t="s">
        <v>270</v>
      </c>
      <c r="J5" s="1222" t="s">
        <v>271</v>
      </c>
      <c r="K5" s="1222"/>
      <c r="L5" s="127"/>
      <c r="M5" s="1222" t="s">
        <v>272</v>
      </c>
      <c r="N5" s="1222"/>
      <c r="O5" s="1223" t="s">
        <v>273</v>
      </c>
    </row>
    <row r="6" spans="1:15">
      <c r="A6" s="1224"/>
      <c r="B6" s="1226"/>
      <c r="C6" s="1224"/>
      <c r="D6" s="1224"/>
      <c r="E6" s="1224"/>
      <c r="F6" s="128"/>
      <c r="G6" s="128"/>
      <c r="H6" s="1228"/>
      <c r="I6" s="1228"/>
      <c r="J6" s="128" t="s">
        <v>262</v>
      </c>
      <c r="K6" s="128" t="s">
        <v>270</v>
      </c>
      <c r="L6" s="127"/>
      <c r="M6" s="128" t="s">
        <v>262</v>
      </c>
      <c r="N6" s="128" t="s">
        <v>270</v>
      </c>
      <c r="O6" s="1224"/>
    </row>
    <row r="7" spans="1:15">
      <c r="A7" s="127"/>
      <c r="B7" s="129"/>
      <c r="C7" s="127"/>
      <c r="D7" s="127"/>
      <c r="E7" s="127"/>
      <c r="F7" s="127"/>
      <c r="G7" s="127"/>
      <c r="H7" s="130"/>
      <c r="I7" s="130"/>
      <c r="J7" s="127"/>
      <c r="K7" s="127"/>
      <c r="L7" s="127"/>
      <c r="M7" s="127"/>
      <c r="N7" s="127"/>
      <c r="O7" s="127"/>
    </row>
    <row r="8" spans="1:15" s="113" customFormat="1">
      <c r="A8" s="131">
        <v>1</v>
      </c>
      <c r="B8" s="134"/>
      <c r="C8" s="131"/>
      <c r="D8" s="128" t="s">
        <v>274</v>
      </c>
      <c r="E8" s="128" t="s">
        <v>275</v>
      </c>
      <c r="F8" s="128" t="s">
        <v>276</v>
      </c>
      <c r="G8" s="128" t="s">
        <v>225</v>
      </c>
      <c r="H8" s="133"/>
      <c r="I8" s="133"/>
      <c r="J8" s="137"/>
      <c r="K8" s="137"/>
      <c r="L8" s="137"/>
      <c r="M8" s="137"/>
      <c r="N8" s="137"/>
      <c r="O8" s="131"/>
    </row>
    <row r="9" spans="1:15" s="113" customFormat="1">
      <c r="A9" s="131"/>
      <c r="B9" s="134"/>
      <c r="C9" s="131"/>
      <c r="D9" s="136" t="str">
        <f>TB!B2</f>
        <v xml:space="preserve">Tanah </v>
      </c>
      <c r="E9" s="133">
        <f>TB!C2</f>
        <v>11934000000</v>
      </c>
      <c r="F9" s="133">
        <f>'1. Tanah'!D4</f>
        <v>655809273</v>
      </c>
      <c r="G9" s="133">
        <f>E9-F9</f>
        <v>11278190727</v>
      </c>
      <c r="H9" s="133"/>
      <c r="I9" s="133"/>
      <c r="J9" s="137"/>
      <c r="K9" s="137"/>
      <c r="L9" s="137"/>
      <c r="M9" s="137"/>
      <c r="N9" s="137"/>
      <c r="O9" s="131"/>
    </row>
    <row r="10" spans="1:15" s="113" customFormat="1">
      <c r="A10" s="131"/>
      <c r="B10" s="134"/>
      <c r="C10" s="131"/>
      <c r="D10" s="136" t="str">
        <f>TB!B3</f>
        <v xml:space="preserve">Bangunan </v>
      </c>
      <c r="E10" s="133">
        <f>TB!C3</f>
        <v>24671108216</v>
      </c>
      <c r="F10" s="133">
        <f>'2. Bangunan'!E128</f>
        <v>37188156152.100014</v>
      </c>
      <c r="G10" s="133">
        <f t="shared" ref="G10:G17" si="0">E10-F10</f>
        <v>-12517047936.100014</v>
      </c>
      <c r="H10" s="133"/>
      <c r="I10" s="133"/>
      <c r="J10" s="137"/>
      <c r="K10" s="137"/>
      <c r="L10" s="137"/>
      <c r="M10" s="137"/>
      <c r="N10" s="137"/>
      <c r="O10" s="131"/>
    </row>
    <row r="11" spans="1:15" s="113" customFormat="1">
      <c r="A11" s="131"/>
      <c r="B11" s="134"/>
      <c r="C11" s="131"/>
      <c r="D11" s="136" t="str">
        <f>TB!B4</f>
        <v xml:space="preserve">Mesin </v>
      </c>
      <c r="E11" s="133">
        <f>TB!C4</f>
        <v>12464903552</v>
      </c>
      <c r="F11" s="133">
        <f>'5. Mesin'!E328</f>
        <v>37618136451.599983</v>
      </c>
      <c r="G11" s="133">
        <f t="shared" si="0"/>
        <v>-25153232899.599983</v>
      </c>
      <c r="H11" s="133"/>
      <c r="I11" s="133"/>
      <c r="J11" s="137"/>
      <c r="K11" s="137"/>
      <c r="L11" s="137"/>
      <c r="M11" s="137"/>
      <c r="N11" s="137"/>
      <c r="O11" s="131"/>
    </row>
    <row r="12" spans="1:15" s="113" customFormat="1">
      <c r="A12" s="131"/>
      <c r="B12" s="134"/>
      <c r="C12" s="131"/>
      <c r="D12" s="136" t="str">
        <f>TB!B5</f>
        <v xml:space="preserve">Kendaraan </v>
      </c>
      <c r="E12" s="133">
        <f>TB!C5</f>
        <v>1630238788</v>
      </c>
      <c r="F12" s="133">
        <f>'7. Kendaraan'!E81</f>
        <v>8342660000</v>
      </c>
      <c r="G12" s="133">
        <f t="shared" si="0"/>
        <v>-6712421212</v>
      </c>
      <c r="H12" s="133"/>
      <c r="I12" s="133"/>
      <c r="J12" s="137"/>
      <c r="K12" s="137"/>
      <c r="L12" s="137"/>
      <c r="M12" s="137"/>
      <c r="N12" s="137"/>
      <c r="O12" s="131"/>
    </row>
    <row r="13" spans="1:15" s="113" customFormat="1">
      <c r="A13" s="131"/>
      <c r="B13" s="134"/>
      <c r="C13" s="131"/>
      <c r="D13" s="136" t="str">
        <f>TB!B6</f>
        <v xml:space="preserve">Kendaraan Alat Berat </v>
      </c>
      <c r="E13" s="133">
        <f>TB!C6</f>
        <v>545000000</v>
      </c>
      <c r="F13" s="133">
        <f>'6. Instalasi Elektrik'!E55</f>
        <v>1452280000</v>
      </c>
      <c r="G13" s="133">
        <f t="shared" si="0"/>
        <v>-907280000</v>
      </c>
      <c r="H13" s="133"/>
      <c r="I13" s="133"/>
      <c r="J13" s="137"/>
      <c r="K13" s="137"/>
      <c r="L13" s="137"/>
      <c r="M13" s="137"/>
      <c r="N13" s="137"/>
      <c r="O13" s="131"/>
    </row>
    <row r="14" spans="1:15" s="113" customFormat="1">
      <c r="A14" s="131"/>
      <c r="B14" s="134"/>
      <c r="C14" s="131"/>
      <c r="D14" s="136" t="str">
        <f>TB!B7</f>
        <v xml:space="preserve">Peralatan Kantor </v>
      </c>
      <c r="E14" s="133">
        <f>TB!C7</f>
        <v>234184005</v>
      </c>
      <c r="F14" s="133">
        <f>'8 Peralatan &amp; Perlengkapan'!E161</f>
        <v>1274154796</v>
      </c>
      <c r="G14" s="133">
        <f t="shared" si="0"/>
        <v>-1039970791</v>
      </c>
      <c r="H14" s="133"/>
      <c r="I14" s="133"/>
      <c r="J14" s="137"/>
      <c r="K14" s="137"/>
      <c r="L14" s="137"/>
      <c r="M14" s="137"/>
      <c r="N14" s="137"/>
      <c r="O14" s="131"/>
    </row>
    <row r="15" spans="1:15" s="113" customFormat="1">
      <c r="A15" s="131"/>
      <c r="B15" s="134"/>
      <c r="C15" s="131"/>
      <c r="D15" s="136" t="str">
        <f>TB!B8</f>
        <v xml:space="preserve">Peralatan Produksi </v>
      </c>
      <c r="E15" s="133">
        <f>TB!C8</f>
        <v>1389452351</v>
      </c>
      <c r="F15" s="133">
        <f>'9. Infrastruktur'!E62</f>
        <v>11170379446.6</v>
      </c>
      <c r="G15" s="133">
        <f t="shared" si="0"/>
        <v>-9780927095.6000004</v>
      </c>
      <c r="H15" s="133"/>
      <c r="I15" s="133"/>
      <c r="J15" s="137"/>
      <c r="K15" s="137"/>
      <c r="L15" s="137"/>
      <c r="M15" s="137"/>
      <c r="N15" s="137"/>
      <c r="O15" s="131"/>
    </row>
    <row r="16" spans="1:15" s="113" customFormat="1">
      <c r="A16" s="131"/>
      <c r="B16" s="134"/>
      <c r="C16" s="131"/>
      <c r="D16" s="136" t="str">
        <f>TB!B9</f>
        <v>Sumur Bor</v>
      </c>
      <c r="E16" s="133">
        <f>TB!C9</f>
        <v>337941600</v>
      </c>
      <c r="F16" s="133">
        <f>'3. Sumur Bor'!E53</f>
        <v>445059500</v>
      </c>
      <c r="G16" s="133">
        <f t="shared" si="0"/>
        <v>-107117900</v>
      </c>
      <c r="H16" s="133"/>
      <c r="I16" s="133"/>
      <c r="J16" s="137"/>
      <c r="K16" s="137"/>
      <c r="L16" s="137"/>
      <c r="M16" s="137"/>
      <c r="N16" s="137"/>
      <c r="O16" s="131"/>
    </row>
    <row r="17" spans="1:15" s="113" customFormat="1">
      <c r="A17" s="131"/>
      <c r="B17" s="134"/>
      <c r="C17" s="131"/>
      <c r="D17" s="136" t="str">
        <f>TB!B10</f>
        <v xml:space="preserve">Peralatan Labolatorium </v>
      </c>
      <c r="E17" s="133">
        <f>TB!C10</f>
        <v>112970000</v>
      </c>
      <c r="F17" s="133">
        <f>'4. Sarana &amp; Prasarana'!E42</f>
        <v>6200217370</v>
      </c>
      <c r="G17" s="133">
        <f t="shared" si="0"/>
        <v>-6087247370</v>
      </c>
      <c r="H17" s="133"/>
      <c r="I17" s="133"/>
      <c r="J17" s="137"/>
      <c r="K17" s="137"/>
      <c r="L17" s="137"/>
      <c r="M17" s="137"/>
      <c r="N17" s="137"/>
      <c r="O17" s="131"/>
    </row>
    <row r="18" spans="1:15" s="111" customFormat="1">
      <c r="A18" s="127"/>
      <c r="B18" s="129"/>
      <c r="C18" s="127"/>
      <c r="D18" s="173"/>
      <c r="E18" s="167">
        <f>SUM(E9:E17)</f>
        <v>53319798512</v>
      </c>
      <c r="F18" s="167">
        <f>SUM(F9:F17)</f>
        <v>104346852989.3</v>
      </c>
      <c r="G18" s="127"/>
      <c r="H18" s="168"/>
      <c r="I18" s="168"/>
      <c r="J18" s="169"/>
      <c r="K18" s="169"/>
      <c r="L18" s="169"/>
      <c r="M18" s="169"/>
      <c r="N18" s="169"/>
      <c r="O18" s="127"/>
    </row>
    <row r="19" spans="1:15" s="113" customFormat="1">
      <c r="A19" s="131"/>
      <c r="B19" s="134"/>
      <c r="C19" s="131"/>
      <c r="D19" s="142"/>
      <c r="E19" s="131"/>
      <c r="F19" s="131"/>
      <c r="G19" s="131"/>
      <c r="H19" s="133"/>
      <c r="I19" s="133"/>
      <c r="J19" s="137"/>
      <c r="K19" s="137"/>
      <c r="L19" s="137"/>
      <c r="M19" s="137"/>
      <c r="N19" s="137"/>
      <c r="O19" s="131"/>
    </row>
    <row r="20" spans="1:15" s="113" customFormat="1">
      <c r="A20" s="131">
        <v>2</v>
      </c>
      <c r="B20" s="134"/>
      <c r="C20" s="131"/>
      <c r="D20" s="143" t="s">
        <v>205</v>
      </c>
      <c r="E20" s="128" t="s">
        <v>275</v>
      </c>
      <c r="F20" s="128" t="s">
        <v>276</v>
      </c>
      <c r="G20" s="128" t="s">
        <v>225</v>
      </c>
      <c r="H20" s="133"/>
      <c r="I20" s="133"/>
      <c r="J20" s="137"/>
      <c r="K20" s="137"/>
      <c r="L20" s="137"/>
      <c r="M20" s="137"/>
      <c r="N20" s="137"/>
      <c r="O20" s="131"/>
    </row>
    <row r="21" spans="1:15" s="113" customFormat="1">
      <c r="A21" s="131"/>
      <c r="B21" s="134"/>
      <c r="C21" s="131"/>
      <c r="D21" s="139" t="str">
        <f>TB!B14</f>
        <v xml:space="preserve">Akum Peny. Bangunan </v>
      </c>
      <c r="E21" s="159">
        <f>TB!C14</f>
        <v>5887753759</v>
      </c>
      <c r="F21" s="160">
        <f>'2. Bangunan'!AI115</f>
        <v>9212291774.1624603</v>
      </c>
      <c r="G21" s="161">
        <f>E21-F21</f>
        <v>-3324538015.1624603</v>
      </c>
      <c r="H21" s="133"/>
      <c r="I21" s="133"/>
      <c r="J21" s="137"/>
      <c r="K21" s="137"/>
      <c r="L21" s="137"/>
      <c r="M21" s="137"/>
      <c r="N21" s="137"/>
      <c r="O21" s="131"/>
    </row>
    <row r="22" spans="1:15" s="113" customFormat="1">
      <c r="A22" s="131"/>
      <c r="B22" s="134"/>
      <c r="C22" s="131"/>
      <c r="D22" s="139" t="str">
        <f>TB!B15</f>
        <v>Aum. Peny. Mesin</v>
      </c>
      <c r="E22" s="159">
        <f>TB!C15</f>
        <v>5321002979</v>
      </c>
      <c r="F22" s="160">
        <f>'5. Mesin'!AH315</f>
        <v>18146072182.133331</v>
      </c>
      <c r="G22" s="161">
        <f>E22-F22</f>
        <v>-12825069203.133331</v>
      </c>
      <c r="H22" s="133"/>
      <c r="I22" s="133"/>
      <c r="J22" s="137"/>
      <c r="K22" s="137"/>
      <c r="L22" s="137"/>
      <c r="M22" s="137"/>
      <c r="N22" s="137"/>
      <c r="O22" s="131"/>
    </row>
    <row r="23" spans="1:15" s="113" customFormat="1">
      <c r="A23" s="131"/>
      <c r="B23" s="134"/>
      <c r="C23" s="131"/>
      <c r="D23" s="136" t="str">
        <f>TB!B16</f>
        <v xml:space="preserve">Akum. Peny. Kendaraan </v>
      </c>
      <c r="E23" s="161">
        <f>TB!C16</f>
        <v>758337911</v>
      </c>
      <c r="F23" s="159">
        <f>'7. Kendaraan'!AH69</f>
        <v>7346435000</v>
      </c>
      <c r="G23" s="161">
        <f t="shared" ref="G23:G28" si="1">E23-F23</f>
        <v>-6588097089</v>
      </c>
      <c r="H23" s="133"/>
      <c r="I23" s="133"/>
      <c r="J23" s="137"/>
      <c r="K23" s="137"/>
      <c r="L23" s="137"/>
      <c r="M23" s="137"/>
      <c r="N23" s="137"/>
      <c r="O23" s="131"/>
    </row>
    <row r="24" spans="1:15" s="113" customFormat="1">
      <c r="A24" s="131"/>
      <c r="B24" s="134"/>
      <c r="C24" s="131"/>
      <c r="D24" s="136" t="str">
        <f>TB!B17</f>
        <v>Akum. Peny. Kendaraan Alat Berat</v>
      </c>
      <c r="E24" s="161">
        <f>TB!C17</f>
        <v>523581250</v>
      </c>
      <c r="F24" s="159">
        <f>'6. Instalasi Elektrik'!AH43</f>
        <v>397178000</v>
      </c>
      <c r="G24" s="161">
        <f t="shared" si="1"/>
        <v>126403250</v>
      </c>
      <c r="H24" s="133"/>
      <c r="I24" s="133"/>
      <c r="J24" s="137"/>
      <c r="K24" s="137"/>
      <c r="L24" s="137"/>
      <c r="M24" s="137"/>
      <c r="N24" s="137"/>
      <c r="O24" s="131"/>
    </row>
    <row r="25" spans="1:15" s="113" customFormat="1">
      <c r="A25" s="131"/>
      <c r="B25" s="134"/>
      <c r="C25" s="131"/>
      <c r="D25" s="136" t="str">
        <f>TB!B18</f>
        <v>Akum. Peny. Peralatan Kantor</v>
      </c>
      <c r="E25" s="161">
        <f>TB!C18</f>
        <v>202378387</v>
      </c>
      <c r="F25" s="159">
        <f>'8 Peralatan &amp; Perlengkapan'!AH149</f>
        <v>1174692681.2916667</v>
      </c>
      <c r="G25" s="161">
        <f t="shared" si="1"/>
        <v>-972314294.29166675</v>
      </c>
      <c r="H25" s="133"/>
      <c r="I25" s="133"/>
      <c r="J25" s="137"/>
      <c r="K25" s="137"/>
      <c r="L25" s="137"/>
      <c r="M25" s="137"/>
      <c r="N25" s="137"/>
      <c r="O25" s="131"/>
    </row>
    <row r="26" spans="1:15" s="113" customFormat="1">
      <c r="A26" s="131"/>
      <c r="B26" s="134"/>
      <c r="C26" s="131"/>
      <c r="D26" s="136" t="str">
        <f>TB!B19</f>
        <v>Akum. Peny. Peralatan Produksi</v>
      </c>
      <c r="E26" s="161">
        <f>TB!C19</f>
        <v>1323116936</v>
      </c>
      <c r="F26" s="159">
        <f>'9. Infrastruktur'!AH50</f>
        <v>9055848490.1499996</v>
      </c>
      <c r="G26" s="161">
        <f t="shared" si="1"/>
        <v>-7732731554.1499996</v>
      </c>
      <c r="H26" s="133"/>
      <c r="I26" s="133"/>
      <c r="J26" s="137"/>
      <c r="K26" s="137"/>
      <c r="L26" s="137"/>
      <c r="M26" s="137"/>
      <c r="N26" s="137"/>
      <c r="O26" s="131"/>
    </row>
    <row r="27" spans="1:15" s="113" customFormat="1">
      <c r="A27" s="131"/>
      <c r="B27" s="134"/>
      <c r="C27" s="131"/>
      <c r="D27" s="136" t="str">
        <f>TB!B20</f>
        <v>Akum. Peny. Sumur Bor</v>
      </c>
      <c r="E27" s="161">
        <f>TB!C20</f>
        <v>284202368</v>
      </c>
      <c r="F27" s="159">
        <f>'3. Sumur Bor'!AI40</f>
        <v>358558562.5</v>
      </c>
      <c r="G27" s="161">
        <f t="shared" si="1"/>
        <v>-74356194.5</v>
      </c>
      <c r="H27" s="133"/>
      <c r="I27" s="133"/>
      <c r="J27" s="137"/>
      <c r="K27" s="137"/>
      <c r="L27" s="137"/>
      <c r="M27" s="137"/>
      <c r="N27" s="137"/>
      <c r="O27" s="131"/>
    </row>
    <row r="28" spans="1:15" s="113" customFormat="1">
      <c r="A28" s="131"/>
      <c r="B28" s="134"/>
      <c r="C28" s="131"/>
      <c r="D28" s="136" t="str">
        <f>TB!B21</f>
        <v xml:space="preserve">Akum. Peny. Peralatan Labolatorium </v>
      </c>
      <c r="E28" s="161">
        <f>TB!C21</f>
        <v>112970014</v>
      </c>
      <c r="F28" s="159">
        <f>'4. Sarana &amp; Prasarana'!AI29</f>
        <v>3366962620</v>
      </c>
      <c r="G28" s="161">
        <f t="shared" si="1"/>
        <v>-3253992606</v>
      </c>
      <c r="H28" s="133"/>
      <c r="I28" s="133"/>
      <c r="J28" s="137"/>
      <c r="K28" s="137"/>
      <c r="L28" s="137"/>
      <c r="M28" s="137"/>
      <c r="N28" s="137"/>
      <c r="O28" s="131"/>
    </row>
    <row r="29" spans="1:15" s="111" customFormat="1">
      <c r="A29" s="127"/>
      <c r="B29" s="129"/>
      <c r="C29" s="127"/>
      <c r="D29" s="165"/>
      <c r="E29" s="177">
        <f>SUM(E21:E28)</f>
        <v>14413343604</v>
      </c>
      <c r="F29" s="177">
        <f>SUM(F21:F28)</f>
        <v>49058039310.237457</v>
      </c>
      <c r="G29" s="177"/>
      <c r="H29" s="168"/>
      <c r="I29" s="168"/>
      <c r="J29" s="169"/>
      <c r="K29" s="169"/>
      <c r="L29" s="169"/>
      <c r="M29" s="169"/>
      <c r="N29" s="169"/>
      <c r="O29" s="127"/>
    </row>
    <row r="30" spans="1:15" s="113" customFormat="1">
      <c r="A30" s="131"/>
      <c r="B30" s="134"/>
      <c r="C30" s="131"/>
      <c r="D30" s="136"/>
      <c r="E30" s="161"/>
      <c r="F30" s="178">
        <f>E29-F29</f>
        <v>-34644695706.237457</v>
      </c>
      <c r="G30" s="161"/>
      <c r="H30" s="133"/>
      <c r="I30" s="133"/>
      <c r="J30" s="137"/>
      <c r="K30" s="137"/>
      <c r="L30" s="137"/>
      <c r="M30" s="137"/>
      <c r="N30" s="137"/>
      <c r="O30" s="131"/>
    </row>
    <row r="31" spans="1:15" s="113" customFormat="1">
      <c r="A31" s="131"/>
      <c r="B31" s="134"/>
      <c r="C31" s="131"/>
      <c r="D31" s="136"/>
      <c r="E31" s="131"/>
      <c r="F31" s="133"/>
      <c r="G31" s="135"/>
      <c r="H31" s="133"/>
      <c r="I31" s="133"/>
      <c r="J31" s="137"/>
      <c r="K31" s="137"/>
      <c r="L31" s="137"/>
      <c r="M31" s="137"/>
      <c r="N31" s="137"/>
      <c r="O31" s="131"/>
    </row>
    <row r="32" spans="1:15" s="113" customFormat="1">
      <c r="A32" s="131"/>
      <c r="B32" s="134"/>
      <c r="C32" s="131"/>
      <c r="D32" s="136" t="str">
        <f>D21</f>
        <v xml:space="preserve">Akum Peny. Bangunan </v>
      </c>
      <c r="E32" s="131"/>
      <c r="F32" s="133"/>
      <c r="G32" s="135"/>
      <c r="H32" s="133">
        <f>G21</f>
        <v>-3324538015.1624603</v>
      </c>
      <c r="I32" s="133"/>
      <c r="J32" s="137">
        <f>H32</f>
        <v>-3324538015.1624603</v>
      </c>
      <c r="K32" s="137"/>
      <c r="L32" s="137"/>
      <c r="M32" s="137"/>
      <c r="N32" s="137"/>
      <c r="O32" s="131"/>
    </row>
    <row r="33" spans="1:15" s="113" customFormat="1">
      <c r="A33" s="131"/>
      <c r="B33" s="134"/>
      <c r="C33" s="131"/>
      <c r="D33" s="136" t="str">
        <f>D22</f>
        <v>Aum. Peny. Mesin</v>
      </c>
      <c r="E33" s="131"/>
      <c r="F33" s="133"/>
      <c r="G33" s="135"/>
      <c r="H33" s="133">
        <f>G22</f>
        <v>-12825069203.133331</v>
      </c>
      <c r="I33" s="133"/>
      <c r="J33" s="137">
        <f>H33</f>
        <v>-12825069203.133331</v>
      </c>
      <c r="K33" s="137"/>
      <c r="L33" s="137"/>
      <c r="M33" s="137"/>
      <c r="N33" s="137"/>
      <c r="O33" s="131"/>
    </row>
    <row r="34" spans="1:15" s="113" customFormat="1">
      <c r="A34" s="131"/>
      <c r="B34" s="134"/>
      <c r="C34" s="131"/>
      <c r="D34" s="136" t="str">
        <f>D24</f>
        <v>Akum. Peny. Kendaraan Alat Berat</v>
      </c>
      <c r="E34" s="131"/>
      <c r="F34" s="133"/>
      <c r="G34" s="135"/>
      <c r="H34" s="133">
        <f>G24</f>
        <v>126403250</v>
      </c>
      <c r="I34" s="133"/>
      <c r="J34" s="137">
        <f>H34</f>
        <v>126403250</v>
      </c>
      <c r="K34" s="137"/>
      <c r="L34" s="137"/>
      <c r="M34" s="137"/>
      <c r="N34" s="137"/>
      <c r="O34" s="131"/>
    </row>
    <row r="35" spans="1:15" s="113" customFormat="1">
      <c r="A35" s="131"/>
      <c r="B35" s="134"/>
      <c r="C35" s="131"/>
      <c r="D35" s="136" t="str">
        <f>D26</f>
        <v>Akum. Peny. Peralatan Produksi</v>
      </c>
      <c r="E35" s="131"/>
      <c r="F35" s="133"/>
      <c r="G35" s="135"/>
      <c r="H35" s="133">
        <f>G26</f>
        <v>-7732731554.1499996</v>
      </c>
      <c r="I35" s="133"/>
      <c r="J35" s="137">
        <f>H35</f>
        <v>-7732731554.1499996</v>
      </c>
      <c r="K35" s="137"/>
      <c r="L35" s="137"/>
      <c r="M35" s="137"/>
      <c r="N35" s="137"/>
      <c r="O35" s="131"/>
    </row>
    <row r="36" spans="1:15" s="113" customFormat="1">
      <c r="A36" s="131"/>
      <c r="B36" s="134"/>
      <c r="C36" s="131"/>
      <c r="D36" s="136" t="str">
        <f>D28</f>
        <v xml:space="preserve">Akum. Peny. Peralatan Labolatorium </v>
      </c>
      <c r="E36" s="131"/>
      <c r="F36" s="133"/>
      <c r="G36" s="135"/>
      <c r="H36" s="133">
        <f>G28</f>
        <v>-3253992606</v>
      </c>
      <c r="I36" s="133"/>
      <c r="J36" s="137">
        <f>H36</f>
        <v>-3253992606</v>
      </c>
      <c r="K36" s="137"/>
      <c r="L36" s="137"/>
      <c r="M36" s="137"/>
      <c r="N36" s="137"/>
      <c r="O36" s="131"/>
    </row>
    <row r="37" spans="1:15" s="113" customFormat="1">
      <c r="A37" s="131"/>
      <c r="B37" s="134"/>
      <c r="C37" s="131"/>
      <c r="D37" s="141" t="s">
        <v>286</v>
      </c>
      <c r="E37" s="131"/>
      <c r="F37" s="133"/>
      <c r="G37" s="135"/>
      <c r="H37" s="133"/>
      <c r="I37" s="133">
        <f>SUM(H32:H36)-SUM(I38:I40)</f>
        <v>-34644695706.237457</v>
      </c>
      <c r="J37" s="137"/>
      <c r="K37" s="137">
        <f>I37</f>
        <v>-34644695706.237457</v>
      </c>
      <c r="L37" s="137"/>
      <c r="M37" s="137"/>
      <c r="N37" s="137"/>
      <c r="O37" s="131"/>
    </row>
    <row r="38" spans="1:15" s="113" customFormat="1">
      <c r="A38" s="131"/>
      <c r="B38" s="134"/>
      <c r="C38" s="131"/>
      <c r="D38" s="141" t="str">
        <f>D23</f>
        <v xml:space="preserve">Akum. Peny. Kendaraan </v>
      </c>
      <c r="E38" s="131"/>
      <c r="F38" s="133"/>
      <c r="G38" s="135"/>
      <c r="H38" s="133"/>
      <c r="I38" s="133">
        <f>-G23</f>
        <v>6588097089</v>
      </c>
      <c r="J38" s="137"/>
      <c r="K38" s="137">
        <f>I38</f>
        <v>6588097089</v>
      </c>
      <c r="L38" s="137"/>
      <c r="M38" s="137"/>
      <c r="N38" s="137"/>
      <c r="O38" s="131"/>
    </row>
    <row r="39" spans="1:15" s="113" customFormat="1">
      <c r="A39" s="131"/>
      <c r="B39" s="134"/>
      <c r="C39" s="131"/>
      <c r="D39" s="141" t="str">
        <f>D25</f>
        <v>Akum. Peny. Peralatan Kantor</v>
      </c>
      <c r="E39" s="131"/>
      <c r="F39" s="133"/>
      <c r="G39" s="135"/>
      <c r="H39" s="133"/>
      <c r="I39" s="133">
        <f>-G25</f>
        <v>972314294.29166675</v>
      </c>
      <c r="J39" s="137"/>
      <c r="K39" s="137">
        <f>I39</f>
        <v>972314294.29166675</v>
      </c>
      <c r="L39" s="137"/>
      <c r="M39" s="137"/>
      <c r="N39" s="137"/>
      <c r="O39" s="131"/>
    </row>
    <row r="40" spans="1:15" s="113" customFormat="1">
      <c r="A40" s="131"/>
      <c r="B40" s="134"/>
      <c r="C40" s="131"/>
      <c r="D40" s="141" t="str">
        <f>D27</f>
        <v>Akum. Peny. Sumur Bor</v>
      </c>
      <c r="E40" s="131"/>
      <c r="F40" s="133"/>
      <c r="G40" s="135"/>
      <c r="H40" s="133"/>
      <c r="I40" s="140">
        <f>-G27</f>
        <v>74356194.5</v>
      </c>
      <c r="J40" s="137"/>
      <c r="K40" s="137">
        <f>I40</f>
        <v>74356194.5</v>
      </c>
      <c r="L40" s="137"/>
      <c r="M40" s="137"/>
      <c r="N40" s="137"/>
      <c r="O40" s="131"/>
    </row>
    <row r="41" spans="1:15" s="113" customFormat="1">
      <c r="A41" s="131"/>
      <c r="B41" s="134"/>
      <c r="C41" s="131"/>
      <c r="D41" s="142" t="s">
        <v>277</v>
      </c>
      <c r="E41" s="131"/>
      <c r="F41" s="133"/>
      <c r="G41" s="135"/>
      <c r="H41" s="133"/>
      <c r="I41" s="133"/>
      <c r="J41" s="137"/>
      <c r="K41" s="137"/>
      <c r="L41" s="137"/>
      <c r="M41" s="137"/>
      <c r="N41" s="137"/>
      <c r="O41" s="131"/>
    </row>
    <row r="42" spans="1:15" s="113" customFormat="1">
      <c r="A42" s="131"/>
      <c r="B42" s="134"/>
      <c r="C42" s="131"/>
      <c r="D42" s="136"/>
      <c r="E42" s="131"/>
      <c r="F42" s="133"/>
      <c r="G42" s="135"/>
      <c r="H42" s="133"/>
      <c r="I42" s="133"/>
      <c r="J42" s="137"/>
      <c r="K42" s="137"/>
      <c r="L42" s="137"/>
      <c r="M42" s="137"/>
      <c r="N42" s="137"/>
      <c r="O42" s="131"/>
    </row>
    <row r="43" spans="1:15" s="113" customFormat="1">
      <c r="A43" s="131">
        <v>3</v>
      </c>
      <c r="B43" s="134"/>
      <c r="C43" s="131"/>
      <c r="D43" s="144" t="s">
        <v>278</v>
      </c>
      <c r="E43" s="128" t="s">
        <v>275</v>
      </c>
      <c r="F43" s="128" t="s">
        <v>276</v>
      </c>
      <c r="G43" s="128" t="s">
        <v>225</v>
      </c>
      <c r="H43" s="133"/>
      <c r="I43" s="133"/>
      <c r="J43" s="137"/>
      <c r="K43" s="137"/>
      <c r="L43" s="137"/>
      <c r="M43" s="137"/>
      <c r="N43" s="137"/>
      <c r="O43" s="131"/>
    </row>
    <row r="44" spans="1:15" s="113" customFormat="1">
      <c r="A44" s="131"/>
      <c r="B44" s="134"/>
      <c r="C44" s="131"/>
      <c r="D44" s="136" t="s">
        <v>260</v>
      </c>
      <c r="E44" s="159">
        <f>TB!C27</f>
        <v>2328601782</v>
      </c>
      <c r="F44" s="159">
        <f>'2. Bangunan'!AH115+'5. Mesin'!AG315+'6. Instalasi Elektrik'!AG43+'9. Infrastruktur'!AG50+'3. Sumur Bor'!AH40</f>
        <v>6704861034.5883312</v>
      </c>
      <c r="G44" s="135">
        <f>E44-F44</f>
        <v>-4376259252.5883312</v>
      </c>
      <c r="H44" s="133"/>
      <c r="I44" s="133"/>
      <c r="J44" s="137"/>
      <c r="K44" s="137"/>
      <c r="L44" s="137"/>
      <c r="M44" s="137"/>
      <c r="N44" s="137"/>
      <c r="O44" s="131"/>
    </row>
    <row r="45" spans="1:15" s="113" customFormat="1">
      <c r="A45" s="131"/>
      <c r="B45" s="134"/>
      <c r="C45" s="131"/>
      <c r="D45" s="136" t="s">
        <v>261</v>
      </c>
      <c r="E45" s="159">
        <f>TB!C30</f>
        <v>0</v>
      </c>
      <c r="F45" s="159"/>
      <c r="G45" s="135">
        <f>E45-F45</f>
        <v>0</v>
      </c>
      <c r="H45" s="133"/>
      <c r="I45" s="133"/>
      <c r="J45" s="137"/>
      <c r="K45" s="137"/>
      <c r="L45" s="137"/>
      <c r="M45" s="137"/>
      <c r="N45" s="137"/>
      <c r="O45" s="131"/>
    </row>
    <row r="46" spans="1:15" s="113" customFormat="1">
      <c r="A46" s="131"/>
      <c r="B46" s="134"/>
      <c r="C46" s="131"/>
      <c r="D46" s="136" t="s">
        <v>287</v>
      </c>
      <c r="E46" s="159">
        <f>TB!C31</f>
        <v>26049820</v>
      </c>
      <c r="F46" s="159">
        <f>'8 Peralatan &amp; Perlengkapan'!AG149</f>
        <v>84527500.249999985</v>
      </c>
      <c r="G46" s="135">
        <f>E46-F46</f>
        <v>-58477680.249999985</v>
      </c>
      <c r="H46" s="133"/>
      <c r="I46" s="133"/>
      <c r="J46" s="137"/>
      <c r="K46" s="137"/>
      <c r="L46" s="137"/>
      <c r="M46" s="137"/>
      <c r="N46" s="137"/>
      <c r="O46" s="131"/>
    </row>
    <row r="47" spans="1:15" s="113" customFormat="1">
      <c r="A47" s="131"/>
      <c r="B47" s="134"/>
      <c r="C47" s="131"/>
      <c r="D47" s="136" t="s">
        <v>288</v>
      </c>
      <c r="E47" s="161">
        <f>TB!C32</f>
        <v>16885002</v>
      </c>
      <c r="F47" s="159">
        <f>'4. Sarana &amp; Prasarana'!AH29</f>
        <v>490758624.16666669</v>
      </c>
      <c r="G47" s="135">
        <f>E47-F47</f>
        <v>-473873622.16666669</v>
      </c>
      <c r="H47" s="133"/>
      <c r="I47" s="133"/>
      <c r="J47" s="137"/>
      <c r="K47" s="137"/>
      <c r="L47" s="137"/>
      <c r="M47" s="137"/>
      <c r="N47" s="137"/>
      <c r="O47" s="131"/>
    </row>
    <row r="48" spans="1:15" s="113" customFormat="1">
      <c r="A48" s="131"/>
      <c r="B48" s="134"/>
      <c r="C48" s="131"/>
      <c r="D48" s="136" t="s">
        <v>289</v>
      </c>
      <c r="E48" s="161">
        <f>TB!C33</f>
        <v>0</v>
      </c>
      <c r="F48" s="159">
        <f>'7. Kendaraan'!AG69</f>
        <v>1041857500</v>
      </c>
      <c r="G48" s="135">
        <f>E48-F48</f>
        <v>-1041857500</v>
      </c>
      <c r="H48" s="133"/>
      <c r="I48" s="133"/>
      <c r="J48" s="137"/>
      <c r="K48" s="137"/>
      <c r="L48" s="137"/>
      <c r="M48" s="137"/>
      <c r="N48" s="137"/>
      <c r="O48" s="131"/>
    </row>
    <row r="49" spans="1:16" s="111" customFormat="1">
      <c r="A49" s="127"/>
      <c r="B49" s="129"/>
      <c r="C49" s="127"/>
      <c r="D49" s="127"/>
      <c r="E49" s="167">
        <f>SUM(E44:E48)</f>
        <v>2371536604</v>
      </c>
      <c r="F49" s="167">
        <f>SUM(F44:F48)</f>
        <v>8322004659.0049982</v>
      </c>
      <c r="G49" s="127"/>
      <c r="H49" s="168"/>
      <c r="I49" s="168"/>
      <c r="J49" s="169"/>
      <c r="K49" s="169"/>
      <c r="L49" s="169"/>
      <c r="M49" s="169"/>
      <c r="N49" s="169"/>
      <c r="O49" s="127"/>
    </row>
    <row r="50" spans="1:16" s="113" customFormat="1">
      <c r="A50" s="131"/>
      <c r="B50" s="134"/>
      <c r="C50" s="131"/>
      <c r="D50" s="131"/>
      <c r="E50" s="131"/>
      <c r="F50" s="171">
        <f>E49-F49</f>
        <v>-5950468055.0049982</v>
      </c>
      <c r="G50" s="131"/>
      <c r="H50" s="133"/>
      <c r="I50" s="133"/>
      <c r="J50" s="137"/>
      <c r="K50" s="137"/>
      <c r="L50" s="137"/>
      <c r="M50" s="137"/>
      <c r="N50" s="137"/>
      <c r="O50" s="131"/>
    </row>
    <row r="51" spans="1:16" s="113" customFormat="1">
      <c r="A51" s="131">
        <v>4</v>
      </c>
      <c r="B51" s="134"/>
      <c r="C51" s="131"/>
      <c r="D51" s="136" t="str">
        <f>D46</f>
        <v>Penyusutan Peralatan Kantor</v>
      </c>
      <c r="E51" s="131"/>
      <c r="F51" s="131"/>
      <c r="G51" s="131"/>
      <c r="H51" s="133">
        <f>-G46</f>
        <v>58477680.249999985</v>
      </c>
      <c r="I51" s="133"/>
      <c r="J51" s="137"/>
      <c r="K51" s="137"/>
      <c r="L51" s="137"/>
      <c r="M51" s="137">
        <f>H51</f>
        <v>58477680.249999985</v>
      </c>
      <c r="N51" s="137"/>
      <c r="O51" s="131"/>
    </row>
    <row r="52" spans="1:16" s="113" customFormat="1">
      <c r="A52" s="131"/>
      <c r="B52" s="134"/>
      <c r="C52" s="131"/>
      <c r="D52" s="136" t="str">
        <f>D48</f>
        <v xml:space="preserve">Penyusutan Kendaraan </v>
      </c>
      <c r="E52" s="131"/>
      <c r="F52" s="131"/>
      <c r="G52" s="131"/>
      <c r="H52" s="133">
        <f>-G48</f>
        <v>1041857500</v>
      </c>
      <c r="I52" s="133"/>
      <c r="J52" s="137"/>
      <c r="K52" s="137"/>
      <c r="L52" s="137"/>
      <c r="M52" s="137">
        <f>H52</f>
        <v>1041857500</v>
      </c>
      <c r="N52" s="137"/>
      <c r="O52" s="131"/>
    </row>
    <row r="53" spans="1:16" s="113" customFormat="1">
      <c r="A53" s="131"/>
      <c r="B53" s="134"/>
      <c r="C53" s="131"/>
      <c r="D53" s="141" t="s">
        <v>286</v>
      </c>
      <c r="E53" s="131"/>
      <c r="F53" s="131"/>
      <c r="G53" s="131"/>
      <c r="H53" s="133"/>
      <c r="I53" s="133">
        <f>SUM(H51:H52)-SUM(I54:I55)</f>
        <v>5950468055.0049982</v>
      </c>
      <c r="J53" s="137"/>
      <c r="K53" s="137">
        <f>I53</f>
        <v>5950468055.0049982</v>
      </c>
      <c r="L53" s="137"/>
      <c r="M53" s="137"/>
      <c r="N53" s="137"/>
      <c r="O53" s="131"/>
    </row>
    <row r="54" spans="1:16" s="113" customFormat="1">
      <c r="A54" s="131"/>
      <c r="B54" s="134"/>
      <c r="C54" s="131"/>
      <c r="D54" s="141" t="str">
        <f>D44</f>
        <v>Depreciation</v>
      </c>
      <c r="E54" s="131"/>
      <c r="F54" s="131"/>
      <c r="G54" s="131"/>
      <c r="H54" s="133"/>
      <c r="I54" s="133">
        <f>G44</f>
        <v>-4376259252.5883312</v>
      </c>
      <c r="J54" s="137"/>
      <c r="K54" s="137"/>
      <c r="L54" s="137"/>
      <c r="M54" s="137"/>
      <c r="N54" s="137">
        <f>I54</f>
        <v>-4376259252.5883312</v>
      </c>
      <c r="O54" s="131"/>
    </row>
    <row r="55" spans="1:16" s="113" customFormat="1">
      <c r="A55" s="131"/>
      <c r="B55" s="134"/>
      <c r="C55" s="131"/>
      <c r="D55" s="141" t="str">
        <f>D47</f>
        <v>Penyusutan Peralatan LAB</v>
      </c>
      <c r="E55" s="131"/>
      <c r="F55" s="131"/>
      <c r="G55" s="131"/>
      <c r="H55" s="133"/>
      <c r="I55" s="133">
        <f>G47</f>
        <v>-473873622.16666669</v>
      </c>
      <c r="J55" s="137"/>
      <c r="K55" s="137"/>
      <c r="L55" s="137"/>
      <c r="M55" s="137"/>
      <c r="N55" s="137">
        <f>I55</f>
        <v>-473873622.16666669</v>
      </c>
      <c r="O55" s="131"/>
    </row>
    <row r="56" spans="1:16" s="113" customFormat="1">
      <c r="A56" s="131"/>
      <c r="B56" s="134"/>
      <c r="C56" s="131"/>
      <c r="D56" s="142" t="s">
        <v>279</v>
      </c>
      <c r="E56" s="131"/>
      <c r="F56" s="131"/>
      <c r="G56" s="131"/>
      <c r="H56" s="133"/>
      <c r="I56" s="133"/>
      <c r="J56" s="137"/>
      <c r="K56" s="137"/>
      <c r="L56" s="137"/>
      <c r="M56" s="137"/>
      <c r="N56" s="137"/>
      <c r="O56" s="131"/>
    </row>
    <row r="57" spans="1:16" s="113" customFormat="1">
      <c r="A57" s="131"/>
      <c r="B57" s="134"/>
      <c r="C57" s="131"/>
      <c r="D57" s="131"/>
      <c r="E57" s="131"/>
      <c r="F57" s="131"/>
      <c r="G57" s="131"/>
      <c r="H57" s="133"/>
      <c r="I57" s="133"/>
      <c r="J57" s="137"/>
      <c r="K57" s="137"/>
      <c r="L57" s="137"/>
      <c r="M57" s="137"/>
      <c r="N57" s="137"/>
      <c r="O57" s="131"/>
    </row>
    <row r="58" spans="1:16" s="113" customFormat="1">
      <c r="A58" s="131">
        <f>A51+1</f>
        <v>5</v>
      </c>
      <c r="B58" s="134"/>
      <c r="C58" s="131"/>
      <c r="D58" s="131"/>
      <c r="E58" s="131"/>
      <c r="F58" s="131"/>
      <c r="G58" s="131"/>
      <c r="H58" s="133"/>
      <c r="I58" s="133"/>
      <c r="J58" s="137"/>
      <c r="K58" s="137"/>
      <c r="L58" s="137"/>
      <c r="M58" s="137"/>
      <c r="N58" s="137"/>
      <c r="O58" s="131"/>
    </row>
    <row r="59" spans="1:16" s="113" customFormat="1">
      <c r="A59" s="131"/>
      <c r="B59" s="134"/>
      <c r="C59" s="131"/>
      <c r="D59" s="131"/>
      <c r="E59" s="131"/>
      <c r="F59" s="164"/>
      <c r="G59" s="131"/>
      <c r="H59" s="133"/>
      <c r="I59" s="133"/>
      <c r="J59" s="137"/>
      <c r="K59" s="137"/>
      <c r="L59" s="137"/>
      <c r="M59" s="137"/>
      <c r="N59" s="137"/>
      <c r="O59" s="131"/>
    </row>
    <row r="60" spans="1:16" s="113" customFormat="1">
      <c r="A60" s="131"/>
      <c r="B60" s="134"/>
      <c r="C60" s="131"/>
      <c r="D60" s="131"/>
      <c r="E60" s="131"/>
      <c r="F60" s="131"/>
      <c r="G60" s="131"/>
      <c r="H60" s="133"/>
      <c r="I60" s="133"/>
      <c r="J60" s="137"/>
      <c r="K60" s="137"/>
      <c r="L60" s="137"/>
      <c r="M60" s="137"/>
      <c r="N60" s="137"/>
      <c r="O60" s="131"/>
    </row>
    <row r="61" spans="1:16" s="113" customFormat="1">
      <c r="A61" s="131"/>
      <c r="B61" s="134"/>
      <c r="C61" s="131"/>
      <c r="D61" s="138"/>
      <c r="E61" s="131"/>
      <c r="F61" s="131"/>
      <c r="G61" s="131"/>
      <c r="H61" s="133"/>
      <c r="I61" s="133"/>
      <c r="J61" s="137"/>
      <c r="K61" s="137"/>
      <c r="L61" s="137"/>
      <c r="M61" s="137"/>
      <c r="N61" s="137"/>
      <c r="O61" s="131"/>
    </row>
    <row r="62" spans="1:16" s="111" customFormat="1" ht="8.25" customHeight="1">
      <c r="A62" s="112"/>
      <c r="B62" s="127"/>
      <c r="H62" s="145"/>
      <c r="I62" s="145"/>
      <c r="J62" s="146"/>
      <c r="K62" s="146"/>
      <c r="L62" s="146"/>
      <c r="M62" s="146"/>
      <c r="N62" s="146"/>
      <c r="P62" s="147"/>
    </row>
    <row r="63" spans="1:16">
      <c r="A63" s="148"/>
      <c r="B63" s="149"/>
      <c r="C63" s="149"/>
      <c r="D63" s="149"/>
      <c r="E63" s="149"/>
      <c r="F63" s="149"/>
      <c r="G63" s="149"/>
      <c r="H63" s="150">
        <f>SUM(H7:H62)</f>
        <v>-25909592948.195793</v>
      </c>
      <c r="I63" s="150">
        <f>SUM(I7:I62)</f>
        <v>-25909592948.195789</v>
      </c>
      <c r="J63" s="150">
        <f>SUM(J7:J62)</f>
        <v>-27009928128.445793</v>
      </c>
      <c r="K63" s="150">
        <f>SUM(K7:K62)</f>
        <v>-21059460073.440792</v>
      </c>
      <c r="L63" s="150"/>
      <c r="M63" s="150">
        <f>SUM(M7:M62)</f>
        <v>1100335180.25</v>
      </c>
      <c r="N63" s="150">
        <f>SUM(N7:N62)</f>
        <v>-4850132874.7549982</v>
      </c>
      <c r="O63" s="149"/>
    </row>
    <row r="64" spans="1:16">
      <c r="H64" s="121"/>
      <c r="I64" s="121">
        <f>H63-I63</f>
        <v>0</v>
      </c>
      <c r="J64" s="151">
        <f>J63-K63</f>
        <v>-5950468055.0050011</v>
      </c>
      <c r="K64" s="151"/>
      <c r="L64" s="151"/>
      <c r="M64" s="151"/>
      <c r="N64" s="151">
        <f>N63-M63</f>
        <v>-5950468055.0049982</v>
      </c>
    </row>
    <row r="65" spans="2:15">
      <c r="F65" s="176">
        <f>F30-F50</f>
        <v>-28694227651.23246</v>
      </c>
      <c r="H65" s="121"/>
      <c r="I65" s="121"/>
      <c r="J65" s="151"/>
      <c r="K65" s="151"/>
      <c r="L65" s="151"/>
      <c r="M65" s="151"/>
      <c r="N65" s="151"/>
    </row>
    <row r="66" spans="2:15">
      <c r="E66" t="s">
        <v>280</v>
      </c>
      <c r="H66" s="121"/>
      <c r="I66" s="121"/>
      <c r="J66" s="151"/>
      <c r="K66" s="151"/>
      <c r="L66" s="151"/>
      <c r="M66" s="151"/>
      <c r="N66" s="151"/>
      <c r="O66" s="46"/>
    </row>
    <row r="67" spans="2:15">
      <c r="E67" t="s">
        <v>281</v>
      </c>
      <c r="H67" s="152"/>
      <c r="I67" s="152"/>
      <c r="J67" s="153"/>
      <c r="K67" s="153"/>
      <c r="L67" s="153"/>
      <c r="M67" s="153"/>
      <c r="N67" s="154"/>
      <c r="O67" s="46"/>
    </row>
    <row r="68" spans="2:15">
      <c r="E68" t="s">
        <v>225</v>
      </c>
      <c r="H68" s="152"/>
      <c r="I68" s="152"/>
      <c r="J68" s="153"/>
      <c r="K68" s="153"/>
      <c r="L68" s="153"/>
      <c r="M68" s="153"/>
      <c r="N68" s="155">
        <f>N66-N67</f>
        <v>0</v>
      </c>
      <c r="O68" s="46"/>
    </row>
    <row r="69" spans="2:15">
      <c r="H69" s="152"/>
      <c r="I69" s="152"/>
      <c r="J69" s="153"/>
      <c r="K69" s="153"/>
      <c r="L69" s="153"/>
      <c r="M69" s="153"/>
      <c r="N69" s="156"/>
      <c r="O69" s="46"/>
    </row>
    <row r="70" spans="2:15">
      <c r="B70" t="s">
        <v>282</v>
      </c>
    </row>
    <row r="74" spans="2:15">
      <c r="B74" t="s">
        <v>283</v>
      </c>
    </row>
  </sheetData>
  <mergeCells count="8">
    <mergeCell ref="M5:N5"/>
    <mergeCell ref="O5:O6"/>
    <mergeCell ref="A5:A6"/>
    <mergeCell ref="B5:B6"/>
    <mergeCell ref="C5:E6"/>
    <mergeCell ref="H5:H6"/>
    <mergeCell ref="I5:I6"/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27E0-06C1-423E-86CC-5FFB9ED1A62D}">
  <dimension ref="A1:P73"/>
  <sheetViews>
    <sheetView zoomScale="81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B63" sqref="B63"/>
    </sheetView>
  </sheetViews>
  <sheetFormatPr defaultColWidth="9.1796875" defaultRowHeight="14.5"/>
  <cols>
    <col min="1" max="1" width="5.7265625" style="124" customWidth="1"/>
    <col min="2" max="2" width="10.81640625" customWidth="1"/>
    <col min="3" max="3" width="1" customWidth="1"/>
    <col min="4" max="4" width="28.26953125" customWidth="1"/>
    <col min="5" max="5" width="19.81640625" bestFit="1" customWidth="1"/>
    <col min="6" max="6" width="17.26953125" bestFit="1" customWidth="1"/>
    <col min="7" max="7" width="17.26953125" customWidth="1"/>
    <col min="8" max="9" width="18.7265625" style="31" customWidth="1"/>
    <col min="10" max="11" width="18.7265625" customWidth="1"/>
    <col min="12" max="12" width="0.7265625" customWidth="1"/>
    <col min="13" max="14" width="18.7265625" customWidth="1"/>
    <col min="15" max="15" width="23.1796875" customWidth="1"/>
  </cols>
  <sheetData>
    <row r="1" spans="1:15">
      <c r="A1" t="s">
        <v>263</v>
      </c>
      <c r="C1" t="s">
        <v>264</v>
      </c>
      <c r="D1" t="s">
        <v>285</v>
      </c>
    </row>
    <row r="2" spans="1:15">
      <c r="A2" s="122" t="s">
        <v>265</v>
      </c>
      <c r="C2" t="s">
        <v>264</v>
      </c>
      <c r="D2" s="123" t="s">
        <v>291</v>
      </c>
    </row>
    <row r="3" spans="1:15">
      <c r="A3" s="122" t="s">
        <v>266</v>
      </c>
      <c r="E3" s="122"/>
      <c r="F3" s="122"/>
      <c r="G3" s="122"/>
    </row>
    <row r="4" spans="1:15" ht="7.5" customHeight="1">
      <c r="L4" s="125"/>
    </row>
    <row r="5" spans="1:15">
      <c r="A5" s="1223" t="s">
        <v>267</v>
      </c>
      <c r="B5" s="1225" t="s">
        <v>268</v>
      </c>
      <c r="C5" s="1223" t="s">
        <v>269</v>
      </c>
      <c r="D5" s="1223"/>
      <c r="E5" s="1223"/>
      <c r="F5" s="126"/>
      <c r="G5" s="126"/>
      <c r="H5" s="1227" t="s">
        <v>262</v>
      </c>
      <c r="I5" s="1227" t="s">
        <v>270</v>
      </c>
      <c r="J5" s="1222" t="s">
        <v>271</v>
      </c>
      <c r="K5" s="1222"/>
      <c r="L5" s="127"/>
      <c r="M5" s="1222" t="s">
        <v>272</v>
      </c>
      <c r="N5" s="1222"/>
      <c r="O5" s="1223" t="s">
        <v>273</v>
      </c>
    </row>
    <row r="6" spans="1:15">
      <c r="A6" s="1224"/>
      <c r="B6" s="1226"/>
      <c r="C6" s="1224"/>
      <c r="D6" s="1224"/>
      <c r="E6" s="1224"/>
      <c r="F6" s="128"/>
      <c r="G6" s="128"/>
      <c r="H6" s="1228"/>
      <c r="I6" s="1228"/>
      <c r="J6" s="128" t="s">
        <v>262</v>
      </c>
      <c r="K6" s="128" t="s">
        <v>270</v>
      </c>
      <c r="L6" s="127"/>
      <c r="M6" s="128" t="s">
        <v>262</v>
      </c>
      <c r="N6" s="128" t="s">
        <v>270</v>
      </c>
      <c r="O6" s="1224"/>
    </row>
    <row r="7" spans="1:15">
      <c r="A7" s="127"/>
      <c r="B7" s="129"/>
      <c r="C7" s="127"/>
      <c r="D7" s="127"/>
      <c r="E7" s="127"/>
      <c r="F7" s="127"/>
      <c r="G7" s="127"/>
      <c r="H7" s="130"/>
      <c r="I7" s="130"/>
      <c r="J7" s="127"/>
      <c r="K7" s="127"/>
      <c r="L7" s="127"/>
      <c r="M7" s="127"/>
      <c r="N7" s="127"/>
      <c r="O7" s="127"/>
    </row>
    <row r="8" spans="1:15" s="113" customFormat="1">
      <c r="A8" s="131">
        <v>1</v>
      </c>
      <c r="B8" s="134"/>
      <c r="C8" s="131"/>
      <c r="D8" s="128" t="s">
        <v>274</v>
      </c>
      <c r="E8" s="128" t="s">
        <v>275</v>
      </c>
      <c r="F8" s="128" t="s">
        <v>276</v>
      </c>
      <c r="G8" s="128" t="s">
        <v>225</v>
      </c>
      <c r="H8" s="133"/>
      <c r="I8" s="133"/>
      <c r="J8" s="137"/>
      <c r="K8" s="137"/>
      <c r="L8" s="137"/>
      <c r="M8" s="137"/>
      <c r="N8" s="137"/>
      <c r="O8" s="131"/>
    </row>
    <row r="9" spans="1:15" s="113" customFormat="1">
      <c r="A9" s="131"/>
      <c r="B9" s="134"/>
      <c r="C9" s="131"/>
      <c r="D9" s="136" t="str">
        <f>TB!B2</f>
        <v xml:space="preserve">Tanah </v>
      </c>
      <c r="E9" s="133">
        <f>TB!G2</f>
        <v>11934000000</v>
      </c>
      <c r="F9" s="133">
        <f>'1. Tanah'!D4</f>
        <v>655809273</v>
      </c>
      <c r="G9" s="133">
        <f>E9-F9</f>
        <v>11278190727</v>
      </c>
      <c r="H9" s="133"/>
      <c r="I9" s="133"/>
      <c r="J9" s="137"/>
      <c r="K9" s="137"/>
      <c r="L9" s="137"/>
      <c r="M9" s="137"/>
      <c r="N9" s="137"/>
      <c r="O9" s="131"/>
    </row>
    <row r="10" spans="1:15" s="113" customFormat="1">
      <c r="A10" s="131"/>
      <c r="B10" s="134"/>
      <c r="C10" s="131"/>
      <c r="D10" s="136" t="str">
        <f>TB!B3</f>
        <v xml:space="preserve">Bangunan </v>
      </c>
      <c r="E10" s="133">
        <f>TB!G3</f>
        <v>24671108216</v>
      </c>
      <c r="F10" s="133">
        <f>'2. Bangunan'!E127</f>
        <v>37188156152.100014</v>
      </c>
      <c r="G10" s="133">
        <f t="shared" ref="G10:G17" si="0">E10-F10</f>
        <v>-12517047936.100014</v>
      </c>
      <c r="H10" s="133"/>
      <c r="I10" s="133"/>
      <c r="J10" s="137"/>
      <c r="K10" s="137"/>
      <c r="L10" s="137"/>
      <c r="M10" s="137"/>
      <c r="N10" s="137"/>
      <c r="O10" s="131"/>
    </row>
    <row r="11" spans="1:15" s="113" customFormat="1">
      <c r="A11" s="131"/>
      <c r="B11" s="134"/>
      <c r="C11" s="131"/>
      <c r="D11" s="136" t="str">
        <f>TB!B4</f>
        <v xml:space="preserve">Mesin </v>
      </c>
      <c r="E11" s="133">
        <f>TB!G4</f>
        <v>12427073552</v>
      </c>
      <c r="F11" s="133">
        <f>'5. Mesin'!E327</f>
        <v>37601206721.599983</v>
      </c>
      <c r="G11" s="133">
        <f t="shared" si="0"/>
        <v>-25174133169.599983</v>
      </c>
      <c r="H11" s="133"/>
      <c r="I11" s="133"/>
      <c r="J11" s="137"/>
      <c r="K11" s="137"/>
      <c r="L11" s="137"/>
      <c r="M11" s="137"/>
      <c r="N11" s="137"/>
      <c r="O11" s="131"/>
    </row>
    <row r="12" spans="1:15" s="113" customFormat="1">
      <c r="A12" s="131"/>
      <c r="B12" s="134"/>
      <c r="C12" s="131"/>
      <c r="D12" s="136" t="str">
        <f>TB!B5</f>
        <v xml:space="preserve">Kendaraan </v>
      </c>
      <c r="E12" s="133">
        <f>TB!G5</f>
        <v>1431471000</v>
      </c>
      <c r="F12" s="133">
        <f>'7. Kendaraan'!E80</f>
        <v>8342660000</v>
      </c>
      <c r="G12" s="133">
        <f t="shared" si="0"/>
        <v>-6911189000</v>
      </c>
      <c r="H12" s="133"/>
      <c r="I12" s="133"/>
      <c r="J12" s="137"/>
      <c r="K12" s="137"/>
      <c r="L12" s="137"/>
      <c r="M12" s="137"/>
      <c r="N12" s="137"/>
      <c r="O12" s="131"/>
    </row>
    <row r="13" spans="1:15" s="113" customFormat="1">
      <c r="A13" s="131"/>
      <c r="B13" s="134"/>
      <c r="C13" s="131"/>
      <c r="D13" s="136" t="str">
        <f>TB!B6</f>
        <v xml:space="preserve">Kendaraan Alat Berat </v>
      </c>
      <c r="E13" s="133">
        <f>TB!G6</f>
        <v>545000000</v>
      </c>
      <c r="F13" s="133">
        <f>'6. Instalasi Elektrik'!E54</f>
        <v>1452280000</v>
      </c>
      <c r="G13" s="133">
        <f t="shared" si="0"/>
        <v>-907280000</v>
      </c>
      <c r="H13" s="133"/>
      <c r="I13" s="133"/>
      <c r="J13" s="137"/>
      <c r="K13" s="137"/>
      <c r="L13" s="137"/>
      <c r="M13" s="137"/>
      <c r="N13" s="137"/>
      <c r="O13" s="131"/>
    </row>
    <row r="14" spans="1:15" s="113" customFormat="1">
      <c r="A14" s="131"/>
      <c r="B14" s="134"/>
      <c r="C14" s="131"/>
      <c r="D14" s="136" t="str">
        <f>TB!B7</f>
        <v xml:space="preserve">Peralatan Kantor </v>
      </c>
      <c r="E14" s="133">
        <f>TB!G7</f>
        <v>229134005</v>
      </c>
      <c r="F14" s="133">
        <f>'8 Peralatan &amp; Perlengkapan'!E160</f>
        <v>1212799796</v>
      </c>
      <c r="G14" s="133">
        <f t="shared" si="0"/>
        <v>-983665791</v>
      </c>
      <c r="H14" s="133"/>
      <c r="I14" s="133"/>
      <c r="J14" s="137"/>
      <c r="K14" s="137"/>
      <c r="L14" s="137"/>
      <c r="M14" s="137"/>
      <c r="N14" s="137"/>
      <c r="O14" s="131"/>
    </row>
    <row r="15" spans="1:15" s="113" customFormat="1">
      <c r="A15" s="131"/>
      <c r="B15" s="134"/>
      <c r="C15" s="131"/>
      <c r="D15" s="136" t="str">
        <f>TB!B8</f>
        <v xml:space="preserve">Peralatan Produksi </v>
      </c>
      <c r="E15" s="133">
        <f>TB!G8</f>
        <v>1371567751</v>
      </c>
      <c r="F15" s="133">
        <f>'9. Infrastruktur'!E61</f>
        <v>11170379446.6</v>
      </c>
      <c r="G15" s="133">
        <f t="shared" si="0"/>
        <v>-9798811695.6000004</v>
      </c>
      <c r="H15" s="133"/>
      <c r="I15" s="133"/>
      <c r="J15" s="137"/>
      <c r="K15" s="137"/>
      <c r="L15" s="137"/>
      <c r="M15" s="137"/>
      <c r="N15" s="137"/>
      <c r="O15" s="131"/>
    </row>
    <row r="16" spans="1:15" s="113" customFormat="1">
      <c r="A16" s="131"/>
      <c r="B16" s="134"/>
      <c r="C16" s="131"/>
      <c r="D16" s="136" t="str">
        <f>TB!B9</f>
        <v>Sumur Bor</v>
      </c>
      <c r="E16" s="133">
        <f>TB!G9</f>
        <v>337941600</v>
      </c>
      <c r="F16" s="133">
        <f>'3. Sumur Bor'!E52</f>
        <v>445059500</v>
      </c>
      <c r="G16" s="133">
        <f t="shared" si="0"/>
        <v>-107117900</v>
      </c>
      <c r="H16" s="133"/>
      <c r="I16" s="133"/>
      <c r="J16" s="137"/>
      <c r="K16" s="137"/>
      <c r="L16" s="137"/>
      <c r="M16" s="137"/>
      <c r="N16" s="137"/>
      <c r="O16" s="131"/>
    </row>
    <row r="17" spans="1:15" s="113" customFormat="1">
      <c r="A17" s="131"/>
      <c r="B17" s="134"/>
      <c r="C17" s="131"/>
      <c r="D17" s="136" t="str">
        <f>TB!B10</f>
        <v xml:space="preserve">Peralatan Labolatorium </v>
      </c>
      <c r="E17" s="133">
        <f>TB!G10</f>
        <v>112970000</v>
      </c>
      <c r="F17" s="133">
        <f>'4. Sarana &amp; Prasarana'!E41</f>
        <v>6200217370</v>
      </c>
      <c r="G17" s="133">
        <f t="shared" si="0"/>
        <v>-6087247370</v>
      </c>
      <c r="H17" s="133"/>
      <c r="I17" s="133"/>
      <c r="J17" s="137"/>
      <c r="K17" s="137"/>
      <c r="L17" s="137"/>
      <c r="M17" s="137"/>
      <c r="N17" s="137"/>
      <c r="O17" s="131"/>
    </row>
    <row r="18" spans="1:15" s="111" customFormat="1">
      <c r="A18" s="127"/>
      <c r="B18" s="129"/>
      <c r="C18" s="127"/>
      <c r="D18" s="173"/>
      <c r="E18" s="167">
        <f>SUM(E9:E17)</f>
        <v>53060266124</v>
      </c>
      <c r="F18" s="167">
        <f>SUM(F9:F17)</f>
        <v>104268568259.3</v>
      </c>
      <c r="G18" s="127"/>
      <c r="H18" s="168"/>
      <c r="I18" s="168"/>
      <c r="J18" s="169"/>
      <c r="K18" s="169"/>
      <c r="L18" s="169"/>
      <c r="M18" s="169"/>
      <c r="N18" s="169"/>
      <c r="O18" s="127"/>
    </row>
    <row r="19" spans="1:15" s="113" customFormat="1">
      <c r="A19" s="131"/>
      <c r="B19" s="134"/>
      <c r="C19" s="131"/>
      <c r="D19" s="142"/>
      <c r="E19" s="131"/>
      <c r="F19" s="131"/>
      <c r="G19" s="131"/>
      <c r="H19" s="133"/>
      <c r="I19" s="133"/>
      <c r="J19" s="137"/>
      <c r="K19" s="137"/>
      <c r="L19" s="137"/>
      <c r="M19" s="137"/>
      <c r="N19" s="137"/>
      <c r="O19" s="131"/>
    </row>
    <row r="20" spans="1:15" s="113" customFormat="1">
      <c r="A20" s="131">
        <v>2</v>
      </c>
      <c r="B20" s="134"/>
      <c r="C20" s="131"/>
      <c r="D20" s="143" t="s">
        <v>205</v>
      </c>
      <c r="E20" s="128" t="s">
        <v>275</v>
      </c>
      <c r="F20" s="128" t="s">
        <v>276</v>
      </c>
      <c r="G20" s="128" t="s">
        <v>225</v>
      </c>
      <c r="H20" s="133"/>
      <c r="I20" s="133"/>
      <c r="J20" s="137"/>
      <c r="K20" s="137"/>
      <c r="L20" s="137"/>
      <c r="M20" s="137"/>
      <c r="N20" s="137"/>
      <c r="O20" s="131"/>
    </row>
    <row r="21" spans="1:15" s="113" customFormat="1">
      <c r="A21" s="131"/>
      <c r="B21" s="134"/>
      <c r="C21" s="131"/>
      <c r="D21" s="139" t="str">
        <f>TB!B14</f>
        <v xml:space="preserve">Akum Peny. Bangunan </v>
      </c>
      <c r="E21" s="132">
        <f>TB!G14</f>
        <v>4654194214</v>
      </c>
      <c r="F21" s="158">
        <f>'2. Bangunan'!AF115</f>
        <v>7340493645.8217077</v>
      </c>
      <c r="G21" s="157">
        <f>E21-F21</f>
        <v>-2686299431.8217077</v>
      </c>
      <c r="H21" s="133"/>
      <c r="I21" s="133"/>
      <c r="J21" s="137"/>
      <c r="K21" s="137"/>
      <c r="L21" s="137"/>
      <c r="M21" s="137"/>
      <c r="N21" s="137"/>
      <c r="O21" s="131"/>
    </row>
    <row r="22" spans="1:15" s="113" customFormat="1">
      <c r="A22" s="131"/>
      <c r="B22" s="134"/>
      <c r="C22" s="131"/>
      <c r="D22" s="139" t="str">
        <f>TB!B15</f>
        <v>Aum. Peny. Mesin</v>
      </c>
      <c r="E22" s="132">
        <f>TB!G15</f>
        <v>4543719794</v>
      </c>
      <c r="F22" s="158">
        <f>'5. Mesin'!AE315</f>
        <v>14764181666.933331</v>
      </c>
      <c r="G22" s="157">
        <f>E22-F22</f>
        <v>-10220461872.933331</v>
      </c>
      <c r="H22" s="133"/>
      <c r="I22" s="133"/>
      <c r="J22" s="137"/>
      <c r="K22" s="137"/>
      <c r="L22" s="137"/>
      <c r="M22" s="137"/>
      <c r="N22" s="137"/>
      <c r="O22" s="131"/>
    </row>
    <row r="23" spans="1:15" s="113" customFormat="1">
      <c r="A23" s="131"/>
      <c r="B23" s="134"/>
      <c r="C23" s="131"/>
      <c r="D23" s="136" t="str">
        <f>TB!B16</f>
        <v xml:space="preserve">Akum. Peny. Kendaraan </v>
      </c>
      <c r="E23" s="157">
        <f>TB!G16</f>
        <v>575795564</v>
      </c>
      <c r="F23" s="132">
        <f>'7. Kendaraan'!AE69</f>
        <v>6304577500</v>
      </c>
      <c r="G23" s="157">
        <f t="shared" ref="G23:G28" si="1">E23-F23</f>
        <v>-5728781936</v>
      </c>
      <c r="H23" s="133"/>
      <c r="I23" s="133"/>
      <c r="J23" s="137"/>
      <c r="K23" s="137"/>
      <c r="L23" s="137"/>
      <c r="M23" s="137"/>
      <c r="N23" s="137"/>
      <c r="O23" s="131"/>
    </row>
    <row r="24" spans="1:15" s="113" customFormat="1">
      <c r="A24" s="131"/>
      <c r="B24" s="134"/>
      <c r="C24" s="131"/>
      <c r="D24" s="136" t="str">
        <f>TB!B17</f>
        <v>Akum. Peny. Kendaraan Alat Berat</v>
      </c>
      <c r="E24" s="157">
        <f>TB!G17</f>
        <v>467031250</v>
      </c>
      <c r="F24" s="132">
        <f>'6. Instalasi Elektrik'!AE43</f>
        <v>324564000</v>
      </c>
      <c r="G24" s="157">
        <f t="shared" si="1"/>
        <v>142467250</v>
      </c>
      <c r="H24" s="133"/>
      <c r="I24" s="133"/>
      <c r="J24" s="137"/>
      <c r="K24" s="137"/>
      <c r="L24" s="137"/>
      <c r="M24" s="137"/>
      <c r="N24" s="137"/>
      <c r="O24" s="131"/>
    </row>
    <row r="25" spans="1:15" s="113" customFormat="1">
      <c r="A25" s="131"/>
      <c r="B25" s="134"/>
      <c r="C25" s="131"/>
      <c r="D25" s="136" t="str">
        <f>TB!B18</f>
        <v>Akum. Peny. Peralatan Kantor</v>
      </c>
      <c r="E25" s="157">
        <f>TB!G18</f>
        <v>176328564</v>
      </c>
      <c r="F25" s="132">
        <f>'8 Peralatan &amp; Perlengkapan'!AE149</f>
        <v>1090165181.0416665</v>
      </c>
      <c r="G25" s="157">
        <f t="shared" si="1"/>
        <v>-913836617.04166651</v>
      </c>
      <c r="H25" s="133"/>
      <c r="I25" s="133"/>
      <c r="J25" s="137"/>
      <c r="K25" s="137"/>
      <c r="L25" s="137"/>
      <c r="M25" s="137"/>
      <c r="N25" s="137"/>
      <c r="O25" s="131"/>
    </row>
    <row r="26" spans="1:15" s="113" customFormat="1">
      <c r="A26" s="131"/>
      <c r="B26" s="134"/>
      <c r="C26" s="131"/>
      <c r="D26" s="136" t="str">
        <f>TB!B19</f>
        <v>Akum. Peny. Peralatan Produksi</v>
      </c>
      <c r="E26" s="157">
        <f>TB!G19</f>
        <v>1281284963</v>
      </c>
      <c r="F26" s="132">
        <f>'9. Infrastruktur'!AE50</f>
        <v>7721497915.8666668</v>
      </c>
      <c r="G26" s="157">
        <f t="shared" si="1"/>
        <v>-6440212952.8666668</v>
      </c>
      <c r="H26" s="133"/>
      <c r="I26" s="133"/>
      <c r="J26" s="137"/>
      <c r="K26" s="137"/>
      <c r="L26" s="137"/>
      <c r="M26" s="137"/>
      <c r="N26" s="137"/>
      <c r="O26" s="131"/>
    </row>
    <row r="27" spans="1:15" s="113" customFormat="1">
      <c r="A27" s="131"/>
      <c r="B27" s="134"/>
      <c r="C27" s="131"/>
      <c r="D27" s="136" t="str">
        <f>TB!B20</f>
        <v>Akum. Peny. Sumur Bor</v>
      </c>
      <c r="E27" s="157">
        <f>TB!G20</f>
        <v>247367639</v>
      </c>
      <c r="F27" s="132">
        <f>'3. Sumur Bor'!AF40</f>
        <v>302926125</v>
      </c>
      <c r="G27" s="157">
        <f t="shared" si="1"/>
        <v>-55558486</v>
      </c>
      <c r="H27" s="133"/>
      <c r="I27" s="133"/>
      <c r="J27" s="137"/>
      <c r="K27" s="137"/>
      <c r="L27" s="137"/>
      <c r="M27" s="137"/>
      <c r="N27" s="137"/>
      <c r="O27" s="131"/>
    </row>
    <row r="28" spans="1:15" s="113" customFormat="1">
      <c r="A28" s="131"/>
      <c r="B28" s="134"/>
      <c r="C28" s="131"/>
      <c r="D28" s="136" t="str">
        <f>TB!B21</f>
        <v xml:space="preserve">Akum. Peny. Peralatan Labolatorium </v>
      </c>
      <c r="E28" s="157">
        <f>TB!G21</f>
        <v>96085012</v>
      </c>
      <c r="F28" s="132">
        <f>'4. Sarana &amp; Prasarana'!AF29</f>
        <v>2876203995.8333335</v>
      </c>
      <c r="G28" s="157">
        <f t="shared" si="1"/>
        <v>-2780118983.8333335</v>
      </c>
      <c r="H28" s="133"/>
      <c r="I28" s="133"/>
      <c r="J28" s="137"/>
      <c r="K28" s="137"/>
      <c r="L28" s="137"/>
      <c r="M28" s="137"/>
      <c r="N28" s="137"/>
      <c r="O28" s="131"/>
    </row>
    <row r="29" spans="1:15" s="111" customFormat="1">
      <c r="A29" s="127"/>
      <c r="B29" s="129"/>
      <c r="C29" s="127"/>
      <c r="D29" s="165"/>
      <c r="E29" s="166">
        <f>SUM(E21:E28)</f>
        <v>12041807000</v>
      </c>
      <c r="F29" s="166">
        <f>SUM(F21:F28)</f>
        <v>40724610030.496712</v>
      </c>
      <c r="G29" s="167"/>
      <c r="H29" s="168"/>
      <c r="I29" s="168"/>
      <c r="J29" s="169"/>
      <c r="K29" s="169"/>
      <c r="L29" s="169"/>
      <c r="M29" s="169"/>
      <c r="N29" s="169"/>
      <c r="O29" s="127"/>
    </row>
    <row r="30" spans="1:15" s="113" customFormat="1">
      <c r="A30" s="131"/>
      <c r="B30" s="134"/>
      <c r="C30" s="131"/>
      <c r="D30" s="136"/>
      <c r="E30" s="131"/>
      <c r="F30" s="170">
        <f>E29-F29</f>
        <v>-28682803030.496712</v>
      </c>
      <c r="G30" s="135"/>
      <c r="H30" s="133"/>
      <c r="I30" s="133"/>
      <c r="J30" s="137"/>
      <c r="K30" s="137"/>
      <c r="L30" s="137"/>
      <c r="M30" s="137"/>
      <c r="N30" s="137"/>
      <c r="O30" s="131"/>
    </row>
    <row r="31" spans="1:15" s="113" customFormat="1">
      <c r="A31" s="131"/>
      <c r="B31" s="134"/>
      <c r="C31" s="131"/>
      <c r="D31" s="136" t="str">
        <f>D21</f>
        <v xml:space="preserve">Akum Peny. Bangunan </v>
      </c>
      <c r="E31" s="131"/>
      <c r="F31" s="133"/>
      <c r="G31" s="135"/>
      <c r="H31" s="133">
        <f t="shared" ref="H31:H38" si="2">G21</f>
        <v>-2686299431.8217077</v>
      </c>
      <c r="I31" s="133"/>
      <c r="J31" s="137">
        <f t="shared" ref="J31:J38" si="3">H31</f>
        <v>-2686299431.8217077</v>
      </c>
      <c r="K31" s="137"/>
      <c r="L31" s="137"/>
      <c r="M31" s="137"/>
      <c r="N31" s="137"/>
      <c r="O31" s="131"/>
    </row>
    <row r="32" spans="1:15" s="113" customFormat="1">
      <c r="A32" s="131"/>
      <c r="B32" s="134"/>
      <c r="C32" s="131"/>
      <c r="D32" s="136" t="str">
        <f>D22</f>
        <v>Aum. Peny. Mesin</v>
      </c>
      <c r="E32" s="131"/>
      <c r="F32" s="133"/>
      <c r="G32" s="135"/>
      <c r="H32" s="133">
        <f t="shared" si="2"/>
        <v>-10220461872.933331</v>
      </c>
      <c r="I32" s="133"/>
      <c r="J32" s="137">
        <f t="shared" si="3"/>
        <v>-10220461872.933331</v>
      </c>
      <c r="K32" s="137"/>
      <c r="L32" s="137"/>
      <c r="M32" s="137"/>
      <c r="N32" s="137"/>
      <c r="O32" s="131"/>
    </row>
    <row r="33" spans="1:15" s="113" customFormat="1">
      <c r="A33" s="131"/>
      <c r="B33" s="134"/>
      <c r="C33" s="131"/>
      <c r="D33" s="136" t="s">
        <v>253</v>
      </c>
      <c r="E33" s="131"/>
      <c r="F33" s="133"/>
      <c r="G33" s="135"/>
      <c r="H33" s="133">
        <f t="shared" si="2"/>
        <v>-5728781936</v>
      </c>
      <c r="I33" s="133"/>
      <c r="J33" s="137">
        <f t="shared" si="3"/>
        <v>-5728781936</v>
      </c>
      <c r="K33" s="137"/>
      <c r="L33" s="137"/>
      <c r="M33" s="137"/>
      <c r="N33" s="137"/>
      <c r="O33" s="131"/>
    </row>
    <row r="34" spans="1:15" s="113" customFormat="1">
      <c r="A34" s="131"/>
      <c r="B34" s="134"/>
      <c r="C34" s="131"/>
      <c r="D34" s="136" t="str">
        <f>D24</f>
        <v>Akum. Peny. Kendaraan Alat Berat</v>
      </c>
      <c r="E34" s="131"/>
      <c r="F34" s="133"/>
      <c r="G34" s="135"/>
      <c r="H34" s="133">
        <f t="shared" si="2"/>
        <v>142467250</v>
      </c>
      <c r="I34" s="133"/>
      <c r="J34" s="137">
        <f t="shared" si="3"/>
        <v>142467250</v>
      </c>
      <c r="K34" s="137"/>
      <c r="L34" s="137"/>
      <c r="M34" s="137"/>
      <c r="N34" s="137"/>
      <c r="O34" s="131"/>
    </row>
    <row r="35" spans="1:15" s="113" customFormat="1">
      <c r="A35" s="131"/>
      <c r="B35" s="134"/>
      <c r="C35" s="131"/>
      <c r="D35" s="136" t="str">
        <f>D25</f>
        <v>Akum. Peny. Peralatan Kantor</v>
      </c>
      <c r="E35" s="131"/>
      <c r="F35" s="133"/>
      <c r="G35" s="135"/>
      <c r="H35" s="133">
        <f t="shared" si="2"/>
        <v>-913836617.04166651</v>
      </c>
      <c r="I35" s="133"/>
      <c r="J35" s="137">
        <f t="shared" si="3"/>
        <v>-913836617.04166651</v>
      </c>
      <c r="K35" s="137"/>
      <c r="L35" s="137"/>
      <c r="M35" s="137"/>
      <c r="N35" s="137"/>
      <c r="O35" s="131"/>
    </row>
    <row r="36" spans="1:15" s="113" customFormat="1">
      <c r="A36" s="131"/>
      <c r="B36" s="134"/>
      <c r="C36" s="131"/>
      <c r="D36" s="136" t="str">
        <f>D26</f>
        <v>Akum. Peny. Peralatan Produksi</v>
      </c>
      <c r="E36" s="131"/>
      <c r="F36" s="133"/>
      <c r="G36" s="135"/>
      <c r="H36" s="133">
        <f t="shared" si="2"/>
        <v>-6440212952.8666668</v>
      </c>
      <c r="I36" s="133"/>
      <c r="J36" s="137">
        <f t="shared" si="3"/>
        <v>-6440212952.8666668</v>
      </c>
      <c r="K36" s="137"/>
      <c r="L36" s="137"/>
      <c r="M36" s="137"/>
      <c r="N36" s="137"/>
      <c r="O36" s="131"/>
    </row>
    <row r="37" spans="1:15" s="113" customFormat="1">
      <c r="A37" s="131"/>
      <c r="B37" s="134"/>
      <c r="C37" s="131"/>
      <c r="D37" s="136" t="str">
        <f>D27</f>
        <v>Akum. Peny. Sumur Bor</v>
      </c>
      <c r="E37" s="131"/>
      <c r="F37" s="133"/>
      <c r="G37" s="135"/>
      <c r="H37" s="133">
        <f t="shared" si="2"/>
        <v>-55558486</v>
      </c>
      <c r="I37" s="133"/>
      <c r="J37" s="137">
        <f t="shared" si="3"/>
        <v>-55558486</v>
      </c>
      <c r="K37" s="137"/>
      <c r="L37" s="137"/>
      <c r="M37" s="137"/>
      <c r="N37" s="137"/>
      <c r="O37" s="131"/>
    </row>
    <row r="38" spans="1:15" s="113" customFormat="1">
      <c r="A38" s="131"/>
      <c r="B38" s="134"/>
      <c r="C38" s="131"/>
      <c r="D38" s="136" t="str">
        <f>D28</f>
        <v xml:space="preserve">Akum. Peny. Peralatan Labolatorium </v>
      </c>
      <c r="E38" s="131"/>
      <c r="F38" s="133"/>
      <c r="G38" s="135"/>
      <c r="H38" s="133">
        <f t="shared" si="2"/>
        <v>-2780118983.8333335</v>
      </c>
      <c r="I38" s="133"/>
      <c r="J38" s="137">
        <f t="shared" si="3"/>
        <v>-2780118983.8333335</v>
      </c>
      <c r="K38" s="137"/>
      <c r="L38" s="137"/>
      <c r="M38" s="137"/>
      <c r="N38" s="137"/>
      <c r="O38" s="131"/>
    </row>
    <row r="39" spans="1:15" s="113" customFormat="1">
      <c r="A39" s="131"/>
      <c r="B39" s="134"/>
      <c r="C39" s="131"/>
      <c r="D39" s="141" t="s">
        <v>286</v>
      </c>
      <c r="E39" s="131"/>
      <c r="F39" s="133"/>
      <c r="G39" s="135"/>
      <c r="H39" s="133"/>
      <c r="I39" s="140">
        <f>SUM(H31:H38)</f>
        <v>-28682803030.496708</v>
      </c>
      <c r="J39" s="137"/>
      <c r="K39" s="137">
        <f>I39</f>
        <v>-28682803030.496708</v>
      </c>
      <c r="L39" s="137"/>
      <c r="M39" s="137"/>
      <c r="N39" s="137"/>
      <c r="O39" s="131"/>
    </row>
    <row r="40" spans="1:15" s="113" customFormat="1">
      <c r="A40" s="131"/>
      <c r="B40" s="134"/>
      <c r="C40" s="131"/>
      <c r="D40" s="142" t="s">
        <v>277</v>
      </c>
      <c r="E40" s="131"/>
      <c r="F40" s="133"/>
      <c r="G40" s="135"/>
      <c r="H40" s="133"/>
      <c r="I40" s="133"/>
      <c r="J40" s="137"/>
      <c r="K40" s="137"/>
      <c r="L40" s="137"/>
      <c r="M40" s="137"/>
      <c r="N40" s="137"/>
      <c r="O40" s="131"/>
    </row>
    <row r="41" spans="1:15" s="113" customFormat="1">
      <c r="A41" s="131"/>
      <c r="B41" s="134"/>
      <c r="C41" s="131"/>
      <c r="D41" s="136"/>
      <c r="E41" s="131"/>
      <c r="F41" s="133"/>
      <c r="G41" s="135"/>
      <c r="H41" s="133"/>
      <c r="I41" s="133"/>
      <c r="J41" s="137"/>
      <c r="K41" s="137"/>
      <c r="L41" s="137"/>
      <c r="M41" s="137"/>
      <c r="N41" s="137"/>
      <c r="O41" s="131"/>
    </row>
    <row r="42" spans="1:15" s="113" customFormat="1">
      <c r="A42" s="131">
        <v>3</v>
      </c>
      <c r="B42" s="134"/>
      <c r="C42" s="131"/>
      <c r="D42" s="144" t="s">
        <v>278</v>
      </c>
      <c r="E42" s="128" t="s">
        <v>275</v>
      </c>
      <c r="F42" s="128" t="s">
        <v>276</v>
      </c>
      <c r="G42" s="128" t="s">
        <v>225</v>
      </c>
      <c r="H42" s="133"/>
      <c r="I42" s="133"/>
      <c r="J42" s="137"/>
      <c r="K42" s="137"/>
      <c r="L42" s="137"/>
      <c r="M42" s="137"/>
      <c r="N42" s="137"/>
      <c r="O42" s="131"/>
    </row>
    <row r="43" spans="1:15" s="113" customFormat="1">
      <c r="A43" s="131"/>
      <c r="B43" s="134"/>
      <c r="C43" s="131"/>
      <c r="D43" s="136" t="s">
        <v>260</v>
      </c>
      <c r="E43" s="159">
        <f>TB!G27</f>
        <v>1841766477</v>
      </c>
      <c r="F43" s="159">
        <f>'2. Bangunan'!AE115+'5. Mesin'!AD315+'6. Instalasi Elektrik'!AD43+'9. Infrastruktur'!AD50+'3. Sumur Bor'!AE40</f>
        <v>5740677006.472291</v>
      </c>
      <c r="G43" s="135">
        <f>E43-F43</f>
        <v>-3898910529.472291</v>
      </c>
      <c r="H43" s="133"/>
      <c r="I43" s="133"/>
      <c r="J43" s="137"/>
      <c r="K43" s="137"/>
      <c r="L43" s="137"/>
      <c r="M43" s="137"/>
      <c r="N43" s="137"/>
      <c r="O43" s="131"/>
    </row>
    <row r="44" spans="1:15" s="113" customFormat="1">
      <c r="A44" s="131"/>
      <c r="B44" s="134"/>
      <c r="C44" s="131"/>
      <c r="D44" s="136" t="s">
        <v>261</v>
      </c>
      <c r="E44" s="159">
        <f>TB!G30</f>
        <v>0</v>
      </c>
      <c r="F44" s="159"/>
      <c r="G44" s="135">
        <f>E44-F44</f>
        <v>0</v>
      </c>
      <c r="H44" s="133"/>
      <c r="I44" s="133"/>
      <c r="J44" s="137"/>
      <c r="K44" s="137"/>
      <c r="L44" s="137"/>
      <c r="M44" s="137"/>
      <c r="N44" s="137"/>
      <c r="O44" s="131"/>
    </row>
    <row r="45" spans="1:15" s="113" customFormat="1">
      <c r="A45" s="131"/>
      <c r="B45" s="134"/>
      <c r="C45" s="131"/>
      <c r="D45" s="136" t="s">
        <v>287</v>
      </c>
      <c r="E45" s="159">
        <f>TB!G31</f>
        <v>30960732</v>
      </c>
      <c r="F45" s="159">
        <f>'8 Peralatan &amp; Perlengkapan'!AD149</f>
        <v>81179312.75</v>
      </c>
      <c r="G45" s="135">
        <f>E45-F45</f>
        <v>-50218580.75</v>
      </c>
      <c r="H45" s="133"/>
      <c r="I45" s="133"/>
      <c r="J45" s="137"/>
      <c r="K45" s="137"/>
      <c r="L45" s="137"/>
      <c r="M45" s="137"/>
      <c r="N45" s="137"/>
      <c r="O45" s="131"/>
    </row>
    <row r="46" spans="1:15" s="113" customFormat="1">
      <c r="A46" s="131"/>
      <c r="B46" s="134"/>
      <c r="C46" s="131"/>
      <c r="D46" s="136" t="s">
        <v>288</v>
      </c>
      <c r="E46" s="161">
        <f>TB!G32</f>
        <v>28242504</v>
      </c>
      <c r="F46" s="159">
        <f>'4. Sarana &amp; Prasarana'!AE29</f>
        <v>497213967.5</v>
      </c>
      <c r="G46" s="135">
        <f>E46-F46</f>
        <v>-468971463.5</v>
      </c>
      <c r="H46" s="133"/>
      <c r="I46" s="133"/>
      <c r="J46" s="137"/>
      <c r="K46" s="137"/>
      <c r="L46" s="137"/>
      <c r="M46" s="137"/>
      <c r="N46" s="137"/>
      <c r="O46" s="131"/>
    </row>
    <row r="47" spans="1:15" s="113" customFormat="1">
      <c r="A47" s="131"/>
      <c r="B47" s="134"/>
      <c r="C47" s="131"/>
      <c r="D47" s="136" t="s">
        <v>289</v>
      </c>
      <c r="E47" s="161">
        <f>TB!G33</f>
        <v>0</v>
      </c>
      <c r="F47" s="159">
        <f>'7. Kendaraan'!AD69</f>
        <v>1042020000</v>
      </c>
      <c r="G47" s="135">
        <f>E47-F47</f>
        <v>-1042020000</v>
      </c>
      <c r="H47" s="133"/>
      <c r="I47" s="133"/>
      <c r="J47" s="137"/>
      <c r="K47" s="137"/>
      <c r="L47" s="137"/>
      <c r="M47" s="137"/>
      <c r="N47" s="137"/>
      <c r="O47" s="131"/>
    </row>
    <row r="48" spans="1:15" s="111" customFormat="1">
      <c r="A48" s="127"/>
      <c r="B48" s="129"/>
      <c r="C48" s="127"/>
      <c r="D48" s="127"/>
      <c r="E48" s="167">
        <f>SUM(E43:E47)</f>
        <v>1900969713</v>
      </c>
      <c r="F48" s="167">
        <f>SUM(F43:F47)</f>
        <v>7361090286.722291</v>
      </c>
      <c r="G48" s="127"/>
      <c r="H48" s="168"/>
      <c r="I48" s="168"/>
      <c r="J48" s="169"/>
      <c r="K48" s="169"/>
      <c r="L48" s="169"/>
      <c r="M48" s="169"/>
      <c r="N48" s="169"/>
      <c r="O48" s="127"/>
    </row>
    <row r="49" spans="1:16" s="113" customFormat="1">
      <c r="A49" s="131"/>
      <c r="B49" s="134"/>
      <c r="C49" s="131"/>
      <c r="D49" s="131"/>
      <c r="E49" s="131"/>
      <c r="F49" s="171">
        <f>E48-F48</f>
        <v>-5460120573.722291</v>
      </c>
      <c r="G49" s="131"/>
      <c r="H49" s="133"/>
      <c r="I49" s="133"/>
      <c r="J49" s="137"/>
      <c r="K49" s="137"/>
      <c r="L49" s="137"/>
      <c r="M49" s="137"/>
      <c r="N49" s="137"/>
      <c r="O49" s="131"/>
    </row>
    <row r="50" spans="1:16" s="113" customFormat="1">
      <c r="A50" s="131">
        <v>4</v>
      </c>
      <c r="B50" s="134"/>
      <c r="C50" s="131"/>
      <c r="D50" s="136" t="str">
        <f>D45</f>
        <v>Penyusutan Peralatan Kantor</v>
      </c>
      <c r="E50" s="131"/>
      <c r="F50" s="131"/>
      <c r="G50" s="131"/>
      <c r="H50" s="133">
        <f>-G45</f>
        <v>50218580.75</v>
      </c>
      <c r="I50" s="133"/>
      <c r="J50" s="137"/>
      <c r="K50" s="137"/>
      <c r="L50" s="137"/>
      <c r="M50" s="137">
        <f>H50</f>
        <v>50218580.75</v>
      </c>
      <c r="N50" s="137"/>
      <c r="O50" s="131"/>
    </row>
    <row r="51" spans="1:16" s="113" customFormat="1">
      <c r="A51" s="131"/>
      <c r="B51" s="134"/>
      <c r="C51" s="131"/>
      <c r="D51" s="136" t="str">
        <f>D47</f>
        <v xml:space="preserve">Penyusutan Kendaraan </v>
      </c>
      <c r="E51" s="131"/>
      <c r="F51" s="131"/>
      <c r="G51" s="131"/>
      <c r="H51" s="133">
        <f>-G47</f>
        <v>1042020000</v>
      </c>
      <c r="I51" s="133"/>
      <c r="J51" s="137"/>
      <c r="K51" s="137"/>
      <c r="L51" s="137"/>
      <c r="M51" s="137">
        <f>H51</f>
        <v>1042020000</v>
      </c>
      <c r="N51" s="137"/>
      <c r="O51" s="131"/>
    </row>
    <row r="52" spans="1:16" s="113" customFormat="1">
      <c r="A52" s="131"/>
      <c r="B52" s="134"/>
      <c r="C52" s="131"/>
      <c r="D52" s="136" t="s">
        <v>286</v>
      </c>
      <c r="E52" s="131"/>
      <c r="F52" s="131"/>
      <c r="G52" s="131"/>
      <c r="H52" s="133">
        <f>SUM(I53:I54)-SUM(H50:H51)</f>
        <v>-5460120573.722291</v>
      </c>
      <c r="I52" s="133"/>
      <c r="J52" s="137">
        <f>H52</f>
        <v>-5460120573.722291</v>
      </c>
      <c r="K52" s="137"/>
      <c r="L52" s="137"/>
      <c r="M52" s="137"/>
      <c r="N52" s="137"/>
      <c r="O52" s="131"/>
    </row>
    <row r="53" spans="1:16" s="113" customFormat="1">
      <c r="A53" s="131"/>
      <c r="B53" s="134"/>
      <c r="C53" s="131"/>
      <c r="D53" s="141" t="str">
        <f>D43</f>
        <v>Depreciation</v>
      </c>
      <c r="E53" s="131"/>
      <c r="F53" s="131"/>
      <c r="G53" s="131"/>
      <c r="H53" s="133"/>
      <c r="I53" s="133">
        <f>G43</f>
        <v>-3898910529.472291</v>
      </c>
      <c r="J53" s="137"/>
      <c r="K53" s="137"/>
      <c r="L53" s="137"/>
      <c r="M53" s="137"/>
      <c r="N53" s="137">
        <f>I53</f>
        <v>-3898910529.472291</v>
      </c>
      <c r="O53" s="131"/>
    </row>
    <row r="54" spans="1:16" s="113" customFormat="1">
      <c r="A54" s="131"/>
      <c r="B54" s="134"/>
      <c r="C54" s="131"/>
      <c r="D54" s="141" t="str">
        <f>D46</f>
        <v>Penyusutan Peralatan LAB</v>
      </c>
      <c r="E54" s="131"/>
      <c r="F54" s="131"/>
      <c r="G54" s="131"/>
      <c r="H54" s="133"/>
      <c r="I54" s="133">
        <f>G46</f>
        <v>-468971463.5</v>
      </c>
      <c r="J54" s="137"/>
      <c r="K54" s="137"/>
      <c r="L54" s="137"/>
      <c r="M54" s="137"/>
      <c r="N54" s="137">
        <f>I54</f>
        <v>-468971463.5</v>
      </c>
      <c r="O54" s="131"/>
    </row>
    <row r="55" spans="1:16" s="113" customFormat="1">
      <c r="A55" s="131"/>
      <c r="B55" s="134"/>
      <c r="C55" s="131"/>
      <c r="D55" s="142" t="s">
        <v>279</v>
      </c>
      <c r="E55" s="131"/>
      <c r="F55" s="131"/>
      <c r="G55" s="131"/>
      <c r="H55" s="133"/>
      <c r="I55" s="133"/>
      <c r="J55" s="137"/>
      <c r="K55" s="137"/>
      <c r="L55" s="137"/>
      <c r="M55" s="137"/>
      <c r="N55" s="137"/>
      <c r="O55" s="131"/>
    </row>
    <row r="56" spans="1:16" s="113" customFormat="1">
      <c r="A56" s="131"/>
      <c r="B56" s="134"/>
      <c r="C56" s="131"/>
      <c r="D56" s="131"/>
      <c r="E56" s="131"/>
      <c r="F56" s="131"/>
      <c r="G56" s="131"/>
      <c r="H56" s="133"/>
      <c r="I56" s="133"/>
      <c r="J56" s="137"/>
      <c r="K56" s="137"/>
      <c r="L56" s="137"/>
      <c r="M56" s="137"/>
      <c r="N56" s="137"/>
      <c r="O56" s="131"/>
    </row>
    <row r="57" spans="1:16" s="113" customFormat="1">
      <c r="A57" s="131">
        <f>A50+1</f>
        <v>5</v>
      </c>
      <c r="B57" s="134"/>
      <c r="C57" s="131"/>
      <c r="D57" s="131"/>
      <c r="E57" s="131"/>
      <c r="F57" s="131"/>
      <c r="G57" s="131"/>
      <c r="H57" s="133"/>
      <c r="I57" s="133"/>
      <c r="J57" s="137"/>
      <c r="K57" s="137"/>
      <c r="L57" s="137"/>
      <c r="M57" s="137"/>
      <c r="N57" s="137"/>
      <c r="O57" s="131"/>
    </row>
    <row r="58" spans="1:16" s="113" customFormat="1">
      <c r="A58" s="131"/>
      <c r="B58" s="134"/>
      <c r="C58" s="131"/>
      <c r="D58" s="131"/>
      <c r="E58" s="131"/>
      <c r="F58" s="131"/>
      <c r="G58" s="131"/>
      <c r="H58" s="133"/>
      <c r="I58" s="133"/>
      <c r="J58" s="137"/>
      <c r="K58" s="137"/>
      <c r="L58" s="137"/>
      <c r="M58" s="137"/>
      <c r="N58" s="137"/>
      <c r="O58" s="131"/>
    </row>
    <row r="59" spans="1:16" s="113" customFormat="1">
      <c r="A59" s="131"/>
      <c r="B59" s="134"/>
      <c r="C59" s="131"/>
      <c r="D59" s="131"/>
      <c r="E59" s="131"/>
      <c r="F59" s="131"/>
      <c r="G59" s="131"/>
      <c r="H59" s="133"/>
      <c r="I59" s="133"/>
      <c r="J59" s="137"/>
      <c r="K59" s="137"/>
      <c r="L59" s="137"/>
      <c r="M59" s="137"/>
      <c r="N59" s="137"/>
      <c r="O59" s="131"/>
    </row>
    <row r="60" spans="1:16" s="113" customFormat="1">
      <c r="A60" s="131"/>
      <c r="B60" s="134"/>
      <c r="C60" s="131"/>
      <c r="D60" s="138"/>
      <c r="E60" s="131"/>
      <c r="F60" s="131"/>
      <c r="G60" s="131"/>
      <c r="H60" s="133"/>
      <c r="I60" s="133"/>
      <c r="J60" s="137"/>
      <c r="K60" s="137"/>
      <c r="L60" s="137"/>
      <c r="M60" s="137"/>
      <c r="N60" s="137"/>
      <c r="O60" s="131"/>
    </row>
    <row r="61" spans="1:16" s="111" customFormat="1" ht="8.25" customHeight="1">
      <c r="A61" s="112"/>
      <c r="B61" s="127"/>
      <c r="H61" s="145"/>
      <c r="I61" s="145"/>
      <c r="J61" s="146"/>
      <c r="K61" s="146"/>
      <c r="L61" s="146"/>
      <c r="M61" s="146"/>
      <c r="N61" s="146"/>
      <c r="P61" s="147"/>
    </row>
    <row r="62" spans="1:16">
      <c r="A62" s="148"/>
      <c r="B62" s="149"/>
      <c r="C62" s="149"/>
      <c r="D62" s="149"/>
      <c r="E62" s="149"/>
      <c r="F62" s="149"/>
      <c r="G62" s="149"/>
      <c r="H62" s="150">
        <f>SUM(H7:H61)</f>
        <v>-33050685023.468998</v>
      </c>
      <c r="I62" s="150">
        <f>SUM(I7:I61)</f>
        <v>-33050685023.468998</v>
      </c>
      <c r="J62" s="150">
        <f>SUM(J7:J61)</f>
        <v>-34142923604.218998</v>
      </c>
      <c r="K62" s="150">
        <f>SUM(K7:K61)</f>
        <v>-28682803030.496708</v>
      </c>
      <c r="L62" s="150"/>
      <c r="M62" s="150">
        <f>SUM(M7:M61)</f>
        <v>1092238580.75</v>
      </c>
      <c r="N62" s="150">
        <f>SUM(N7:N61)</f>
        <v>-4367881992.972291</v>
      </c>
      <c r="O62" s="149"/>
    </row>
    <row r="63" spans="1:16">
      <c r="H63" s="121"/>
      <c r="I63" s="121">
        <f>H62-I62</f>
        <v>0</v>
      </c>
      <c r="J63" s="151">
        <f>J62-K62</f>
        <v>-5460120573.72229</v>
      </c>
      <c r="K63" s="151"/>
      <c r="L63" s="151"/>
      <c r="M63" s="151"/>
      <c r="N63" s="151">
        <f>N62-M62</f>
        <v>-5460120573.722291</v>
      </c>
    </row>
    <row r="64" spans="1:16">
      <c r="H64" s="121"/>
      <c r="I64" s="121"/>
      <c r="J64" s="151"/>
      <c r="K64" s="151"/>
      <c r="L64" s="151"/>
      <c r="M64" s="151"/>
      <c r="N64" s="151"/>
    </row>
    <row r="65" spans="2:15">
      <c r="E65" t="s">
        <v>280</v>
      </c>
      <c r="H65" s="121"/>
      <c r="I65" s="121"/>
      <c r="J65" s="151"/>
      <c r="K65" s="151"/>
      <c r="L65" s="151"/>
      <c r="M65" s="151"/>
      <c r="N65" s="151"/>
      <c r="O65" s="46"/>
    </row>
    <row r="66" spans="2:15">
      <c r="E66" t="s">
        <v>281</v>
      </c>
      <c r="H66" s="152"/>
      <c r="I66" s="152"/>
      <c r="J66" s="153"/>
      <c r="K66" s="153"/>
      <c r="L66" s="153"/>
      <c r="M66" s="153"/>
      <c r="N66" s="154"/>
      <c r="O66" s="46"/>
    </row>
    <row r="67" spans="2:15">
      <c r="E67" t="s">
        <v>225</v>
      </c>
      <c r="H67" s="152"/>
      <c r="I67" s="152"/>
      <c r="J67" s="153"/>
      <c r="K67" s="153"/>
      <c r="L67" s="153"/>
      <c r="M67" s="153"/>
      <c r="N67" s="155">
        <f>N65-N66</f>
        <v>0</v>
      </c>
      <c r="O67" s="46"/>
    </row>
    <row r="68" spans="2:15">
      <c r="H68" s="152"/>
      <c r="I68" s="152"/>
      <c r="J68" s="153"/>
      <c r="K68" s="153"/>
      <c r="L68" s="153"/>
      <c r="M68" s="153"/>
      <c r="N68" s="156"/>
      <c r="O68" s="46"/>
    </row>
    <row r="69" spans="2:15">
      <c r="B69" t="s">
        <v>282</v>
      </c>
    </row>
    <row r="73" spans="2:15">
      <c r="B73" t="s">
        <v>283</v>
      </c>
    </row>
  </sheetData>
  <mergeCells count="8">
    <mergeCell ref="M5:N5"/>
    <mergeCell ref="O5:O6"/>
    <mergeCell ref="A5:A6"/>
    <mergeCell ref="B5:B6"/>
    <mergeCell ref="C5:E6"/>
    <mergeCell ref="H5:H6"/>
    <mergeCell ref="I5:I6"/>
    <mergeCell ref="J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D329-9F43-4AE3-8B23-A4F286B84FCE}">
  <dimension ref="A1:P74"/>
  <sheetViews>
    <sheetView zoomScale="85" zoomScaleNormal="85" workbookViewId="0">
      <pane xSplit="7" ySplit="6" topLeftCell="I14" activePane="bottomRight" state="frozen"/>
      <selection pane="topRight" activeCell="H1" sqref="H1"/>
      <selection pane="bottomLeft" activeCell="A7" sqref="A7"/>
      <selection pane="bottomRight" activeCell="N14" sqref="N14"/>
    </sheetView>
  </sheetViews>
  <sheetFormatPr defaultColWidth="9.1796875" defaultRowHeight="14.5"/>
  <cols>
    <col min="1" max="1" width="5.7265625" style="124" customWidth="1"/>
    <col min="2" max="2" width="10.81640625" customWidth="1"/>
    <col min="3" max="3" width="1" customWidth="1"/>
    <col min="4" max="4" width="28.26953125" customWidth="1"/>
    <col min="5" max="5" width="19.81640625" bestFit="1" customWidth="1"/>
    <col min="6" max="6" width="17.26953125" bestFit="1" customWidth="1"/>
    <col min="7" max="7" width="17.26953125" customWidth="1"/>
    <col min="8" max="9" width="18.7265625" style="31" customWidth="1"/>
    <col min="10" max="11" width="18.7265625" customWidth="1"/>
    <col min="12" max="12" width="0.7265625" customWidth="1"/>
    <col min="13" max="14" width="18.7265625" customWidth="1"/>
    <col min="15" max="15" width="23.1796875" customWidth="1"/>
  </cols>
  <sheetData>
    <row r="1" spans="1:15">
      <c r="A1" t="s">
        <v>263</v>
      </c>
      <c r="C1" t="s">
        <v>264</v>
      </c>
      <c r="D1" t="s">
        <v>285</v>
      </c>
    </row>
    <row r="2" spans="1:15">
      <c r="A2" s="122" t="s">
        <v>265</v>
      </c>
      <c r="C2" t="s">
        <v>264</v>
      </c>
      <c r="D2" s="123" t="s">
        <v>284</v>
      </c>
    </row>
    <row r="3" spans="1:15">
      <c r="A3" s="122" t="s">
        <v>266</v>
      </c>
      <c r="E3" s="122"/>
      <c r="F3" s="122"/>
      <c r="G3" s="122"/>
    </row>
    <row r="4" spans="1:15" ht="7.5" customHeight="1">
      <c r="L4" s="125"/>
    </row>
    <row r="5" spans="1:15">
      <c r="A5" s="1223" t="s">
        <v>267</v>
      </c>
      <c r="B5" s="1225" t="s">
        <v>268</v>
      </c>
      <c r="C5" s="1223" t="s">
        <v>269</v>
      </c>
      <c r="D5" s="1223"/>
      <c r="E5" s="1223"/>
      <c r="F5" s="126"/>
      <c r="G5" s="126"/>
      <c r="H5" s="1227" t="s">
        <v>262</v>
      </c>
      <c r="I5" s="1227" t="s">
        <v>270</v>
      </c>
      <c r="J5" s="1222" t="s">
        <v>271</v>
      </c>
      <c r="K5" s="1222"/>
      <c r="L5" s="127"/>
      <c r="M5" s="1222" t="s">
        <v>272</v>
      </c>
      <c r="N5" s="1222"/>
      <c r="O5" s="1223" t="s">
        <v>273</v>
      </c>
    </row>
    <row r="6" spans="1:15">
      <c r="A6" s="1224"/>
      <c r="B6" s="1226"/>
      <c r="C6" s="1224"/>
      <c r="D6" s="1224"/>
      <c r="E6" s="1224"/>
      <c r="F6" s="128"/>
      <c r="G6" s="128"/>
      <c r="H6" s="1228"/>
      <c r="I6" s="1228"/>
      <c r="J6" s="128" t="s">
        <v>262</v>
      </c>
      <c r="K6" s="128" t="s">
        <v>270</v>
      </c>
      <c r="L6" s="127"/>
      <c r="M6" s="128" t="s">
        <v>262</v>
      </c>
      <c r="N6" s="128" t="s">
        <v>270</v>
      </c>
      <c r="O6" s="1224"/>
    </row>
    <row r="7" spans="1:15">
      <c r="A7" s="127"/>
      <c r="B7" s="129"/>
      <c r="C7" s="127"/>
      <c r="D7" s="127"/>
      <c r="E7" s="127"/>
      <c r="F7" s="127"/>
      <c r="G7" s="127"/>
      <c r="H7" s="130"/>
      <c r="I7" s="130"/>
      <c r="J7" s="127"/>
      <c r="K7" s="127"/>
      <c r="L7" s="127"/>
      <c r="M7" s="127"/>
      <c r="N7" s="127"/>
      <c r="O7" s="127"/>
    </row>
    <row r="8" spans="1:15" s="113" customFormat="1">
      <c r="A8" s="131">
        <v>1</v>
      </c>
      <c r="B8" s="134"/>
      <c r="C8" s="131"/>
      <c r="D8" s="128" t="s">
        <v>274</v>
      </c>
      <c r="E8" s="128" t="s">
        <v>275</v>
      </c>
      <c r="F8" s="128" t="s">
        <v>276</v>
      </c>
      <c r="G8" s="128" t="s">
        <v>225</v>
      </c>
      <c r="H8" s="133"/>
      <c r="I8" s="133"/>
      <c r="J8" s="137"/>
      <c r="K8" s="137"/>
      <c r="L8" s="137"/>
      <c r="M8" s="137"/>
      <c r="N8" s="137"/>
      <c r="O8" s="131"/>
    </row>
    <row r="9" spans="1:15" s="113" customFormat="1">
      <c r="A9" s="131"/>
      <c r="B9" s="134"/>
      <c r="C9" s="131"/>
      <c r="D9" s="136" t="str">
        <f>TB!B2</f>
        <v xml:space="preserve">Tanah </v>
      </c>
      <c r="E9" s="133">
        <f>TB!K2</f>
        <v>11934000000</v>
      </c>
      <c r="F9" s="133">
        <f>'1. Tanah'!D4</f>
        <v>655809273</v>
      </c>
      <c r="G9" s="133">
        <f>E9-F9</f>
        <v>11278190727</v>
      </c>
      <c r="H9" s="133"/>
      <c r="I9" s="133"/>
      <c r="J9" s="137"/>
      <c r="K9" s="137"/>
      <c r="L9" s="137"/>
      <c r="M9" s="137"/>
      <c r="N9" s="137"/>
      <c r="O9" s="131"/>
    </row>
    <row r="10" spans="1:15" s="113" customFormat="1">
      <c r="A10" s="131"/>
      <c r="B10" s="134"/>
      <c r="C10" s="131"/>
      <c r="D10" s="136" t="str">
        <f>TB!B3</f>
        <v xml:space="preserve">Bangunan </v>
      </c>
      <c r="E10" s="133">
        <f>TB!K3</f>
        <v>14898332500</v>
      </c>
      <c r="F10" s="133">
        <f>'2. Bangunan'!E126</f>
        <v>27419762986.979996</v>
      </c>
      <c r="G10" s="133">
        <f t="shared" ref="G10:G17" si="0">E10-F10</f>
        <v>-12521430486.979996</v>
      </c>
      <c r="H10" s="133"/>
      <c r="I10" s="133"/>
      <c r="J10" s="137"/>
      <c r="K10" s="137"/>
      <c r="L10" s="137"/>
      <c r="M10" s="137"/>
      <c r="N10" s="137"/>
      <c r="O10" s="131"/>
    </row>
    <row r="11" spans="1:15" s="113" customFormat="1">
      <c r="A11" s="131"/>
      <c r="B11" s="134"/>
      <c r="C11" s="131"/>
      <c r="D11" s="136" t="str">
        <f>TB!B4</f>
        <v xml:space="preserve">Mesin </v>
      </c>
      <c r="E11" s="133">
        <f>TB!K4</f>
        <v>12196073552</v>
      </c>
      <c r="F11" s="133">
        <f>'5. Mesin'!E326</f>
        <v>28284388018.299999</v>
      </c>
      <c r="G11" s="133">
        <f t="shared" si="0"/>
        <v>-16088314466.299999</v>
      </c>
      <c r="H11" s="133"/>
      <c r="I11" s="133"/>
      <c r="J11" s="137"/>
      <c r="K11" s="137"/>
      <c r="L11" s="137"/>
      <c r="M11" s="137"/>
      <c r="N11" s="137"/>
      <c r="O11" s="131"/>
    </row>
    <row r="12" spans="1:15" s="113" customFormat="1">
      <c r="A12" s="131"/>
      <c r="B12" s="134"/>
      <c r="C12" s="131"/>
      <c r="D12" s="136" t="str">
        <f>TB!B5</f>
        <v xml:space="preserve">Kendaraan </v>
      </c>
      <c r="E12" s="133">
        <f>TB!K5</f>
        <v>1431471000</v>
      </c>
      <c r="F12" s="133">
        <f>'7. Kendaraan'!E79</f>
        <v>8342660000</v>
      </c>
      <c r="G12" s="133">
        <f t="shared" si="0"/>
        <v>-6911189000</v>
      </c>
      <c r="H12" s="133"/>
      <c r="I12" s="133"/>
      <c r="J12" s="137"/>
      <c r="K12" s="137"/>
      <c r="L12" s="137"/>
      <c r="M12" s="137"/>
      <c r="N12" s="137"/>
      <c r="O12" s="131"/>
    </row>
    <row r="13" spans="1:15" s="113" customFormat="1">
      <c r="A13" s="131"/>
      <c r="B13" s="134"/>
      <c r="C13" s="131"/>
      <c r="D13" s="136" t="str">
        <f>TB!B6</f>
        <v xml:space="preserve">Kendaraan Alat Berat </v>
      </c>
      <c r="E13" s="133">
        <f>TB!K6</f>
        <v>545000000</v>
      </c>
      <c r="F13" s="133">
        <f>'6. Instalasi Elektrik'!E53</f>
        <v>1007800000</v>
      </c>
      <c r="G13" s="133">
        <f t="shared" si="0"/>
        <v>-462800000</v>
      </c>
      <c r="H13" s="133"/>
      <c r="I13" s="133"/>
      <c r="J13" s="137"/>
      <c r="K13" s="137"/>
      <c r="L13" s="137"/>
      <c r="M13" s="137"/>
      <c r="N13" s="137"/>
      <c r="O13" s="131"/>
    </row>
    <row r="14" spans="1:15" s="113" customFormat="1">
      <c r="A14" s="131"/>
      <c r="B14" s="134"/>
      <c r="C14" s="131"/>
      <c r="D14" s="136" t="str">
        <f>TB!B7</f>
        <v xml:space="preserve">Peralatan Kantor </v>
      </c>
      <c r="E14" s="133">
        <f>TB!K7</f>
        <v>227534005</v>
      </c>
      <c r="F14" s="133">
        <f>'8 Peralatan &amp; Perlengkapan'!E159</f>
        <v>1208997796</v>
      </c>
      <c r="G14" s="133">
        <f t="shared" si="0"/>
        <v>-981463791</v>
      </c>
      <c r="H14" s="133"/>
      <c r="I14" s="133"/>
      <c r="J14" s="137"/>
      <c r="K14" s="137"/>
      <c r="L14" s="137"/>
      <c r="M14" s="137"/>
      <c r="N14" s="137"/>
      <c r="O14" s="131"/>
    </row>
    <row r="15" spans="1:15" s="113" customFormat="1">
      <c r="A15" s="131"/>
      <c r="B15" s="134"/>
      <c r="C15" s="131"/>
      <c r="D15" s="136" t="str">
        <f>TB!B8</f>
        <v xml:space="preserve">Peralatan Produksi </v>
      </c>
      <c r="E15" s="133">
        <f>TB!K8</f>
        <v>1356328751</v>
      </c>
      <c r="F15" s="133">
        <f>'9. Infrastruktur'!E60</f>
        <v>11170379446.6</v>
      </c>
      <c r="G15" s="133">
        <f t="shared" si="0"/>
        <v>-9814050695.6000004</v>
      </c>
      <c r="H15" s="133"/>
      <c r="I15" s="133"/>
      <c r="J15" s="137"/>
      <c r="K15" s="137"/>
      <c r="L15" s="137"/>
      <c r="M15" s="137"/>
      <c r="N15" s="137"/>
      <c r="O15" s="131"/>
    </row>
    <row r="16" spans="1:15" s="113" customFormat="1">
      <c r="A16" s="131"/>
      <c r="B16" s="134"/>
      <c r="C16" s="131"/>
      <c r="D16" s="136" t="str">
        <f>TB!B9</f>
        <v>Sumur Bor</v>
      </c>
      <c r="E16" s="133">
        <f>TB!K9</f>
        <v>337941600</v>
      </c>
      <c r="F16" s="133">
        <f>'3. Sumur Bor'!E51</f>
        <v>445059500</v>
      </c>
      <c r="G16" s="133">
        <f t="shared" si="0"/>
        <v>-107117900</v>
      </c>
      <c r="H16" s="133"/>
      <c r="I16" s="133"/>
      <c r="J16" s="137"/>
      <c r="K16" s="137"/>
      <c r="L16" s="137"/>
      <c r="M16" s="137"/>
      <c r="N16" s="137"/>
      <c r="O16" s="131"/>
    </row>
    <row r="17" spans="1:15" s="113" customFormat="1">
      <c r="A17" s="131"/>
      <c r="B17" s="134"/>
      <c r="C17" s="131"/>
      <c r="D17" s="136" t="str">
        <f>TB!B10</f>
        <v xml:space="preserve">Peralatan Labolatorium </v>
      </c>
      <c r="E17" s="133">
        <f>TB!K10</f>
        <v>112970000</v>
      </c>
      <c r="F17" s="133">
        <f>'4. Sarana &amp; Prasarana'!E40</f>
        <v>6200217370</v>
      </c>
      <c r="G17" s="133">
        <f t="shared" si="0"/>
        <v>-6087247370</v>
      </c>
      <c r="H17" s="133"/>
      <c r="I17" s="133"/>
      <c r="J17" s="137"/>
      <c r="K17" s="137"/>
      <c r="L17" s="137"/>
      <c r="M17" s="137"/>
      <c r="N17" s="137"/>
      <c r="O17" s="131"/>
    </row>
    <row r="18" spans="1:15" s="111" customFormat="1">
      <c r="A18" s="127"/>
      <c r="B18" s="129"/>
      <c r="C18" s="127"/>
      <c r="D18" s="173"/>
      <c r="E18" s="167">
        <f>SUM(E9:E17)</f>
        <v>43039651408</v>
      </c>
      <c r="F18" s="167">
        <f>SUM(F9:F17)</f>
        <v>84735074390.880005</v>
      </c>
      <c r="G18" s="127"/>
      <c r="H18" s="168"/>
      <c r="I18" s="168"/>
      <c r="J18" s="169"/>
      <c r="K18" s="169"/>
      <c r="L18" s="169"/>
      <c r="M18" s="169"/>
      <c r="N18" s="169"/>
      <c r="O18" s="127"/>
    </row>
    <row r="19" spans="1:15" s="113" customFormat="1">
      <c r="A19" s="131"/>
      <c r="B19" s="134"/>
      <c r="C19" s="131"/>
      <c r="D19" s="142"/>
      <c r="E19" s="131"/>
      <c r="F19" s="131"/>
      <c r="G19" s="131"/>
      <c r="H19" s="133"/>
      <c r="I19" s="133"/>
      <c r="J19" s="137"/>
      <c r="K19" s="137"/>
      <c r="L19" s="137"/>
      <c r="M19" s="137"/>
      <c r="N19" s="137"/>
      <c r="O19" s="131"/>
    </row>
    <row r="20" spans="1:15" s="113" customFormat="1">
      <c r="A20" s="131">
        <v>2</v>
      </c>
      <c r="B20" s="134"/>
      <c r="C20" s="131"/>
      <c r="D20" s="143" t="s">
        <v>205</v>
      </c>
      <c r="E20" s="128" t="s">
        <v>275</v>
      </c>
      <c r="F20" s="128" t="s">
        <v>276</v>
      </c>
      <c r="G20" s="128" t="s">
        <v>225</v>
      </c>
      <c r="H20" s="133"/>
      <c r="I20" s="133"/>
      <c r="J20" s="137"/>
      <c r="K20" s="137"/>
      <c r="L20" s="137"/>
      <c r="M20" s="137"/>
      <c r="N20" s="137"/>
      <c r="O20" s="131"/>
    </row>
    <row r="21" spans="1:15" s="113" customFormat="1">
      <c r="A21" s="131"/>
      <c r="B21" s="134"/>
      <c r="C21" s="131"/>
      <c r="D21" s="139" t="str">
        <f>TB!B14</f>
        <v xml:space="preserve">Akum Peny. Bangunan </v>
      </c>
      <c r="E21" s="159">
        <f>TB!K14</f>
        <v>3909277573</v>
      </c>
      <c r="F21" s="160">
        <f>'2. Bangunan'!AC115</f>
        <v>5931646365.1966257</v>
      </c>
      <c r="G21" s="161">
        <f>E21-F21</f>
        <v>-2022368792.1966257</v>
      </c>
      <c r="H21" s="133"/>
      <c r="I21" s="133"/>
      <c r="J21" s="137"/>
      <c r="K21" s="137"/>
      <c r="L21" s="137"/>
      <c r="M21" s="137"/>
      <c r="N21" s="137"/>
      <c r="O21" s="131"/>
    </row>
    <row r="22" spans="1:15" s="113" customFormat="1">
      <c r="A22" s="131"/>
      <c r="B22" s="134"/>
      <c r="C22" s="131"/>
      <c r="D22" s="139" t="str">
        <f>TB!B15</f>
        <v>Aum. Peny. Mesin</v>
      </c>
      <c r="E22" s="159">
        <f>TB!K15</f>
        <v>3779058952</v>
      </c>
      <c r="F22" s="160">
        <f>'5. Mesin'!AB315</f>
        <v>11938715117.771873</v>
      </c>
      <c r="G22" s="161">
        <f>E22-F22</f>
        <v>-8159656165.7718735</v>
      </c>
      <c r="H22" s="133"/>
      <c r="I22" s="133"/>
      <c r="J22" s="137"/>
      <c r="K22" s="137"/>
      <c r="L22" s="137"/>
      <c r="M22" s="137"/>
      <c r="N22" s="137"/>
      <c r="O22" s="131"/>
    </row>
    <row r="23" spans="1:15" s="113" customFormat="1">
      <c r="A23" s="131"/>
      <c r="B23" s="134"/>
      <c r="C23" s="131"/>
      <c r="D23" s="136" t="str">
        <f>TB!B16</f>
        <v xml:space="preserve">Akum. Peny. Kendaraan </v>
      </c>
      <c r="E23" s="161">
        <f>TB!K16</f>
        <v>396861684</v>
      </c>
      <c r="F23" s="159">
        <f>'7. Kendaraan'!AB69</f>
        <v>5262557500</v>
      </c>
      <c r="G23" s="161">
        <f t="shared" ref="G23:G28" si="1">E23-F23</f>
        <v>-4865695816</v>
      </c>
      <c r="H23" s="133"/>
      <c r="I23" s="133"/>
      <c r="J23" s="137"/>
      <c r="K23" s="137"/>
      <c r="L23" s="137"/>
      <c r="M23" s="137"/>
      <c r="N23" s="137"/>
      <c r="O23" s="131"/>
    </row>
    <row r="24" spans="1:15" s="113" customFormat="1">
      <c r="A24" s="131"/>
      <c r="B24" s="134"/>
      <c r="C24" s="131"/>
      <c r="D24" s="136" t="str">
        <f>TB!B17</f>
        <v>Akum. Peny. Kendaraan Alat Berat</v>
      </c>
      <c r="E24" s="161">
        <f>TB!K17</f>
        <v>398906250</v>
      </c>
      <c r="F24" s="159">
        <f>'6. Instalasi Elektrik'!AB43</f>
        <v>251950000</v>
      </c>
      <c r="G24" s="161">
        <f t="shared" si="1"/>
        <v>146956250</v>
      </c>
      <c r="H24" s="133"/>
      <c r="I24" s="133"/>
      <c r="J24" s="137"/>
      <c r="K24" s="137"/>
      <c r="L24" s="137"/>
      <c r="M24" s="137"/>
      <c r="N24" s="137"/>
      <c r="O24" s="131"/>
    </row>
    <row r="25" spans="1:15" s="113" customFormat="1">
      <c r="A25" s="131"/>
      <c r="B25" s="134"/>
      <c r="C25" s="131"/>
      <c r="D25" s="136" t="str">
        <f>TB!B18</f>
        <v>Akum. Peny. Peralatan Kantor</v>
      </c>
      <c r="E25" s="161">
        <f>TB!K18</f>
        <v>145371960</v>
      </c>
      <c r="F25" s="159">
        <f>'8 Peralatan &amp; Perlengkapan'!AB149</f>
        <v>1008985868.2916665</v>
      </c>
      <c r="G25" s="161">
        <f t="shared" si="1"/>
        <v>-863613908.29166651</v>
      </c>
      <c r="H25" s="133"/>
      <c r="I25" s="133"/>
      <c r="J25" s="137"/>
      <c r="K25" s="137"/>
      <c r="L25" s="137"/>
      <c r="M25" s="137"/>
      <c r="N25" s="137"/>
      <c r="O25" s="131"/>
    </row>
    <row r="26" spans="1:15" s="113" customFormat="1">
      <c r="A26" s="131"/>
      <c r="B26" s="134"/>
      <c r="C26" s="131"/>
      <c r="D26" s="136" t="str">
        <f>TB!B19</f>
        <v>Akum. Peny. Peralatan Produksi</v>
      </c>
      <c r="E26" s="161">
        <f>TB!K19</f>
        <v>1238393423</v>
      </c>
      <c r="F26" s="159">
        <f>'9. Infrastruktur'!AB50</f>
        <v>6354805797.416667</v>
      </c>
      <c r="G26" s="161">
        <f t="shared" si="1"/>
        <v>-5116412374.416667</v>
      </c>
      <c r="H26" s="133"/>
      <c r="I26" s="133"/>
      <c r="J26" s="137"/>
      <c r="K26" s="137"/>
      <c r="L26" s="137"/>
      <c r="M26" s="137"/>
      <c r="N26" s="137"/>
      <c r="O26" s="131"/>
    </row>
    <row r="27" spans="1:15" s="113" customFormat="1">
      <c r="A27" s="131"/>
      <c r="B27" s="134"/>
      <c r="C27" s="131"/>
      <c r="D27" s="136" t="str">
        <f>TB!B20</f>
        <v>Akum. Peny. Sumur Bor</v>
      </c>
      <c r="E27" s="161">
        <f>TB!K20</f>
        <v>205124939</v>
      </c>
      <c r="F27" s="159">
        <f>'3. Sumur Bor'!AC40</f>
        <v>247293687.5</v>
      </c>
      <c r="G27" s="161">
        <f t="shared" si="1"/>
        <v>-42168748.5</v>
      </c>
      <c r="H27" s="133"/>
      <c r="I27" s="133"/>
      <c r="J27" s="137"/>
      <c r="K27" s="137"/>
      <c r="L27" s="137"/>
      <c r="M27" s="137"/>
      <c r="N27" s="137"/>
      <c r="O27" s="131"/>
    </row>
    <row r="28" spans="1:15" s="113" customFormat="1">
      <c r="A28" s="131"/>
      <c r="B28" s="134"/>
      <c r="C28" s="131"/>
      <c r="D28" s="136" t="str">
        <f>TB!B21</f>
        <v xml:space="preserve">Akum. Peny. Peralatan Labolatorium </v>
      </c>
      <c r="E28" s="161">
        <f>TB!K21</f>
        <v>67842508</v>
      </c>
      <c r="F28" s="159">
        <f>'4. Sarana &amp; Prasarana'!AC29</f>
        <v>2378990028.3333335</v>
      </c>
      <c r="G28" s="161">
        <f t="shared" si="1"/>
        <v>-2311147520.3333335</v>
      </c>
      <c r="H28" s="133"/>
      <c r="I28" s="133"/>
      <c r="J28" s="137"/>
      <c r="K28" s="137"/>
      <c r="L28" s="137"/>
      <c r="M28" s="137"/>
      <c r="N28" s="137"/>
      <c r="O28" s="131"/>
    </row>
    <row r="29" spans="1:15" s="111" customFormat="1">
      <c r="A29" s="127"/>
      <c r="B29" s="129"/>
      <c r="C29" s="127"/>
      <c r="D29" s="165"/>
      <c r="E29" s="166">
        <f>SUM(E21:E28)</f>
        <v>10140837289</v>
      </c>
      <c r="F29" s="166">
        <f>SUM(F21:F28)</f>
        <v>33374944364.510166</v>
      </c>
      <c r="G29" s="167"/>
      <c r="H29" s="168"/>
      <c r="I29" s="168"/>
      <c r="J29" s="169"/>
      <c r="K29" s="169"/>
      <c r="L29" s="169"/>
      <c r="M29" s="169"/>
      <c r="N29" s="169"/>
      <c r="O29" s="127"/>
    </row>
    <row r="30" spans="1:15" s="113" customFormat="1">
      <c r="A30" s="131"/>
      <c r="B30" s="134"/>
      <c r="C30" s="131"/>
      <c r="D30" s="136"/>
      <c r="E30" s="131"/>
      <c r="F30" s="170">
        <f>E29-F29</f>
        <v>-23234107075.510166</v>
      </c>
      <c r="G30" s="135"/>
      <c r="H30" s="133"/>
      <c r="I30" s="133"/>
      <c r="J30" s="137"/>
      <c r="K30" s="137"/>
      <c r="L30" s="137"/>
      <c r="M30" s="137"/>
      <c r="N30" s="137"/>
      <c r="O30" s="131"/>
    </row>
    <row r="31" spans="1:15" s="113" customFormat="1">
      <c r="A31" s="131"/>
      <c r="B31" s="134"/>
      <c r="C31" s="131"/>
      <c r="D31" s="136" t="str">
        <f>D21</f>
        <v xml:space="preserve">Akum Peny. Bangunan </v>
      </c>
      <c r="E31" s="131"/>
      <c r="F31" s="133"/>
      <c r="G31" s="135"/>
      <c r="H31" s="133">
        <f>G21</f>
        <v>-2022368792.1966257</v>
      </c>
      <c r="I31" s="133"/>
      <c r="J31" s="137">
        <f>H31</f>
        <v>-2022368792.1966257</v>
      </c>
      <c r="K31" s="137"/>
      <c r="L31" s="137"/>
      <c r="M31" s="137"/>
      <c r="N31" s="137"/>
      <c r="O31" s="131"/>
    </row>
    <row r="32" spans="1:15" s="113" customFormat="1">
      <c r="A32" s="131"/>
      <c r="B32" s="134"/>
      <c r="C32" s="131"/>
      <c r="D32" s="136" t="str">
        <f>D22</f>
        <v>Aum. Peny. Mesin</v>
      </c>
      <c r="E32" s="131"/>
      <c r="F32" s="133"/>
      <c r="G32" s="135"/>
      <c r="H32" s="133">
        <f>G22</f>
        <v>-8159656165.7718735</v>
      </c>
      <c r="I32" s="133"/>
      <c r="J32" s="137">
        <f t="shared" ref="J32:J37" si="2">H32</f>
        <v>-8159656165.7718735</v>
      </c>
      <c r="K32" s="137"/>
      <c r="L32" s="137"/>
      <c r="M32" s="137"/>
      <c r="N32" s="137"/>
      <c r="O32" s="131"/>
    </row>
    <row r="33" spans="1:15" s="113" customFormat="1">
      <c r="A33" s="131"/>
      <c r="B33" s="134"/>
      <c r="C33" s="131"/>
      <c r="D33" s="136" t="str">
        <f>D24</f>
        <v>Akum. Peny. Kendaraan Alat Berat</v>
      </c>
      <c r="E33" s="131"/>
      <c r="F33" s="133"/>
      <c r="G33" s="135"/>
      <c r="H33" s="133">
        <f>G24</f>
        <v>146956250</v>
      </c>
      <c r="I33" s="133"/>
      <c r="J33" s="137">
        <f t="shared" si="2"/>
        <v>146956250</v>
      </c>
      <c r="K33" s="137"/>
      <c r="L33" s="137"/>
      <c r="M33" s="137"/>
      <c r="N33" s="137"/>
      <c r="O33" s="131"/>
    </row>
    <row r="34" spans="1:15" s="113" customFormat="1">
      <c r="A34" s="131"/>
      <c r="B34" s="134"/>
      <c r="C34" s="131"/>
      <c r="D34" s="136" t="str">
        <f>D25</f>
        <v>Akum. Peny. Peralatan Kantor</v>
      </c>
      <c r="E34" s="131"/>
      <c r="F34" s="133"/>
      <c r="G34" s="135"/>
      <c r="H34" s="133">
        <f>G25</f>
        <v>-863613908.29166651</v>
      </c>
      <c r="I34" s="133"/>
      <c r="J34" s="137">
        <f t="shared" si="2"/>
        <v>-863613908.29166651</v>
      </c>
      <c r="K34" s="137"/>
      <c r="L34" s="137"/>
      <c r="M34" s="137"/>
      <c r="N34" s="137"/>
      <c r="O34" s="131"/>
    </row>
    <row r="35" spans="1:15" s="113" customFormat="1">
      <c r="A35" s="131"/>
      <c r="B35" s="134"/>
      <c r="C35" s="131"/>
      <c r="D35" s="136" t="str">
        <f>D26</f>
        <v>Akum. Peny. Peralatan Produksi</v>
      </c>
      <c r="E35" s="131"/>
      <c r="F35" s="133"/>
      <c r="G35" s="135"/>
      <c r="H35" s="133">
        <f>G26</f>
        <v>-5116412374.416667</v>
      </c>
      <c r="I35" s="133"/>
      <c r="J35" s="137">
        <f t="shared" si="2"/>
        <v>-5116412374.416667</v>
      </c>
      <c r="K35" s="137"/>
      <c r="L35" s="137"/>
      <c r="M35" s="137"/>
      <c r="N35" s="137"/>
      <c r="O35" s="131"/>
    </row>
    <row r="36" spans="1:15" s="113" customFormat="1">
      <c r="A36" s="131"/>
      <c r="B36" s="134"/>
      <c r="C36" s="131"/>
      <c r="D36" s="136" t="str">
        <f>D27</f>
        <v>Akum. Peny. Sumur Bor</v>
      </c>
      <c r="E36" s="131"/>
      <c r="F36" s="133"/>
      <c r="G36" s="135"/>
      <c r="H36" s="133">
        <f>G27</f>
        <v>-42168748.5</v>
      </c>
      <c r="I36" s="133"/>
      <c r="J36" s="137">
        <f t="shared" si="2"/>
        <v>-42168748.5</v>
      </c>
      <c r="K36" s="137"/>
      <c r="L36" s="137"/>
      <c r="M36" s="137"/>
      <c r="N36" s="137"/>
      <c r="O36" s="131"/>
    </row>
    <row r="37" spans="1:15" s="113" customFormat="1">
      <c r="A37" s="131"/>
      <c r="B37" s="134"/>
      <c r="C37" s="131"/>
      <c r="D37" s="136" t="str">
        <f>D28</f>
        <v xml:space="preserve">Akum. Peny. Peralatan Labolatorium </v>
      </c>
      <c r="E37" s="131"/>
      <c r="F37" s="133"/>
      <c r="G37" s="135"/>
      <c r="H37" s="133">
        <f>G28</f>
        <v>-2311147520.3333335</v>
      </c>
      <c r="I37" s="133"/>
      <c r="J37" s="137">
        <f t="shared" si="2"/>
        <v>-2311147520.3333335</v>
      </c>
      <c r="K37" s="137"/>
      <c r="L37" s="137"/>
      <c r="M37" s="137"/>
      <c r="N37" s="137"/>
      <c r="O37" s="131"/>
    </row>
    <row r="38" spans="1:15" s="113" customFormat="1">
      <c r="A38" s="131"/>
      <c r="B38" s="134"/>
      <c r="C38" s="131"/>
      <c r="D38" s="141" t="s">
        <v>286</v>
      </c>
      <c r="E38" s="131"/>
      <c r="F38" s="133"/>
      <c r="G38" s="135"/>
      <c r="H38" s="133"/>
      <c r="I38" s="140">
        <f>SUM(H31:H37)-I39</f>
        <v>-23234107075.510162</v>
      </c>
      <c r="J38" s="137"/>
      <c r="K38" s="137">
        <f>I38</f>
        <v>-23234107075.510162</v>
      </c>
      <c r="L38" s="137"/>
      <c r="M38" s="137"/>
      <c r="N38" s="137"/>
      <c r="O38" s="131"/>
    </row>
    <row r="39" spans="1:15" s="113" customFormat="1">
      <c r="A39" s="131"/>
      <c r="B39" s="134"/>
      <c r="C39" s="131"/>
      <c r="D39" s="141" t="str">
        <f>D23</f>
        <v xml:space="preserve">Akum. Peny. Kendaraan </v>
      </c>
      <c r="E39" s="131"/>
      <c r="F39" s="133"/>
      <c r="G39" s="135"/>
      <c r="H39" s="140"/>
      <c r="I39" s="133">
        <f>-G23</f>
        <v>4865695816</v>
      </c>
      <c r="J39" s="137"/>
      <c r="K39" s="137">
        <f>I39</f>
        <v>4865695816</v>
      </c>
      <c r="L39" s="137"/>
      <c r="M39" s="137"/>
      <c r="N39" s="137"/>
      <c r="O39" s="131"/>
    </row>
    <row r="40" spans="1:15" s="113" customFormat="1">
      <c r="A40" s="131"/>
      <c r="B40" s="134"/>
      <c r="C40" s="131"/>
      <c r="D40" s="142" t="s">
        <v>277</v>
      </c>
      <c r="E40" s="131"/>
      <c r="F40" s="133"/>
      <c r="G40" s="135"/>
      <c r="H40" s="133"/>
      <c r="I40" s="133"/>
      <c r="J40" s="137"/>
      <c r="K40" s="137"/>
      <c r="L40" s="137"/>
      <c r="M40" s="137"/>
      <c r="N40" s="137"/>
      <c r="O40" s="131"/>
    </row>
    <row r="41" spans="1:15" s="113" customFormat="1">
      <c r="A41" s="131"/>
      <c r="B41" s="134"/>
      <c r="C41" s="131"/>
      <c r="D41" s="136"/>
      <c r="E41" s="131"/>
      <c r="F41" s="133"/>
      <c r="G41" s="135"/>
      <c r="H41" s="133"/>
      <c r="I41" s="133"/>
      <c r="J41" s="137"/>
      <c r="K41" s="137"/>
      <c r="L41" s="137"/>
      <c r="M41" s="137"/>
      <c r="N41" s="137"/>
      <c r="O41" s="131"/>
    </row>
    <row r="42" spans="1:15" s="113" customFormat="1">
      <c r="A42" s="131">
        <v>3</v>
      </c>
      <c r="B42" s="134"/>
      <c r="C42" s="131"/>
      <c r="D42" s="144" t="s">
        <v>278</v>
      </c>
      <c r="E42" s="128" t="s">
        <v>275</v>
      </c>
      <c r="F42" s="128" t="s">
        <v>276</v>
      </c>
      <c r="G42" s="128" t="s">
        <v>225</v>
      </c>
      <c r="H42" s="133"/>
      <c r="I42" s="133"/>
      <c r="J42" s="137"/>
      <c r="K42" s="137"/>
      <c r="L42" s="137"/>
      <c r="M42" s="137"/>
      <c r="N42" s="137"/>
      <c r="O42" s="131"/>
    </row>
    <row r="43" spans="1:15" s="113" customFormat="1">
      <c r="A43" s="131"/>
      <c r="B43" s="134"/>
      <c r="C43" s="131"/>
      <c r="D43" s="136" t="s">
        <v>260</v>
      </c>
      <c r="E43" s="133">
        <f>TB!K27</f>
        <v>1216185335</v>
      </c>
      <c r="F43" s="133">
        <f>'2. Bangunan'!AB115+'5. Mesin'!AA315+'6. Instalasi Elektrik'!AA43+'9. Infrastruktur'!AA50+'3. Sumur Bor'!AB40</f>
        <v>5536064346.1490002</v>
      </c>
      <c r="G43" s="135">
        <f>E43-F43</f>
        <v>-4319879011.1490002</v>
      </c>
      <c r="H43" s="133"/>
      <c r="I43" s="133"/>
      <c r="J43" s="137"/>
      <c r="K43" s="137"/>
      <c r="L43" s="137"/>
      <c r="M43" s="137"/>
      <c r="N43" s="137"/>
      <c r="O43" s="131"/>
    </row>
    <row r="44" spans="1:15" s="113" customFormat="1">
      <c r="A44" s="131"/>
      <c r="B44" s="134"/>
      <c r="C44" s="131"/>
      <c r="D44" s="136" t="s">
        <v>261</v>
      </c>
      <c r="E44" s="133">
        <f>TB!K30</f>
        <v>662689697</v>
      </c>
      <c r="F44" s="133"/>
      <c r="G44" s="135">
        <f>E44-F44</f>
        <v>662689697</v>
      </c>
      <c r="H44" s="133"/>
      <c r="I44" s="133"/>
      <c r="J44" s="137"/>
      <c r="K44" s="137"/>
      <c r="L44" s="137"/>
      <c r="M44" s="137"/>
      <c r="N44" s="137"/>
      <c r="O44" s="131"/>
    </row>
    <row r="45" spans="1:15" s="113" customFormat="1">
      <c r="A45" s="131"/>
      <c r="B45" s="134"/>
      <c r="C45" s="131"/>
      <c r="D45" s="136" t="s">
        <v>287</v>
      </c>
      <c r="E45" s="133"/>
      <c r="F45" s="133">
        <f>'8 Peralatan &amp; Perlengkapan'!AA149</f>
        <v>182879646.08333331</v>
      </c>
      <c r="G45" s="135">
        <f>E45-F45</f>
        <v>-182879646.08333331</v>
      </c>
      <c r="H45" s="133"/>
      <c r="I45" s="133"/>
      <c r="J45" s="137"/>
      <c r="K45" s="137"/>
      <c r="L45" s="137"/>
      <c r="M45" s="137"/>
      <c r="N45" s="137"/>
      <c r="O45" s="131"/>
    </row>
    <row r="46" spans="1:15" s="113" customFormat="1">
      <c r="A46" s="131"/>
      <c r="B46" s="134"/>
      <c r="C46" s="131"/>
      <c r="D46" s="136" t="s">
        <v>288</v>
      </c>
      <c r="E46" s="131"/>
      <c r="F46" s="133">
        <f>'4. Sarana &amp; Prasarana'!AB29</f>
        <v>497213967.5</v>
      </c>
      <c r="G46" s="135">
        <f>E46-F46</f>
        <v>-497213967.5</v>
      </c>
      <c r="H46" s="133"/>
      <c r="I46" s="133"/>
      <c r="J46" s="137"/>
      <c r="K46" s="137"/>
      <c r="L46" s="137"/>
      <c r="M46" s="137"/>
      <c r="N46" s="137"/>
      <c r="O46" s="131"/>
    </row>
    <row r="47" spans="1:15" s="113" customFormat="1">
      <c r="A47" s="131"/>
      <c r="B47" s="134"/>
      <c r="C47" s="131"/>
      <c r="D47" s="136" t="s">
        <v>289</v>
      </c>
      <c r="E47" s="131"/>
      <c r="F47" s="133">
        <f>'7. Kendaraan'!AA69</f>
        <v>1043807500</v>
      </c>
      <c r="G47" s="135">
        <f>E47-F47</f>
        <v>-1043807500</v>
      </c>
      <c r="H47" s="133"/>
      <c r="I47" s="133"/>
      <c r="J47" s="137"/>
      <c r="K47" s="137"/>
      <c r="L47" s="137"/>
      <c r="M47" s="137"/>
      <c r="N47" s="137"/>
      <c r="O47" s="131"/>
    </row>
    <row r="48" spans="1:15" s="111" customFormat="1">
      <c r="A48" s="127"/>
      <c r="B48" s="129"/>
      <c r="C48" s="127"/>
      <c r="D48" s="127"/>
      <c r="E48" s="167">
        <f>SUM(E43:E47)</f>
        <v>1878875032</v>
      </c>
      <c r="F48" s="167">
        <f>SUM(F43:F47)</f>
        <v>7259965459.7323332</v>
      </c>
      <c r="G48" s="127"/>
      <c r="H48" s="168"/>
      <c r="I48" s="168"/>
      <c r="J48" s="169"/>
      <c r="K48" s="169"/>
      <c r="L48" s="169"/>
      <c r="M48" s="169"/>
      <c r="N48" s="169"/>
      <c r="O48" s="127"/>
    </row>
    <row r="49" spans="1:16" s="113" customFormat="1">
      <c r="A49" s="131"/>
      <c r="B49" s="134"/>
      <c r="C49" s="131"/>
      <c r="D49" s="131"/>
      <c r="E49" s="131"/>
      <c r="F49" s="171">
        <f>E48-F48</f>
        <v>-5381090427.7323332</v>
      </c>
      <c r="G49" s="131"/>
      <c r="H49" s="133"/>
      <c r="I49" s="133"/>
      <c r="J49" s="137"/>
      <c r="K49" s="137"/>
      <c r="L49" s="137"/>
      <c r="M49" s="137"/>
      <c r="N49" s="137"/>
      <c r="O49" s="131"/>
    </row>
    <row r="50" spans="1:16" s="113" customFormat="1">
      <c r="A50" s="131">
        <v>4</v>
      </c>
      <c r="B50" s="134"/>
      <c r="C50" s="131"/>
      <c r="D50" s="136" t="str">
        <f>D43</f>
        <v>Depreciation</v>
      </c>
      <c r="E50" s="131"/>
      <c r="F50" s="131"/>
      <c r="G50" s="131"/>
      <c r="H50" s="133">
        <f>-G43</f>
        <v>4319879011.1490002</v>
      </c>
      <c r="I50" s="133"/>
      <c r="J50" s="137"/>
      <c r="K50" s="137"/>
      <c r="L50" s="137"/>
      <c r="M50" s="137">
        <f>H50</f>
        <v>4319879011.1490002</v>
      </c>
      <c r="N50" s="137"/>
      <c r="O50" s="131"/>
    </row>
    <row r="51" spans="1:16" s="113" customFormat="1">
      <c r="A51" s="131"/>
      <c r="B51" s="134"/>
      <c r="C51" s="131"/>
      <c r="D51" s="136" t="str">
        <f>D45</f>
        <v>Penyusutan Peralatan Kantor</v>
      </c>
      <c r="E51" s="131"/>
      <c r="F51" s="131"/>
      <c r="G51" s="131"/>
      <c r="H51" s="133">
        <f>-G45</f>
        <v>182879646.08333331</v>
      </c>
      <c r="I51" s="133"/>
      <c r="J51" s="137"/>
      <c r="K51" s="137"/>
      <c r="L51" s="137"/>
      <c r="M51" s="137">
        <f>H51</f>
        <v>182879646.08333331</v>
      </c>
      <c r="N51" s="137"/>
      <c r="O51" s="131"/>
    </row>
    <row r="52" spans="1:16" s="113" customFormat="1">
      <c r="A52" s="131"/>
      <c r="B52" s="134"/>
      <c r="C52" s="131"/>
      <c r="D52" s="136" t="str">
        <f>D46</f>
        <v>Penyusutan Peralatan LAB</v>
      </c>
      <c r="E52" s="131"/>
      <c r="F52" s="131"/>
      <c r="G52" s="131"/>
      <c r="H52" s="133">
        <f>-G46</f>
        <v>497213967.5</v>
      </c>
      <c r="I52" s="133"/>
      <c r="J52" s="137"/>
      <c r="K52" s="137"/>
      <c r="L52" s="137"/>
      <c r="M52" s="137">
        <f>H52</f>
        <v>497213967.5</v>
      </c>
      <c r="N52" s="137"/>
      <c r="O52" s="131"/>
    </row>
    <row r="53" spans="1:16" s="113" customFormat="1">
      <c r="A53" s="131"/>
      <c r="B53" s="134"/>
      <c r="C53" s="131"/>
      <c r="D53" s="136" t="str">
        <f>D47</f>
        <v xml:space="preserve">Penyusutan Kendaraan </v>
      </c>
      <c r="E53" s="131"/>
      <c r="F53" s="131"/>
      <c r="G53" s="131"/>
      <c r="H53" s="133">
        <f>-G47</f>
        <v>1043807500</v>
      </c>
      <c r="I53" s="133"/>
      <c r="J53" s="137"/>
      <c r="K53" s="137"/>
      <c r="L53" s="137"/>
      <c r="M53" s="137">
        <f>H53</f>
        <v>1043807500</v>
      </c>
      <c r="N53" s="137"/>
      <c r="O53" s="131"/>
    </row>
    <row r="54" spans="1:16" s="113" customFormat="1">
      <c r="A54" s="131"/>
      <c r="B54" s="134"/>
      <c r="C54" s="131"/>
      <c r="D54" s="141" t="str">
        <f>D44</f>
        <v>Beban Depresiasi Dan Amortisasi</v>
      </c>
      <c r="E54" s="131"/>
      <c r="F54" s="131"/>
      <c r="G54" s="131"/>
      <c r="H54" s="133"/>
      <c r="I54" s="133">
        <f>G44</f>
        <v>662689697</v>
      </c>
      <c r="J54" s="137"/>
      <c r="K54" s="137"/>
      <c r="L54" s="137"/>
      <c r="M54" s="137"/>
      <c r="N54" s="137">
        <f>I54</f>
        <v>662689697</v>
      </c>
      <c r="O54" s="131"/>
    </row>
    <row r="55" spans="1:16" s="113" customFormat="1">
      <c r="A55" s="131"/>
      <c r="B55" s="134"/>
      <c r="C55" s="131"/>
      <c r="D55" s="141" t="s">
        <v>286</v>
      </c>
      <c r="E55" s="131"/>
      <c r="F55" s="131"/>
      <c r="G55" s="131"/>
      <c r="H55" s="133"/>
      <c r="I55" s="133">
        <f>SUM(H50:H53)-I54</f>
        <v>5381090427.7323332</v>
      </c>
      <c r="J55" s="137"/>
      <c r="K55" s="137">
        <f>I55</f>
        <v>5381090427.7323332</v>
      </c>
      <c r="L55" s="137"/>
      <c r="M55" s="137"/>
      <c r="N55" s="137"/>
      <c r="O55" s="131"/>
    </row>
    <row r="56" spans="1:16" s="113" customFormat="1">
      <c r="A56" s="131"/>
      <c r="B56" s="134"/>
      <c r="C56" s="131"/>
      <c r="D56" s="142" t="s">
        <v>279</v>
      </c>
      <c r="E56" s="131"/>
      <c r="F56" s="131"/>
      <c r="G56" s="131"/>
      <c r="H56" s="133"/>
      <c r="I56" s="133"/>
      <c r="J56" s="137"/>
      <c r="K56" s="137"/>
      <c r="L56" s="137"/>
      <c r="M56" s="137"/>
      <c r="N56" s="137"/>
      <c r="O56" s="131"/>
    </row>
    <row r="57" spans="1:16" s="113" customFormat="1">
      <c r="A57" s="131"/>
      <c r="B57" s="134"/>
      <c r="C57" s="131"/>
      <c r="D57" s="131"/>
      <c r="E57" s="131"/>
      <c r="F57" s="131"/>
      <c r="G57" s="131"/>
      <c r="H57" s="133"/>
      <c r="I57" s="133"/>
      <c r="J57" s="137"/>
      <c r="K57" s="137"/>
      <c r="L57" s="137"/>
      <c r="M57" s="137"/>
      <c r="N57" s="137"/>
      <c r="O57" s="131"/>
    </row>
    <row r="58" spans="1:16" s="113" customFormat="1">
      <c r="A58" s="131">
        <f>A50+1</f>
        <v>5</v>
      </c>
      <c r="B58" s="134"/>
      <c r="C58" s="131"/>
      <c r="D58" s="131"/>
      <c r="E58" s="131"/>
      <c r="F58" s="131"/>
      <c r="G58" s="131"/>
      <c r="H58" s="133"/>
      <c r="I58" s="133"/>
      <c r="J58" s="137"/>
      <c r="K58" s="137"/>
      <c r="L58" s="137"/>
      <c r="M58" s="137"/>
      <c r="N58" s="137"/>
      <c r="O58" s="131"/>
    </row>
    <row r="59" spans="1:16" s="113" customFormat="1">
      <c r="A59" s="131"/>
      <c r="B59" s="134"/>
      <c r="C59" s="131"/>
      <c r="D59" s="131"/>
      <c r="E59" s="131"/>
      <c r="F59" s="131"/>
      <c r="G59" s="131"/>
      <c r="H59" s="133"/>
      <c r="I59" s="133"/>
      <c r="J59" s="137"/>
      <c r="K59" s="137"/>
      <c r="L59" s="137"/>
      <c r="M59" s="137"/>
      <c r="N59" s="137"/>
      <c r="O59" s="131"/>
    </row>
    <row r="60" spans="1:16" s="113" customFormat="1">
      <c r="A60" s="131"/>
      <c r="B60" s="134"/>
      <c r="C60" s="131"/>
      <c r="D60" s="131"/>
      <c r="E60" s="131"/>
      <c r="F60" s="131"/>
      <c r="G60" s="131"/>
      <c r="H60" s="133"/>
      <c r="I60" s="133"/>
      <c r="J60" s="137"/>
      <c r="K60" s="137"/>
      <c r="L60" s="137"/>
      <c r="M60" s="137"/>
      <c r="N60" s="137"/>
      <c r="O60" s="131"/>
    </row>
    <row r="61" spans="1:16" s="113" customFormat="1">
      <c r="A61" s="131"/>
      <c r="B61" s="134"/>
      <c r="C61" s="131"/>
      <c r="D61" s="138"/>
      <c r="E61" s="131"/>
      <c r="F61" s="131"/>
      <c r="G61" s="131"/>
      <c r="H61" s="133"/>
      <c r="I61" s="133"/>
      <c r="J61" s="137"/>
      <c r="K61" s="137"/>
      <c r="L61" s="137"/>
      <c r="M61" s="137"/>
      <c r="N61" s="137"/>
      <c r="O61" s="131"/>
    </row>
    <row r="62" spans="1:16" s="111" customFormat="1" ht="8.25" customHeight="1">
      <c r="A62" s="112"/>
      <c r="B62" s="127"/>
      <c r="H62" s="145"/>
      <c r="I62" s="145"/>
      <c r="J62" s="146"/>
      <c r="K62" s="146"/>
      <c r="L62" s="146"/>
      <c r="M62" s="146"/>
      <c r="N62" s="146"/>
      <c r="P62" s="147"/>
    </row>
    <row r="63" spans="1:16">
      <c r="A63" s="148"/>
      <c r="B63" s="149"/>
      <c r="C63" s="149"/>
      <c r="D63" s="149"/>
      <c r="E63" s="149"/>
      <c r="F63" s="149"/>
      <c r="G63" s="149"/>
      <c r="H63" s="150">
        <f>SUM(H7:H62)</f>
        <v>-12324631134.777828</v>
      </c>
      <c r="I63" s="150">
        <f>SUM(I7:I62)</f>
        <v>-12324631134.777828</v>
      </c>
      <c r="J63" s="150">
        <f>SUM(J7:J62)</f>
        <v>-18368411259.510162</v>
      </c>
      <c r="K63" s="150">
        <f>SUM(K7:K62)</f>
        <v>-12987320831.777828</v>
      </c>
      <c r="L63" s="150"/>
      <c r="M63" s="150">
        <f>SUM(M7:M62)</f>
        <v>6043780124.7323332</v>
      </c>
      <c r="N63" s="150">
        <f>SUM(N7:N62)</f>
        <v>662689697</v>
      </c>
      <c r="O63" s="149"/>
    </row>
    <row r="64" spans="1:16">
      <c r="H64" s="121"/>
      <c r="I64" s="121">
        <f>H63-I63</f>
        <v>0</v>
      </c>
      <c r="J64" s="151">
        <f>J63-K63</f>
        <v>-5381090427.7323341</v>
      </c>
      <c r="K64" s="151"/>
      <c r="L64" s="151"/>
      <c r="M64" s="151"/>
      <c r="N64" s="151">
        <f>N63-M63</f>
        <v>-5381090427.7323332</v>
      </c>
    </row>
    <row r="65" spans="2:15">
      <c r="H65" s="121"/>
      <c r="I65" s="121"/>
      <c r="J65" s="151"/>
      <c r="K65" s="151"/>
      <c r="L65" s="151"/>
      <c r="M65" s="151"/>
      <c r="N65" s="151"/>
    </row>
    <row r="66" spans="2:15">
      <c r="E66" t="s">
        <v>280</v>
      </c>
      <c r="H66" s="121"/>
      <c r="I66" s="121"/>
      <c r="J66" s="151"/>
      <c r="K66" s="151"/>
      <c r="L66" s="151"/>
      <c r="M66" s="151"/>
      <c r="N66" s="151">
        <v>2224905504</v>
      </c>
      <c r="O66" s="46"/>
    </row>
    <row r="67" spans="2:15">
      <c r="E67" t="s">
        <v>281</v>
      </c>
      <c r="H67" s="152"/>
      <c r="I67" s="152"/>
      <c r="J67" s="153"/>
      <c r="K67" s="153"/>
      <c r="L67" s="153"/>
      <c r="M67" s="153"/>
      <c r="N67" s="154">
        <v>2224863407.8020859</v>
      </c>
      <c r="O67" s="46"/>
    </row>
    <row r="68" spans="2:15">
      <c r="E68" t="s">
        <v>225</v>
      </c>
      <c r="H68" s="152"/>
      <c r="I68" s="152"/>
      <c r="J68" s="153"/>
      <c r="K68" s="153"/>
      <c r="L68" s="153"/>
      <c r="M68" s="153"/>
      <c r="N68" s="155">
        <f>N66-N67</f>
        <v>42096.197914123535</v>
      </c>
      <c r="O68" s="46"/>
    </row>
    <row r="69" spans="2:15">
      <c r="H69" s="152"/>
      <c r="I69" s="152"/>
      <c r="J69" s="153"/>
      <c r="K69" s="153"/>
      <c r="L69" s="153"/>
      <c r="M69" s="153"/>
      <c r="N69" s="156"/>
      <c r="O69" s="46"/>
    </row>
    <row r="70" spans="2:15">
      <c r="B70" t="s">
        <v>282</v>
      </c>
    </row>
    <row r="74" spans="2:15">
      <c r="B74" t="s">
        <v>283</v>
      </c>
    </row>
  </sheetData>
  <mergeCells count="8">
    <mergeCell ref="J5:K5"/>
    <mergeCell ref="M5:N5"/>
    <mergeCell ref="O5:O6"/>
    <mergeCell ref="A5:A6"/>
    <mergeCell ref="B5:B6"/>
    <mergeCell ref="C5:E6"/>
    <mergeCell ref="H5:H6"/>
    <mergeCell ref="I5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B25A-8F44-4943-B210-E9534C1CB270}">
  <sheetPr>
    <tabColor rgb="FF92D050"/>
  </sheetPr>
  <dimension ref="A1:S892"/>
  <sheetViews>
    <sheetView showGridLines="0" view="pageBreakPreview" topLeftCell="D1" zoomScale="60" zoomScaleNormal="70" workbookViewId="0">
      <pane xSplit="5" ySplit="10" topLeftCell="I617" activePane="bottomRight" state="frozen"/>
      <selection activeCell="D165" sqref="D165"/>
      <selection pane="topRight" activeCell="D165" sqref="D165"/>
      <selection pane="bottomLeft" activeCell="D165" sqref="D165"/>
      <selection pane="bottomRight" activeCell="I255" sqref="I255"/>
    </sheetView>
  </sheetViews>
  <sheetFormatPr defaultColWidth="9.1796875" defaultRowHeight="15.75" customHeight="1"/>
  <cols>
    <col min="1" max="1" width="16" style="266" hidden="1" customWidth="1"/>
    <col min="2" max="3" width="9.54296875" style="266" hidden="1" customWidth="1"/>
    <col min="4" max="4" width="4" style="275" customWidth="1"/>
    <col min="5" max="5" width="4" style="668" customWidth="1"/>
    <col min="6" max="6" width="5.7265625" style="269" customWidth="1"/>
    <col min="7" max="7" width="7.7265625" style="269" customWidth="1"/>
    <col min="8" max="8" width="54.54296875" style="275" customWidth="1"/>
    <col min="9" max="9" width="17.54296875" style="669" bestFit="1" customWidth="1"/>
    <col min="10" max="10" width="8" style="669" bestFit="1" customWidth="1"/>
    <col min="11" max="11" width="23.26953125" style="273" customWidth="1"/>
    <col min="12" max="12" width="20.7265625" style="273" bestFit="1" customWidth="1"/>
    <col min="13" max="13" width="19" style="273" customWidth="1"/>
    <col min="14" max="14" width="22.81640625" style="273" customWidth="1"/>
    <col min="15" max="15" width="20.453125" style="273" customWidth="1"/>
    <col min="16" max="16" width="18.7265625" style="274" customWidth="1"/>
    <col min="17" max="17" width="20.26953125" style="273" customWidth="1"/>
    <col min="18" max="18" width="21.81640625" style="274" customWidth="1"/>
    <col min="19" max="19" width="21.81640625" style="274" bestFit="1" customWidth="1"/>
    <col min="20" max="16384" width="9.1796875" style="275"/>
  </cols>
  <sheetData>
    <row r="1" spans="1:19" ht="15.75" customHeight="1">
      <c r="D1" s="267" t="s">
        <v>926</v>
      </c>
      <c r="E1" s="268"/>
      <c r="H1" s="270"/>
      <c r="I1" s="271"/>
      <c r="J1" s="271"/>
      <c r="K1" s="272"/>
    </row>
    <row r="2" spans="1:19" ht="15.75" hidden="1" customHeight="1">
      <c r="D2" s="267" t="s">
        <v>927</v>
      </c>
      <c r="E2" s="268"/>
      <c r="H2" s="270"/>
      <c r="I2" s="271"/>
      <c r="J2" s="271"/>
      <c r="K2" s="276"/>
      <c r="L2" s="276"/>
      <c r="M2" s="276"/>
      <c r="N2" s="276"/>
      <c r="O2" s="276"/>
      <c r="P2" s="277"/>
      <c r="Q2" s="276" t="s">
        <v>928</v>
      </c>
      <c r="R2" s="277"/>
    </row>
    <row r="3" spans="1:19" ht="15.75" customHeight="1">
      <c r="D3" s="267" t="s">
        <v>929</v>
      </c>
      <c r="E3" s="268"/>
      <c r="H3" s="270"/>
      <c r="I3" s="271"/>
      <c r="J3" s="271"/>
      <c r="K3" s="278"/>
      <c r="L3" s="278"/>
      <c r="M3" s="278"/>
      <c r="N3" s="278"/>
      <c r="O3" s="276"/>
      <c r="P3" s="276"/>
      <c r="Q3" s="276" t="s">
        <v>930</v>
      </c>
      <c r="R3" s="277"/>
    </row>
    <row r="4" spans="1:19" ht="15.75" customHeight="1">
      <c r="D4" s="279" t="s">
        <v>931</v>
      </c>
      <c r="E4" s="280"/>
      <c r="H4" s="270"/>
      <c r="I4" s="271"/>
      <c r="J4" s="271"/>
      <c r="K4" s="276"/>
      <c r="L4" s="278"/>
      <c r="M4" s="278"/>
      <c r="N4" s="278"/>
      <c r="O4" s="278"/>
      <c r="P4" s="281"/>
      <c r="Q4" s="276"/>
      <c r="R4" s="277"/>
      <c r="S4" s="282"/>
    </row>
    <row r="5" spans="1:19" ht="15.75" customHeight="1" thickBot="1">
      <c r="B5" s="266">
        <v>1</v>
      </c>
      <c r="C5" s="266">
        <v>1</v>
      </c>
      <c r="D5" s="283"/>
      <c r="E5" s="284"/>
      <c r="F5" s="285"/>
      <c r="G5" s="285"/>
      <c r="H5" s="286"/>
      <c r="I5" s="271"/>
      <c r="J5" s="271"/>
      <c r="K5" s="287">
        <v>141127721787.88559</v>
      </c>
      <c r="L5" s="288">
        <v>7413771845.8299999</v>
      </c>
      <c r="M5" s="287">
        <v>15636001272</v>
      </c>
      <c r="N5" s="287">
        <v>132910081313.71561</v>
      </c>
      <c r="O5" s="287">
        <v>42713812915.449432</v>
      </c>
      <c r="P5" s="288">
        <v>10115152493.1882</v>
      </c>
      <c r="Q5" s="287">
        <v>2569317140.666667</v>
      </c>
      <c r="R5" s="287">
        <v>50259648267.970963</v>
      </c>
      <c r="S5" s="289" t="s">
        <v>932</v>
      </c>
    </row>
    <row r="6" spans="1:19" ht="15.75" customHeight="1" thickTop="1">
      <c r="D6" s="1259" t="s">
        <v>17</v>
      </c>
      <c r="E6" s="291"/>
      <c r="F6" s="1262" t="s">
        <v>933</v>
      </c>
      <c r="G6" s="1262"/>
      <c r="H6" s="1263"/>
      <c r="I6" s="1263" t="s">
        <v>1</v>
      </c>
      <c r="J6" s="1267" t="s">
        <v>226</v>
      </c>
      <c r="K6" s="1250" t="s">
        <v>227</v>
      </c>
      <c r="L6" s="1252" t="s">
        <v>228</v>
      </c>
      <c r="M6" s="1253"/>
      <c r="N6" s="1250" t="s">
        <v>227</v>
      </c>
      <c r="O6" s="1250" t="s">
        <v>229</v>
      </c>
      <c r="P6" s="1252" t="s">
        <v>934</v>
      </c>
      <c r="Q6" s="1253"/>
      <c r="R6" s="1250" t="s">
        <v>229</v>
      </c>
      <c r="S6" s="1250" t="s">
        <v>206</v>
      </c>
    </row>
    <row r="7" spans="1:19" ht="15.75" hidden="1" customHeight="1">
      <c r="D7" s="1260"/>
      <c r="E7" s="292"/>
      <c r="F7" s="1264"/>
      <c r="G7" s="1264"/>
      <c r="H7" s="1265"/>
      <c r="I7" s="1266"/>
      <c r="J7" s="1268"/>
      <c r="K7" s="1258"/>
      <c r="L7" s="1254"/>
      <c r="M7" s="1255"/>
      <c r="N7" s="1251"/>
      <c r="O7" s="1251"/>
      <c r="P7" s="1254"/>
      <c r="Q7" s="1255"/>
      <c r="R7" s="1258"/>
      <c r="S7" s="1258"/>
    </row>
    <row r="8" spans="1:19" ht="15.75" customHeight="1">
      <c r="D8" s="1260"/>
      <c r="E8" s="292"/>
      <c r="F8" s="1264"/>
      <c r="G8" s="1264"/>
      <c r="H8" s="1265"/>
      <c r="I8" s="294" t="s">
        <v>9</v>
      </c>
      <c r="J8" s="1268"/>
      <c r="K8" s="293" t="s">
        <v>230</v>
      </c>
      <c r="L8" s="1256"/>
      <c r="M8" s="1257"/>
      <c r="N8" s="293" t="s">
        <v>230</v>
      </c>
      <c r="O8" s="293" t="s">
        <v>231</v>
      </c>
      <c r="P8" s="1256"/>
      <c r="Q8" s="1257"/>
      <c r="R8" s="293" t="s">
        <v>231</v>
      </c>
      <c r="S8" s="293" t="s">
        <v>230</v>
      </c>
    </row>
    <row r="9" spans="1:19" ht="15.75" customHeight="1">
      <c r="D9" s="1261"/>
      <c r="E9" s="295"/>
      <c r="F9" s="296"/>
      <c r="G9" s="296"/>
      <c r="H9" s="297"/>
      <c r="I9" s="298"/>
      <c r="J9" s="1269"/>
      <c r="K9" s="299" t="s">
        <v>291</v>
      </c>
      <c r="L9" s="300" t="s">
        <v>29</v>
      </c>
      <c r="M9" s="300" t="s">
        <v>196</v>
      </c>
      <c r="N9" s="299" t="s">
        <v>292</v>
      </c>
      <c r="O9" s="299" t="s">
        <v>291</v>
      </c>
      <c r="P9" s="300" t="s">
        <v>29</v>
      </c>
      <c r="Q9" s="300" t="s">
        <v>196</v>
      </c>
      <c r="R9" s="299" t="s">
        <v>292</v>
      </c>
      <c r="S9" s="299" t="s">
        <v>292</v>
      </c>
    </row>
    <row r="10" spans="1:19" ht="15.75" customHeight="1">
      <c r="D10" s="290"/>
      <c r="E10" s="301"/>
      <c r="F10" s="302"/>
      <c r="G10" s="303"/>
      <c r="H10" s="304"/>
      <c r="I10" s="305"/>
      <c r="J10" s="306"/>
      <c r="K10" s="307"/>
      <c r="L10" s="307"/>
      <c r="M10" s="307"/>
      <c r="N10" s="307"/>
      <c r="O10" s="307"/>
      <c r="P10" s="307"/>
      <c r="Q10" s="307"/>
      <c r="R10" s="307"/>
      <c r="S10" s="307"/>
    </row>
    <row r="11" spans="1:19" ht="15.75" customHeight="1">
      <c r="A11" s="266" t="s">
        <v>935</v>
      </c>
      <c r="B11" s="308" t="s">
        <v>936</v>
      </c>
      <c r="C11" s="308" t="s">
        <v>936</v>
      </c>
      <c r="D11" s="309">
        <v>1</v>
      </c>
      <c r="E11" s="310" t="s">
        <v>936</v>
      </c>
      <c r="F11" s="275"/>
      <c r="G11" s="311"/>
      <c r="H11" s="312"/>
      <c r="I11" s="258"/>
      <c r="J11" s="313"/>
      <c r="K11" s="314"/>
      <c r="L11" s="314"/>
      <c r="M11" s="314"/>
      <c r="N11" s="314"/>
      <c r="O11" s="314"/>
      <c r="P11" s="315"/>
      <c r="Q11" s="314"/>
      <c r="R11" s="315"/>
      <c r="S11" s="315"/>
    </row>
    <row r="12" spans="1:19" s="317" customFormat="1" ht="15.75" customHeight="1">
      <c r="A12" s="266" t="s">
        <v>935</v>
      </c>
      <c r="B12" s="266"/>
      <c r="C12" s="266"/>
      <c r="D12" s="309"/>
      <c r="E12" s="316" t="s">
        <v>232</v>
      </c>
      <c r="F12" s="317" t="s">
        <v>296</v>
      </c>
      <c r="G12" s="318"/>
      <c r="H12" s="319"/>
      <c r="I12" s="320"/>
      <c r="J12" s="321"/>
      <c r="K12" s="322"/>
      <c r="L12" s="322"/>
      <c r="M12" s="322"/>
      <c r="N12" s="322"/>
      <c r="O12" s="322"/>
      <c r="P12" s="322"/>
      <c r="Q12" s="322"/>
      <c r="R12" s="322"/>
      <c r="S12" s="322"/>
    </row>
    <row r="13" spans="1:19" ht="15.75" customHeight="1">
      <c r="A13" s="266" t="s">
        <v>935</v>
      </c>
      <c r="D13" s="323"/>
      <c r="E13" s="324"/>
      <c r="F13" s="325"/>
      <c r="G13" s="326"/>
      <c r="H13" s="327" t="s">
        <v>293</v>
      </c>
      <c r="I13" s="328">
        <v>2002</v>
      </c>
      <c r="J13" s="328"/>
      <c r="K13" s="329">
        <v>893958647</v>
      </c>
      <c r="L13" s="329">
        <v>0</v>
      </c>
      <c r="M13" s="329"/>
      <c r="N13" s="329">
        <f>K13+L13-M13</f>
        <v>893958647</v>
      </c>
      <c r="O13" s="329">
        <v>0</v>
      </c>
      <c r="P13" s="329">
        <v>0</v>
      </c>
      <c r="Q13" s="329">
        <v>0</v>
      </c>
      <c r="R13" s="329">
        <f>O13+P13-Q13</f>
        <v>0</v>
      </c>
      <c r="S13" s="329">
        <f>N13-R13</f>
        <v>893958647</v>
      </c>
    </row>
    <row r="14" spans="1:19" ht="15.75" customHeight="1">
      <c r="A14" s="266" t="s">
        <v>935</v>
      </c>
      <c r="D14" s="323"/>
      <c r="E14" s="324"/>
      <c r="F14" s="330"/>
      <c r="G14" s="331"/>
      <c r="H14" s="332" t="s">
        <v>294</v>
      </c>
      <c r="I14" s="313">
        <v>2002</v>
      </c>
      <c r="J14" s="313"/>
      <c r="K14" s="333">
        <v>200000000</v>
      </c>
      <c r="L14" s="333">
        <v>0</v>
      </c>
      <c r="M14" s="333"/>
      <c r="N14" s="329">
        <f>K14+L14-M14</f>
        <v>200000000</v>
      </c>
      <c r="O14" s="333">
        <v>0</v>
      </c>
      <c r="P14" s="333">
        <v>0</v>
      </c>
      <c r="Q14" s="333">
        <v>0</v>
      </c>
      <c r="R14" s="329">
        <f>O14+P14-Q14</f>
        <v>0</v>
      </c>
      <c r="S14" s="329">
        <f>N14-R14</f>
        <v>200000000</v>
      </c>
    </row>
    <row r="15" spans="1:19" ht="15.75" customHeight="1">
      <c r="D15" s="323"/>
      <c r="E15" s="324"/>
      <c r="F15" s="334"/>
      <c r="G15" s="335"/>
      <c r="H15" s="336" t="s">
        <v>295</v>
      </c>
      <c r="I15" s="337">
        <v>2002</v>
      </c>
      <c r="J15" s="338"/>
      <c r="K15" s="339">
        <v>226850626</v>
      </c>
      <c r="L15" s="339">
        <v>0</v>
      </c>
      <c r="M15" s="339"/>
      <c r="N15" s="329">
        <f>K15+L15-M15</f>
        <v>226850626</v>
      </c>
      <c r="O15" s="339">
        <v>0</v>
      </c>
      <c r="P15" s="339">
        <v>0</v>
      </c>
      <c r="Q15" s="339">
        <v>0</v>
      </c>
      <c r="R15" s="329">
        <f>O15+P15-Q15</f>
        <v>0</v>
      </c>
      <c r="S15" s="329">
        <f>N15-R15</f>
        <v>226850626</v>
      </c>
    </row>
    <row r="16" spans="1:19" s="317" customFormat="1" ht="15.75" customHeight="1">
      <c r="A16" s="266" t="s">
        <v>935</v>
      </c>
      <c r="B16" s="266"/>
      <c r="C16" s="266"/>
      <c r="D16" s="309"/>
      <c r="E16" s="1235" t="s">
        <v>937</v>
      </c>
      <c r="F16" s="1236"/>
      <c r="G16" s="1236"/>
      <c r="H16" s="1236"/>
      <c r="I16" s="1236"/>
      <c r="J16" s="1237"/>
      <c r="K16" s="342">
        <f>SUM(K13:K15)</f>
        <v>1320809273</v>
      </c>
      <c r="L16" s="342">
        <f t="shared" ref="L16:S16" si="0">SUM(L13:L15)</f>
        <v>0</v>
      </c>
      <c r="M16" s="342">
        <f t="shared" si="0"/>
        <v>0</v>
      </c>
      <c r="N16" s="342">
        <f t="shared" si="0"/>
        <v>1320809273</v>
      </c>
      <c r="O16" s="342">
        <f t="shared" si="0"/>
        <v>0</v>
      </c>
      <c r="P16" s="342">
        <f t="shared" si="0"/>
        <v>0</v>
      </c>
      <c r="Q16" s="342">
        <f t="shared" si="0"/>
        <v>0</v>
      </c>
      <c r="R16" s="342">
        <f t="shared" si="0"/>
        <v>0</v>
      </c>
      <c r="S16" s="342">
        <f t="shared" si="0"/>
        <v>1320809273</v>
      </c>
    </row>
    <row r="17" spans="1:19" ht="15.75" customHeight="1">
      <c r="D17" s="323"/>
      <c r="E17" s="324"/>
      <c r="F17" s="343"/>
      <c r="G17" s="344"/>
      <c r="H17" s="345"/>
      <c r="I17" s="346"/>
      <c r="J17" s="347"/>
      <c r="K17" s="348"/>
      <c r="L17" s="348"/>
      <c r="M17" s="348"/>
      <c r="N17" s="348"/>
      <c r="O17" s="348"/>
      <c r="P17" s="348"/>
      <c r="Q17" s="348"/>
      <c r="R17" s="348"/>
      <c r="S17" s="348"/>
    </row>
    <row r="18" spans="1:19" s="317" customFormat="1" ht="15.75" customHeight="1">
      <c r="A18" s="266" t="s">
        <v>938</v>
      </c>
      <c r="B18" s="266"/>
      <c r="C18" s="266"/>
      <c r="D18" s="309"/>
      <c r="E18" s="316" t="s">
        <v>324</v>
      </c>
      <c r="F18" s="317" t="s">
        <v>298</v>
      </c>
      <c r="G18" s="318"/>
      <c r="H18" s="349"/>
      <c r="I18" s="321"/>
      <c r="J18" s="321"/>
      <c r="K18" s="350"/>
      <c r="L18" s="350"/>
      <c r="M18" s="350"/>
      <c r="N18" s="350"/>
      <c r="O18" s="350"/>
      <c r="P18" s="350"/>
      <c r="Q18" s="350"/>
      <c r="R18" s="350"/>
      <c r="S18" s="350"/>
    </row>
    <row r="19" spans="1:19" s="317" customFormat="1" ht="15.75" customHeight="1">
      <c r="A19" s="266" t="s">
        <v>938</v>
      </c>
      <c r="B19" s="266"/>
      <c r="C19" s="266"/>
      <c r="D19" s="309"/>
      <c r="E19" s="316"/>
      <c r="G19" s="351"/>
      <c r="H19" s="327" t="s">
        <v>939</v>
      </c>
      <c r="I19" s="338">
        <v>2005</v>
      </c>
      <c r="J19" s="328"/>
      <c r="K19" s="329">
        <v>2538567500</v>
      </c>
      <c r="L19" s="329">
        <v>0</v>
      </c>
      <c r="M19" s="329">
        <v>0</v>
      </c>
      <c r="N19" s="329">
        <f>K19+L19-M19</f>
        <v>2538567500</v>
      </c>
      <c r="O19" s="329">
        <v>0</v>
      </c>
      <c r="P19" s="329">
        <v>0</v>
      </c>
      <c r="Q19" s="329">
        <v>0</v>
      </c>
      <c r="R19" s="329">
        <f>O19+P19-Q19</f>
        <v>0</v>
      </c>
      <c r="S19" s="329">
        <f>N19-R19</f>
        <v>2538567500</v>
      </c>
    </row>
    <row r="20" spans="1:19" s="317" customFormat="1" ht="15.75" customHeight="1">
      <c r="A20" s="266" t="s">
        <v>938</v>
      </c>
      <c r="B20" s="266"/>
      <c r="C20" s="266"/>
      <c r="D20" s="309"/>
      <c r="E20" s="1235" t="s">
        <v>940</v>
      </c>
      <c r="F20" s="1236"/>
      <c r="G20" s="1236"/>
      <c r="H20" s="1236"/>
      <c r="I20" s="1236"/>
      <c r="J20" s="1237"/>
      <c r="K20" s="342">
        <f>SUM(K19)</f>
        <v>2538567500</v>
      </c>
      <c r="L20" s="342">
        <f t="shared" ref="L20:S20" si="1">SUM(L19)</f>
        <v>0</v>
      </c>
      <c r="M20" s="342">
        <f t="shared" si="1"/>
        <v>0</v>
      </c>
      <c r="N20" s="342">
        <f t="shared" si="1"/>
        <v>2538567500</v>
      </c>
      <c r="O20" s="342">
        <f t="shared" si="1"/>
        <v>0</v>
      </c>
      <c r="P20" s="342">
        <f t="shared" si="1"/>
        <v>0</v>
      </c>
      <c r="Q20" s="342">
        <f t="shared" si="1"/>
        <v>0</v>
      </c>
      <c r="R20" s="342">
        <f t="shared" si="1"/>
        <v>0</v>
      </c>
      <c r="S20" s="342">
        <f t="shared" si="1"/>
        <v>2538567500</v>
      </c>
    </row>
    <row r="21" spans="1:19" ht="15.75" customHeight="1">
      <c r="D21" s="323"/>
      <c r="E21" s="324"/>
      <c r="F21" s="325"/>
      <c r="G21" s="326"/>
      <c r="H21" s="327"/>
      <c r="I21" s="346"/>
      <c r="J21" s="328"/>
      <c r="K21" s="329"/>
      <c r="L21" s="329"/>
      <c r="M21" s="329"/>
      <c r="N21" s="329"/>
      <c r="O21" s="329"/>
      <c r="P21" s="329"/>
      <c r="Q21" s="329"/>
      <c r="R21" s="329"/>
      <c r="S21" s="329"/>
    </row>
    <row r="22" spans="1:19" s="317" customFormat="1" ht="15.75" customHeight="1">
      <c r="A22" s="266" t="s">
        <v>941</v>
      </c>
      <c r="B22" s="266"/>
      <c r="C22" s="266"/>
      <c r="D22" s="309"/>
      <c r="E22" s="316" t="s">
        <v>329</v>
      </c>
      <c r="F22" s="317" t="s">
        <v>942</v>
      </c>
      <c r="G22" s="318"/>
      <c r="H22" s="349"/>
      <c r="I22" s="321"/>
      <c r="J22" s="321"/>
      <c r="K22" s="350"/>
      <c r="L22" s="350"/>
      <c r="M22" s="350"/>
      <c r="N22" s="350"/>
      <c r="O22" s="350"/>
      <c r="P22" s="350"/>
      <c r="Q22" s="350"/>
      <c r="R22" s="350"/>
      <c r="S22" s="350"/>
    </row>
    <row r="23" spans="1:19" ht="15.75" customHeight="1">
      <c r="A23" s="266" t="s">
        <v>941</v>
      </c>
      <c r="D23" s="323"/>
      <c r="E23" s="324"/>
      <c r="F23" s="325"/>
      <c r="G23" s="326"/>
      <c r="H23" s="327" t="s">
        <v>301</v>
      </c>
      <c r="I23" s="328">
        <v>2008</v>
      </c>
      <c r="J23" s="328"/>
      <c r="K23" s="329">
        <v>1533972000</v>
      </c>
      <c r="L23" s="329">
        <v>0</v>
      </c>
      <c r="M23" s="329">
        <v>0</v>
      </c>
      <c r="N23" s="329">
        <f>K23+L23-M23</f>
        <v>1533972000</v>
      </c>
      <c r="O23" s="329">
        <v>0</v>
      </c>
      <c r="P23" s="329">
        <v>0</v>
      </c>
      <c r="Q23" s="329">
        <v>0</v>
      </c>
      <c r="R23" s="329">
        <f>O23+P23-Q23</f>
        <v>0</v>
      </c>
      <c r="S23" s="329">
        <f>N23-R23</f>
        <v>1533972000</v>
      </c>
    </row>
    <row r="24" spans="1:19" ht="15.75" customHeight="1">
      <c r="A24" s="266" t="s">
        <v>941</v>
      </c>
      <c r="D24" s="323"/>
      <c r="E24" s="324"/>
      <c r="F24" s="325"/>
      <c r="G24" s="326"/>
      <c r="H24" s="327" t="s">
        <v>302</v>
      </c>
      <c r="I24" s="338">
        <v>2002</v>
      </c>
      <c r="J24" s="328"/>
      <c r="K24" s="329">
        <v>202373350</v>
      </c>
      <c r="L24" s="329">
        <v>0</v>
      </c>
      <c r="M24" s="329">
        <v>0</v>
      </c>
      <c r="N24" s="329">
        <f>K24+L24-M24</f>
        <v>202373350</v>
      </c>
      <c r="O24" s="329">
        <v>0</v>
      </c>
      <c r="P24" s="329">
        <v>0</v>
      </c>
      <c r="Q24" s="329">
        <v>0</v>
      </c>
      <c r="R24" s="329">
        <f>O24+P24-Q24</f>
        <v>0</v>
      </c>
      <c r="S24" s="329">
        <f>N24-R24</f>
        <v>202373350</v>
      </c>
    </row>
    <row r="25" spans="1:19" s="317" customFormat="1" ht="15.75" customHeight="1">
      <c r="A25" s="266" t="s">
        <v>941</v>
      </c>
      <c r="B25" s="266"/>
      <c r="C25" s="266"/>
      <c r="D25" s="309"/>
      <c r="E25" s="1235" t="s">
        <v>943</v>
      </c>
      <c r="F25" s="1236"/>
      <c r="G25" s="1236"/>
      <c r="H25" s="1236"/>
      <c r="I25" s="1236"/>
      <c r="J25" s="1237"/>
      <c r="K25" s="342">
        <f>SUM(K23:K24)</f>
        <v>1736345350</v>
      </c>
      <c r="L25" s="342">
        <f t="shared" ref="L25:S25" si="2">SUM(L23:L24)</f>
        <v>0</v>
      </c>
      <c r="M25" s="342">
        <f t="shared" si="2"/>
        <v>0</v>
      </c>
      <c r="N25" s="342">
        <f t="shared" si="2"/>
        <v>1736345350</v>
      </c>
      <c r="O25" s="342">
        <f t="shared" si="2"/>
        <v>0</v>
      </c>
      <c r="P25" s="342">
        <f t="shared" si="2"/>
        <v>0</v>
      </c>
      <c r="Q25" s="342">
        <f t="shared" si="2"/>
        <v>0</v>
      </c>
      <c r="R25" s="342">
        <f t="shared" si="2"/>
        <v>0</v>
      </c>
      <c r="S25" s="342">
        <f t="shared" si="2"/>
        <v>1736345350</v>
      </c>
    </row>
    <row r="26" spans="1:19" ht="15.75" customHeight="1">
      <c r="D26" s="323"/>
      <c r="E26" s="324"/>
      <c r="F26" s="325"/>
      <c r="G26" s="326"/>
      <c r="H26" s="327"/>
      <c r="I26" s="346"/>
      <c r="J26" s="328"/>
      <c r="K26" s="329"/>
      <c r="L26" s="329"/>
      <c r="M26" s="329"/>
      <c r="N26" s="329"/>
      <c r="O26" s="329"/>
      <c r="P26" s="329"/>
      <c r="Q26" s="329"/>
      <c r="R26" s="329"/>
      <c r="S26" s="329"/>
    </row>
    <row r="27" spans="1:19" s="317" customFormat="1" ht="15.75" customHeight="1">
      <c r="A27" s="266" t="s">
        <v>944</v>
      </c>
      <c r="B27" s="266"/>
      <c r="C27" s="266"/>
      <c r="D27" s="309"/>
      <c r="E27" s="316" t="s">
        <v>241</v>
      </c>
      <c r="F27" s="317" t="s">
        <v>303</v>
      </c>
      <c r="G27" s="318"/>
      <c r="H27" s="349"/>
      <c r="I27" s="321"/>
      <c r="J27" s="321"/>
      <c r="K27" s="350"/>
      <c r="L27" s="350"/>
      <c r="M27" s="350"/>
      <c r="N27" s="350"/>
      <c r="O27" s="350"/>
      <c r="P27" s="350"/>
      <c r="Q27" s="350"/>
      <c r="R27" s="350"/>
      <c r="S27" s="350"/>
    </row>
    <row r="28" spans="1:19" ht="15.75" customHeight="1">
      <c r="A28" s="266" t="s">
        <v>944</v>
      </c>
      <c r="D28" s="323"/>
      <c r="E28" s="324"/>
      <c r="F28" s="325"/>
      <c r="G28" s="326"/>
      <c r="H28" s="327" t="s">
        <v>304</v>
      </c>
      <c r="I28" s="338"/>
      <c r="J28" s="328"/>
      <c r="K28" s="329">
        <v>3436245000</v>
      </c>
      <c r="L28" s="329">
        <v>0</v>
      </c>
      <c r="M28" s="329">
        <v>0</v>
      </c>
      <c r="N28" s="329">
        <f>K28+L28-M28</f>
        <v>3436245000</v>
      </c>
      <c r="O28" s="329">
        <v>0</v>
      </c>
      <c r="P28" s="329">
        <v>0</v>
      </c>
      <c r="Q28" s="329">
        <v>0</v>
      </c>
      <c r="R28" s="329">
        <f>O28+P28-Q28</f>
        <v>0</v>
      </c>
      <c r="S28" s="329">
        <f>N28-R28</f>
        <v>3436245000</v>
      </c>
    </row>
    <row r="29" spans="1:19" s="317" customFormat="1" ht="15.75" customHeight="1">
      <c r="A29" s="266" t="s">
        <v>944</v>
      </c>
      <c r="B29" s="266"/>
      <c r="C29" s="266"/>
      <c r="D29" s="309"/>
      <c r="E29" s="1235" t="s">
        <v>945</v>
      </c>
      <c r="F29" s="1236"/>
      <c r="G29" s="1236"/>
      <c r="H29" s="1236"/>
      <c r="I29" s="1236"/>
      <c r="J29" s="1237"/>
      <c r="K29" s="342">
        <f>SUM(K28)</f>
        <v>3436245000</v>
      </c>
      <c r="L29" s="342">
        <f t="shared" ref="L29:S29" si="3">SUM(L28)</f>
        <v>0</v>
      </c>
      <c r="M29" s="342">
        <f t="shared" si="3"/>
        <v>0</v>
      </c>
      <c r="N29" s="342">
        <f t="shared" si="3"/>
        <v>3436245000</v>
      </c>
      <c r="O29" s="342">
        <f t="shared" si="3"/>
        <v>0</v>
      </c>
      <c r="P29" s="342">
        <f t="shared" si="3"/>
        <v>0</v>
      </c>
      <c r="Q29" s="342">
        <f t="shared" si="3"/>
        <v>0</v>
      </c>
      <c r="R29" s="342">
        <f t="shared" si="3"/>
        <v>0</v>
      </c>
      <c r="S29" s="342">
        <f t="shared" si="3"/>
        <v>3436245000</v>
      </c>
    </row>
    <row r="30" spans="1:19" ht="15.75" customHeight="1">
      <c r="D30" s="323"/>
      <c r="E30" s="324"/>
      <c r="F30" s="325"/>
      <c r="G30" s="326"/>
      <c r="H30" s="327"/>
      <c r="I30" s="346"/>
      <c r="J30" s="328"/>
      <c r="K30" s="329"/>
      <c r="L30" s="329"/>
      <c r="M30" s="329"/>
      <c r="N30" s="329"/>
      <c r="O30" s="329"/>
      <c r="P30" s="329"/>
      <c r="Q30" s="329"/>
      <c r="R30" s="329"/>
      <c r="S30" s="329"/>
    </row>
    <row r="31" spans="1:19" s="317" customFormat="1" ht="15.75" customHeight="1">
      <c r="A31" s="266" t="s">
        <v>946</v>
      </c>
      <c r="B31" s="266"/>
      <c r="C31" s="266"/>
      <c r="D31" s="309"/>
      <c r="E31" s="316" t="s">
        <v>241</v>
      </c>
      <c r="F31" s="317" t="s">
        <v>947</v>
      </c>
      <c r="G31" s="318"/>
      <c r="H31" s="349"/>
      <c r="I31" s="321"/>
      <c r="J31" s="321"/>
      <c r="K31" s="350"/>
      <c r="L31" s="350"/>
      <c r="M31" s="350"/>
      <c r="N31" s="350"/>
      <c r="O31" s="350"/>
      <c r="P31" s="350"/>
      <c r="Q31" s="350"/>
      <c r="R31" s="350"/>
      <c r="S31" s="350"/>
    </row>
    <row r="32" spans="1:19" ht="15.75" customHeight="1">
      <c r="A32" s="266" t="s">
        <v>946</v>
      </c>
      <c r="D32" s="323"/>
      <c r="E32" s="324"/>
      <c r="F32" s="325"/>
      <c r="G32" s="326"/>
      <c r="H32" s="327" t="s">
        <v>948</v>
      </c>
      <c r="I32" s="338">
        <v>2006</v>
      </c>
      <c r="J32" s="328"/>
      <c r="K32" s="329">
        <v>0</v>
      </c>
      <c r="L32" s="329">
        <v>0</v>
      </c>
      <c r="M32" s="329"/>
      <c r="N32" s="329">
        <f>K32+L32-M32</f>
        <v>0</v>
      </c>
      <c r="O32" s="329">
        <v>0</v>
      </c>
      <c r="P32" s="329">
        <v>0</v>
      </c>
      <c r="Q32" s="329">
        <v>0</v>
      </c>
      <c r="R32" s="329">
        <f>O32+P32-Q32</f>
        <v>0</v>
      </c>
      <c r="S32" s="329">
        <f>N32-R32</f>
        <v>0</v>
      </c>
    </row>
    <row r="33" spans="1:19" s="317" customFormat="1" ht="15.75" customHeight="1">
      <c r="A33" s="266" t="s">
        <v>946</v>
      </c>
      <c r="B33" s="266"/>
      <c r="C33" s="266"/>
      <c r="D33" s="309"/>
      <c r="E33" s="1235" t="s">
        <v>949</v>
      </c>
      <c r="F33" s="1236"/>
      <c r="G33" s="1236"/>
      <c r="H33" s="1236"/>
      <c r="I33" s="1236"/>
      <c r="J33" s="1237"/>
      <c r="K33" s="342">
        <f>SUM(K32)</f>
        <v>0</v>
      </c>
      <c r="L33" s="342">
        <f t="shared" ref="L33:S33" si="4">SUM(L32)</f>
        <v>0</v>
      </c>
      <c r="M33" s="342">
        <f t="shared" si="4"/>
        <v>0</v>
      </c>
      <c r="N33" s="342">
        <f t="shared" si="4"/>
        <v>0</v>
      </c>
      <c r="O33" s="342">
        <f t="shared" si="4"/>
        <v>0</v>
      </c>
      <c r="P33" s="342">
        <f t="shared" si="4"/>
        <v>0</v>
      </c>
      <c r="Q33" s="342">
        <f t="shared" si="4"/>
        <v>0</v>
      </c>
      <c r="R33" s="342">
        <f t="shared" si="4"/>
        <v>0</v>
      </c>
      <c r="S33" s="342">
        <f t="shared" si="4"/>
        <v>0</v>
      </c>
    </row>
    <row r="34" spans="1:19" ht="15.75" customHeight="1">
      <c r="D34" s="323"/>
      <c r="E34" s="324"/>
      <c r="F34" s="325"/>
      <c r="G34" s="326"/>
      <c r="H34" s="327"/>
      <c r="I34" s="352"/>
      <c r="J34" s="328"/>
      <c r="K34" s="329"/>
      <c r="L34" s="329"/>
      <c r="M34" s="329"/>
      <c r="N34" s="329"/>
      <c r="O34" s="329"/>
      <c r="P34" s="329"/>
      <c r="Q34" s="329"/>
      <c r="R34" s="329"/>
      <c r="S34" s="329"/>
    </row>
    <row r="35" spans="1:19" ht="25" customHeight="1">
      <c r="D35" s="1229" t="s">
        <v>950</v>
      </c>
      <c r="E35" s="1230"/>
      <c r="F35" s="1230"/>
      <c r="G35" s="1230"/>
      <c r="H35" s="1230"/>
      <c r="I35" s="1230"/>
      <c r="J35" s="1231"/>
      <c r="K35" s="342">
        <f>K16+K20+K25+K29</f>
        <v>9031967123</v>
      </c>
      <c r="L35" s="342">
        <f t="shared" ref="L35:R35" si="5">L16+L20+L25+L29</f>
        <v>0</v>
      </c>
      <c r="M35" s="342">
        <f t="shared" si="5"/>
        <v>0</v>
      </c>
      <c r="N35" s="342">
        <f t="shared" si="5"/>
        <v>9031967123</v>
      </c>
      <c r="O35" s="342">
        <f t="shared" si="5"/>
        <v>0</v>
      </c>
      <c r="P35" s="342">
        <f t="shared" si="5"/>
        <v>0</v>
      </c>
      <c r="Q35" s="342">
        <f t="shared" si="5"/>
        <v>0</v>
      </c>
      <c r="R35" s="342">
        <f t="shared" si="5"/>
        <v>0</v>
      </c>
      <c r="S35" s="342">
        <f>S16+S20+S25+S29</f>
        <v>9031967123</v>
      </c>
    </row>
    <row r="36" spans="1:19" ht="15.75" customHeight="1">
      <c r="D36" s="309"/>
      <c r="E36" s="316"/>
      <c r="F36" s="353"/>
      <c r="G36" s="311"/>
      <c r="H36" s="312"/>
      <c r="I36" s="354"/>
      <c r="J36" s="355"/>
      <c r="K36" s="356"/>
      <c r="L36" s="356"/>
      <c r="M36" s="356"/>
      <c r="N36" s="356"/>
      <c r="O36" s="356"/>
      <c r="P36" s="356"/>
      <c r="Q36" s="356"/>
      <c r="R36" s="356"/>
      <c r="S36" s="356"/>
    </row>
    <row r="37" spans="1:19" ht="15.75" customHeight="1">
      <c r="A37" s="266" t="s">
        <v>935</v>
      </c>
      <c r="B37" s="308" t="s">
        <v>234</v>
      </c>
      <c r="C37" s="308" t="s">
        <v>234</v>
      </c>
      <c r="D37" s="357">
        <v>2</v>
      </c>
      <c r="E37" s="353" t="s">
        <v>234</v>
      </c>
      <c r="F37" s="275"/>
      <c r="G37" s="311"/>
      <c r="H37" s="312"/>
      <c r="I37" s="258"/>
      <c r="J37" s="313"/>
      <c r="K37" s="358"/>
      <c r="L37" s="358"/>
      <c r="M37" s="358"/>
      <c r="N37" s="358"/>
      <c r="O37" s="358"/>
      <c r="P37" s="358"/>
      <c r="Q37" s="358"/>
      <c r="R37" s="358"/>
      <c r="S37" s="358"/>
    </row>
    <row r="38" spans="1:19" s="317" customFormat="1" ht="15.75" customHeight="1">
      <c r="A38" s="266" t="s">
        <v>935</v>
      </c>
      <c r="B38" s="266"/>
      <c r="C38" s="266"/>
      <c r="D38" s="309"/>
      <c r="E38" s="316" t="s">
        <v>233</v>
      </c>
      <c r="F38" s="317" t="s">
        <v>305</v>
      </c>
      <c r="G38" s="318"/>
      <c r="H38" s="319"/>
      <c r="I38" s="320"/>
      <c r="J38" s="321"/>
      <c r="K38" s="322"/>
      <c r="L38" s="322"/>
      <c r="M38" s="322"/>
      <c r="N38" s="322"/>
      <c r="O38" s="322"/>
      <c r="P38" s="322"/>
      <c r="Q38" s="322"/>
      <c r="R38" s="322"/>
      <c r="S38" s="322"/>
    </row>
    <row r="39" spans="1:19" ht="15.75" customHeight="1">
      <c r="A39" s="266" t="s">
        <v>935</v>
      </c>
      <c r="D39" s="357"/>
      <c r="E39" s="301"/>
      <c r="F39" s="316" t="s">
        <v>951</v>
      </c>
      <c r="G39" s="359" t="s">
        <v>405</v>
      </c>
      <c r="H39" s="360"/>
      <c r="I39" s="258"/>
      <c r="J39" s="313"/>
      <c r="K39" s="358"/>
      <c r="L39" s="322"/>
      <c r="M39" s="358"/>
      <c r="N39" s="358"/>
      <c r="O39" s="358"/>
      <c r="P39" s="358"/>
      <c r="Q39" s="358"/>
      <c r="R39" s="358"/>
      <c r="S39" s="358"/>
    </row>
    <row r="40" spans="1:19" ht="15.75" customHeight="1">
      <c r="A40" s="266" t="s">
        <v>935</v>
      </c>
      <c r="D40" s="309"/>
      <c r="E40" s="316"/>
      <c r="F40" s="330"/>
      <c r="G40" s="361"/>
      <c r="H40" s="362" t="s">
        <v>307</v>
      </c>
      <c r="I40" s="363">
        <v>2005</v>
      </c>
      <c r="J40" s="364">
        <v>0.05</v>
      </c>
      <c r="K40" s="333">
        <v>5564855579</v>
      </c>
      <c r="L40" s="365">
        <v>0</v>
      </c>
      <c r="M40" s="314"/>
      <c r="N40" s="329">
        <f t="shared" ref="N40:N55" si="6">K40+L40-M40</f>
        <v>5564855579</v>
      </c>
      <c r="O40" s="329">
        <v>1133304017.95</v>
      </c>
      <c r="P40" s="107">
        <f>23186898.2458333*12</f>
        <v>278242778.94999957</v>
      </c>
      <c r="Q40" s="333"/>
      <c r="R40" s="329">
        <f>O40+P40-Q40</f>
        <v>1411546796.8999996</v>
      </c>
      <c r="S40" s="333">
        <f>N40-R40</f>
        <v>4153308782.1000004</v>
      </c>
    </row>
    <row r="41" spans="1:19" ht="15.75" customHeight="1">
      <c r="A41" s="266" t="s">
        <v>935</v>
      </c>
      <c r="D41" s="309"/>
      <c r="E41" s="316"/>
      <c r="F41" s="330"/>
      <c r="G41" s="361"/>
      <c r="H41" s="362" t="s">
        <v>308</v>
      </c>
      <c r="I41" s="363">
        <v>2005</v>
      </c>
      <c r="J41" s="366">
        <v>0.05</v>
      </c>
      <c r="K41" s="333">
        <v>39450000</v>
      </c>
      <c r="L41" s="329">
        <v>0</v>
      </c>
      <c r="M41" s="314">
        <v>0</v>
      </c>
      <c r="N41" s="329">
        <f t="shared" si="6"/>
        <v>39450000</v>
      </c>
      <c r="O41" s="107">
        <v>11835000</v>
      </c>
      <c r="P41" s="333">
        <f>164375*12</f>
        <v>1972500</v>
      </c>
      <c r="Q41" s="333"/>
      <c r="R41" s="329">
        <f t="shared" ref="R41:R55" si="7">O41+P41-Q41</f>
        <v>13807500</v>
      </c>
      <c r="S41" s="333">
        <f t="shared" ref="S41:S55" si="8">N41-R41</f>
        <v>25642500</v>
      </c>
    </row>
    <row r="42" spans="1:19" ht="15.75" customHeight="1">
      <c r="A42" s="266" t="s">
        <v>935</v>
      </c>
      <c r="D42" s="309"/>
      <c r="E42" s="316"/>
      <c r="F42" s="330"/>
      <c r="G42" s="361"/>
      <c r="H42" s="362" t="s">
        <v>309</v>
      </c>
      <c r="I42" s="363">
        <v>2005</v>
      </c>
      <c r="J42" s="366">
        <v>0.05</v>
      </c>
      <c r="K42" s="333">
        <v>742420000</v>
      </c>
      <c r="L42" s="367">
        <v>0</v>
      </c>
      <c r="M42" s="314">
        <v>0</v>
      </c>
      <c r="N42" s="329">
        <f t="shared" si="6"/>
        <v>742420000</v>
      </c>
      <c r="O42" s="329">
        <v>222725999.99999979</v>
      </c>
      <c r="P42" s="333">
        <f>3093416.66666667*12</f>
        <v>37121000.000000037</v>
      </c>
      <c r="Q42" s="333"/>
      <c r="R42" s="329">
        <f t="shared" si="7"/>
        <v>259846999.99999982</v>
      </c>
      <c r="S42" s="333">
        <f t="shared" si="8"/>
        <v>482573000.00000018</v>
      </c>
    </row>
    <row r="43" spans="1:19" ht="15.75" customHeight="1">
      <c r="A43" s="266" t="s">
        <v>935</v>
      </c>
      <c r="D43" s="309"/>
      <c r="E43" s="316"/>
      <c r="F43" s="330"/>
      <c r="G43" s="361"/>
      <c r="H43" s="362" t="s">
        <v>310</v>
      </c>
      <c r="I43" s="363">
        <v>2005</v>
      </c>
      <c r="J43" s="368">
        <v>0.05</v>
      </c>
      <c r="K43" s="333">
        <v>8100000</v>
      </c>
      <c r="L43" s="367">
        <v>0</v>
      </c>
      <c r="M43" s="314">
        <v>0</v>
      </c>
      <c r="N43" s="329">
        <f t="shared" si="6"/>
        <v>8100000</v>
      </c>
      <c r="O43" s="329">
        <v>2430000</v>
      </c>
      <c r="P43" s="333">
        <f>33750*12</f>
        <v>405000</v>
      </c>
      <c r="Q43" s="333"/>
      <c r="R43" s="329">
        <f t="shared" si="7"/>
        <v>2835000</v>
      </c>
      <c r="S43" s="333">
        <f t="shared" si="8"/>
        <v>5265000</v>
      </c>
    </row>
    <row r="44" spans="1:19" ht="15.75" customHeight="1">
      <c r="A44" s="266" t="s">
        <v>935</v>
      </c>
      <c r="D44" s="309"/>
      <c r="E44" s="316"/>
      <c r="F44" s="330"/>
      <c r="G44" s="361"/>
      <c r="H44" s="362" t="s">
        <v>311</v>
      </c>
      <c r="I44" s="363">
        <v>2006</v>
      </c>
      <c r="J44" s="366">
        <v>0.05</v>
      </c>
      <c r="K44" s="333">
        <v>203210000</v>
      </c>
      <c r="L44" s="367">
        <v>0</v>
      </c>
      <c r="M44" s="314">
        <v>0</v>
      </c>
      <c r="N44" s="329">
        <f t="shared" si="6"/>
        <v>203210000</v>
      </c>
      <c r="O44" s="329">
        <v>42335416</v>
      </c>
      <c r="P44" s="369">
        <f>846708.333333333*12</f>
        <v>10160499.999999996</v>
      </c>
      <c r="Q44" s="333"/>
      <c r="R44" s="329">
        <f t="shared" si="7"/>
        <v>52495916</v>
      </c>
      <c r="S44" s="333">
        <f t="shared" si="8"/>
        <v>150714084</v>
      </c>
    </row>
    <row r="45" spans="1:19" ht="15.75" customHeight="1">
      <c r="A45" s="266" t="s">
        <v>935</v>
      </c>
      <c r="D45" s="309"/>
      <c r="E45" s="316"/>
      <c r="F45" s="330"/>
      <c r="G45" s="361"/>
      <c r="H45" s="362" t="s">
        <v>312</v>
      </c>
      <c r="I45" s="363">
        <v>2010</v>
      </c>
      <c r="J45" s="366">
        <v>0.05</v>
      </c>
      <c r="K45" s="333">
        <v>262080000</v>
      </c>
      <c r="L45" s="367">
        <v>0</v>
      </c>
      <c r="M45" s="314">
        <v>0</v>
      </c>
      <c r="N45" s="329">
        <f t="shared" si="6"/>
        <v>262080000</v>
      </c>
      <c r="O45" s="107">
        <v>78624000</v>
      </c>
      <c r="P45" s="333">
        <f>1092000*12</f>
        <v>13104000</v>
      </c>
      <c r="Q45" s="333"/>
      <c r="R45" s="329">
        <f t="shared" si="7"/>
        <v>91728000</v>
      </c>
      <c r="S45" s="333">
        <f t="shared" si="8"/>
        <v>170352000</v>
      </c>
    </row>
    <row r="46" spans="1:19" ht="15.75" customHeight="1">
      <c r="A46" s="266" t="s">
        <v>935</v>
      </c>
      <c r="D46" s="309"/>
      <c r="E46" s="316"/>
      <c r="F46" s="330"/>
      <c r="G46" s="361"/>
      <c r="H46" s="362" t="s">
        <v>313</v>
      </c>
      <c r="I46" s="363">
        <v>2010</v>
      </c>
      <c r="J46" s="366">
        <v>0.05</v>
      </c>
      <c r="K46" s="333">
        <v>194080000</v>
      </c>
      <c r="L46" s="367">
        <v>0</v>
      </c>
      <c r="M46" s="314">
        <v>0</v>
      </c>
      <c r="N46" s="329">
        <f t="shared" si="6"/>
        <v>194080000</v>
      </c>
      <c r="O46" s="107">
        <v>58223999.999999948</v>
      </c>
      <c r="P46" s="333">
        <f>808666.666666667*12</f>
        <v>9704000.0000000037</v>
      </c>
      <c r="Q46" s="333"/>
      <c r="R46" s="329">
        <f t="shared" si="7"/>
        <v>67927999.999999955</v>
      </c>
      <c r="S46" s="333">
        <f t="shared" si="8"/>
        <v>126152000.00000004</v>
      </c>
    </row>
    <row r="47" spans="1:19" ht="15.75" customHeight="1">
      <c r="A47" s="266" t="s">
        <v>935</v>
      </c>
      <c r="D47" s="309"/>
      <c r="E47" s="316"/>
      <c r="F47" s="330"/>
      <c r="G47" s="361"/>
      <c r="H47" s="362" t="s">
        <v>314</v>
      </c>
      <c r="I47" s="363">
        <v>2010</v>
      </c>
      <c r="J47" s="368">
        <v>0.05</v>
      </c>
      <c r="K47" s="333">
        <v>313090000</v>
      </c>
      <c r="L47" s="367">
        <v>0</v>
      </c>
      <c r="M47" s="314">
        <v>0</v>
      </c>
      <c r="N47" s="329">
        <f t="shared" si="6"/>
        <v>313090000</v>
      </c>
      <c r="O47" s="107">
        <v>93927000.000000045</v>
      </c>
      <c r="P47" s="333">
        <f>1304541.66666667*12</f>
        <v>15654500.000000041</v>
      </c>
      <c r="Q47" s="333"/>
      <c r="R47" s="329">
        <f t="shared" si="7"/>
        <v>109581500.00000009</v>
      </c>
      <c r="S47" s="333">
        <f t="shared" si="8"/>
        <v>203508499.99999991</v>
      </c>
    </row>
    <row r="48" spans="1:19" ht="15.75" customHeight="1">
      <c r="A48" s="266" t="s">
        <v>935</v>
      </c>
      <c r="D48" s="309"/>
      <c r="E48" s="316"/>
      <c r="F48" s="330"/>
      <c r="G48" s="361"/>
      <c r="H48" s="362" t="s">
        <v>315</v>
      </c>
      <c r="I48" s="363">
        <v>2010</v>
      </c>
      <c r="J48" s="366">
        <v>0.05</v>
      </c>
      <c r="K48" s="333">
        <v>23340000</v>
      </c>
      <c r="L48" s="367">
        <v>0</v>
      </c>
      <c r="M48" s="314">
        <v>0</v>
      </c>
      <c r="N48" s="329">
        <f t="shared" si="6"/>
        <v>23340000</v>
      </c>
      <c r="O48" s="329">
        <v>4862500</v>
      </c>
      <c r="P48" s="369">
        <f>97250*12</f>
        <v>1167000</v>
      </c>
      <c r="Q48" s="333"/>
      <c r="R48" s="329">
        <f t="shared" si="7"/>
        <v>6029500</v>
      </c>
      <c r="S48" s="333">
        <f t="shared" si="8"/>
        <v>17310500</v>
      </c>
    </row>
    <row r="49" spans="1:19" ht="15.75" customHeight="1">
      <c r="A49" s="266" t="s">
        <v>935</v>
      </c>
      <c r="D49" s="309"/>
      <c r="E49" s="316"/>
      <c r="F49" s="330"/>
      <c r="G49" s="361"/>
      <c r="H49" s="362" t="s">
        <v>316</v>
      </c>
      <c r="I49" s="363">
        <v>2010</v>
      </c>
      <c r="J49" s="366">
        <v>0.05</v>
      </c>
      <c r="K49" s="333">
        <v>66130000</v>
      </c>
      <c r="L49" s="367">
        <v>0</v>
      </c>
      <c r="M49" s="314">
        <v>0</v>
      </c>
      <c r="N49" s="329">
        <f t="shared" si="6"/>
        <v>66130000</v>
      </c>
      <c r="O49" s="329">
        <v>13777083.32</v>
      </c>
      <c r="P49" s="369">
        <f>275541.666666667*12</f>
        <v>3306500.0000000037</v>
      </c>
      <c r="Q49" s="333"/>
      <c r="R49" s="329">
        <f t="shared" si="7"/>
        <v>17083583.320000004</v>
      </c>
      <c r="S49" s="333">
        <f t="shared" si="8"/>
        <v>49046416.679999992</v>
      </c>
    </row>
    <row r="50" spans="1:19" ht="15.75" customHeight="1">
      <c r="A50" s="266" t="s">
        <v>935</v>
      </c>
      <c r="D50" s="309"/>
      <c r="E50" s="316"/>
      <c r="F50" s="330"/>
      <c r="G50" s="361"/>
      <c r="H50" s="362" t="s">
        <v>317</v>
      </c>
      <c r="I50" s="363">
        <v>2010</v>
      </c>
      <c r="J50" s="366">
        <v>0.05</v>
      </c>
      <c r="K50" s="333">
        <v>753420000</v>
      </c>
      <c r="L50" s="367">
        <v>0</v>
      </c>
      <c r="M50" s="314">
        <v>0</v>
      </c>
      <c r="N50" s="329">
        <f t="shared" si="6"/>
        <v>753420000</v>
      </c>
      <c r="O50" s="329">
        <v>226026000</v>
      </c>
      <c r="P50" s="333">
        <f>3139250*12</f>
        <v>37671000</v>
      </c>
      <c r="Q50" s="333"/>
      <c r="R50" s="329">
        <f t="shared" si="7"/>
        <v>263697000</v>
      </c>
      <c r="S50" s="333">
        <f t="shared" si="8"/>
        <v>489723000</v>
      </c>
    </row>
    <row r="51" spans="1:19" ht="15.75" customHeight="1">
      <c r="A51" s="266" t="s">
        <v>935</v>
      </c>
      <c r="D51" s="309"/>
      <c r="E51" s="316"/>
      <c r="F51" s="330"/>
      <c r="G51" s="370"/>
      <c r="H51" s="362" t="s">
        <v>318</v>
      </c>
      <c r="I51" s="363">
        <v>2010</v>
      </c>
      <c r="J51" s="366">
        <v>0.05</v>
      </c>
      <c r="K51" s="333">
        <v>73630000</v>
      </c>
      <c r="L51" s="367">
        <v>0</v>
      </c>
      <c r="M51" s="314">
        <v>0</v>
      </c>
      <c r="N51" s="329">
        <f t="shared" si="6"/>
        <v>73630000</v>
      </c>
      <c r="O51" s="329">
        <v>22089000.000000007</v>
      </c>
      <c r="P51" s="333">
        <f>306791.666666667*12</f>
        <v>3681500.0000000037</v>
      </c>
      <c r="Q51" s="333"/>
      <c r="R51" s="329">
        <f t="shared" si="7"/>
        <v>25770500.000000011</v>
      </c>
      <c r="S51" s="333">
        <f t="shared" si="8"/>
        <v>47859499.999999985</v>
      </c>
    </row>
    <row r="52" spans="1:19" ht="15.75" customHeight="1">
      <c r="A52" s="266" t="s">
        <v>935</v>
      </c>
      <c r="D52" s="309"/>
      <c r="E52" s="316"/>
      <c r="F52" s="330"/>
      <c r="G52" s="370"/>
      <c r="H52" s="362" t="s">
        <v>319</v>
      </c>
      <c r="I52" s="363">
        <v>2014</v>
      </c>
      <c r="J52" s="366">
        <v>0.05</v>
      </c>
      <c r="K52" s="333">
        <v>50330000</v>
      </c>
      <c r="L52" s="367"/>
      <c r="M52" s="314"/>
      <c r="N52" s="329">
        <f t="shared" si="6"/>
        <v>50330000</v>
      </c>
      <c r="O52" s="107">
        <v>15099000.000000015</v>
      </c>
      <c r="P52" s="333">
        <f>209708.333333333*12</f>
        <v>2516499.9999999958</v>
      </c>
      <c r="Q52" s="333"/>
      <c r="R52" s="329">
        <f t="shared" si="7"/>
        <v>17615500.000000011</v>
      </c>
      <c r="S52" s="333">
        <f t="shared" si="8"/>
        <v>32714499.999999989</v>
      </c>
    </row>
    <row r="53" spans="1:19" ht="15.75" customHeight="1">
      <c r="A53" s="266" t="s">
        <v>935</v>
      </c>
      <c r="D53" s="309"/>
      <c r="E53" s="316"/>
      <c r="F53" s="325"/>
      <c r="G53" s="371"/>
      <c r="H53" s="372" t="s">
        <v>320</v>
      </c>
      <c r="I53" s="373">
        <v>2015</v>
      </c>
      <c r="J53" s="374">
        <v>0.05</v>
      </c>
      <c r="K53" s="333">
        <v>9720000</v>
      </c>
      <c r="L53" s="367"/>
      <c r="M53" s="314"/>
      <c r="N53" s="329">
        <f t="shared" si="6"/>
        <v>9720000</v>
      </c>
      <c r="O53" s="107">
        <v>2916000</v>
      </c>
      <c r="P53" s="333">
        <f>40500*12</f>
        <v>486000</v>
      </c>
      <c r="Q53" s="333"/>
      <c r="R53" s="329">
        <f t="shared" si="7"/>
        <v>3402000</v>
      </c>
      <c r="S53" s="333">
        <f t="shared" si="8"/>
        <v>6318000</v>
      </c>
    </row>
    <row r="54" spans="1:19" ht="15.75" customHeight="1">
      <c r="D54" s="309"/>
      <c r="E54" s="316"/>
      <c r="F54" s="325"/>
      <c r="G54" s="371"/>
      <c r="H54" s="375" t="s">
        <v>321</v>
      </c>
      <c r="I54" s="376">
        <v>43708</v>
      </c>
      <c r="J54" s="377">
        <v>0.05</v>
      </c>
      <c r="K54" s="329">
        <v>3949277860.8299999</v>
      </c>
      <c r="L54" s="378"/>
      <c r="M54" s="365"/>
      <c r="N54" s="329">
        <f t="shared" si="6"/>
        <v>3949277860.8299999</v>
      </c>
      <c r="O54" s="329">
        <v>460749083.76350015</v>
      </c>
      <c r="P54" s="329">
        <f>16455324.420125*12</f>
        <v>197463893.0415</v>
      </c>
      <c r="Q54" s="348"/>
      <c r="R54" s="329">
        <f t="shared" si="7"/>
        <v>658212976.80500019</v>
      </c>
      <c r="S54" s="329">
        <f t="shared" si="8"/>
        <v>3291064884.0249996</v>
      </c>
    </row>
    <row r="55" spans="1:19" ht="15.75" customHeight="1">
      <c r="D55" s="309"/>
      <c r="E55" s="316"/>
      <c r="F55" s="379"/>
      <c r="G55" s="380"/>
      <c r="H55" s="381" t="s">
        <v>322</v>
      </c>
      <c r="I55" s="382">
        <v>44561</v>
      </c>
      <c r="J55" s="383">
        <v>0.05</v>
      </c>
      <c r="K55" s="339">
        <v>26670787469.959999</v>
      </c>
      <c r="L55" s="384"/>
      <c r="M55" s="385"/>
      <c r="N55" s="339">
        <f t="shared" si="6"/>
        <v>26670787469.959999</v>
      </c>
      <c r="O55" s="339">
        <v>124389960.31</v>
      </c>
      <c r="P55" s="386">
        <f>37194980.1594167*12</f>
        <v>446339761.91300035</v>
      </c>
      <c r="Q55" s="339"/>
      <c r="R55" s="329">
        <f t="shared" si="7"/>
        <v>570729722.22300029</v>
      </c>
      <c r="S55" s="339">
        <f t="shared" si="8"/>
        <v>26100057747.737</v>
      </c>
    </row>
    <row r="56" spans="1:19" ht="15.75" customHeight="1">
      <c r="A56" s="266" t="s">
        <v>935</v>
      </c>
      <c r="D56" s="309"/>
      <c r="E56" s="316"/>
      <c r="F56" s="1241" t="s">
        <v>952</v>
      </c>
      <c r="G56" s="1242"/>
      <c r="H56" s="1242"/>
      <c r="I56" s="1242"/>
      <c r="J56" s="1243"/>
      <c r="K56" s="342">
        <f>SUM(K40:K55)</f>
        <v>38923920909.790001</v>
      </c>
      <c r="L56" s="342">
        <f t="shared" ref="L56:S56" si="9">SUM(L40:L55)</f>
        <v>0</v>
      </c>
      <c r="M56" s="342">
        <f t="shared" si="9"/>
        <v>0</v>
      </c>
      <c r="N56" s="342">
        <f t="shared" si="9"/>
        <v>38923920909.790001</v>
      </c>
      <c r="O56" s="342">
        <f>SUM(O40:O55)</f>
        <v>2513314061.3434997</v>
      </c>
      <c r="P56" s="342">
        <f>SUM(P40:P55)</f>
        <v>1058996433.9045</v>
      </c>
      <c r="Q56" s="342">
        <f t="shared" si="9"/>
        <v>0</v>
      </c>
      <c r="R56" s="342">
        <f>SUM(R40:R55)</f>
        <v>3572310495.2480001</v>
      </c>
      <c r="S56" s="342">
        <f t="shared" si="9"/>
        <v>35351610414.542</v>
      </c>
    </row>
    <row r="57" spans="1:19" ht="15.75" customHeight="1">
      <c r="A57" s="266" t="s">
        <v>935</v>
      </c>
      <c r="D57" s="387"/>
      <c r="E57" s="388"/>
      <c r="F57" s="316" t="s">
        <v>953</v>
      </c>
      <c r="G57" s="389" t="s">
        <v>323</v>
      </c>
      <c r="H57" s="390"/>
      <c r="I57" s="391"/>
      <c r="J57" s="392"/>
      <c r="K57" s="356"/>
      <c r="L57" s="356"/>
      <c r="M57" s="356"/>
      <c r="N57" s="356"/>
      <c r="O57" s="356"/>
      <c r="P57" s="356"/>
      <c r="Q57" s="356"/>
      <c r="R57" s="356"/>
      <c r="S57" s="356"/>
    </row>
    <row r="58" spans="1:19" ht="15.75" customHeight="1">
      <c r="A58" s="266" t="s">
        <v>935</v>
      </c>
      <c r="D58" s="309"/>
      <c r="E58" s="316"/>
      <c r="F58" s="330"/>
      <c r="G58" s="370"/>
      <c r="H58" s="362" t="s">
        <v>325</v>
      </c>
      <c r="I58" s="363">
        <v>2005</v>
      </c>
      <c r="J58" s="393">
        <v>0.05</v>
      </c>
      <c r="K58" s="333">
        <v>0</v>
      </c>
      <c r="L58" s="367">
        <v>0</v>
      </c>
      <c r="M58" s="333"/>
      <c r="N58" s="333">
        <v>0</v>
      </c>
      <c r="O58" s="329">
        <v>0</v>
      </c>
      <c r="P58" s="333"/>
      <c r="Q58" s="333"/>
      <c r="R58" s="329">
        <v>0</v>
      </c>
      <c r="S58" s="333">
        <v>0</v>
      </c>
    </row>
    <row r="59" spans="1:19" ht="15.75" customHeight="1">
      <c r="A59" s="266" t="s">
        <v>935</v>
      </c>
      <c r="D59" s="309"/>
      <c r="E59" s="316"/>
      <c r="F59" s="330"/>
      <c r="G59" s="370"/>
      <c r="H59" s="362" t="s">
        <v>326</v>
      </c>
      <c r="I59" s="363">
        <v>2010</v>
      </c>
      <c r="J59" s="393">
        <v>0.05</v>
      </c>
      <c r="K59" s="333">
        <v>128910000</v>
      </c>
      <c r="L59" s="367">
        <v>0</v>
      </c>
      <c r="M59" s="333">
        <v>0</v>
      </c>
      <c r="N59" s="329">
        <f>K59+L59-M59</f>
        <v>128910000</v>
      </c>
      <c r="O59" s="329">
        <v>38673000</v>
      </c>
      <c r="P59" s="333">
        <f>537125*12</f>
        <v>6445500</v>
      </c>
      <c r="Q59" s="333"/>
      <c r="R59" s="329">
        <f>O59+P59-Q59</f>
        <v>45118500</v>
      </c>
      <c r="S59" s="333">
        <f>N59-R59</f>
        <v>83791500</v>
      </c>
    </row>
    <row r="60" spans="1:19" ht="15.75" customHeight="1">
      <c r="A60" s="266" t="s">
        <v>935</v>
      </c>
      <c r="D60" s="309"/>
      <c r="E60" s="316"/>
      <c r="F60" s="330"/>
      <c r="G60" s="380"/>
      <c r="H60" s="394" t="s">
        <v>327</v>
      </c>
      <c r="I60" s="395">
        <v>2011</v>
      </c>
      <c r="J60" s="396">
        <v>0.05</v>
      </c>
      <c r="K60" s="333">
        <v>9443284879.9899998</v>
      </c>
      <c r="L60" s="367">
        <v>0</v>
      </c>
      <c r="M60" s="333">
        <v>0</v>
      </c>
      <c r="N60" s="329">
        <f>K60+L60-M60</f>
        <v>9443284879.9899998</v>
      </c>
      <c r="O60" s="329">
        <v>2638796975.9995003</v>
      </c>
      <c r="P60" s="333">
        <f>39347020.3333333*12</f>
        <v>472164243.99999958</v>
      </c>
      <c r="Q60" s="333"/>
      <c r="R60" s="329">
        <f>O60+P60-Q60</f>
        <v>3110961219.9994998</v>
      </c>
      <c r="S60" s="333">
        <f>N60-R60</f>
        <v>6332323659.9904995</v>
      </c>
    </row>
    <row r="61" spans="1:19" ht="15.75" customHeight="1">
      <c r="A61" s="266" t="s">
        <v>935</v>
      </c>
      <c r="D61" s="387"/>
      <c r="E61" s="388"/>
      <c r="F61" s="1241" t="s">
        <v>954</v>
      </c>
      <c r="G61" s="1242"/>
      <c r="H61" s="1242"/>
      <c r="I61" s="1242"/>
      <c r="J61" s="1243"/>
      <c r="K61" s="342">
        <f>SUM(K59:K60)</f>
        <v>9572194879.9899998</v>
      </c>
      <c r="L61" s="342">
        <f t="shared" ref="L61:S61" si="10">SUM(L59:L60)</f>
        <v>0</v>
      </c>
      <c r="M61" s="342">
        <f t="shared" si="10"/>
        <v>0</v>
      </c>
      <c r="N61" s="342">
        <f t="shared" si="10"/>
        <v>9572194879.9899998</v>
      </c>
      <c r="O61" s="342">
        <f>SUM(O59:O60)</f>
        <v>2677469975.9995003</v>
      </c>
      <c r="P61" s="342">
        <f>SUM(P59:P60)</f>
        <v>478609743.99999958</v>
      </c>
      <c r="Q61" s="342">
        <f t="shared" si="10"/>
        <v>0</v>
      </c>
      <c r="R61" s="342">
        <f t="shared" si="10"/>
        <v>3156079719.9994998</v>
      </c>
      <c r="S61" s="342">
        <f t="shared" si="10"/>
        <v>6416115159.9904995</v>
      </c>
    </row>
    <row r="62" spans="1:19" ht="15.75" customHeight="1">
      <c r="A62" s="266" t="s">
        <v>935</v>
      </c>
      <c r="D62" s="387"/>
      <c r="E62" s="388"/>
      <c r="F62" s="316" t="s">
        <v>955</v>
      </c>
      <c r="G62" s="389" t="s">
        <v>328</v>
      </c>
      <c r="H62" s="397"/>
      <c r="I62" s="398"/>
      <c r="J62" s="399"/>
      <c r="K62" s="400"/>
      <c r="L62" s="400"/>
      <c r="M62" s="400"/>
      <c r="N62" s="400"/>
      <c r="O62" s="400"/>
      <c r="P62" s="400"/>
      <c r="Q62" s="400"/>
      <c r="R62" s="400"/>
      <c r="S62" s="400"/>
    </row>
    <row r="63" spans="1:19" ht="15.75" customHeight="1">
      <c r="A63" s="266" t="s">
        <v>935</v>
      </c>
      <c r="D63" s="387"/>
      <c r="E63" s="388"/>
      <c r="F63" s="330"/>
      <c r="G63" s="370"/>
      <c r="H63" s="362" t="s">
        <v>330</v>
      </c>
      <c r="I63" s="363">
        <v>2012</v>
      </c>
      <c r="J63" s="393">
        <v>0.05</v>
      </c>
      <c r="K63" s="329">
        <v>0</v>
      </c>
      <c r="L63" s="333">
        <v>0</v>
      </c>
      <c r="M63" s="333"/>
      <c r="N63" s="329">
        <f>K63+L63-M63</f>
        <v>0</v>
      </c>
      <c r="O63" s="329">
        <v>0</v>
      </c>
      <c r="P63" s="333"/>
      <c r="Q63" s="329"/>
      <c r="R63" s="329">
        <f>O63+P63-Q63</f>
        <v>0</v>
      </c>
      <c r="S63" s="333">
        <f>N63-R63</f>
        <v>0</v>
      </c>
    </row>
    <row r="64" spans="1:19" ht="15.75" customHeight="1">
      <c r="A64" s="266" t="s">
        <v>935</v>
      </c>
      <c r="D64" s="387"/>
      <c r="E64" s="388"/>
      <c r="F64" s="330"/>
      <c r="G64" s="380"/>
      <c r="H64" s="394" t="s">
        <v>331</v>
      </c>
      <c r="I64" s="395">
        <v>2012</v>
      </c>
      <c r="J64" s="364">
        <v>0.05</v>
      </c>
      <c r="K64" s="329">
        <v>0</v>
      </c>
      <c r="L64" s="333">
        <v>0</v>
      </c>
      <c r="M64" s="333"/>
      <c r="N64" s="329">
        <f>K64+L64-M64</f>
        <v>0</v>
      </c>
      <c r="O64" s="329">
        <v>0</v>
      </c>
      <c r="P64" s="333"/>
      <c r="Q64" s="329"/>
      <c r="R64" s="329">
        <f>O64+P64-Q64</f>
        <v>0</v>
      </c>
      <c r="S64" s="333">
        <f>N64-R64</f>
        <v>0</v>
      </c>
    </row>
    <row r="65" spans="1:19" ht="15.75" customHeight="1">
      <c r="A65" s="266" t="s">
        <v>935</v>
      </c>
      <c r="D65" s="387"/>
      <c r="E65" s="388"/>
      <c r="F65" s="1241" t="s">
        <v>956</v>
      </c>
      <c r="G65" s="1242"/>
      <c r="H65" s="1242"/>
      <c r="I65" s="1242"/>
      <c r="J65" s="1243"/>
      <c r="K65" s="342">
        <f>SUM(K63:K64)</f>
        <v>0</v>
      </c>
      <c r="L65" s="342">
        <f t="shared" ref="L65:S65" si="11">SUM(L63:L64)</f>
        <v>0</v>
      </c>
      <c r="M65" s="342">
        <f t="shared" si="11"/>
        <v>0</v>
      </c>
      <c r="N65" s="342">
        <f t="shared" si="11"/>
        <v>0</v>
      </c>
      <c r="O65" s="342">
        <f t="shared" si="11"/>
        <v>0</v>
      </c>
      <c r="P65" s="342">
        <f t="shared" si="11"/>
        <v>0</v>
      </c>
      <c r="Q65" s="342">
        <f t="shared" si="11"/>
        <v>0</v>
      </c>
      <c r="R65" s="342">
        <f t="shared" si="11"/>
        <v>0</v>
      </c>
      <c r="S65" s="342">
        <f t="shared" si="11"/>
        <v>0</v>
      </c>
    </row>
    <row r="66" spans="1:19" s="317" customFormat="1" ht="15.75" customHeight="1">
      <c r="A66" s="266" t="s">
        <v>935</v>
      </c>
      <c r="B66" s="266"/>
      <c r="C66" s="266"/>
      <c r="D66" s="309"/>
      <c r="E66" s="1235" t="s">
        <v>957</v>
      </c>
      <c r="F66" s="1236"/>
      <c r="G66" s="1236"/>
      <c r="H66" s="1236"/>
      <c r="I66" s="1236"/>
      <c r="J66" s="1237"/>
      <c r="K66" s="342">
        <f>K56+K61+K65</f>
        <v>48496115789.779999</v>
      </c>
      <c r="L66" s="342">
        <f t="shared" ref="L66:S66" si="12">L56+L61+L65</f>
        <v>0</v>
      </c>
      <c r="M66" s="342">
        <f t="shared" si="12"/>
        <v>0</v>
      </c>
      <c r="N66" s="342">
        <f t="shared" si="12"/>
        <v>48496115789.779999</v>
      </c>
      <c r="O66" s="342">
        <f>O56+O61+O65</f>
        <v>5190784037.3430004</v>
      </c>
      <c r="P66" s="342">
        <f>P56+P61+P65</f>
        <v>1537606177.9044995</v>
      </c>
      <c r="Q66" s="342">
        <f t="shared" si="12"/>
        <v>0</v>
      </c>
      <c r="R66" s="342">
        <f>R56+R61+R65</f>
        <v>6728390215.2474995</v>
      </c>
      <c r="S66" s="342">
        <f t="shared" si="12"/>
        <v>41767725574.532501</v>
      </c>
    </row>
    <row r="67" spans="1:19" ht="15.75" customHeight="1">
      <c r="D67" s="387"/>
      <c r="E67" s="388"/>
      <c r="F67" s="330"/>
      <c r="G67" s="370"/>
      <c r="H67" s="362"/>
      <c r="I67" s="363"/>
      <c r="J67" s="393"/>
      <c r="K67" s="329"/>
      <c r="L67" s="333"/>
      <c r="M67" s="333"/>
      <c r="N67" s="329"/>
      <c r="O67" s="329"/>
      <c r="P67" s="333"/>
      <c r="Q67" s="329"/>
      <c r="R67" s="329"/>
      <c r="S67" s="329"/>
    </row>
    <row r="68" spans="1:19" s="317" customFormat="1" ht="15.75" customHeight="1">
      <c r="A68" s="266" t="s">
        <v>938</v>
      </c>
      <c r="B68" s="266"/>
      <c r="C68" s="266"/>
      <c r="D68" s="309"/>
      <c r="E68" s="316" t="s">
        <v>235</v>
      </c>
      <c r="F68" s="317" t="s">
        <v>332</v>
      </c>
      <c r="G68" s="318"/>
      <c r="H68" s="319"/>
      <c r="I68" s="401"/>
      <c r="J68" s="321"/>
      <c r="K68" s="322"/>
      <c r="L68" s="322"/>
      <c r="M68" s="322"/>
      <c r="N68" s="322"/>
      <c r="O68" s="322"/>
      <c r="P68" s="322"/>
      <c r="Q68" s="322"/>
      <c r="R68" s="322"/>
      <c r="S68" s="322"/>
    </row>
    <row r="69" spans="1:19" ht="15.75" customHeight="1">
      <c r="A69" s="266" t="s">
        <v>938</v>
      </c>
      <c r="D69" s="357"/>
      <c r="E69" s="301"/>
      <c r="F69" s="316" t="s">
        <v>958</v>
      </c>
      <c r="G69" s="359" t="s">
        <v>333</v>
      </c>
      <c r="H69" s="360"/>
      <c r="I69" s="258"/>
      <c r="J69" s="313"/>
      <c r="K69" s="358"/>
      <c r="L69" s="402"/>
      <c r="M69" s="358"/>
      <c r="N69" s="358"/>
      <c r="O69" s="358"/>
      <c r="P69" s="358"/>
      <c r="Q69" s="358"/>
      <c r="R69" s="358"/>
      <c r="S69" s="358"/>
    </row>
    <row r="70" spans="1:19" ht="15.75" customHeight="1">
      <c r="A70" s="266" t="s">
        <v>938</v>
      </c>
      <c r="D70" s="309"/>
      <c r="E70" s="316"/>
      <c r="F70" s="330"/>
      <c r="G70" s="361"/>
      <c r="H70" s="362" t="s">
        <v>334</v>
      </c>
      <c r="I70" s="363">
        <v>2005</v>
      </c>
      <c r="J70" s="393">
        <v>0.05</v>
      </c>
      <c r="K70" s="333">
        <v>10960000</v>
      </c>
      <c r="L70" s="403">
        <v>0</v>
      </c>
      <c r="M70" s="314">
        <v>0</v>
      </c>
      <c r="N70" s="329">
        <f t="shared" ref="N70:N78" si="13">K70+L70-M70</f>
        <v>10960000</v>
      </c>
      <c r="O70" s="329">
        <v>1644000</v>
      </c>
      <c r="P70" s="333">
        <v>0</v>
      </c>
      <c r="Q70" s="333">
        <v>0</v>
      </c>
      <c r="R70" s="329">
        <f t="shared" ref="R70:R78" si="14">O70+P70-Q70</f>
        <v>1644000</v>
      </c>
      <c r="S70" s="333">
        <f t="shared" ref="S70:S78" si="15">N70-R70</f>
        <v>9316000</v>
      </c>
    </row>
    <row r="71" spans="1:19" ht="15.75" customHeight="1">
      <c r="A71" s="266" t="s">
        <v>938</v>
      </c>
      <c r="D71" s="309"/>
      <c r="E71" s="316"/>
      <c r="F71" s="330"/>
      <c r="G71" s="361"/>
      <c r="H71" s="362" t="s">
        <v>335</v>
      </c>
      <c r="I71" s="363">
        <v>2005</v>
      </c>
      <c r="J71" s="393">
        <v>0.05</v>
      </c>
      <c r="K71" s="333">
        <v>596230000</v>
      </c>
      <c r="L71" s="403">
        <v>0</v>
      </c>
      <c r="M71" s="314">
        <v>0</v>
      </c>
      <c r="N71" s="329">
        <f t="shared" si="13"/>
        <v>596230000</v>
      </c>
      <c r="O71" s="329">
        <v>89434500</v>
      </c>
      <c r="P71" s="333">
        <v>0</v>
      </c>
      <c r="Q71" s="333">
        <v>0</v>
      </c>
      <c r="R71" s="329">
        <f t="shared" si="14"/>
        <v>89434500</v>
      </c>
      <c r="S71" s="333">
        <f t="shared" si="15"/>
        <v>506795500</v>
      </c>
    </row>
    <row r="72" spans="1:19" ht="15.75" customHeight="1">
      <c r="A72" s="266" t="s">
        <v>938</v>
      </c>
      <c r="D72" s="309"/>
      <c r="E72" s="316"/>
      <c r="F72" s="330"/>
      <c r="G72" s="361"/>
      <c r="H72" s="362" t="s">
        <v>336</v>
      </c>
      <c r="I72" s="363">
        <v>2011</v>
      </c>
      <c r="J72" s="393">
        <v>0.05</v>
      </c>
      <c r="K72" s="333">
        <v>97760000</v>
      </c>
      <c r="L72" s="403">
        <v>0</v>
      </c>
      <c r="M72" s="314">
        <v>0</v>
      </c>
      <c r="N72" s="329">
        <f t="shared" si="13"/>
        <v>97760000</v>
      </c>
      <c r="O72" s="329">
        <v>14664000</v>
      </c>
      <c r="P72" s="333">
        <v>0</v>
      </c>
      <c r="Q72" s="333">
        <v>0</v>
      </c>
      <c r="R72" s="329">
        <f t="shared" si="14"/>
        <v>14664000</v>
      </c>
      <c r="S72" s="333">
        <f t="shared" si="15"/>
        <v>83096000</v>
      </c>
    </row>
    <row r="73" spans="1:19" ht="15.75" customHeight="1">
      <c r="A73" s="266" t="s">
        <v>938</v>
      </c>
      <c r="D73" s="309"/>
      <c r="E73" s="316"/>
      <c r="F73" s="330"/>
      <c r="G73" s="361"/>
      <c r="H73" s="362" t="s">
        <v>337</v>
      </c>
      <c r="I73" s="363">
        <v>2011</v>
      </c>
      <c r="J73" s="393">
        <v>0.05</v>
      </c>
      <c r="K73" s="333">
        <v>131970000</v>
      </c>
      <c r="L73" s="403">
        <v>0</v>
      </c>
      <c r="M73" s="314">
        <v>0</v>
      </c>
      <c r="N73" s="329">
        <f t="shared" si="13"/>
        <v>131970000</v>
      </c>
      <c r="O73" s="329">
        <v>19795500</v>
      </c>
      <c r="P73" s="333">
        <v>0</v>
      </c>
      <c r="Q73" s="333">
        <v>0</v>
      </c>
      <c r="R73" s="329">
        <f t="shared" si="14"/>
        <v>19795500</v>
      </c>
      <c r="S73" s="333">
        <f t="shared" si="15"/>
        <v>112174500</v>
      </c>
    </row>
    <row r="74" spans="1:19" ht="15.75" customHeight="1">
      <c r="A74" s="266" t="s">
        <v>938</v>
      </c>
      <c r="D74" s="309"/>
      <c r="E74" s="316"/>
      <c r="F74" s="330"/>
      <c r="G74" s="361"/>
      <c r="H74" s="362" t="s">
        <v>338</v>
      </c>
      <c r="I74" s="363">
        <v>2011</v>
      </c>
      <c r="J74" s="393">
        <v>0.05</v>
      </c>
      <c r="K74" s="333">
        <v>98820000</v>
      </c>
      <c r="L74" s="403">
        <v>0</v>
      </c>
      <c r="M74" s="314">
        <v>0</v>
      </c>
      <c r="N74" s="329">
        <f t="shared" si="13"/>
        <v>98820000</v>
      </c>
      <c r="O74" s="329">
        <v>14823000</v>
      </c>
      <c r="P74" s="333">
        <v>0</v>
      </c>
      <c r="Q74" s="333">
        <v>0</v>
      </c>
      <c r="R74" s="329">
        <f t="shared" si="14"/>
        <v>14823000</v>
      </c>
      <c r="S74" s="333">
        <f t="shared" si="15"/>
        <v>83997000</v>
      </c>
    </row>
    <row r="75" spans="1:19" ht="15.75" customHeight="1">
      <c r="A75" s="266" t="s">
        <v>938</v>
      </c>
      <c r="D75" s="309"/>
      <c r="E75" s="316"/>
      <c r="F75" s="330"/>
      <c r="G75" s="361"/>
      <c r="H75" s="362" t="s">
        <v>339</v>
      </c>
      <c r="I75" s="363">
        <v>2011</v>
      </c>
      <c r="J75" s="393">
        <v>0.05</v>
      </c>
      <c r="K75" s="333">
        <v>89000000</v>
      </c>
      <c r="L75" s="403">
        <v>0</v>
      </c>
      <c r="M75" s="314">
        <v>0</v>
      </c>
      <c r="N75" s="329">
        <f t="shared" si="13"/>
        <v>89000000</v>
      </c>
      <c r="O75" s="329">
        <v>13350000</v>
      </c>
      <c r="P75" s="333">
        <v>0</v>
      </c>
      <c r="Q75" s="333">
        <v>0</v>
      </c>
      <c r="R75" s="329">
        <f t="shared" si="14"/>
        <v>13350000</v>
      </c>
      <c r="S75" s="333">
        <f t="shared" si="15"/>
        <v>75650000</v>
      </c>
    </row>
    <row r="76" spans="1:19" ht="15.75" customHeight="1">
      <c r="A76" s="266" t="s">
        <v>938</v>
      </c>
      <c r="D76" s="309"/>
      <c r="E76" s="316"/>
      <c r="F76" s="330"/>
      <c r="G76" s="361"/>
      <c r="H76" s="362" t="s">
        <v>340</v>
      </c>
      <c r="I76" s="363">
        <v>2014</v>
      </c>
      <c r="J76" s="393">
        <v>0.05</v>
      </c>
      <c r="K76" s="333">
        <v>51410000</v>
      </c>
      <c r="L76" s="403">
        <v>0</v>
      </c>
      <c r="M76" s="314">
        <v>0</v>
      </c>
      <c r="N76" s="329">
        <f t="shared" si="13"/>
        <v>51410000</v>
      </c>
      <c r="O76" s="329">
        <v>7711500</v>
      </c>
      <c r="P76" s="333">
        <v>0</v>
      </c>
      <c r="Q76" s="333">
        <v>0</v>
      </c>
      <c r="R76" s="329">
        <f t="shared" si="14"/>
        <v>7711500</v>
      </c>
      <c r="S76" s="333">
        <f t="shared" si="15"/>
        <v>43698500</v>
      </c>
    </row>
    <row r="77" spans="1:19" ht="15.75" customHeight="1">
      <c r="A77" s="266" t="s">
        <v>938</v>
      </c>
      <c r="D77" s="309"/>
      <c r="E77" s="316"/>
      <c r="F77" s="330"/>
      <c r="G77" s="361"/>
      <c r="H77" s="362" t="s">
        <v>310</v>
      </c>
      <c r="I77" s="363">
        <v>2014</v>
      </c>
      <c r="J77" s="393">
        <v>0.05</v>
      </c>
      <c r="K77" s="333">
        <v>24700000</v>
      </c>
      <c r="L77" s="403">
        <v>0</v>
      </c>
      <c r="M77" s="314">
        <v>0</v>
      </c>
      <c r="N77" s="329">
        <f t="shared" si="13"/>
        <v>24700000</v>
      </c>
      <c r="O77" s="329">
        <v>3705000</v>
      </c>
      <c r="P77" s="333">
        <v>0</v>
      </c>
      <c r="Q77" s="333">
        <v>0</v>
      </c>
      <c r="R77" s="329">
        <f t="shared" si="14"/>
        <v>3705000</v>
      </c>
      <c r="S77" s="333">
        <f t="shared" si="15"/>
        <v>20995000</v>
      </c>
    </row>
    <row r="78" spans="1:19" ht="15.75" customHeight="1">
      <c r="A78" s="266" t="s">
        <v>938</v>
      </c>
      <c r="D78" s="309"/>
      <c r="E78" s="316"/>
      <c r="F78" s="330"/>
      <c r="G78" s="361"/>
      <c r="H78" s="362" t="s">
        <v>313</v>
      </c>
      <c r="I78" s="404">
        <v>2014</v>
      </c>
      <c r="J78" s="393">
        <v>0.05</v>
      </c>
      <c r="K78" s="333">
        <v>65020000</v>
      </c>
      <c r="L78" s="403">
        <v>0</v>
      </c>
      <c r="M78" s="314">
        <v>0</v>
      </c>
      <c r="N78" s="329">
        <f t="shared" si="13"/>
        <v>65020000</v>
      </c>
      <c r="O78" s="329">
        <v>9753000</v>
      </c>
      <c r="P78" s="333">
        <v>0</v>
      </c>
      <c r="Q78" s="333">
        <v>0</v>
      </c>
      <c r="R78" s="329">
        <f t="shared" si="14"/>
        <v>9753000</v>
      </c>
      <c r="S78" s="333">
        <f t="shared" si="15"/>
        <v>55267000</v>
      </c>
    </row>
    <row r="79" spans="1:19" ht="15.75" customHeight="1">
      <c r="A79" s="266" t="s">
        <v>938</v>
      </c>
      <c r="D79" s="387"/>
      <c r="E79" s="388"/>
      <c r="F79" s="1241" t="s">
        <v>959</v>
      </c>
      <c r="G79" s="1242"/>
      <c r="H79" s="1242"/>
      <c r="I79" s="1242"/>
      <c r="J79" s="1243"/>
      <c r="K79" s="342">
        <f>SUM(K70:K78)</f>
        <v>1165870000</v>
      </c>
      <c r="L79" s="342">
        <f t="shared" ref="L79:S79" si="16">SUM(L70:L78)</f>
        <v>0</v>
      </c>
      <c r="M79" s="342">
        <f t="shared" si="16"/>
        <v>0</v>
      </c>
      <c r="N79" s="342">
        <f t="shared" si="16"/>
        <v>1165870000</v>
      </c>
      <c r="O79" s="342">
        <f t="shared" si="16"/>
        <v>174880500</v>
      </c>
      <c r="P79" s="342">
        <f t="shared" si="16"/>
        <v>0</v>
      </c>
      <c r="Q79" s="342">
        <f t="shared" si="16"/>
        <v>0</v>
      </c>
      <c r="R79" s="342">
        <f t="shared" si="16"/>
        <v>174880500</v>
      </c>
      <c r="S79" s="342">
        <f t="shared" si="16"/>
        <v>990989500</v>
      </c>
    </row>
    <row r="80" spans="1:19" ht="15.75" customHeight="1">
      <c r="A80" s="266" t="s">
        <v>938</v>
      </c>
      <c r="D80" s="309"/>
      <c r="E80" s="316"/>
      <c r="F80" s="330"/>
      <c r="G80" s="361"/>
      <c r="H80" s="362"/>
      <c r="I80" s="405"/>
      <c r="J80" s="377"/>
      <c r="K80" s="329"/>
      <c r="L80" s="406"/>
      <c r="M80" s="365"/>
      <c r="N80" s="329"/>
      <c r="O80" s="329"/>
      <c r="P80" s="329"/>
      <c r="Q80" s="329"/>
      <c r="R80" s="329"/>
      <c r="S80" s="329"/>
    </row>
    <row r="81" spans="1:19" ht="15.75" customHeight="1">
      <c r="A81" s="266" t="s">
        <v>938</v>
      </c>
      <c r="D81" s="357"/>
      <c r="E81" s="301"/>
      <c r="F81" s="316" t="s">
        <v>960</v>
      </c>
      <c r="G81" s="359" t="s">
        <v>341</v>
      </c>
      <c r="H81" s="407"/>
      <c r="I81" s="258"/>
      <c r="J81" s="313"/>
      <c r="K81" s="358"/>
      <c r="L81" s="402"/>
      <c r="M81" s="358"/>
      <c r="N81" s="358"/>
      <c r="O81" s="358"/>
      <c r="P81" s="358"/>
      <c r="Q81" s="358"/>
      <c r="R81" s="358"/>
      <c r="S81" s="358"/>
    </row>
    <row r="82" spans="1:19" ht="15.75" customHeight="1">
      <c r="A82" s="266" t="s">
        <v>938</v>
      </c>
      <c r="D82" s="309"/>
      <c r="E82" s="316"/>
      <c r="F82" s="330"/>
      <c r="G82" s="361"/>
      <c r="H82" s="362" t="s">
        <v>342</v>
      </c>
      <c r="I82" s="363">
        <v>2005</v>
      </c>
      <c r="J82" s="393">
        <v>0.05</v>
      </c>
      <c r="K82" s="333">
        <v>185540000</v>
      </c>
      <c r="L82" s="403">
        <v>0</v>
      </c>
      <c r="M82" s="314">
        <v>0</v>
      </c>
      <c r="N82" s="329">
        <f t="shared" ref="N82:N92" si="17">K82+L82-M82</f>
        <v>185540000</v>
      </c>
      <c r="O82" s="329">
        <v>27831000</v>
      </c>
      <c r="P82" s="333">
        <v>0</v>
      </c>
      <c r="Q82" s="333">
        <v>0</v>
      </c>
      <c r="R82" s="329">
        <f t="shared" ref="R82:R92" si="18">O82+P82-Q82</f>
        <v>27831000</v>
      </c>
      <c r="S82" s="333">
        <f t="shared" ref="S82:S92" si="19">N82-R82</f>
        <v>157709000</v>
      </c>
    </row>
    <row r="83" spans="1:19" ht="15.75" customHeight="1">
      <c r="A83" s="266" t="s">
        <v>938</v>
      </c>
      <c r="D83" s="309"/>
      <c r="E83" s="316"/>
      <c r="F83" s="330"/>
      <c r="G83" s="361"/>
      <c r="H83" s="362" t="s">
        <v>343</v>
      </c>
      <c r="I83" s="363">
        <v>2005</v>
      </c>
      <c r="J83" s="393">
        <v>0.05</v>
      </c>
      <c r="K83" s="333">
        <v>24330000</v>
      </c>
      <c r="L83" s="403">
        <v>0</v>
      </c>
      <c r="M83" s="314">
        <v>0</v>
      </c>
      <c r="N83" s="329">
        <f t="shared" si="17"/>
        <v>24330000</v>
      </c>
      <c r="O83" s="329">
        <v>3649500</v>
      </c>
      <c r="P83" s="333">
        <v>0</v>
      </c>
      <c r="Q83" s="333">
        <v>0</v>
      </c>
      <c r="R83" s="329">
        <f t="shared" si="18"/>
        <v>3649500</v>
      </c>
      <c r="S83" s="333">
        <f t="shared" si="19"/>
        <v>20680500</v>
      </c>
    </row>
    <row r="84" spans="1:19" ht="15.75" customHeight="1">
      <c r="A84" s="266" t="s">
        <v>938</v>
      </c>
      <c r="D84" s="309"/>
      <c r="E84" s="316"/>
      <c r="F84" s="330"/>
      <c r="G84" s="361"/>
      <c r="H84" s="362" t="s">
        <v>344</v>
      </c>
      <c r="I84" s="363">
        <v>2005</v>
      </c>
      <c r="J84" s="393">
        <v>0.05</v>
      </c>
      <c r="K84" s="333">
        <v>64480000</v>
      </c>
      <c r="L84" s="403">
        <v>0</v>
      </c>
      <c r="M84" s="314">
        <v>0</v>
      </c>
      <c r="N84" s="329">
        <f t="shared" si="17"/>
        <v>64480000</v>
      </c>
      <c r="O84" s="329">
        <v>9672000</v>
      </c>
      <c r="P84" s="333">
        <v>0</v>
      </c>
      <c r="Q84" s="333">
        <v>0</v>
      </c>
      <c r="R84" s="329">
        <f t="shared" si="18"/>
        <v>9672000</v>
      </c>
      <c r="S84" s="333">
        <f t="shared" si="19"/>
        <v>54808000</v>
      </c>
    </row>
    <row r="85" spans="1:19" ht="15.75" customHeight="1">
      <c r="A85" s="266" t="s">
        <v>938</v>
      </c>
      <c r="D85" s="309"/>
      <c r="E85" s="316"/>
      <c r="F85" s="330"/>
      <c r="G85" s="361"/>
      <c r="H85" s="362" t="s">
        <v>345</v>
      </c>
      <c r="I85" s="363">
        <v>2011</v>
      </c>
      <c r="J85" s="393">
        <v>0.05</v>
      </c>
      <c r="K85" s="333">
        <v>149230000</v>
      </c>
      <c r="L85" s="403">
        <v>0</v>
      </c>
      <c r="M85" s="314">
        <v>0</v>
      </c>
      <c r="N85" s="329">
        <f t="shared" si="17"/>
        <v>149230000</v>
      </c>
      <c r="O85" s="329">
        <v>22384500</v>
      </c>
      <c r="P85" s="333">
        <v>0</v>
      </c>
      <c r="Q85" s="333">
        <v>0</v>
      </c>
      <c r="R85" s="329">
        <f t="shared" si="18"/>
        <v>22384500</v>
      </c>
      <c r="S85" s="333">
        <f t="shared" si="19"/>
        <v>126845500</v>
      </c>
    </row>
    <row r="86" spans="1:19" ht="15.75" customHeight="1">
      <c r="A86" s="266" t="s">
        <v>938</v>
      </c>
      <c r="D86" s="309"/>
      <c r="E86" s="316"/>
      <c r="F86" s="330"/>
      <c r="G86" s="361"/>
      <c r="H86" s="362" t="s">
        <v>346</v>
      </c>
      <c r="I86" s="363">
        <v>2011</v>
      </c>
      <c r="J86" s="393">
        <v>0.05</v>
      </c>
      <c r="K86" s="333">
        <v>26170000</v>
      </c>
      <c r="L86" s="403">
        <v>0</v>
      </c>
      <c r="M86" s="314">
        <v>0</v>
      </c>
      <c r="N86" s="329">
        <f t="shared" si="17"/>
        <v>26170000</v>
      </c>
      <c r="O86" s="329">
        <v>3925500</v>
      </c>
      <c r="P86" s="333">
        <v>0</v>
      </c>
      <c r="Q86" s="333">
        <v>0</v>
      </c>
      <c r="R86" s="329">
        <f t="shared" si="18"/>
        <v>3925500</v>
      </c>
      <c r="S86" s="333">
        <f t="shared" si="19"/>
        <v>22244500</v>
      </c>
    </row>
    <row r="87" spans="1:19" ht="15.75" customHeight="1">
      <c r="A87" s="266" t="s">
        <v>938</v>
      </c>
      <c r="D87" s="309"/>
      <c r="E87" s="316"/>
      <c r="F87" s="330"/>
      <c r="G87" s="361"/>
      <c r="H87" s="362" t="s">
        <v>347</v>
      </c>
      <c r="I87" s="363">
        <v>2011</v>
      </c>
      <c r="J87" s="393">
        <v>0.05</v>
      </c>
      <c r="K87" s="333">
        <v>109140000</v>
      </c>
      <c r="L87" s="403">
        <v>0</v>
      </c>
      <c r="M87" s="314">
        <v>0</v>
      </c>
      <c r="N87" s="329">
        <f t="shared" si="17"/>
        <v>109140000</v>
      </c>
      <c r="O87" s="329">
        <v>16371000</v>
      </c>
      <c r="P87" s="333">
        <v>0</v>
      </c>
      <c r="Q87" s="333">
        <v>0</v>
      </c>
      <c r="R87" s="329">
        <f t="shared" si="18"/>
        <v>16371000</v>
      </c>
      <c r="S87" s="333">
        <f t="shared" si="19"/>
        <v>92769000</v>
      </c>
    </row>
    <row r="88" spans="1:19" ht="15.75" customHeight="1">
      <c r="A88" s="266" t="s">
        <v>938</v>
      </c>
      <c r="D88" s="309"/>
      <c r="E88" s="316"/>
      <c r="F88" s="330"/>
      <c r="G88" s="361"/>
      <c r="H88" s="362" t="s">
        <v>348</v>
      </c>
      <c r="I88" s="363">
        <v>2011</v>
      </c>
      <c r="J88" s="393">
        <v>0.05</v>
      </c>
      <c r="K88" s="333">
        <v>48450000</v>
      </c>
      <c r="L88" s="403">
        <v>0</v>
      </c>
      <c r="M88" s="314">
        <v>0</v>
      </c>
      <c r="N88" s="329">
        <f t="shared" si="17"/>
        <v>48450000</v>
      </c>
      <c r="O88" s="329">
        <v>7267500</v>
      </c>
      <c r="P88" s="333">
        <v>0</v>
      </c>
      <c r="Q88" s="333">
        <v>0</v>
      </c>
      <c r="R88" s="329">
        <f t="shared" si="18"/>
        <v>7267500</v>
      </c>
      <c r="S88" s="333">
        <f t="shared" si="19"/>
        <v>41182500</v>
      </c>
    </row>
    <row r="89" spans="1:19" ht="15.75" customHeight="1">
      <c r="A89" s="266" t="s">
        <v>938</v>
      </c>
      <c r="D89" s="309"/>
      <c r="E89" s="316"/>
      <c r="F89" s="330"/>
      <c r="G89" s="361"/>
      <c r="H89" s="362" t="s">
        <v>349</v>
      </c>
      <c r="I89" s="363">
        <v>2011</v>
      </c>
      <c r="J89" s="393">
        <v>0.05</v>
      </c>
      <c r="K89" s="333">
        <v>83160000</v>
      </c>
      <c r="L89" s="403">
        <v>0</v>
      </c>
      <c r="M89" s="314">
        <v>0</v>
      </c>
      <c r="N89" s="329">
        <f t="shared" si="17"/>
        <v>83160000</v>
      </c>
      <c r="O89" s="329">
        <v>12474000</v>
      </c>
      <c r="P89" s="333">
        <v>0</v>
      </c>
      <c r="Q89" s="333">
        <v>0</v>
      </c>
      <c r="R89" s="329">
        <f t="shared" si="18"/>
        <v>12474000</v>
      </c>
      <c r="S89" s="333">
        <f t="shared" si="19"/>
        <v>70686000</v>
      </c>
    </row>
    <row r="90" spans="1:19" ht="15.75" customHeight="1">
      <c r="A90" s="266" t="s">
        <v>938</v>
      </c>
      <c r="D90" s="309"/>
      <c r="E90" s="316"/>
      <c r="F90" s="330"/>
      <c r="G90" s="361"/>
      <c r="H90" s="362" t="s">
        <v>350</v>
      </c>
      <c r="I90" s="363">
        <v>2011</v>
      </c>
      <c r="J90" s="393">
        <v>0.05</v>
      </c>
      <c r="K90" s="333">
        <v>90770000</v>
      </c>
      <c r="L90" s="403">
        <v>0</v>
      </c>
      <c r="M90" s="314">
        <v>0</v>
      </c>
      <c r="N90" s="329">
        <f t="shared" si="17"/>
        <v>90770000</v>
      </c>
      <c r="O90" s="329">
        <v>13615500</v>
      </c>
      <c r="P90" s="333">
        <v>0</v>
      </c>
      <c r="Q90" s="333">
        <v>0</v>
      </c>
      <c r="R90" s="329">
        <f t="shared" si="18"/>
        <v>13615500</v>
      </c>
      <c r="S90" s="333">
        <f t="shared" si="19"/>
        <v>77154500</v>
      </c>
    </row>
    <row r="91" spans="1:19" ht="15.75" customHeight="1">
      <c r="A91" s="266" t="s">
        <v>938</v>
      </c>
      <c r="D91" s="309"/>
      <c r="E91" s="316"/>
      <c r="F91" s="330"/>
      <c r="G91" s="361"/>
      <c r="H91" s="362" t="s">
        <v>351</v>
      </c>
      <c r="I91" s="363">
        <v>2014</v>
      </c>
      <c r="J91" s="393">
        <v>0.05</v>
      </c>
      <c r="K91" s="333">
        <v>88740000</v>
      </c>
      <c r="L91" s="403">
        <v>0</v>
      </c>
      <c r="M91" s="314">
        <v>0</v>
      </c>
      <c r="N91" s="329">
        <f t="shared" si="17"/>
        <v>88740000</v>
      </c>
      <c r="O91" s="329">
        <v>13311000</v>
      </c>
      <c r="P91" s="333">
        <v>0</v>
      </c>
      <c r="Q91" s="333">
        <v>0</v>
      </c>
      <c r="R91" s="329">
        <f t="shared" si="18"/>
        <v>13311000</v>
      </c>
      <c r="S91" s="333">
        <f t="shared" si="19"/>
        <v>75429000</v>
      </c>
    </row>
    <row r="92" spans="1:19" ht="15.75" customHeight="1">
      <c r="A92" s="266" t="s">
        <v>938</v>
      </c>
      <c r="D92" s="309"/>
      <c r="E92" s="316"/>
      <c r="F92" s="330"/>
      <c r="G92" s="361"/>
      <c r="H92" s="362" t="s">
        <v>352</v>
      </c>
      <c r="I92" s="404">
        <v>2014</v>
      </c>
      <c r="J92" s="393">
        <v>0.05</v>
      </c>
      <c r="K92" s="333">
        <v>553010000</v>
      </c>
      <c r="L92" s="403">
        <v>0</v>
      </c>
      <c r="M92" s="314">
        <v>0</v>
      </c>
      <c r="N92" s="329">
        <f t="shared" si="17"/>
        <v>553010000</v>
      </c>
      <c r="O92" s="329">
        <v>82951500</v>
      </c>
      <c r="P92" s="333">
        <v>0</v>
      </c>
      <c r="Q92" s="333">
        <v>0</v>
      </c>
      <c r="R92" s="329">
        <f t="shared" si="18"/>
        <v>82951500</v>
      </c>
      <c r="S92" s="333">
        <f t="shared" si="19"/>
        <v>470058500</v>
      </c>
    </row>
    <row r="93" spans="1:19" ht="15.75" customHeight="1">
      <c r="A93" s="266" t="s">
        <v>938</v>
      </c>
      <c r="D93" s="387"/>
      <c r="E93" s="388"/>
      <c r="F93" s="1241" t="s">
        <v>961</v>
      </c>
      <c r="G93" s="1242"/>
      <c r="H93" s="1242"/>
      <c r="I93" s="1242"/>
      <c r="J93" s="1243"/>
      <c r="K93" s="342">
        <f>SUM(K82:K92)</f>
        <v>1423020000</v>
      </c>
      <c r="L93" s="342">
        <f t="shared" ref="L93:S93" si="20">SUM(L82:L92)</f>
        <v>0</v>
      </c>
      <c r="M93" s="342">
        <f t="shared" si="20"/>
        <v>0</v>
      </c>
      <c r="N93" s="342">
        <f t="shared" si="20"/>
        <v>1423020000</v>
      </c>
      <c r="O93" s="342">
        <f t="shared" si="20"/>
        <v>213453000</v>
      </c>
      <c r="P93" s="342">
        <f t="shared" si="20"/>
        <v>0</v>
      </c>
      <c r="Q93" s="342">
        <f t="shared" si="20"/>
        <v>0</v>
      </c>
      <c r="R93" s="342">
        <f t="shared" si="20"/>
        <v>213453000</v>
      </c>
      <c r="S93" s="342">
        <f t="shared" si="20"/>
        <v>1209567000</v>
      </c>
    </row>
    <row r="94" spans="1:19" ht="15.75" customHeight="1">
      <c r="A94" s="266" t="s">
        <v>938</v>
      </c>
      <c r="D94" s="309"/>
      <c r="E94" s="316"/>
      <c r="F94" s="330"/>
      <c r="G94" s="361"/>
      <c r="H94" s="362"/>
      <c r="I94" s="405"/>
      <c r="J94" s="377"/>
      <c r="K94" s="329"/>
      <c r="L94" s="406"/>
      <c r="M94" s="365"/>
      <c r="N94" s="329"/>
      <c r="O94" s="329"/>
      <c r="P94" s="329"/>
      <c r="Q94" s="329"/>
      <c r="R94" s="329"/>
      <c r="S94" s="329"/>
    </row>
    <row r="95" spans="1:19" ht="15.75" customHeight="1">
      <c r="A95" s="266" t="s">
        <v>938</v>
      </c>
      <c r="D95" s="357"/>
      <c r="E95" s="301"/>
      <c r="F95" s="316" t="s">
        <v>962</v>
      </c>
      <c r="G95" s="359" t="s">
        <v>353</v>
      </c>
      <c r="H95" s="407"/>
      <c r="I95" s="258"/>
      <c r="J95" s="313"/>
      <c r="K95" s="358"/>
      <c r="L95" s="402"/>
      <c r="M95" s="358"/>
      <c r="N95" s="358"/>
      <c r="O95" s="358"/>
      <c r="P95" s="358"/>
      <c r="Q95" s="358"/>
      <c r="R95" s="358"/>
      <c r="S95" s="358"/>
    </row>
    <row r="96" spans="1:19" ht="15.75" customHeight="1">
      <c r="A96" s="266" t="s">
        <v>938</v>
      </c>
      <c r="D96" s="309"/>
      <c r="E96" s="316"/>
      <c r="F96" s="330"/>
      <c r="G96" s="361"/>
      <c r="H96" s="362" t="s">
        <v>343</v>
      </c>
      <c r="I96" s="363">
        <v>2005</v>
      </c>
      <c r="J96" s="393">
        <v>0.05</v>
      </c>
      <c r="K96" s="333">
        <v>19950000</v>
      </c>
      <c r="L96" s="403">
        <v>0</v>
      </c>
      <c r="M96" s="314">
        <v>0</v>
      </c>
      <c r="N96" s="329">
        <f t="shared" ref="N96:N102" si="21">K96+L96-M96</f>
        <v>19950000</v>
      </c>
      <c r="O96" s="329">
        <v>2992500</v>
      </c>
      <c r="P96" s="333">
        <v>0</v>
      </c>
      <c r="Q96" s="333">
        <v>0</v>
      </c>
      <c r="R96" s="329">
        <f t="shared" ref="R96:R102" si="22">O96+P96-Q96</f>
        <v>2992500</v>
      </c>
      <c r="S96" s="333">
        <f t="shared" ref="S96:S102" si="23">N96-R96</f>
        <v>16957500</v>
      </c>
    </row>
    <row r="97" spans="1:19" ht="15.75" customHeight="1">
      <c r="A97" s="266" t="s">
        <v>938</v>
      </c>
      <c r="D97" s="309"/>
      <c r="E97" s="316"/>
      <c r="F97" s="330"/>
      <c r="G97" s="361"/>
      <c r="H97" s="362" t="s">
        <v>354</v>
      </c>
      <c r="I97" s="363">
        <v>2005</v>
      </c>
      <c r="J97" s="393">
        <v>0.05</v>
      </c>
      <c r="K97" s="333">
        <v>84240000</v>
      </c>
      <c r="L97" s="403">
        <v>0</v>
      </c>
      <c r="M97" s="314">
        <v>0</v>
      </c>
      <c r="N97" s="329">
        <f t="shared" si="21"/>
        <v>84240000</v>
      </c>
      <c r="O97" s="329">
        <v>12636000</v>
      </c>
      <c r="P97" s="333">
        <v>0</v>
      </c>
      <c r="Q97" s="333">
        <v>0</v>
      </c>
      <c r="R97" s="329">
        <f t="shared" si="22"/>
        <v>12636000</v>
      </c>
      <c r="S97" s="333">
        <f t="shared" si="23"/>
        <v>71604000</v>
      </c>
    </row>
    <row r="98" spans="1:19" ht="15.75" customHeight="1">
      <c r="A98" s="266" t="s">
        <v>938</v>
      </c>
      <c r="D98" s="309"/>
      <c r="E98" s="316"/>
      <c r="F98" s="330"/>
      <c r="G98" s="361"/>
      <c r="H98" s="362" t="s">
        <v>355</v>
      </c>
      <c r="I98" s="363">
        <v>2011</v>
      </c>
      <c r="J98" s="393">
        <v>0.05</v>
      </c>
      <c r="K98" s="333">
        <v>150150000</v>
      </c>
      <c r="L98" s="403">
        <v>0</v>
      </c>
      <c r="M98" s="314">
        <v>0</v>
      </c>
      <c r="N98" s="329">
        <f t="shared" si="21"/>
        <v>150150000</v>
      </c>
      <c r="O98" s="329">
        <v>22522500</v>
      </c>
      <c r="P98" s="333">
        <v>0</v>
      </c>
      <c r="Q98" s="333">
        <v>0</v>
      </c>
      <c r="R98" s="329">
        <f t="shared" si="22"/>
        <v>22522500</v>
      </c>
      <c r="S98" s="333">
        <f t="shared" si="23"/>
        <v>127627500</v>
      </c>
    </row>
    <row r="99" spans="1:19" ht="15.75" customHeight="1">
      <c r="A99" s="266" t="s">
        <v>938</v>
      </c>
      <c r="D99" s="309"/>
      <c r="E99" s="316"/>
      <c r="F99" s="330"/>
      <c r="G99" s="361"/>
      <c r="H99" s="362" t="s">
        <v>356</v>
      </c>
      <c r="I99" s="363">
        <v>2011</v>
      </c>
      <c r="J99" s="393">
        <v>0.05</v>
      </c>
      <c r="K99" s="333">
        <v>104895000</v>
      </c>
      <c r="L99" s="403">
        <v>0</v>
      </c>
      <c r="M99" s="314">
        <v>0</v>
      </c>
      <c r="N99" s="329">
        <f t="shared" si="21"/>
        <v>104895000</v>
      </c>
      <c r="O99" s="329">
        <v>15734250</v>
      </c>
      <c r="P99" s="333">
        <v>0</v>
      </c>
      <c r="Q99" s="333">
        <v>0</v>
      </c>
      <c r="R99" s="329">
        <f t="shared" si="22"/>
        <v>15734250</v>
      </c>
      <c r="S99" s="333">
        <f t="shared" si="23"/>
        <v>89160750</v>
      </c>
    </row>
    <row r="100" spans="1:19" ht="15.75" customHeight="1">
      <c r="A100" s="266" t="s">
        <v>938</v>
      </c>
      <c r="D100" s="309"/>
      <c r="E100" s="316"/>
      <c r="F100" s="330"/>
      <c r="G100" s="361"/>
      <c r="H100" s="362" t="s">
        <v>357</v>
      </c>
      <c r="I100" s="363">
        <v>2011</v>
      </c>
      <c r="J100" s="393">
        <v>0.05</v>
      </c>
      <c r="K100" s="333">
        <v>40800000</v>
      </c>
      <c r="L100" s="403">
        <v>0</v>
      </c>
      <c r="M100" s="314">
        <v>0</v>
      </c>
      <c r="N100" s="329">
        <f t="shared" si="21"/>
        <v>40800000</v>
      </c>
      <c r="O100" s="329">
        <v>6120000</v>
      </c>
      <c r="P100" s="333">
        <v>0</v>
      </c>
      <c r="Q100" s="333">
        <v>0</v>
      </c>
      <c r="R100" s="329">
        <f t="shared" si="22"/>
        <v>6120000</v>
      </c>
      <c r="S100" s="333">
        <f t="shared" si="23"/>
        <v>34680000</v>
      </c>
    </row>
    <row r="101" spans="1:19" ht="15.75" customHeight="1">
      <c r="A101" s="266" t="s">
        <v>938</v>
      </c>
      <c r="D101" s="309"/>
      <c r="E101" s="316"/>
      <c r="F101" s="330"/>
      <c r="G101" s="361"/>
      <c r="H101" s="362" t="s">
        <v>358</v>
      </c>
      <c r="I101" s="363">
        <v>2011</v>
      </c>
      <c r="J101" s="393">
        <v>0.05</v>
      </c>
      <c r="K101" s="333">
        <v>19950000</v>
      </c>
      <c r="L101" s="403">
        <v>0</v>
      </c>
      <c r="M101" s="314">
        <v>0</v>
      </c>
      <c r="N101" s="329">
        <f t="shared" si="21"/>
        <v>19950000</v>
      </c>
      <c r="O101" s="329">
        <v>2992500</v>
      </c>
      <c r="P101" s="333">
        <v>0</v>
      </c>
      <c r="Q101" s="333">
        <v>0</v>
      </c>
      <c r="R101" s="329">
        <f t="shared" si="22"/>
        <v>2992500</v>
      </c>
      <c r="S101" s="333">
        <f t="shared" si="23"/>
        <v>16957500</v>
      </c>
    </row>
    <row r="102" spans="1:19" ht="15.75" customHeight="1">
      <c r="A102" s="266" t="s">
        <v>938</v>
      </c>
      <c r="D102" s="309"/>
      <c r="E102" s="316"/>
      <c r="F102" s="330"/>
      <c r="G102" s="361"/>
      <c r="H102" s="362" t="s">
        <v>359</v>
      </c>
      <c r="I102" s="404">
        <v>2014</v>
      </c>
      <c r="J102" s="393">
        <v>0.05</v>
      </c>
      <c r="K102" s="333">
        <v>46762500</v>
      </c>
      <c r="L102" s="403">
        <v>0</v>
      </c>
      <c r="M102" s="314">
        <v>0</v>
      </c>
      <c r="N102" s="329">
        <f t="shared" si="21"/>
        <v>46762500</v>
      </c>
      <c r="O102" s="329">
        <v>7014375</v>
      </c>
      <c r="P102" s="333">
        <v>0</v>
      </c>
      <c r="Q102" s="333">
        <v>0</v>
      </c>
      <c r="R102" s="329">
        <f t="shared" si="22"/>
        <v>7014375</v>
      </c>
      <c r="S102" s="333">
        <f t="shared" si="23"/>
        <v>39748125</v>
      </c>
    </row>
    <row r="103" spans="1:19" ht="15.75" customHeight="1">
      <c r="A103" s="266" t="s">
        <v>938</v>
      </c>
      <c r="D103" s="387"/>
      <c r="E103" s="388"/>
      <c r="F103" s="1241" t="s">
        <v>963</v>
      </c>
      <c r="G103" s="1242"/>
      <c r="H103" s="1242"/>
      <c r="I103" s="1242"/>
      <c r="J103" s="1243"/>
      <c r="K103" s="342">
        <f>SUM(K96:K102)</f>
        <v>466747500</v>
      </c>
      <c r="L103" s="342">
        <f t="shared" ref="L103:S103" si="24">SUM(L96:L102)</f>
        <v>0</v>
      </c>
      <c r="M103" s="342">
        <f t="shared" si="24"/>
        <v>0</v>
      </c>
      <c r="N103" s="342">
        <f t="shared" si="24"/>
        <v>466747500</v>
      </c>
      <c r="O103" s="342">
        <f t="shared" si="24"/>
        <v>70012125</v>
      </c>
      <c r="P103" s="342">
        <f t="shared" si="24"/>
        <v>0</v>
      </c>
      <c r="Q103" s="342">
        <f t="shared" si="24"/>
        <v>0</v>
      </c>
      <c r="R103" s="342">
        <f t="shared" si="24"/>
        <v>70012125</v>
      </c>
      <c r="S103" s="342">
        <f t="shared" si="24"/>
        <v>396735375</v>
      </c>
    </row>
    <row r="104" spans="1:19" ht="15.75" customHeight="1">
      <c r="A104" s="266" t="s">
        <v>938</v>
      </c>
      <c r="D104" s="309"/>
      <c r="E104" s="316"/>
      <c r="F104" s="330"/>
      <c r="G104" s="361"/>
      <c r="H104" s="362"/>
      <c r="I104" s="405"/>
      <c r="J104" s="377"/>
      <c r="K104" s="329"/>
      <c r="L104" s="406"/>
      <c r="M104" s="365"/>
      <c r="N104" s="329"/>
      <c r="O104" s="329"/>
      <c r="P104" s="329"/>
      <c r="Q104" s="329"/>
      <c r="R104" s="329"/>
      <c r="S104" s="329"/>
    </row>
    <row r="105" spans="1:19" ht="15.75" customHeight="1">
      <c r="A105" s="266" t="s">
        <v>938</v>
      </c>
      <c r="D105" s="357"/>
      <c r="E105" s="301"/>
      <c r="F105" s="316" t="s">
        <v>964</v>
      </c>
      <c r="G105" s="359" t="s">
        <v>360</v>
      </c>
      <c r="H105" s="360"/>
      <c r="I105" s="258"/>
      <c r="J105" s="313"/>
      <c r="K105" s="358"/>
      <c r="L105" s="402"/>
      <c r="M105" s="358"/>
      <c r="N105" s="358"/>
      <c r="O105" s="358"/>
      <c r="P105" s="358"/>
      <c r="Q105" s="358"/>
      <c r="R105" s="358"/>
      <c r="S105" s="358"/>
    </row>
    <row r="106" spans="1:19" ht="15.75" customHeight="1">
      <c r="A106" s="266" t="s">
        <v>938</v>
      </c>
      <c r="D106" s="309"/>
      <c r="E106" s="316"/>
      <c r="F106" s="330"/>
      <c r="G106" s="361"/>
      <c r="H106" s="362" t="s">
        <v>343</v>
      </c>
      <c r="I106" s="363">
        <v>2005</v>
      </c>
      <c r="J106" s="393">
        <v>0.05</v>
      </c>
      <c r="K106" s="333">
        <v>14250000</v>
      </c>
      <c r="L106" s="403">
        <v>0</v>
      </c>
      <c r="M106" s="314">
        <v>0</v>
      </c>
      <c r="N106" s="329">
        <f t="shared" ref="N106:N113" si="25">K106+L106-M106</f>
        <v>14250000</v>
      </c>
      <c r="O106" s="329">
        <v>2137500</v>
      </c>
      <c r="P106" s="333">
        <v>0</v>
      </c>
      <c r="Q106" s="333">
        <v>0</v>
      </c>
      <c r="R106" s="329">
        <f t="shared" ref="R106:R113" si="26">O106+P106-Q106</f>
        <v>2137500</v>
      </c>
      <c r="S106" s="333">
        <f t="shared" ref="S106:S113" si="27">N106-R106</f>
        <v>12112500</v>
      </c>
    </row>
    <row r="107" spans="1:19" ht="15.75" customHeight="1">
      <c r="A107" s="266" t="s">
        <v>938</v>
      </c>
      <c r="D107" s="309"/>
      <c r="E107" s="316"/>
      <c r="F107" s="330"/>
      <c r="G107" s="361"/>
      <c r="H107" s="362" t="s">
        <v>361</v>
      </c>
      <c r="I107" s="363">
        <v>2011</v>
      </c>
      <c r="J107" s="393">
        <v>0.05</v>
      </c>
      <c r="K107" s="333">
        <v>115500000</v>
      </c>
      <c r="L107" s="403">
        <v>0</v>
      </c>
      <c r="M107" s="314">
        <v>0</v>
      </c>
      <c r="N107" s="329">
        <f t="shared" si="25"/>
        <v>115500000</v>
      </c>
      <c r="O107" s="329">
        <v>17325000</v>
      </c>
      <c r="P107" s="333">
        <v>0</v>
      </c>
      <c r="Q107" s="333">
        <v>0</v>
      </c>
      <c r="R107" s="329">
        <f t="shared" si="26"/>
        <v>17325000</v>
      </c>
      <c r="S107" s="333">
        <f t="shared" si="27"/>
        <v>98175000</v>
      </c>
    </row>
    <row r="108" spans="1:19" ht="15.75" customHeight="1">
      <c r="A108" s="266" t="s">
        <v>938</v>
      </c>
      <c r="D108" s="309"/>
      <c r="E108" s="316"/>
      <c r="F108" s="330"/>
      <c r="G108" s="361"/>
      <c r="H108" s="362" t="s">
        <v>356</v>
      </c>
      <c r="I108" s="363">
        <v>2011</v>
      </c>
      <c r="J108" s="393">
        <v>0.05</v>
      </c>
      <c r="K108" s="333">
        <v>211680000</v>
      </c>
      <c r="L108" s="403">
        <v>0</v>
      </c>
      <c r="M108" s="314">
        <v>0</v>
      </c>
      <c r="N108" s="329">
        <f t="shared" si="25"/>
        <v>211680000</v>
      </c>
      <c r="O108" s="329">
        <v>31752000</v>
      </c>
      <c r="P108" s="333">
        <v>0</v>
      </c>
      <c r="Q108" s="333">
        <v>0</v>
      </c>
      <c r="R108" s="329">
        <f t="shared" si="26"/>
        <v>31752000</v>
      </c>
      <c r="S108" s="333">
        <f t="shared" si="27"/>
        <v>179928000</v>
      </c>
    </row>
    <row r="109" spans="1:19" ht="15.75" customHeight="1">
      <c r="A109" s="266" t="s">
        <v>938</v>
      </c>
      <c r="D109" s="309"/>
      <c r="E109" s="316"/>
      <c r="F109" s="330"/>
      <c r="G109" s="361"/>
      <c r="H109" s="362" t="s">
        <v>362</v>
      </c>
      <c r="I109" s="363">
        <v>2011</v>
      </c>
      <c r="J109" s="393">
        <v>0.05</v>
      </c>
      <c r="K109" s="333">
        <v>42840000</v>
      </c>
      <c r="L109" s="403">
        <v>0</v>
      </c>
      <c r="M109" s="314">
        <v>0</v>
      </c>
      <c r="N109" s="329">
        <f t="shared" si="25"/>
        <v>42840000</v>
      </c>
      <c r="O109" s="329">
        <v>6426000</v>
      </c>
      <c r="P109" s="333">
        <v>0</v>
      </c>
      <c r="Q109" s="333">
        <v>0</v>
      </c>
      <c r="R109" s="329">
        <f t="shared" si="26"/>
        <v>6426000</v>
      </c>
      <c r="S109" s="333">
        <f t="shared" si="27"/>
        <v>36414000</v>
      </c>
    </row>
    <row r="110" spans="1:19" ht="15.75" customHeight="1">
      <c r="A110" s="266" t="s">
        <v>938</v>
      </c>
      <c r="D110" s="309"/>
      <c r="E110" s="316"/>
      <c r="F110" s="330"/>
      <c r="G110" s="361"/>
      <c r="H110" s="362" t="s">
        <v>358</v>
      </c>
      <c r="I110" s="363">
        <v>2011</v>
      </c>
      <c r="J110" s="393">
        <v>0.05</v>
      </c>
      <c r="K110" s="333">
        <v>33060000</v>
      </c>
      <c r="L110" s="403">
        <v>0</v>
      </c>
      <c r="M110" s="314">
        <v>0</v>
      </c>
      <c r="N110" s="329">
        <f t="shared" si="25"/>
        <v>33060000</v>
      </c>
      <c r="O110" s="329">
        <v>4959000</v>
      </c>
      <c r="P110" s="333">
        <v>0</v>
      </c>
      <c r="Q110" s="333">
        <v>0</v>
      </c>
      <c r="R110" s="329">
        <f t="shared" si="26"/>
        <v>4959000</v>
      </c>
      <c r="S110" s="333">
        <f t="shared" si="27"/>
        <v>28101000</v>
      </c>
    </row>
    <row r="111" spans="1:19" ht="15.75" customHeight="1">
      <c r="A111" s="266" t="s">
        <v>938</v>
      </c>
      <c r="D111" s="309"/>
      <c r="E111" s="316"/>
      <c r="F111" s="330"/>
      <c r="G111" s="361"/>
      <c r="H111" s="362" t="s">
        <v>363</v>
      </c>
      <c r="I111" s="363">
        <v>2014</v>
      </c>
      <c r="J111" s="393">
        <v>0.05</v>
      </c>
      <c r="K111" s="333">
        <v>64883000</v>
      </c>
      <c r="L111" s="403">
        <v>0</v>
      </c>
      <c r="M111" s="314">
        <v>0</v>
      </c>
      <c r="N111" s="329">
        <f t="shared" si="25"/>
        <v>64883000</v>
      </c>
      <c r="O111" s="329">
        <v>9732450</v>
      </c>
      <c r="P111" s="333">
        <v>0</v>
      </c>
      <c r="Q111" s="333">
        <v>0</v>
      </c>
      <c r="R111" s="329">
        <f t="shared" si="26"/>
        <v>9732450</v>
      </c>
      <c r="S111" s="333">
        <f t="shared" si="27"/>
        <v>55150550</v>
      </c>
    </row>
    <row r="112" spans="1:19" ht="15.75" customHeight="1">
      <c r="A112" s="266" t="s">
        <v>938</v>
      </c>
      <c r="B112" s="266">
        <v>7</v>
      </c>
      <c r="C112" s="266">
        <v>7</v>
      </c>
      <c r="D112" s="309"/>
      <c r="E112" s="316"/>
      <c r="F112" s="330"/>
      <c r="G112" s="361"/>
      <c r="H112" s="362" t="s">
        <v>364</v>
      </c>
      <c r="I112" s="363">
        <v>2015</v>
      </c>
      <c r="J112" s="393">
        <v>0.05</v>
      </c>
      <c r="K112" s="333">
        <v>6732000</v>
      </c>
      <c r="L112" s="333">
        <v>0</v>
      </c>
      <c r="M112" s="314">
        <v>0</v>
      </c>
      <c r="N112" s="329">
        <f t="shared" si="25"/>
        <v>6732000</v>
      </c>
      <c r="O112" s="329">
        <v>1346400</v>
      </c>
      <c r="P112" s="333">
        <v>0</v>
      </c>
      <c r="Q112" s="333">
        <v>0</v>
      </c>
      <c r="R112" s="329">
        <f t="shared" si="26"/>
        <v>1346400</v>
      </c>
      <c r="S112" s="333">
        <f t="shared" si="27"/>
        <v>5385600</v>
      </c>
    </row>
    <row r="113" spans="1:19" ht="15.75" customHeight="1">
      <c r="D113" s="309"/>
      <c r="E113" s="316"/>
      <c r="F113" s="343"/>
      <c r="G113" s="266"/>
      <c r="H113" s="408" t="s">
        <v>365</v>
      </c>
      <c r="I113" s="395">
        <v>2018</v>
      </c>
      <c r="J113" s="393">
        <v>0.05</v>
      </c>
      <c r="K113" s="333">
        <v>9594000</v>
      </c>
      <c r="L113" s="333">
        <v>0</v>
      </c>
      <c r="M113" s="314">
        <v>0</v>
      </c>
      <c r="N113" s="329">
        <f t="shared" si="25"/>
        <v>9594000</v>
      </c>
      <c r="O113" s="348">
        <v>279825</v>
      </c>
      <c r="P113" s="333">
        <v>0</v>
      </c>
      <c r="Q113" s="348">
        <v>0</v>
      </c>
      <c r="R113" s="329">
        <f t="shared" si="26"/>
        <v>279825</v>
      </c>
      <c r="S113" s="333">
        <f t="shared" si="27"/>
        <v>9314175</v>
      </c>
    </row>
    <row r="114" spans="1:19" ht="15.75" customHeight="1">
      <c r="A114" s="266" t="s">
        <v>938</v>
      </c>
      <c r="D114" s="387"/>
      <c r="E114" s="388"/>
      <c r="F114" s="1241" t="s">
        <v>965</v>
      </c>
      <c r="G114" s="1242"/>
      <c r="H114" s="1242"/>
      <c r="I114" s="1242"/>
      <c r="J114" s="1243"/>
      <c r="K114" s="342">
        <f>SUM(K106:K113)</f>
        <v>498539000</v>
      </c>
      <c r="L114" s="342">
        <f t="shared" ref="L114:S114" si="28">SUM(L106:L113)</f>
        <v>0</v>
      </c>
      <c r="M114" s="342">
        <f t="shared" si="28"/>
        <v>0</v>
      </c>
      <c r="N114" s="342">
        <f t="shared" si="28"/>
        <v>498539000</v>
      </c>
      <c r="O114" s="342">
        <f t="shared" si="28"/>
        <v>73958175</v>
      </c>
      <c r="P114" s="342">
        <f t="shared" si="28"/>
        <v>0</v>
      </c>
      <c r="Q114" s="342">
        <f t="shared" si="28"/>
        <v>0</v>
      </c>
      <c r="R114" s="342">
        <f t="shared" si="28"/>
        <v>73958175</v>
      </c>
      <c r="S114" s="342">
        <f t="shared" si="28"/>
        <v>424580825</v>
      </c>
    </row>
    <row r="115" spans="1:19" ht="15.75" customHeight="1">
      <c r="A115" s="266" t="s">
        <v>938</v>
      </c>
      <c r="D115" s="309"/>
      <c r="E115" s="316"/>
      <c r="F115" s="330"/>
      <c r="G115" s="361"/>
      <c r="H115" s="362"/>
      <c r="I115" s="405"/>
      <c r="J115" s="377"/>
      <c r="K115" s="329"/>
      <c r="L115" s="406"/>
      <c r="M115" s="365"/>
      <c r="N115" s="329"/>
      <c r="O115" s="329"/>
      <c r="P115" s="329"/>
      <c r="Q115" s="329"/>
      <c r="R115" s="329"/>
      <c r="S115" s="329"/>
    </row>
    <row r="116" spans="1:19" ht="15.75" customHeight="1">
      <c r="A116" s="266" t="s">
        <v>938</v>
      </c>
      <c r="D116" s="357"/>
      <c r="E116" s="301"/>
      <c r="F116" s="316" t="s">
        <v>966</v>
      </c>
      <c r="G116" s="359" t="s">
        <v>366</v>
      </c>
      <c r="H116" s="360"/>
      <c r="I116" s="258"/>
      <c r="J116" s="313"/>
      <c r="K116" s="358"/>
      <c r="L116" s="402"/>
      <c r="M116" s="358"/>
      <c r="N116" s="358"/>
      <c r="O116" s="358"/>
      <c r="P116" s="358"/>
      <c r="Q116" s="358"/>
      <c r="R116" s="358"/>
      <c r="S116" s="358"/>
    </row>
    <row r="117" spans="1:19" ht="15.75" customHeight="1">
      <c r="A117" s="266" t="s">
        <v>938</v>
      </c>
      <c r="D117" s="309"/>
      <c r="E117" s="316"/>
      <c r="F117" s="330"/>
      <c r="G117" s="361"/>
      <c r="H117" s="362" t="s">
        <v>367</v>
      </c>
      <c r="I117" s="363">
        <v>2005</v>
      </c>
      <c r="J117" s="393">
        <v>0.05</v>
      </c>
      <c r="K117" s="333">
        <v>206050000</v>
      </c>
      <c r="L117" s="403">
        <v>0</v>
      </c>
      <c r="M117" s="314">
        <v>0</v>
      </c>
      <c r="N117" s="329">
        <f t="shared" ref="N117:N124" si="29">K117+L117-M117</f>
        <v>206050000</v>
      </c>
      <c r="O117" s="329">
        <v>30907500</v>
      </c>
      <c r="P117" s="333">
        <v>0</v>
      </c>
      <c r="Q117" s="333">
        <v>0</v>
      </c>
      <c r="R117" s="329">
        <f t="shared" ref="R117:R124" si="30">O117+P117-Q117</f>
        <v>30907500</v>
      </c>
      <c r="S117" s="333">
        <f t="shared" ref="S117:S123" si="31">N117-R117</f>
        <v>175142500</v>
      </c>
    </row>
    <row r="118" spans="1:19" ht="15.75" customHeight="1">
      <c r="A118" s="266" t="s">
        <v>938</v>
      </c>
      <c r="D118" s="309"/>
      <c r="E118" s="316"/>
      <c r="F118" s="330"/>
      <c r="G118" s="361"/>
      <c r="H118" s="362" t="s">
        <v>368</v>
      </c>
      <c r="I118" s="363">
        <v>2005</v>
      </c>
      <c r="J118" s="393">
        <v>0.05</v>
      </c>
      <c r="K118" s="333">
        <v>52640000</v>
      </c>
      <c r="L118" s="403">
        <v>0</v>
      </c>
      <c r="M118" s="314">
        <v>0</v>
      </c>
      <c r="N118" s="329">
        <f t="shared" si="29"/>
        <v>52640000</v>
      </c>
      <c r="O118" s="329">
        <v>7896000</v>
      </c>
      <c r="P118" s="333">
        <v>0</v>
      </c>
      <c r="Q118" s="333">
        <v>0</v>
      </c>
      <c r="R118" s="329">
        <f t="shared" si="30"/>
        <v>7896000</v>
      </c>
      <c r="S118" s="333">
        <f t="shared" si="31"/>
        <v>44744000</v>
      </c>
    </row>
    <row r="119" spans="1:19" ht="15.75" customHeight="1">
      <c r="A119" s="266" t="s">
        <v>938</v>
      </c>
      <c r="D119" s="309"/>
      <c r="E119" s="316"/>
      <c r="F119" s="330"/>
      <c r="G119" s="361"/>
      <c r="H119" s="362" t="s">
        <v>369</v>
      </c>
      <c r="I119" s="363">
        <v>2005</v>
      </c>
      <c r="J119" s="393">
        <v>0.05</v>
      </c>
      <c r="K119" s="333">
        <v>92740000</v>
      </c>
      <c r="L119" s="403">
        <v>0</v>
      </c>
      <c r="M119" s="314">
        <v>0</v>
      </c>
      <c r="N119" s="329">
        <f t="shared" si="29"/>
        <v>92740000</v>
      </c>
      <c r="O119" s="329">
        <v>13911000</v>
      </c>
      <c r="P119" s="333">
        <v>0</v>
      </c>
      <c r="Q119" s="333">
        <v>0</v>
      </c>
      <c r="R119" s="329">
        <f t="shared" si="30"/>
        <v>13911000</v>
      </c>
      <c r="S119" s="333">
        <f t="shared" si="31"/>
        <v>78829000</v>
      </c>
    </row>
    <row r="120" spans="1:19" ht="15.75" customHeight="1">
      <c r="A120" s="266" t="s">
        <v>938</v>
      </c>
      <c r="D120" s="309"/>
      <c r="E120" s="316"/>
      <c r="F120" s="330"/>
      <c r="G120" s="361"/>
      <c r="H120" s="362" t="s">
        <v>370</v>
      </c>
      <c r="I120" s="363">
        <v>2011</v>
      </c>
      <c r="J120" s="393">
        <v>0.05</v>
      </c>
      <c r="K120" s="333">
        <v>7560000</v>
      </c>
      <c r="L120" s="403">
        <v>0</v>
      </c>
      <c r="M120" s="314">
        <v>0</v>
      </c>
      <c r="N120" s="329">
        <f t="shared" si="29"/>
        <v>7560000</v>
      </c>
      <c r="O120" s="329">
        <v>1134000</v>
      </c>
      <c r="P120" s="333">
        <v>0</v>
      </c>
      <c r="Q120" s="333">
        <v>0</v>
      </c>
      <c r="R120" s="329">
        <f t="shared" si="30"/>
        <v>1134000</v>
      </c>
      <c r="S120" s="333">
        <f t="shared" si="31"/>
        <v>6426000</v>
      </c>
    </row>
    <row r="121" spans="1:19" ht="15.75" customHeight="1">
      <c r="A121" s="266" t="s">
        <v>938</v>
      </c>
      <c r="D121" s="309"/>
      <c r="E121" s="316"/>
      <c r="F121" s="330"/>
      <c r="G121" s="361"/>
      <c r="H121" s="362" t="s">
        <v>350</v>
      </c>
      <c r="I121" s="363">
        <v>2011</v>
      </c>
      <c r="J121" s="393">
        <v>0.05</v>
      </c>
      <c r="K121" s="333">
        <v>17830000</v>
      </c>
      <c r="L121" s="403">
        <v>0</v>
      </c>
      <c r="M121" s="314">
        <v>0</v>
      </c>
      <c r="N121" s="329">
        <f t="shared" si="29"/>
        <v>17830000</v>
      </c>
      <c r="O121" s="329">
        <v>2674500</v>
      </c>
      <c r="P121" s="333">
        <v>0</v>
      </c>
      <c r="Q121" s="333">
        <v>0</v>
      </c>
      <c r="R121" s="329">
        <f t="shared" si="30"/>
        <v>2674500</v>
      </c>
      <c r="S121" s="333">
        <f t="shared" si="31"/>
        <v>15155500</v>
      </c>
    </row>
    <row r="122" spans="1:19" ht="15.75" customHeight="1">
      <c r="A122" s="266" t="s">
        <v>938</v>
      </c>
      <c r="D122" s="309"/>
      <c r="E122" s="316"/>
      <c r="F122" s="330"/>
      <c r="G122" s="361"/>
      <c r="H122" s="362" t="s">
        <v>371</v>
      </c>
      <c r="I122" s="409">
        <v>2016</v>
      </c>
      <c r="J122" s="393">
        <v>0.05</v>
      </c>
      <c r="K122" s="333">
        <v>142724293</v>
      </c>
      <c r="L122" s="403">
        <v>0</v>
      </c>
      <c r="M122" s="314">
        <v>0</v>
      </c>
      <c r="N122" s="329">
        <f t="shared" si="29"/>
        <v>142724293</v>
      </c>
      <c r="O122" s="329">
        <v>15461798.408333335</v>
      </c>
      <c r="P122" s="333">
        <v>0</v>
      </c>
      <c r="Q122" s="333">
        <v>0</v>
      </c>
      <c r="R122" s="329">
        <f t="shared" si="30"/>
        <v>15461798.408333335</v>
      </c>
      <c r="S122" s="333">
        <f t="shared" si="31"/>
        <v>127262494.59166667</v>
      </c>
    </row>
    <row r="123" spans="1:19" ht="15.75" customHeight="1">
      <c r="D123" s="309"/>
      <c r="E123" s="316"/>
      <c r="F123" s="330"/>
      <c r="G123" s="370"/>
      <c r="H123" s="410" t="s">
        <v>372</v>
      </c>
      <c r="I123" s="409">
        <v>2017</v>
      </c>
      <c r="J123" s="393">
        <v>0.05</v>
      </c>
      <c r="K123" s="333">
        <v>590516824.15999997</v>
      </c>
      <c r="L123" s="403">
        <v>0</v>
      </c>
      <c r="M123" s="314">
        <v>0</v>
      </c>
      <c r="N123" s="329">
        <f t="shared" si="29"/>
        <v>590516824.15999997</v>
      </c>
      <c r="O123" s="333">
        <v>51670227.142000005</v>
      </c>
      <c r="P123" s="333">
        <v>0</v>
      </c>
      <c r="Q123" s="333">
        <v>0</v>
      </c>
      <c r="R123" s="329">
        <f t="shared" si="30"/>
        <v>51670227.142000005</v>
      </c>
      <c r="S123" s="333">
        <f t="shared" si="31"/>
        <v>538846597.01800001</v>
      </c>
    </row>
    <row r="124" spans="1:19" ht="15.75" customHeight="1">
      <c r="D124" s="309"/>
      <c r="E124" s="316"/>
      <c r="F124" s="379"/>
      <c r="G124" s="380"/>
      <c r="H124" s="381" t="s">
        <v>373</v>
      </c>
      <c r="I124" s="411">
        <v>2018</v>
      </c>
      <c r="J124" s="383">
        <v>0.05</v>
      </c>
      <c r="K124" s="339">
        <v>10335000</v>
      </c>
      <c r="L124" s="412">
        <v>0</v>
      </c>
      <c r="M124" s="385">
        <v>0</v>
      </c>
      <c r="N124" s="329">
        <f t="shared" si="29"/>
        <v>10335000</v>
      </c>
      <c r="O124" s="339">
        <v>129187.5</v>
      </c>
      <c r="P124" s="339">
        <v>0</v>
      </c>
      <c r="Q124" s="339">
        <v>0</v>
      </c>
      <c r="R124" s="329">
        <f t="shared" si="30"/>
        <v>129187.5</v>
      </c>
      <c r="S124" s="333">
        <f>N124-R124</f>
        <v>10205812.5</v>
      </c>
    </row>
    <row r="125" spans="1:19" ht="15.75" customHeight="1">
      <c r="A125" s="266" t="s">
        <v>938</v>
      </c>
      <c r="D125" s="387"/>
      <c r="E125" s="388"/>
      <c r="F125" s="1241" t="s">
        <v>967</v>
      </c>
      <c r="G125" s="1242"/>
      <c r="H125" s="1242"/>
      <c r="I125" s="1242"/>
      <c r="J125" s="1243"/>
      <c r="K125" s="342">
        <f>SUM(K117:K124)</f>
        <v>1120396117.1599998</v>
      </c>
      <c r="L125" s="342">
        <f t="shared" ref="L125:S125" si="32">SUM(L117:L124)</f>
        <v>0</v>
      </c>
      <c r="M125" s="342">
        <f t="shared" si="32"/>
        <v>0</v>
      </c>
      <c r="N125" s="342">
        <f t="shared" si="32"/>
        <v>1120396117.1599998</v>
      </c>
      <c r="O125" s="342">
        <f t="shared" si="32"/>
        <v>123784213.05033334</v>
      </c>
      <c r="P125" s="342">
        <f t="shared" si="32"/>
        <v>0</v>
      </c>
      <c r="Q125" s="342">
        <f t="shared" si="32"/>
        <v>0</v>
      </c>
      <c r="R125" s="342">
        <f t="shared" si="32"/>
        <v>123784213.05033334</v>
      </c>
      <c r="S125" s="342">
        <f t="shared" si="32"/>
        <v>996611904.10966671</v>
      </c>
    </row>
    <row r="126" spans="1:19" ht="15.75" customHeight="1">
      <c r="A126" s="266" t="s">
        <v>938</v>
      </c>
      <c r="D126" s="309"/>
      <c r="E126" s="316"/>
      <c r="F126" s="330"/>
      <c r="G126" s="361"/>
      <c r="H126" s="362"/>
      <c r="I126" s="413"/>
      <c r="J126" s="393"/>
      <c r="K126" s="333"/>
      <c r="L126" s="403"/>
      <c r="M126" s="314"/>
      <c r="N126" s="333"/>
      <c r="O126" s="329"/>
      <c r="P126" s="333"/>
      <c r="Q126" s="333"/>
      <c r="R126" s="329"/>
      <c r="S126" s="333"/>
    </row>
    <row r="127" spans="1:19" s="317" customFormat="1" ht="15.75" customHeight="1">
      <c r="A127" s="266" t="s">
        <v>938</v>
      </c>
      <c r="B127" s="266"/>
      <c r="C127" s="266"/>
      <c r="D127" s="309"/>
      <c r="E127" s="1235" t="s">
        <v>968</v>
      </c>
      <c r="F127" s="1236"/>
      <c r="G127" s="1236"/>
      <c r="H127" s="1236"/>
      <c r="I127" s="1236"/>
      <c r="J127" s="1237"/>
      <c r="K127" s="342">
        <f>K79+K93+K103+K114+K125</f>
        <v>4674572617.1599998</v>
      </c>
      <c r="L127" s="342">
        <f t="shared" ref="L127:S127" si="33">L79+L93+L103+L114+L125</f>
        <v>0</v>
      </c>
      <c r="M127" s="342">
        <f t="shared" si="33"/>
        <v>0</v>
      </c>
      <c r="N127" s="342">
        <f t="shared" si="33"/>
        <v>4674572617.1599998</v>
      </c>
      <c r="O127" s="342">
        <f t="shared" si="33"/>
        <v>656088013.05033338</v>
      </c>
      <c r="P127" s="342">
        <f t="shared" si="33"/>
        <v>0</v>
      </c>
      <c r="Q127" s="342">
        <f t="shared" si="33"/>
        <v>0</v>
      </c>
      <c r="R127" s="342">
        <f t="shared" si="33"/>
        <v>656088013.05033338</v>
      </c>
      <c r="S127" s="342">
        <f t="shared" si="33"/>
        <v>4018484604.1096668</v>
      </c>
    </row>
    <row r="128" spans="1:19" ht="15.75" customHeight="1">
      <c r="D128" s="387"/>
      <c r="E128" s="388"/>
      <c r="F128" s="330"/>
      <c r="G128" s="370"/>
      <c r="H128" s="362"/>
      <c r="I128" s="414"/>
      <c r="J128" s="393"/>
      <c r="K128" s="329"/>
      <c r="L128" s="333"/>
      <c r="M128" s="333"/>
      <c r="N128" s="329"/>
      <c r="O128" s="329"/>
      <c r="P128" s="333"/>
      <c r="Q128" s="329"/>
      <c r="R128" s="329"/>
      <c r="S128" s="329"/>
    </row>
    <row r="129" spans="1:19" s="317" customFormat="1" ht="15.75" customHeight="1">
      <c r="A129" s="266" t="s">
        <v>944</v>
      </c>
      <c r="B129" s="266"/>
      <c r="C129" s="266"/>
      <c r="D129" s="309"/>
      <c r="E129" s="316" t="s">
        <v>237</v>
      </c>
      <c r="F129" s="317" t="s">
        <v>374</v>
      </c>
      <c r="G129" s="318"/>
      <c r="H129" s="319"/>
      <c r="I129" s="320"/>
      <c r="J129" s="321"/>
      <c r="K129" s="322"/>
      <c r="L129" s="322"/>
      <c r="M129" s="322"/>
      <c r="N129" s="322"/>
      <c r="O129" s="322"/>
      <c r="P129" s="322"/>
      <c r="Q129" s="322"/>
      <c r="R129" s="322"/>
      <c r="S129" s="322"/>
    </row>
    <row r="130" spans="1:19" ht="15.75" customHeight="1">
      <c r="A130" s="266" t="s">
        <v>944</v>
      </c>
      <c r="D130" s="309"/>
      <c r="E130" s="316"/>
      <c r="F130" s="330"/>
      <c r="G130" s="361"/>
      <c r="H130" s="362" t="s">
        <v>375</v>
      </c>
      <c r="I130" s="363">
        <v>2010</v>
      </c>
      <c r="J130" s="393">
        <v>0.05</v>
      </c>
      <c r="K130" s="415">
        <v>11350000</v>
      </c>
      <c r="L130" s="403">
        <v>0</v>
      </c>
      <c r="M130" s="314">
        <v>0</v>
      </c>
      <c r="N130" s="329">
        <f t="shared" ref="N130:N154" si="34">K130+L130-M130</f>
        <v>11350000</v>
      </c>
      <c r="O130" s="416">
        <v>3404999.9999999972</v>
      </c>
      <c r="P130" s="333"/>
      <c r="Q130" s="333">
        <v>0</v>
      </c>
      <c r="R130" s="329">
        <f>O130+P130-Q130</f>
        <v>3404999.9999999972</v>
      </c>
      <c r="S130" s="333">
        <f t="shared" ref="S130:S154" si="35">N130-R130</f>
        <v>7945000.0000000028</v>
      </c>
    </row>
    <row r="131" spans="1:19" ht="15.75" customHeight="1">
      <c r="A131" s="266" t="s">
        <v>944</v>
      </c>
      <c r="D131" s="309"/>
      <c r="E131" s="316"/>
      <c r="F131" s="330"/>
      <c r="G131" s="361"/>
      <c r="H131" s="362" t="s">
        <v>376</v>
      </c>
      <c r="I131" s="363">
        <v>2014</v>
      </c>
      <c r="J131" s="393">
        <v>0.05</v>
      </c>
      <c r="K131" s="415">
        <v>276810000</v>
      </c>
      <c r="L131" s="403">
        <v>0</v>
      </c>
      <c r="M131" s="314">
        <v>0</v>
      </c>
      <c r="N131" s="329">
        <f t="shared" si="34"/>
        <v>276810000</v>
      </c>
      <c r="O131" s="416">
        <v>83043000</v>
      </c>
      <c r="P131" s="333"/>
      <c r="Q131" s="333">
        <v>0</v>
      </c>
      <c r="R131" s="329">
        <f t="shared" ref="R131:R154" si="36">O131+P131-Q131</f>
        <v>83043000</v>
      </c>
      <c r="S131" s="333">
        <f t="shared" si="35"/>
        <v>193767000</v>
      </c>
    </row>
    <row r="132" spans="1:19" ht="15.75" customHeight="1">
      <c r="A132" s="266" t="s">
        <v>944</v>
      </c>
      <c r="D132" s="309"/>
      <c r="E132" s="316"/>
      <c r="F132" s="330"/>
      <c r="G132" s="361"/>
      <c r="H132" s="362" t="s">
        <v>377</v>
      </c>
      <c r="I132" s="363">
        <v>2010</v>
      </c>
      <c r="J132" s="393">
        <v>0.05</v>
      </c>
      <c r="K132" s="415">
        <v>29340000</v>
      </c>
      <c r="L132" s="403">
        <v>0</v>
      </c>
      <c r="M132" s="314">
        <v>0</v>
      </c>
      <c r="N132" s="329">
        <f t="shared" si="34"/>
        <v>29340000</v>
      </c>
      <c r="O132" s="416">
        <v>8802000</v>
      </c>
      <c r="P132" s="333"/>
      <c r="Q132" s="333">
        <v>0</v>
      </c>
      <c r="R132" s="329">
        <f t="shared" si="36"/>
        <v>8802000</v>
      </c>
      <c r="S132" s="333">
        <f t="shared" si="35"/>
        <v>20538000</v>
      </c>
    </row>
    <row r="133" spans="1:19" ht="15.75" customHeight="1">
      <c r="A133" s="266" t="s">
        <v>944</v>
      </c>
      <c r="D133" s="309"/>
      <c r="E133" s="316"/>
      <c r="F133" s="330"/>
      <c r="G133" s="361"/>
      <c r="H133" s="362" t="s">
        <v>378</v>
      </c>
      <c r="I133" s="363">
        <v>2010</v>
      </c>
      <c r="J133" s="393">
        <v>0.05</v>
      </c>
      <c r="K133" s="415">
        <v>171000000</v>
      </c>
      <c r="L133" s="403">
        <v>0</v>
      </c>
      <c r="M133" s="314">
        <v>0</v>
      </c>
      <c r="N133" s="329">
        <f t="shared" si="34"/>
        <v>171000000</v>
      </c>
      <c r="O133" s="416">
        <v>51300000</v>
      </c>
      <c r="P133" s="333"/>
      <c r="Q133" s="333">
        <v>0</v>
      </c>
      <c r="R133" s="329">
        <f t="shared" si="36"/>
        <v>51300000</v>
      </c>
      <c r="S133" s="333">
        <f t="shared" si="35"/>
        <v>119700000</v>
      </c>
    </row>
    <row r="134" spans="1:19" ht="15.75" customHeight="1">
      <c r="A134" s="266" t="s">
        <v>944</v>
      </c>
      <c r="D134" s="309"/>
      <c r="E134" s="316"/>
      <c r="F134" s="330"/>
      <c r="G134" s="361"/>
      <c r="H134" s="362" t="s">
        <v>379</v>
      </c>
      <c r="I134" s="363">
        <v>2010</v>
      </c>
      <c r="J134" s="393">
        <v>0.05</v>
      </c>
      <c r="K134" s="415">
        <v>370800000</v>
      </c>
      <c r="L134" s="403">
        <v>0</v>
      </c>
      <c r="M134" s="314">
        <v>0</v>
      </c>
      <c r="N134" s="329">
        <f t="shared" si="34"/>
        <v>370800000</v>
      </c>
      <c r="O134" s="416">
        <v>111240000</v>
      </c>
      <c r="P134" s="333"/>
      <c r="Q134" s="333">
        <v>0</v>
      </c>
      <c r="R134" s="329">
        <f t="shared" si="36"/>
        <v>111240000</v>
      </c>
      <c r="S134" s="333">
        <f t="shared" si="35"/>
        <v>259560000</v>
      </c>
    </row>
    <row r="135" spans="1:19" ht="15.75" customHeight="1">
      <c r="A135" s="266" t="s">
        <v>944</v>
      </c>
      <c r="D135" s="309"/>
      <c r="E135" s="316"/>
      <c r="F135" s="330"/>
      <c r="G135" s="361"/>
      <c r="H135" s="362" t="s">
        <v>350</v>
      </c>
      <c r="I135" s="363">
        <v>2011</v>
      </c>
      <c r="J135" s="393">
        <v>0.05</v>
      </c>
      <c r="K135" s="415">
        <v>101070000</v>
      </c>
      <c r="L135" s="403">
        <v>0</v>
      </c>
      <c r="M135" s="314">
        <v>0</v>
      </c>
      <c r="N135" s="329">
        <f t="shared" si="34"/>
        <v>101070000</v>
      </c>
      <c r="O135" s="416">
        <v>30321000</v>
      </c>
      <c r="P135" s="333"/>
      <c r="Q135" s="333">
        <v>0</v>
      </c>
      <c r="R135" s="329">
        <f t="shared" si="36"/>
        <v>30321000</v>
      </c>
      <c r="S135" s="333">
        <f t="shared" si="35"/>
        <v>70749000</v>
      </c>
    </row>
    <row r="136" spans="1:19" ht="15.75" customHeight="1">
      <c r="A136" s="266" t="s">
        <v>944</v>
      </c>
      <c r="D136" s="309"/>
      <c r="E136" s="316"/>
      <c r="F136" s="330"/>
      <c r="G136" s="361"/>
      <c r="H136" s="362" t="s">
        <v>380</v>
      </c>
      <c r="I136" s="363">
        <v>2010</v>
      </c>
      <c r="J136" s="393">
        <v>0.05</v>
      </c>
      <c r="K136" s="415">
        <v>33310000</v>
      </c>
      <c r="L136" s="403">
        <v>0</v>
      </c>
      <c r="M136" s="314">
        <v>0</v>
      </c>
      <c r="N136" s="329">
        <f t="shared" si="34"/>
        <v>33310000</v>
      </c>
      <c r="O136" s="416">
        <v>9993000</v>
      </c>
      <c r="P136" s="333"/>
      <c r="Q136" s="333">
        <v>0</v>
      </c>
      <c r="R136" s="329">
        <f t="shared" si="36"/>
        <v>9993000</v>
      </c>
      <c r="S136" s="333">
        <f t="shared" si="35"/>
        <v>23317000</v>
      </c>
    </row>
    <row r="137" spans="1:19" ht="15.75" customHeight="1">
      <c r="A137" s="266" t="s">
        <v>944</v>
      </c>
      <c r="D137" s="309"/>
      <c r="E137" s="316"/>
      <c r="F137" s="330"/>
      <c r="G137" s="361"/>
      <c r="H137" s="362" t="s">
        <v>381</v>
      </c>
      <c r="I137" s="363">
        <v>2010</v>
      </c>
      <c r="J137" s="393">
        <v>0.05</v>
      </c>
      <c r="K137" s="415">
        <v>25900000</v>
      </c>
      <c r="L137" s="403">
        <v>0</v>
      </c>
      <c r="M137" s="314">
        <v>0</v>
      </c>
      <c r="N137" s="329">
        <f t="shared" si="34"/>
        <v>25900000</v>
      </c>
      <c r="O137" s="416">
        <v>7770000.0000000084</v>
      </c>
      <c r="P137" s="333"/>
      <c r="Q137" s="333">
        <v>0</v>
      </c>
      <c r="R137" s="329">
        <f t="shared" si="36"/>
        <v>7770000.0000000084</v>
      </c>
      <c r="S137" s="333">
        <f t="shared" si="35"/>
        <v>18129999.999999993</v>
      </c>
    </row>
    <row r="138" spans="1:19" ht="15.75" customHeight="1">
      <c r="A138" s="266" t="s">
        <v>944</v>
      </c>
      <c r="D138" s="309"/>
      <c r="E138" s="316"/>
      <c r="F138" s="330"/>
      <c r="G138" s="361"/>
      <c r="H138" s="362" t="s">
        <v>382</v>
      </c>
      <c r="I138" s="363">
        <v>2014</v>
      </c>
      <c r="J138" s="393">
        <v>0.05</v>
      </c>
      <c r="K138" s="415">
        <v>192220000</v>
      </c>
      <c r="L138" s="403">
        <v>0</v>
      </c>
      <c r="M138" s="314">
        <v>0</v>
      </c>
      <c r="N138" s="329">
        <f t="shared" si="34"/>
        <v>192220000</v>
      </c>
      <c r="O138" s="416">
        <v>57665999.999999948</v>
      </c>
      <c r="P138" s="333"/>
      <c r="Q138" s="333">
        <v>0</v>
      </c>
      <c r="R138" s="329">
        <f t="shared" si="36"/>
        <v>57665999.999999948</v>
      </c>
      <c r="S138" s="333">
        <f t="shared" si="35"/>
        <v>134554000.00000006</v>
      </c>
    </row>
    <row r="139" spans="1:19" ht="15.75" customHeight="1">
      <c r="A139" s="266" t="s">
        <v>944</v>
      </c>
      <c r="D139" s="309"/>
      <c r="E139" s="316"/>
      <c r="F139" s="330"/>
      <c r="G139" s="361"/>
      <c r="H139" s="362" t="s">
        <v>383</v>
      </c>
      <c r="I139" s="363">
        <v>2010</v>
      </c>
      <c r="J139" s="393">
        <v>0.05</v>
      </c>
      <c r="K139" s="415">
        <v>691030000</v>
      </c>
      <c r="L139" s="403">
        <v>0</v>
      </c>
      <c r="M139" s="314">
        <v>0</v>
      </c>
      <c r="N139" s="329">
        <f t="shared" si="34"/>
        <v>691030000</v>
      </c>
      <c r="O139" s="416">
        <v>207308999.99999985</v>
      </c>
      <c r="P139" s="333"/>
      <c r="Q139" s="333">
        <v>0</v>
      </c>
      <c r="R139" s="329">
        <f t="shared" si="36"/>
        <v>207308999.99999985</v>
      </c>
      <c r="S139" s="333">
        <f t="shared" si="35"/>
        <v>483721000.00000012</v>
      </c>
    </row>
    <row r="140" spans="1:19" ht="15.75" customHeight="1">
      <c r="A140" s="266" t="s">
        <v>944</v>
      </c>
      <c r="D140" s="309"/>
      <c r="E140" s="316"/>
      <c r="F140" s="330"/>
      <c r="G140" s="361"/>
      <c r="H140" s="362" t="s">
        <v>384</v>
      </c>
      <c r="I140" s="363">
        <v>2010</v>
      </c>
      <c r="J140" s="393">
        <v>0.05</v>
      </c>
      <c r="K140" s="415">
        <v>62480000</v>
      </c>
      <c r="L140" s="403">
        <v>0</v>
      </c>
      <c r="M140" s="314">
        <v>0</v>
      </c>
      <c r="N140" s="329">
        <f t="shared" si="34"/>
        <v>62480000</v>
      </c>
      <c r="O140" s="416">
        <v>18744000.000000007</v>
      </c>
      <c r="P140" s="333"/>
      <c r="Q140" s="333">
        <v>0</v>
      </c>
      <c r="R140" s="329">
        <f t="shared" si="36"/>
        <v>18744000.000000007</v>
      </c>
      <c r="S140" s="333">
        <f t="shared" si="35"/>
        <v>43735999.999999993</v>
      </c>
    </row>
    <row r="141" spans="1:19" ht="15.75" customHeight="1">
      <c r="A141" s="266" t="s">
        <v>944</v>
      </c>
      <c r="D141" s="309"/>
      <c r="E141" s="316"/>
      <c r="F141" s="330"/>
      <c r="G141" s="361"/>
      <c r="H141" s="362" t="s">
        <v>385</v>
      </c>
      <c r="I141" s="363">
        <v>2011</v>
      </c>
      <c r="J141" s="393">
        <v>0.05</v>
      </c>
      <c r="K141" s="415">
        <v>494980000</v>
      </c>
      <c r="L141" s="403">
        <v>0</v>
      </c>
      <c r="M141" s="314">
        <v>0</v>
      </c>
      <c r="N141" s="329">
        <f t="shared" si="34"/>
        <v>494980000</v>
      </c>
      <c r="O141" s="416">
        <v>148494000.00000006</v>
      </c>
      <c r="P141" s="333"/>
      <c r="Q141" s="333">
        <v>0</v>
      </c>
      <c r="R141" s="329">
        <f t="shared" si="36"/>
        <v>148494000.00000006</v>
      </c>
      <c r="S141" s="333">
        <f t="shared" si="35"/>
        <v>346485999.99999994</v>
      </c>
    </row>
    <row r="142" spans="1:19" ht="15.75" customHeight="1">
      <c r="A142" s="266" t="s">
        <v>944</v>
      </c>
      <c r="D142" s="309"/>
      <c r="E142" s="316"/>
      <c r="F142" s="330"/>
      <c r="G142" s="361"/>
      <c r="H142" s="362" t="s">
        <v>313</v>
      </c>
      <c r="I142" s="363">
        <v>2014</v>
      </c>
      <c r="J142" s="393">
        <v>0.05</v>
      </c>
      <c r="K142" s="415">
        <v>82150000</v>
      </c>
      <c r="L142" s="403">
        <v>0</v>
      </c>
      <c r="M142" s="314">
        <v>0</v>
      </c>
      <c r="N142" s="329">
        <f t="shared" si="34"/>
        <v>82150000</v>
      </c>
      <c r="O142" s="416">
        <v>24645000.000000015</v>
      </c>
      <c r="P142" s="333"/>
      <c r="Q142" s="333">
        <v>0</v>
      </c>
      <c r="R142" s="329">
        <f t="shared" si="36"/>
        <v>24645000.000000015</v>
      </c>
      <c r="S142" s="333">
        <f t="shared" si="35"/>
        <v>57504999.999999985</v>
      </c>
    </row>
    <row r="143" spans="1:19" ht="15.75" customHeight="1">
      <c r="A143" s="266" t="s">
        <v>944</v>
      </c>
      <c r="D143" s="309"/>
      <c r="E143" s="316"/>
      <c r="F143" s="330"/>
      <c r="G143" s="361"/>
      <c r="H143" s="362" t="s">
        <v>386</v>
      </c>
      <c r="I143" s="363">
        <v>2014</v>
      </c>
      <c r="J143" s="393">
        <v>0.05</v>
      </c>
      <c r="K143" s="415">
        <v>6340000</v>
      </c>
      <c r="L143" s="403">
        <v>0</v>
      </c>
      <c r="M143" s="314">
        <v>0</v>
      </c>
      <c r="N143" s="329">
        <f t="shared" si="34"/>
        <v>6340000</v>
      </c>
      <c r="O143" s="416">
        <v>1902000.0000000019</v>
      </c>
      <c r="P143" s="333"/>
      <c r="Q143" s="333">
        <v>0</v>
      </c>
      <c r="R143" s="329">
        <f t="shared" si="36"/>
        <v>1902000.0000000019</v>
      </c>
      <c r="S143" s="333">
        <f t="shared" si="35"/>
        <v>4437999.9999999981</v>
      </c>
    </row>
    <row r="144" spans="1:19" ht="15.75" customHeight="1">
      <c r="A144" s="266" t="s">
        <v>944</v>
      </c>
      <c r="D144" s="309"/>
      <c r="E144" s="316"/>
      <c r="F144" s="330"/>
      <c r="G144" s="361"/>
      <c r="H144" s="362" t="s">
        <v>387</v>
      </c>
      <c r="I144" s="363">
        <v>2010</v>
      </c>
      <c r="J144" s="393">
        <v>0.05</v>
      </c>
      <c r="K144" s="415">
        <v>505220000</v>
      </c>
      <c r="L144" s="403">
        <v>0</v>
      </c>
      <c r="M144" s="314">
        <v>0</v>
      </c>
      <c r="N144" s="329">
        <f t="shared" si="34"/>
        <v>505220000</v>
      </c>
      <c r="O144" s="416">
        <v>151565999.99999997</v>
      </c>
      <c r="P144" s="333"/>
      <c r="Q144" s="333">
        <v>0</v>
      </c>
      <c r="R144" s="329">
        <f t="shared" si="36"/>
        <v>151565999.99999997</v>
      </c>
      <c r="S144" s="333">
        <f t="shared" si="35"/>
        <v>353654000</v>
      </c>
    </row>
    <row r="145" spans="1:19" ht="15.75" customHeight="1">
      <c r="A145" s="266" t="s">
        <v>944</v>
      </c>
      <c r="D145" s="309"/>
      <c r="E145" s="316"/>
      <c r="F145" s="330"/>
      <c r="G145" s="361"/>
      <c r="H145" s="362" t="s">
        <v>388</v>
      </c>
      <c r="I145" s="363">
        <v>2010</v>
      </c>
      <c r="J145" s="393">
        <v>0.05</v>
      </c>
      <c r="K145" s="415">
        <v>144000000</v>
      </c>
      <c r="L145" s="403">
        <v>0</v>
      </c>
      <c r="M145" s="314">
        <v>0</v>
      </c>
      <c r="N145" s="329">
        <f t="shared" si="34"/>
        <v>144000000</v>
      </c>
      <c r="O145" s="416">
        <v>43200000</v>
      </c>
      <c r="P145" s="333"/>
      <c r="Q145" s="333">
        <v>0</v>
      </c>
      <c r="R145" s="329">
        <f t="shared" si="36"/>
        <v>43200000</v>
      </c>
      <c r="S145" s="333">
        <f t="shared" si="35"/>
        <v>100800000</v>
      </c>
    </row>
    <row r="146" spans="1:19" ht="15.75" customHeight="1">
      <c r="A146" s="266" t="s">
        <v>944</v>
      </c>
      <c r="D146" s="309"/>
      <c r="E146" s="316"/>
      <c r="F146" s="330"/>
      <c r="G146" s="361"/>
      <c r="H146" s="362" t="s">
        <v>340</v>
      </c>
      <c r="I146" s="363">
        <v>2014</v>
      </c>
      <c r="J146" s="393">
        <v>0.05</v>
      </c>
      <c r="K146" s="415">
        <v>79900000</v>
      </c>
      <c r="L146" s="403">
        <v>0</v>
      </c>
      <c r="M146" s="314">
        <v>0</v>
      </c>
      <c r="N146" s="329">
        <f t="shared" si="34"/>
        <v>79900000</v>
      </c>
      <c r="O146" s="416">
        <v>23970000.000000015</v>
      </c>
      <c r="P146" s="333"/>
      <c r="Q146" s="333">
        <v>0</v>
      </c>
      <c r="R146" s="329">
        <f t="shared" si="36"/>
        <v>23970000.000000015</v>
      </c>
      <c r="S146" s="333">
        <f t="shared" si="35"/>
        <v>55929999.999999985</v>
      </c>
    </row>
    <row r="147" spans="1:19" ht="15.75" customHeight="1">
      <c r="A147" s="266" t="s">
        <v>944</v>
      </c>
      <c r="D147" s="309"/>
      <c r="E147" s="316"/>
      <c r="F147" s="330"/>
      <c r="G147" s="361"/>
      <c r="H147" s="362" t="s">
        <v>389</v>
      </c>
      <c r="I147" s="363">
        <v>2010</v>
      </c>
      <c r="J147" s="393">
        <v>0.05</v>
      </c>
      <c r="K147" s="415">
        <v>514790000</v>
      </c>
      <c r="L147" s="403">
        <v>0</v>
      </c>
      <c r="M147" s="314">
        <v>0</v>
      </c>
      <c r="N147" s="329">
        <f t="shared" si="34"/>
        <v>514790000</v>
      </c>
      <c r="O147" s="416">
        <v>154436999.99999997</v>
      </c>
      <c r="P147" s="333"/>
      <c r="Q147" s="333">
        <v>0</v>
      </c>
      <c r="R147" s="329">
        <f t="shared" si="36"/>
        <v>154436999.99999997</v>
      </c>
      <c r="S147" s="333">
        <f t="shared" si="35"/>
        <v>360353000</v>
      </c>
    </row>
    <row r="148" spans="1:19" ht="15.75" customHeight="1">
      <c r="A148" s="266" t="s">
        <v>944</v>
      </c>
      <c r="D148" s="309"/>
      <c r="E148" s="316"/>
      <c r="F148" s="330"/>
      <c r="G148" s="361"/>
      <c r="H148" s="362" t="s">
        <v>390</v>
      </c>
      <c r="I148" s="363">
        <v>2010</v>
      </c>
      <c r="J148" s="393">
        <v>0.05</v>
      </c>
      <c r="K148" s="415">
        <v>156800000</v>
      </c>
      <c r="L148" s="403">
        <v>0</v>
      </c>
      <c r="M148" s="314">
        <v>0</v>
      </c>
      <c r="N148" s="329">
        <f t="shared" si="34"/>
        <v>156800000</v>
      </c>
      <c r="O148" s="416">
        <v>47040000.000000022</v>
      </c>
      <c r="P148" s="333"/>
      <c r="Q148" s="333">
        <v>0</v>
      </c>
      <c r="R148" s="329">
        <f t="shared" si="36"/>
        <v>47040000.000000022</v>
      </c>
      <c r="S148" s="333">
        <f t="shared" si="35"/>
        <v>109759999.99999997</v>
      </c>
    </row>
    <row r="149" spans="1:19" ht="15.75" customHeight="1">
      <c r="A149" s="266" t="s">
        <v>944</v>
      </c>
      <c r="D149" s="309"/>
      <c r="E149" s="316"/>
      <c r="F149" s="330"/>
      <c r="G149" s="361"/>
      <c r="H149" s="362" t="s">
        <v>391</v>
      </c>
      <c r="I149" s="363">
        <v>2010</v>
      </c>
      <c r="J149" s="393">
        <v>0.05</v>
      </c>
      <c r="K149" s="415">
        <v>11030000</v>
      </c>
      <c r="L149" s="403">
        <v>0</v>
      </c>
      <c r="M149" s="314">
        <v>0</v>
      </c>
      <c r="N149" s="329">
        <f t="shared" si="34"/>
        <v>11030000</v>
      </c>
      <c r="O149" s="416">
        <v>3309000.0000000028</v>
      </c>
      <c r="P149" s="333"/>
      <c r="Q149" s="333">
        <v>0</v>
      </c>
      <c r="R149" s="329">
        <f t="shared" si="36"/>
        <v>3309000.0000000028</v>
      </c>
      <c r="S149" s="333">
        <f t="shared" si="35"/>
        <v>7720999.9999999972</v>
      </c>
    </row>
    <row r="150" spans="1:19" ht="15.75" customHeight="1">
      <c r="A150" s="266" t="s">
        <v>944</v>
      </c>
      <c r="D150" s="309"/>
      <c r="E150" s="316"/>
      <c r="F150" s="330"/>
      <c r="G150" s="361"/>
      <c r="H150" s="362" t="s">
        <v>392</v>
      </c>
      <c r="I150" s="363">
        <v>2010</v>
      </c>
      <c r="J150" s="393">
        <v>0.05</v>
      </c>
      <c r="K150" s="415">
        <v>253070000</v>
      </c>
      <c r="L150" s="403">
        <v>0</v>
      </c>
      <c r="M150" s="314">
        <v>0</v>
      </c>
      <c r="N150" s="329">
        <f t="shared" si="34"/>
        <v>253070000</v>
      </c>
      <c r="O150" s="416">
        <v>75921000.000000015</v>
      </c>
      <c r="P150" s="333"/>
      <c r="Q150" s="333">
        <v>0</v>
      </c>
      <c r="R150" s="329">
        <f t="shared" si="36"/>
        <v>75921000.000000015</v>
      </c>
      <c r="S150" s="333">
        <f t="shared" si="35"/>
        <v>177149000</v>
      </c>
    </row>
    <row r="151" spans="1:19" ht="15.75" customHeight="1">
      <c r="A151" s="266" t="s">
        <v>944</v>
      </c>
      <c r="D151" s="309"/>
      <c r="E151" s="316"/>
      <c r="F151" s="330"/>
      <c r="G151" s="361"/>
      <c r="H151" s="362" t="s">
        <v>393</v>
      </c>
      <c r="I151" s="363">
        <v>2010</v>
      </c>
      <c r="J151" s="393">
        <v>0.05</v>
      </c>
      <c r="K151" s="415">
        <v>148500000</v>
      </c>
      <c r="L151" s="403">
        <v>0</v>
      </c>
      <c r="M151" s="314">
        <v>0</v>
      </c>
      <c r="N151" s="329">
        <f t="shared" si="34"/>
        <v>148500000</v>
      </c>
      <c r="O151" s="416">
        <v>44550000</v>
      </c>
      <c r="P151" s="333"/>
      <c r="Q151" s="333">
        <v>0</v>
      </c>
      <c r="R151" s="329">
        <f t="shared" si="36"/>
        <v>44550000</v>
      </c>
      <c r="S151" s="333">
        <f t="shared" si="35"/>
        <v>103950000</v>
      </c>
    </row>
    <row r="152" spans="1:19" ht="15.75" customHeight="1">
      <c r="A152" s="266" t="s">
        <v>944</v>
      </c>
      <c r="D152" s="309"/>
      <c r="E152" s="316"/>
      <c r="F152" s="330"/>
      <c r="G152" s="361"/>
      <c r="H152" s="362" t="s">
        <v>394</v>
      </c>
      <c r="I152" s="363">
        <v>2012</v>
      </c>
      <c r="J152" s="393">
        <v>0.05</v>
      </c>
      <c r="K152" s="415">
        <v>17850000</v>
      </c>
      <c r="L152" s="403">
        <v>0</v>
      </c>
      <c r="M152" s="314">
        <v>0</v>
      </c>
      <c r="N152" s="329">
        <f t="shared" si="34"/>
        <v>17850000</v>
      </c>
      <c r="O152" s="416">
        <v>5355000</v>
      </c>
      <c r="P152" s="333"/>
      <c r="Q152" s="333">
        <v>0</v>
      </c>
      <c r="R152" s="329">
        <f t="shared" si="36"/>
        <v>5355000</v>
      </c>
      <c r="S152" s="333">
        <f t="shared" si="35"/>
        <v>12495000</v>
      </c>
    </row>
    <row r="153" spans="1:19" ht="15.75" customHeight="1">
      <c r="D153" s="309"/>
      <c r="E153" s="316"/>
      <c r="F153" s="417"/>
      <c r="G153" s="370"/>
      <c r="H153" s="362" t="s">
        <v>395</v>
      </c>
      <c r="I153" s="418">
        <v>2018</v>
      </c>
      <c r="J153" s="393">
        <v>0.05</v>
      </c>
      <c r="K153" s="415">
        <v>8779850</v>
      </c>
      <c r="L153" s="403">
        <v>0</v>
      </c>
      <c r="M153" s="419">
        <v>0</v>
      </c>
      <c r="N153" s="329">
        <f t="shared" si="34"/>
        <v>8779850</v>
      </c>
      <c r="O153" s="416">
        <v>1316977.4999999998</v>
      </c>
      <c r="P153" s="333"/>
      <c r="Q153" s="333">
        <v>0</v>
      </c>
      <c r="R153" s="329">
        <f t="shared" si="36"/>
        <v>1316977.4999999998</v>
      </c>
      <c r="S153" s="333">
        <f t="shared" si="35"/>
        <v>7462872.5</v>
      </c>
    </row>
    <row r="154" spans="1:19" ht="15.75" customHeight="1">
      <c r="D154" s="309"/>
      <c r="E154" s="316"/>
      <c r="F154" s="334"/>
      <c r="G154" s="380"/>
      <c r="H154" s="420" t="s">
        <v>396</v>
      </c>
      <c r="I154" s="421">
        <v>2018</v>
      </c>
      <c r="J154" s="383">
        <v>0.05</v>
      </c>
      <c r="K154" s="415">
        <v>10669370</v>
      </c>
      <c r="L154" s="403">
        <v>0</v>
      </c>
      <c r="M154" s="422">
        <v>0</v>
      </c>
      <c r="N154" s="329">
        <f t="shared" si="34"/>
        <v>10669370</v>
      </c>
      <c r="O154" s="416">
        <v>1600405.4999999993</v>
      </c>
      <c r="P154" s="333"/>
      <c r="Q154" s="333">
        <v>0</v>
      </c>
      <c r="R154" s="329">
        <f t="shared" si="36"/>
        <v>1600405.4999999993</v>
      </c>
      <c r="S154" s="333">
        <f t="shared" si="35"/>
        <v>9068964.5</v>
      </c>
    </row>
    <row r="155" spans="1:19" s="317" customFormat="1" ht="15.75" customHeight="1">
      <c r="A155" s="266" t="s">
        <v>944</v>
      </c>
      <c r="B155" s="266"/>
      <c r="C155" s="266"/>
      <c r="D155" s="309"/>
      <c r="E155" s="1235" t="s">
        <v>969</v>
      </c>
      <c r="F155" s="1236"/>
      <c r="G155" s="1236"/>
      <c r="H155" s="1236"/>
      <c r="I155" s="1236"/>
      <c r="J155" s="1237"/>
      <c r="K155" s="342">
        <f>SUM(K130:K154)</f>
        <v>4399389220</v>
      </c>
      <c r="L155" s="342">
        <f t="shared" ref="L155:S155" si="37">SUM(L130:L154)</f>
        <v>0</v>
      </c>
      <c r="M155" s="342">
        <f t="shared" si="37"/>
        <v>0</v>
      </c>
      <c r="N155" s="342">
        <f t="shared" si="37"/>
        <v>4399389220</v>
      </c>
      <c r="O155" s="342">
        <f t="shared" si="37"/>
        <v>1316899382.9999998</v>
      </c>
      <c r="P155" s="342">
        <f t="shared" si="37"/>
        <v>0</v>
      </c>
      <c r="Q155" s="342">
        <f t="shared" si="37"/>
        <v>0</v>
      </c>
      <c r="R155" s="342">
        <f t="shared" si="37"/>
        <v>1316899382.9999998</v>
      </c>
      <c r="S155" s="342">
        <f t="shared" si="37"/>
        <v>3082489837</v>
      </c>
    </row>
    <row r="156" spans="1:19" ht="15.75" customHeight="1">
      <c r="D156" s="309"/>
      <c r="E156" s="316"/>
      <c r="F156" s="330"/>
      <c r="G156" s="361"/>
      <c r="H156" s="362"/>
      <c r="I156" s="414"/>
      <c r="J156" s="393"/>
      <c r="K156" s="333"/>
      <c r="L156" s="403"/>
      <c r="M156" s="314"/>
      <c r="N156" s="333"/>
      <c r="O156" s="329"/>
      <c r="P156" s="333"/>
      <c r="Q156" s="333"/>
      <c r="R156" s="329"/>
      <c r="S156" s="333"/>
    </row>
    <row r="157" spans="1:19" s="317" customFormat="1" ht="15.75" customHeight="1">
      <c r="A157" s="266" t="s">
        <v>946</v>
      </c>
      <c r="B157" s="266"/>
      <c r="C157" s="266"/>
      <c r="D157" s="309"/>
      <c r="E157" s="316" t="s">
        <v>239</v>
      </c>
      <c r="F157" s="317" t="s">
        <v>397</v>
      </c>
      <c r="G157" s="318"/>
      <c r="H157" s="319"/>
      <c r="I157" s="320"/>
      <c r="J157" s="321"/>
      <c r="K157" s="322"/>
      <c r="L157" s="322"/>
      <c r="M157" s="322"/>
      <c r="N157" s="322"/>
      <c r="O157" s="322"/>
      <c r="P157" s="322"/>
      <c r="Q157" s="322"/>
      <c r="R157" s="322"/>
      <c r="S157" s="322"/>
    </row>
    <row r="158" spans="1:19" ht="15.75" customHeight="1">
      <c r="D158" s="309"/>
      <c r="E158" s="316"/>
      <c r="F158" s="379"/>
      <c r="G158" s="423"/>
      <c r="H158" s="408" t="s">
        <v>398</v>
      </c>
      <c r="I158" s="424">
        <v>43708</v>
      </c>
      <c r="J158" s="383">
        <v>0.05</v>
      </c>
      <c r="K158" s="339">
        <v>1039132050</v>
      </c>
      <c r="L158" s="412"/>
      <c r="M158" s="385"/>
      <c r="N158" s="339">
        <f>K158+L158-M158</f>
        <v>1039132050</v>
      </c>
      <c r="O158" s="339">
        <v>121232072.5</v>
      </c>
      <c r="P158" s="339">
        <v>51956602.5</v>
      </c>
      <c r="Q158" s="339"/>
      <c r="R158" s="339">
        <f>O158+P158-Q158</f>
        <v>173188675</v>
      </c>
      <c r="S158" s="339">
        <f>N158-R158</f>
        <v>865943375</v>
      </c>
    </row>
    <row r="159" spans="1:19" s="317" customFormat="1" ht="15.75" customHeight="1">
      <c r="A159" s="266" t="s">
        <v>946</v>
      </c>
      <c r="B159" s="266"/>
      <c r="C159" s="266"/>
      <c r="D159" s="309"/>
      <c r="E159" s="1235" t="s">
        <v>970</v>
      </c>
      <c r="F159" s="1236"/>
      <c r="G159" s="1236"/>
      <c r="H159" s="1236"/>
      <c r="I159" s="1236"/>
      <c r="J159" s="1237"/>
      <c r="K159" s="342">
        <f t="shared" ref="K159:S159" si="38">SUM(K158:K158)</f>
        <v>1039132050</v>
      </c>
      <c r="L159" s="342">
        <f t="shared" si="38"/>
        <v>0</v>
      </c>
      <c r="M159" s="342">
        <f t="shared" si="38"/>
        <v>0</v>
      </c>
      <c r="N159" s="342">
        <f t="shared" si="38"/>
        <v>1039132050</v>
      </c>
      <c r="O159" s="342">
        <f t="shared" si="38"/>
        <v>121232072.5</v>
      </c>
      <c r="P159" s="342">
        <f t="shared" si="38"/>
        <v>51956602.5</v>
      </c>
      <c r="Q159" s="342">
        <f t="shared" si="38"/>
        <v>0</v>
      </c>
      <c r="R159" s="342">
        <f t="shared" si="38"/>
        <v>173188675</v>
      </c>
      <c r="S159" s="342">
        <f t="shared" si="38"/>
        <v>865943375</v>
      </c>
    </row>
    <row r="160" spans="1:19" ht="15.75" customHeight="1">
      <c r="D160" s="309"/>
      <c r="E160" s="316"/>
      <c r="F160" s="330"/>
      <c r="G160" s="361"/>
      <c r="H160" s="362"/>
      <c r="I160" s="413"/>
      <c r="J160" s="393"/>
      <c r="K160" s="333"/>
      <c r="L160" s="403"/>
      <c r="M160" s="314"/>
      <c r="N160" s="333"/>
      <c r="O160" s="329"/>
      <c r="P160" s="333"/>
      <c r="Q160" s="333"/>
      <c r="R160" s="329"/>
      <c r="S160" s="333"/>
    </row>
    <row r="161" spans="1:19" s="425" customFormat="1" ht="25" customHeight="1">
      <c r="A161" s="266"/>
      <c r="B161" s="266"/>
      <c r="C161" s="266"/>
      <c r="D161" s="1229" t="s">
        <v>971</v>
      </c>
      <c r="E161" s="1230"/>
      <c r="F161" s="1230"/>
      <c r="G161" s="1230"/>
      <c r="H161" s="1230"/>
      <c r="I161" s="1230"/>
      <c r="J161" s="1231"/>
      <c r="K161" s="342">
        <f t="shared" ref="K161:S161" si="39">K66+K127+K155+K159</f>
        <v>58609209676.940002</v>
      </c>
      <c r="L161" s="342">
        <f t="shared" si="39"/>
        <v>0</v>
      </c>
      <c r="M161" s="342">
        <f t="shared" si="39"/>
        <v>0</v>
      </c>
      <c r="N161" s="342">
        <f t="shared" si="39"/>
        <v>58609209676.940002</v>
      </c>
      <c r="O161" s="342">
        <f t="shared" si="39"/>
        <v>7285003505.8933334</v>
      </c>
      <c r="P161" s="342">
        <f t="shared" si="39"/>
        <v>1589562780.4044995</v>
      </c>
      <c r="Q161" s="342">
        <f t="shared" si="39"/>
        <v>0</v>
      </c>
      <c r="R161" s="342">
        <f t="shared" si="39"/>
        <v>8874566286.2978325</v>
      </c>
      <c r="S161" s="342">
        <f t="shared" si="39"/>
        <v>49734643390.642166</v>
      </c>
    </row>
    <row r="162" spans="1:19" ht="15.75" customHeight="1">
      <c r="D162" s="309"/>
      <c r="E162" s="316"/>
      <c r="F162" s="302"/>
      <c r="G162" s="426"/>
      <c r="H162" s="345"/>
      <c r="I162" s="427"/>
      <c r="J162" s="428"/>
      <c r="K162" s="429"/>
      <c r="L162" s="429"/>
      <c r="M162" s="429"/>
      <c r="N162" s="429"/>
      <c r="O162" s="429"/>
      <c r="P162" s="429"/>
      <c r="Q162" s="429"/>
      <c r="R162" s="429"/>
      <c r="S162" s="429"/>
    </row>
    <row r="163" spans="1:19" s="317" customFormat="1" ht="15.75" customHeight="1">
      <c r="A163" s="266" t="s">
        <v>935</v>
      </c>
      <c r="B163" s="308" t="s">
        <v>242</v>
      </c>
      <c r="C163" s="308" t="s">
        <v>242</v>
      </c>
      <c r="D163" s="357">
        <v>3</v>
      </c>
      <c r="E163" s="353" t="s">
        <v>242</v>
      </c>
      <c r="F163" s="275"/>
      <c r="G163" s="311"/>
      <c r="H163" s="312"/>
      <c r="I163" s="258"/>
      <c r="J163" s="393"/>
      <c r="K163" s="315"/>
      <c r="L163" s="315"/>
      <c r="M163" s="315"/>
      <c r="N163" s="315"/>
      <c r="O163" s="315"/>
      <c r="P163" s="315"/>
      <c r="Q163" s="315"/>
      <c r="R163" s="315"/>
      <c r="S163" s="315"/>
    </row>
    <row r="164" spans="1:19" s="317" customFormat="1" ht="15.75" customHeight="1">
      <c r="A164" s="266" t="s">
        <v>935</v>
      </c>
      <c r="B164" s="266"/>
      <c r="C164" s="266"/>
      <c r="D164" s="309"/>
      <c r="E164" s="316" t="s">
        <v>848</v>
      </c>
      <c r="F164" s="317" t="s">
        <v>399</v>
      </c>
      <c r="G164" s="311"/>
      <c r="H164" s="312"/>
      <c r="I164" s="258"/>
      <c r="J164" s="393"/>
      <c r="K164" s="315"/>
      <c r="L164" s="315"/>
      <c r="M164" s="315"/>
      <c r="N164" s="315"/>
      <c r="O164" s="315"/>
      <c r="P164" s="315"/>
      <c r="Q164" s="315"/>
      <c r="R164" s="315"/>
      <c r="S164" s="315"/>
    </row>
    <row r="165" spans="1:19" s="317" customFormat="1" ht="15.75" customHeight="1">
      <c r="A165" s="266" t="s">
        <v>935</v>
      </c>
      <c r="B165" s="266"/>
      <c r="C165" s="266"/>
      <c r="D165" s="357"/>
      <c r="E165" s="301"/>
      <c r="F165" s="316" t="s">
        <v>972</v>
      </c>
      <c r="G165" s="311" t="s">
        <v>405</v>
      </c>
      <c r="H165" s="312"/>
      <c r="I165" s="258"/>
      <c r="J165" s="393"/>
      <c r="K165" s="315"/>
      <c r="L165" s="315"/>
      <c r="M165" s="315"/>
      <c r="N165" s="315"/>
      <c r="O165" s="315"/>
      <c r="P165" s="315"/>
      <c r="Q165" s="315"/>
      <c r="R165" s="315"/>
      <c r="S165" s="315"/>
    </row>
    <row r="166" spans="1:19" ht="15.75" customHeight="1">
      <c r="A166" s="266" t="s">
        <v>935</v>
      </c>
      <c r="D166" s="323"/>
      <c r="E166" s="324"/>
      <c r="F166" s="330"/>
      <c r="G166" s="331"/>
      <c r="H166" s="362" t="s">
        <v>175</v>
      </c>
      <c r="I166" s="363">
        <v>2002</v>
      </c>
      <c r="J166" s="430">
        <v>0.125</v>
      </c>
      <c r="K166" s="333">
        <v>222800000</v>
      </c>
      <c r="L166" s="333">
        <v>0</v>
      </c>
      <c r="M166" s="333">
        <v>0</v>
      </c>
      <c r="N166" s="329">
        <f t="shared" ref="N166:N174" si="40">K166+L166-M166</f>
        <v>222800000</v>
      </c>
      <c r="O166" s="329">
        <v>167100000.00000003</v>
      </c>
      <c r="P166" s="333">
        <v>27850000.000000119</v>
      </c>
      <c r="Q166" s="333">
        <v>0</v>
      </c>
      <c r="R166" s="329">
        <f>O166+P166-Q166</f>
        <v>194950000.00000015</v>
      </c>
      <c r="S166" s="333">
        <f t="shared" ref="S166:S174" si="41">N166-R166</f>
        <v>27849999.999999851</v>
      </c>
    </row>
    <row r="167" spans="1:19" ht="15.75" customHeight="1">
      <c r="A167" s="266" t="s">
        <v>935</v>
      </c>
      <c r="D167" s="323"/>
      <c r="E167" s="324"/>
      <c r="F167" s="330"/>
      <c r="G167" s="331"/>
      <c r="H167" s="362" t="s">
        <v>175</v>
      </c>
      <c r="I167" s="363">
        <v>2005</v>
      </c>
      <c r="J167" s="430">
        <v>0.125</v>
      </c>
      <c r="K167" s="333">
        <v>68200000</v>
      </c>
      <c r="L167" s="333">
        <v>0</v>
      </c>
      <c r="M167" s="333">
        <v>0</v>
      </c>
      <c r="N167" s="329">
        <f t="shared" si="40"/>
        <v>68200000</v>
      </c>
      <c r="O167" s="329">
        <v>51149999.999999963</v>
      </c>
      <c r="P167" s="333">
        <v>8524999.9999999702</v>
      </c>
      <c r="Q167" s="333">
        <v>0</v>
      </c>
      <c r="R167" s="329">
        <f t="shared" ref="R167:R174" si="42">O167+P167-Q167</f>
        <v>59674999.999999933</v>
      </c>
      <c r="S167" s="333">
        <f t="shared" si="41"/>
        <v>8525000.0000000671</v>
      </c>
    </row>
    <row r="168" spans="1:19" ht="15.75" customHeight="1">
      <c r="A168" s="266" t="s">
        <v>935</v>
      </c>
      <c r="D168" s="323"/>
      <c r="E168" s="324"/>
      <c r="F168" s="330"/>
      <c r="G168" s="331"/>
      <c r="H168" s="362" t="s">
        <v>175</v>
      </c>
      <c r="I168" s="363">
        <v>2006</v>
      </c>
      <c r="J168" s="430">
        <v>0.125</v>
      </c>
      <c r="K168" s="333">
        <v>68500000</v>
      </c>
      <c r="L168" s="333">
        <v>0</v>
      </c>
      <c r="M168" s="333">
        <v>0</v>
      </c>
      <c r="N168" s="329">
        <f t="shared" si="40"/>
        <v>68500000</v>
      </c>
      <c r="O168" s="329">
        <v>51374999.999999963</v>
      </c>
      <c r="P168" s="333">
        <v>8562499.9999999702</v>
      </c>
      <c r="Q168" s="333">
        <v>0</v>
      </c>
      <c r="R168" s="329">
        <f t="shared" si="42"/>
        <v>59937499.999999933</v>
      </c>
      <c r="S168" s="333">
        <f t="shared" si="41"/>
        <v>8562500.0000000671</v>
      </c>
    </row>
    <row r="169" spans="1:19" ht="15.75" customHeight="1">
      <c r="A169" s="266" t="s">
        <v>935</v>
      </c>
      <c r="D169" s="323"/>
      <c r="E169" s="324"/>
      <c r="F169" s="330"/>
      <c r="G169" s="331"/>
      <c r="H169" s="362" t="s">
        <v>400</v>
      </c>
      <c r="I169" s="363">
        <v>2009</v>
      </c>
      <c r="J169" s="430">
        <v>0.125</v>
      </c>
      <c r="K169" s="333">
        <v>9900000</v>
      </c>
      <c r="L169" s="333">
        <v>0</v>
      </c>
      <c r="M169" s="333">
        <v>0</v>
      </c>
      <c r="N169" s="329">
        <f t="shared" si="40"/>
        <v>9900000</v>
      </c>
      <c r="O169" s="329">
        <v>7425000</v>
      </c>
      <c r="P169" s="333">
        <v>1237500</v>
      </c>
      <c r="Q169" s="333">
        <v>0</v>
      </c>
      <c r="R169" s="329">
        <f t="shared" si="42"/>
        <v>8662500</v>
      </c>
      <c r="S169" s="333">
        <f t="shared" si="41"/>
        <v>1237500</v>
      </c>
    </row>
    <row r="170" spans="1:19" ht="15.75" customHeight="1">
      <c r="A170" s="266" t="s">
        <v>935</v>
      </c>
      <c r="D170" s="323"/>
      <c r="E170" s="324"/>
      <c r="F170" s="330"/>
      <c r="G170" s="331"/>
      <c r="H170" s="362" t="s">
        <v>401</v>
      </c>
      <c r="I170" s="363">
        <v>2010</v>
      </c>
      <c r="J170" s="430">
        <v>0.125</v>
      </c>
      <c r="K170" s="333">
        <v>9600000</v>
      </c>
      <c r="L170" s="333">
        <v>0</v>
      </c>
      <c r="M170" s="333">
        <v>0</v>
      </c>
      <c r="N170" s="329">
        <f t="shared" si="40"/>
        <v>9600000</v>
      </c>
      <c r="O170" s="329">
        <v>7200000</v>
      </c>
      <c r="P170" s="333">
        <v>1200000</v>
      </c>
      <c r="Q170" s="333">
        <v>0</v>
      </c>
      <c r="R170" s="329">
        <f t="shared" si="42"/>
        <v>8400000</v>
      </c>
      <c r="S170" s="333">
        <f t="shared" si="41"/>
        <v>1200000</v>
      </c>
    </row>
    <row r="171" spans="1:19" ht="15.75" customHeight="1">
      <c r="A171" s="266" t="s">
        <v>935</v>
      </c>
      <c r="D171" s="323"/>
      <c r="E171" s="324"/>
      <c r="F171" s="330"/>
      <c r="G171" s="331"/>
      <c r="H171" s="362" t="s">
        <v>402</v>
      </c>
      <c r="I171" s="363">
        <v>2011</v>
      </c>
      <c r="J171" s="430">
        <v>0.125</v>
      </c>
      <c r="K171" s="333">
        <v>4600000</v>
      </c>
      <c r="L171" s="333">
        <v>0</v>
      </c>
      <c r="M171" s="333">
        <v>0</v>
      </c>
      <c r="N171" s="329">
        <f t="shared" si="40"/>
        <v>4600000</v>
      </c>
      <c r="O171" s="329">
        <v>3449999.9999999967</v>
      </c>
      <c r="P171" s="333">
        <v>574999.99999999814</v>
      </c>
      <c r="Q171" s="333">
        <v>0</v>
      </c>
      <c r="R171" s="329">
        <f t="shared" si="42"/>
        <v>4024999.9999999949</v>
      </c>
      <c r="S171" s="333">
        <f t="shared" si="41"/>
        <v>575000.00000000512</v>
      </c>
    </row>
    <row r="172" spans="1:19" ht="15.75" customHeight="1">
      <c r="A172" s="266" t="s">
        <v>935</v>
      </c>
      <c r="D172" s="323"/>
      <c r="E172" s="324"/>
      <c r="F172" s="325"/>
      <c r="G172" s="331"/>
      <c r="H172" s="410" t="s">
        <v>403</v>
      </c>
      <c r="I172" s="431">
        <v>2011</v>
      </c>
      <c r="J172" s="432">
        <v>0.125</v>
      </c>
      <c r="K172" s="329">
        <v>7300000</v>
      </c>
      <c r="L172" s="329">
        <v>0</v>
      </c>
      <c r="M172" s="329">
        <v>0</v>
      </c>
      <c r="N172" s="329">
        <f t="shared" si="40"/>
        <v>7300000</v>
      </c>
      <c r="O172" s="329">
        <v>5475000.0000000019</v>
      </c>
      <c r="P172" s="333">
        <v>912500.00000000373</v>
      </c>
      <c r="Q172" s="333">
        <v>0</v>
      </c>
      <c r="R172" s="329">
        <f t="shared" si="42"/>
        <v>6387500.0000000056</v>
      </c>
      <c r="S172" s="333">
        <f t="shared" si="41"/>
        <v>912499.99999999441</v>
      </c>
    </row>
    <row r="173" spans="1:19" ht="15.75" customHeight="1">
      <c r="A173" s="266" t="s">
        <v>935</v>
      </c>
      <c r="B173" s="266">
        <v>8</v>
      </c>
      <c r="C173" s="266">
        <v>8</v>
      </c>
      <c r="E173" s="324"/>
      <c r="F173" s="325"/>
      <c r="G173" s="344"/>
      <c r="H173" s="433" t="s">
        <v>404</v>
      </c>
      <c r="I173" s="434">
        <v>2015</v>
      </c>
      <c r="J173" s="435">
        <v>0.125</v>
      </c>
      <c r="K173" s="406">
        <v>17000000</v>
      </c>
      <c r="L173" s="436">
        <v>0</v>
      </c>
      <c r="M173" s="365">
        <v>0</v>
      </c>
      <c r="N173" s="329">
        <f t="shared" si="40"/>
        <v>17000000</v>
      </c>
      <c r="O173" s="329">
        <v>13458333.333333345</v>
      </c>
      <c r="P173" s="333">
        <v>2125000.0000000075</v>
      </c>
      <c r="Q173" s="273">
        <v>0</v>
      </c>
      <c r="R173" s="329">
        <f t="shared" si="42"/>
        <v>15583333.333333353</v>
      </c>
      <c r="S173" s="333">
        <f t="shared" si="41"/>
        <v>1416666.6666666474</v>
      </c>
    </row>
    <row r="174" spans="1:19" ht="15.75" customHeight="1">
      <c r="E174" s="324"/>
      <c r="F174" s="379"/>
      <c r="G174" s="437"/>
      <c r="H174" s="438" t="s">
        <v>404</v>
      </c>
      <c r="I174" s="439">
        <v>43678</v>
      </c>
      <c r="J174" s="440">
        <v>0.125</v>
      </c>
      <c r="K174" s="412">
        <v>24696000</v>
      </c>
      <c r="L174" s="441"/>
      <c r="M174" s="385"/>
      <c r="N174" s="329">
        <f t="shared" si="40"/>
        <v>24696000</v>
      </c>
      <c r="O174" s="339">
        <v>7460250</v>
      </c>
      <c r="P174" s="333">
        <v>3087000</v>
      </c>
      <c r="Q174" s="412">
        <v>0</v>
      </c>
      <c r="R174" s="329">
        <f t="shared" si="42"/>
        <v>10547250</v>
      </c>
      <c r="S174" s="333">
        <f t="shared" si="41"/>
        <v>14148750</v>
      </c>
    </row>
    <row r="175" spans="1:19" ht="15.75" customHeight="1">
      <c r="A175" s="266" t="s">
        <v>935</v>
      </c>
      <c r="D175" s="387"/>
      <c r="E175" s="388"/>
      <c r="F175" s="1241" t="s">
        <v>973</v>
      </c>
      <c r="G175" s="1242"/>
      <c r="H175" s="1242"/>
      <c r="I175" s="1242"/>
      <c r="J175" s="1243"/>
      <c r="K175" s="342">
        <f>SUM(K166:K174)</f>
        <v>432596000</v>
      </c>
      <c r="L175" s="342">
        <f t="shared" ref="L175:S175" si="43">SUM(L166:L174)</f>
        <v>0</v>
      </c>
      <c r="M175" s="342">
        <f t="shared" si="43"/>
        <v>0</v>
      </c>
      <c r="N175" s="342">
        <f t="shared" si="43"/>
        <v>432596000</v>
      </c>
      <c r="O175" s="342">
        <f t="shared" si="43"/>
        <v>314093583.33333331</v>
      </c>
      <c r="P175" s="342">
        <f t="shared" si="43"/>
        <v>54074500.000000067</v>
      </c>
      <c r="Q175" s="342">
        <f t="shared" si="43"/>
        <v>0</v>
      </c>
      <c r="R175" s="342">
        <f t="shared" si="43"/>
        <v>368168083.33333337</v>
      </c>
      <c r="S175" s="342">
        <f t="shared" si="43"/>
        <v>64427916.666666634</v>
      </c>
    </row>
    <row r="176" spans="1:19" s="317" customFormat="1" ht="15.75" customHeight="1">
      <c r="A176" s="266" t="s">
        <v>935</v>
      </c>
      <c r="B176" s="266"/>
      <c r="C176" s="266"/>
      <c r="D176" s="309"/>
      <c r="E176" s="1235" t="s">
        <v>974</v>
      </c>
      <c r="F176" s="1236"/>
      <c r="G176" s="1236"/>
      <c r="H176" s="1236"/>
      <c r="I176" s="1236"/>
      <c r="J176" s="1237"/>
      <c r="K176" s="342">
        <f>K175</f>
        <v>432596000</v>
      </c>
      <c r="L176" s="342">
        <f t="shared" ref="L176:S176" si="44">L175</f>
        <v>0</v>
      </c>
      <c r="M176" s="342">
        <f t="shared" si="44"/>
        <v>0</v>
      </c>
      <c r="N176" s="342">
        <f t="shared" si="44"/>
        <v>432596000</v>
      </c>
      <c r="O176" s="342">
        <f t="shared" si="44"/>
        <v>314093583.33333331</v>
      </c>
      <c r="P176" s="342">
        <f t="shared" si="44"/>
        <v>54074500.000000067</v>
      </c>
      <c r="Q176" s="342">
        <f t="shared" si="44"/>
        <v>0</v>
      </c>
      <c r="R176" s="342">
        <f t="shared" si="44"/>
        <v>368168083.33333337</v>
      </c>
      <c r="S176" s="342">
        <f t="shared" si="44"/>
        <v>64427916.666666634</v>
      </c>
    </row>
    <row r="177" spans="1:19" ht="15.75" customHeight="1">
      <c r="A177" s="266" t="s">
        <v>938</v>
      </c>
      <c r="D177" s="387"/>
      <c r="E177" s="324"/>
      <c r="F177" s="330"/>
      <c r="G177" s="370"/>
      <c r="H177" s="362"/>
      <c r="I177" s="414"/>
      <c r="J177" s="393"/>
      <c r="K177" s="329"/>
      <c r="L177" s="333"/>
      <c r="M177" s="333"/>
      <c r="N177" s="329"/>
      <c r="O177" s="329"/>
      <c r="P177" s="333"/>
      <c r="Q177" s="329"/>
      <c r="R177" s="329"/>
      <c r="S177" s="329"/>
    </row>
    <row r="178" spans="1:19" s="317" customFormat="1" ht="15.75" customHeight="1">
      <c r="A178" s="266" t="s">
        <v>938</v>
      </c>
      <c r="B178" s="266"/>
      <c r="C178" s="266"/>
      <c r="D178" s="309"/>
      <c r="E178" s="316" t="s">
        <v>975</v>
      </c>
      <c r="F178" s="317" t="s">
        <v>918</v>
      </c>
      <c r="G178" s="311"/>
      <c r="H178" s="312"/>
      <c r="I178" s="258"/>
      <c r="J178" s="393"/>
      <c r="K178" s="315"/>
      <c r="L178" s="315"/>
      <c r="M178" s="315"/>
      <c r="N178" s="315"/>
      <c r="O178" s="315"/>
      <c r="P178" s="315"/>
      <c r="Q178" s="315"/>
      <c r="R178" s="315"/>
      <c r="S178" s="315"/>
    </row>
    <row r="179" spans="1:19" ht="15.75" customHeight="1">
      <c r="A179" s="266" t="s">
        <v>938</v>
      </c>
      <c r="D179" s="323"/>
      <c r="E179" s="324"/>
      <c r="F179" s="330"/>
      <c r="G179" s="331"/>
      <c r="H179" s="362" t="s">
        <v>211</v>
      </c>
      <c r="I179" s="363">
        <v>2012</v>
      </c>
      <c r="J179" s="430">
        <v>0.125</v>
      </c>
      <c r="K179" s="333">
        <v>9200000</v>
      </c>
      <c r="L179" s="333">
        <v>0</v>
      </c>
      <c r="M179" s="333">
        <v>0</v>
      </c>
      <c r="N179" s="329">
        <f t="shared" ref="N179:N185" si="45">K179+L179-M179</f>
        <v>9200000</v>
      </c>
      <c r="O179" s="329">
        <v>3450000.0000000014</v>
      </c>
      <c r="P179" s="333">
        <v>0</v>
      </c>
      <c r="Q179" s="333">
        <v>0</v>
      </c>
      <c r="R179" s="329">
        <f t="shared" ref="R179:R185" si="46">O179+P179-Q179</f>
        <v>3450000.0000000014</v>
      </c>
      <c r="S179" s="333">
        <f t="shared" ref="S179:S185" si="47">N179-R179</f>
        <v>5749999.9999999981</v>
      </c>
    </row>
    <row r="180" spans="1:19" ht="15.75" customHeight="1">
      <c r="A180" s="266" t="s">
        <v>938</v>
      </c>
      <c r="D180" s="323"/>
      <c r="E180" s="324"/>
      <c r="F180" s="330"/>
      <c r="G180" s="331"/>
      <c r="H180" s="362" t="s">
        <v>211</v>
      </c>
      <c r="I180" s="363">
        <v>2014</v>
      </c>
      <c r="J180" s="430">
        <v>0.125</v>
      </c>
      <c r="K180" s="333">
        <v>10800000</v>
      </c>
      <c r="L180" s="333">
        <v>0</v>
      </c>
      <c r="M180" s="333">
        <v>0</v>
      </c>
      <c r="N180" s="329">
        <f t="shared" si="45"/>
        <v>10800000</v>
      </c>
      <c r="O180" s="329">
        <v>4050000</v>
      </c>
      <c r="P180" s="333">
        <v>0</v>
      </c>
      <c r="Q180" s="333">
        <v>0</v>
      </c>
      <c r="R180" s="329">
        <f t="shared" si="46"/>
        <v>4050000</v>
      </c>
      <c r="S180" s="333">
        <f t="shared" si="47"/>
        <v>6750000</v>
      </c>
    </row>
    <row r="181" spans="1:19" ht="15.75" customHeight="1">
      <c r="A181" s="266" t="s">
        <v>938</v>
      </c>
      <c r="D181" s="323"/>
      <c r="E181" s="324"/>
      <c r="F181" s="330"/>
      <c r="G181" s="331"/>
      <c r="H181" s="362" t="s">
        <v>211</v>
      </c>
      <c r="I181" s="363">
        <v>2014</v>
      </c>
      <c r="J181" s="430">
        <v>0.125</v>
      </c>
      <c r="K181" s="333">
        <v>2400000</v>
      </c>
      <c r="L181" s="333">
        <v>0</v>
      </c>
      <c r="M181" s="333">
        <v>0</v>
      </c>
      <c r="N181" s="329">
        <f t="shared" si="45"/>
        <v>2400000</v>
      </c>
      <c r="O181" s="329">
        <v>900000</v>
      </c>
      <c r="P181" s="333">
        <v>0</v>
      </c>
      <c r="Q181" s="333">
        <v>0</v>
      </c>
      <c r="R181" s="329">
        <f t="shared" si="46"/>
        <v>900000</v>
      </c>
      <c r="S181" s="333">
        <f t="shared" si="47"/>
        <v>1500000</v>
      </c>
    </row>
    <row r="182" spans="1:19" ht="15.75" customHeight="1">
      <c r="A182" s="266" t="s">
        <v>938</v>
      </c>
      <c r="D182" s="323"/>
      <c r="E182" s="324"/>
      <c r="F182" s="330"/>
      <c r="G182" s="331"/>
      <c r="H182" s="362" t="s">
        <v>920</v>
      </c>
      <c r="I182" s="363">
        <v>2012</v>
      </c>
      <c r="J182" s="430">
        <v>0.125</v>
      </c>
      <c r="K182" s="333">
        <v>1800000</v>
      </c>
      <c r="L182" s="333">
        <v>0</v>
      </c>
      <c r="M182" s="333">
        <v>0</v>
      </c>
      <c r="N182" s="329">
        <f t="shared" si="45"/>
        <v>1800000</v>
      </c>
      <c r="O182" s="329">
        <v>675000</v>
      </c>
      <c r="P182" s="333">
        <v>0</v>
      </c>
      <c r="Q182" s="333">
        <v>0</v>
      </c>
      <c r="R182" s="329">
        <f t="shared" si="46"/>
        <v>675000</v>
      </c>
      <c r="S182" s="333">
        <f t="shared" si="47"/>
        <v>1125000</v>
      </c>
    </row>
    <row r="183" spans="1:19" ht="15.75" customHeight="1">
      <c r="A183" s="266" t="s">
        <v>938</v>
      </c>
      <c r="D183" s="323"/>
      <c r="E183" s="324"/>
      <c r="F183" s="330"/>
      <c r="G183" s="331"/>
      <c r="H183" s="362" t="s">
        <v>211</v>
      </c>
      <c r="I183" s="363">
        <v>2014</v>
      </c>
      <c r="J183" s="430">
        <v>0.125</v>
      </c>
      <c r="K183" s="333">
        <v>6300000</v>
      </c>
      <c r="L183" s="333">
        <v>0</v>
      </c>
      <c r="M183" s="333">
        <v>0</v>
      </c>
      <c r="N183" s="329">
        <f t="shared" si="45"/>
        <v>6300000</v>
      </c>
      <c r="O183" s="329">
        <v>2362500</v>
      </c>
      <c r="P183" s="333">
        <v>0</v>
      </c>
      <c r="Q183" s="333">
        <v>0</v>
      </c>
      <c r="R183" s="329">
        <f t="shared" si="46"/>
        <v>2362500</v>
      </c>
      <c r="S183" s="333">
        <f t="shared" si="47"/>
        <v>3937500</v>
      </c>
    </row>
    <row r="184" spans="1:19" ht="15.75" customHeight="1">
      <c r="A184" s="266" t="s">
        <v>938</v>
      </c>
      <c r="D184" s="323"/>
      <c r="E184" s="324"/>
      <c r="F184" s="330"/>
      <c r="G184" s="331"/>
      <c r="H184" s="362" t="s">
        <v>211</v>
      </c>
      <c r="I184" s="404">
        <v>2014</v>
      </c>
      <c r="J184" s="430">
        <v>0.125</v>
      </c>
      <c r="K184" s="333">
        <v>2700000</v>
      </c>
      <c r="L184" s="333">
        <v>0</v>
      </c>
      <c r="M184" s="333">
        <v>0</v>
      </c>
      <c r="N184" s="329">
        <f t="shared" si="45"/>
        <v>2700000</v>
      </c>
      <c r="O184" s="329">
        <v>1012500</v>
      </c>
      <c r="P184" s="333">
        <v>0</v>
      </c>
      <c r="Q184" s="333">
        <v>0</v>
      </c>
      <c r="R184" s="329">
        <f t="shared" si="46"/>
        <v>1012500</v>
      </c>
      <c r="S184" s="333">
        <f t="shared" si="47"/>
        <v>1687500</v>
      </c>
    </row>
    <row r="185" spans="1:19" ht="15.75" customHeight="1">
      <c r="A185" s="266" t="s">
        <v>938</v>
      </c>
      <c r="D185" s="323"/>
      <c r="E185" s="324"/>
      <c r="F185" s="330"/>
      <c r="G185" s="331"/>
      <c r="H185" s="362" t="s">
        <v>406</v>
      </c>
      <c r="I185" s="404">
        <v>2020</v>
      </c>
      <c r="J185" s="430">
        <v>0.125</v>
      </c>
      <c r="K185" s="333">
        <v>10663500</v>
      </c>
      <c r="L185" s="333"/>
      <c r="M185" s="333">
        <v>0</v>
      </c>
      <c r="N185" s="329">
        <f t="shared" si="45"/>
        <v>10663500</v>
      </c>
      <c r="O185" s="329">
        <v>0</v>
      </c>
      <c r="P185" s="333">
        <v>0</v>
      </c>
      <c r="Q185" s="333">
        <v>0</v>
      </c>
      <c r="R185" s="329">
        <f t="shared" si="46"/>
        <v>0</v>
      </c>
      <c r="S185" s="333">
        <f t="shared" si="47"/>
        <v>10663500</v>
      </c>
    </row>
    <row r="186" spans="1:19" s="317" customFormat="1" ht="15.75" customHeight="1">
      <c r="A186" s="266" t="s">
        <v>938</v>
      </c>
      <c r="B186" s="266"/>
      <c r="C186" s="266"/>
      <c r="D186" s="309"/>
      <c r="E186" s="1235" t="s">
        <v>976</v>
      </c>
      <c r="F186" s="1236"/>
      <c r="G186" s="1236"/>
      <c r="H186" s="1236"/>
      <c r="I186" s="1236"/>
      <c r="J186" s="1237"/>
      <c r="K186" s="342">
        <f>SUM(K179:K185)</f>
        <v>43863500</v>
      </c>
      <c r="L186" s="342">
        <f t="shared" ref="L186:S186" si="48">SUM(L179:L185)</f>
        <v>0</v>
      </c>
      <c r="M186" s="342">
        <f t="shared" si="48"/>
        <v>0</v>
      </c>
      <c r="N186" s="342">
        <f t="shared" si="48"/>
        <v>43863500</v>
      </c>
      <c r="O186" s="342">
        <f t="shared" si="48"/>
        <v>12450000.000000002</v>
      </c>
      <c r="P186" s="342">
        <f t="shared" si="48"/>
        <v>0</v>
      </c>
      <c r="Q186" s="342">
        <f t="shared" si="48"/>
        <v>0</v>
      </c>
      <c r="R186" s="342">
        <f t="shared" si="48"/>
        <v>12450000.000000002</v>
      </c>
      <c r="S186" s="342">
        <f t="shared" si="48"/>
        <v>31413500</v>
      </c>
    </row>
    <row r="187" spans="1:19" ht="15.75" customHeight="1">
      <c r="A187" s="266" t="s">
        <v>944</v>
      </c>
      <c r="D187" s="323"/>
      <c r="E187" s="324"/>
      <c r="F187" s="330"/>
      <c r="G187" s="331"/>
      <c r="H187" s="362"/>
      <c r="I187" s="414"/>
      <c r="J187" s="393"/>
      <c r="K187" s="333"/>
      <c r="L187" s="333"/>
      <c r="M187" s="333"/>
      <c r="N187" s="333"/>
      <c r="O187" s="329"/>
      <c r="P187" s="333"/>
      <c r="Q187" s="333"/>
      <c r="R187" s="329"/>
      <c r="S187" s="333"/>
    </row>
    <row r="188" spans="1:19" s="317" customFormat="1" ht="15.75" customHeight="1">
      <c r="A188" s="266" t="s">
        <v>944</v>
      </c>
      <c r="B188" s="266"/>
      <c r="C188" s="266"/>
      <c r="D188" s="309"/>
      <c r="E188" s="316" t="s">
        <v>977</v>
      </c>
      <c r="F188" s="317" t="s">
        <v>407</v>
      </c>
      <c r="G188" s="311"/>
      <c r="H188" s="312"/>
      <c r="I188" s="258"/>
      <c r="J188" s="393"/>
      <c r="K188" s="315"/>
      <c r="L188" s="315"/>
      <c r="M188" s="315"/>
      <c r="N188" s="315"/>
      <c r="O188" s="315"/>
      <c r="P188" s="315"/>
      <c r="Q188" s="315"/>
      <c r="R188" s="315"/>
      <c r="S188" s="315"/>
    </row>
    <row r="189" spans="1:19" ht="15.75" customHeight="1">
      <c r="A189" s="266" t="s">
        <v>944</v>
      </c>
      <c r="D189" s="323"/>
      <c r="E189" s="324"/>
      <c r="F189" s="330"/>
      <c r="G189" s="331"/>
      <c r="H189" s="362" t="s">
        <v>211</v>
      </c>
      <c r="I189" s="363">
        <v>2010</v>
      </c>
      <c r="J189" s="430">
        <v>0.125</v>
      </c>
      <c r="K189" s="333">
        <v>47970401.652503371</v>
      </c>
      <c r="L189" s="333">
        <v>0</v>
      </c>
      <c r="M189" s="333">
        <v>0</v>
      </c>
      <c r="N189" s="329">
        <f t="shared" ref="N189:N200" si="49">K189+L189-M189</f>
        <v>47970401.652503371</v>
      </c>
      <c r="O189" s="329">
        <v>35977801.239377514</v>
      </c>
      <c r="P189" s="333"/>
      <c r="Q189" s="333"/>
      <c r="R189" s="329">
        <f>O189+P189-Q189</f>
        <v>35977801.239377514</v>
      </c>
      <c r="S189" s="333">
        <f t="shared" ref="S189:S200" si="50">N189-R189</f>
        <v>11992600.413125858</v>
      </c>
    </row>
    <row r="190" spans="1:19" ht="15.75" customHeight="1">
      <c r="A190" s="266" t="s">
        <v>944</v>
      </c>
      <c r="D190" s="323"/>
      <c r="E190" s="324"/>
      <c r="F190" s="330"/>
      <c r="G190" s="331"/>
      <c r="H190" s="362" t="s">
        <v>408</v>
      </c>
      <c r="I190" s="363">
        <v>2010</v>
      </c>
      <c r="J190" s="430">
        <v>0.125</v>
      </c>
      <c r="K190" s="333">
        <v>4551689.9081968768</v>
      </c>
      <c r="L190" s="333">
        <v>0</v>
      </c>
      <c r="M190" s="333">
        <v>0</v>
      </c>
      <c r="N190" s="329">
        <f t="shared" si="49"/>
        <v>4551689.9081968768</v>
      </c>
      <c r="O190" s="329">
        <v>3413767.4311476601</v>
      </c>
      <c r="P190" s="333"/>
      <c r="Q190" s="333"/>
      <c r="R190" s="329">
        <f t="shared" ref="R190:R200" si="51">O190+P190-Q190</f>
        <v>3413767.4311476601</v>
      </c>
      <c r="S190" s="333">
        <f t="shared" si="50"/>
        <v>1137922.4770492166</v>
      </c>
    </row>
    <row r="191" spans="1:19" ht="15.75" customHeight="1">
      <c r="A191" s="266" t="s">
        <v>944</v>
      </c>
      <c r="D191" s="323"/>
      <c r="E191" s="324"/>
      <c r="F191" s="330"/>
      <c r="G191" s="331"/>
      <c r="H191" s="362" t="s">
        <v>409</v>
      </c>
      <c r="I191" s="363">
        <v>2010</v>
      </c>
      <c r="J191" s="430">
        <v>0.125</v>
      </c>
      <c r="K191" s="333">
        <v>630420.43789576215</v>
      </c>
      <c r="L191" s="333">
        <v>0</v>
      </c>
      <c r="M191" s="333">
        <v>0</v>
      </c>
      <c r="N191" s="329">
        <f t="shared" si="49"/>
        <v>630420.43789576215</v>
      </c>
      <c r="O191" s="329">
        <v>472815.32842182141</v>
      </c>
      <c r="P191" s="333"/>
      <c r="Q191" s="333"/>
      <c r="R191" s="329">
        <f t="shared" si="51"/>
        <v>472815.32842182141</v>
      </c>
      <c r="S191" s="333">
        <f t="shared" si="50"/>
        <v>157605.10947394074</v>
      </c>
    </row>
    <row r="192" spans="1:19" ht="15.75" customHeight="1">
      <c r="A192" s="266" t="s">
        <v>944</v>
      </c>
      <c r="D192" s="323"/>
      <c r="E192" s="324"/>
      <c r="F192" s="330"/>
      <c r="G192" s="331"/>
      <c r="H192" s="362" t="s">
        <v>410</v>
      </c>
      <c r="I192" s="363">
        <v>2010</v>
      </c>
      <c r="J192" s="430">
        <v>0.125</v>
      </c>
      <c r="K192" s="333">
        <v>608681.8021062531</v>
      </c>
      <c r="L192" s="333">
        <v>0</v>
      </c>
      <c r="M192" s="333">
        <v>0</v>
      </c>
      <c r="N192" s="329">
        <f t="shared" si="49"/>
        <v>608681.8021062531</v>
      </c>
      <c r="O192" s="329">
        <v>456511.35157969058</v>
      </c>
      <c r="P192" s="333"/>
      <c r="Q192" s="333"/>
      <c r="R192" s="329">
        <f t="shared" si="51"/>
        <v>456511.35157969058</v>
      </c>
      <c r="S192" s="333">
        <f t="shared" si="50"/>
        <v>152170.45052656252</v>
      </c>
    </row>
    <row r="193" spans="1:19" ht="15.75" customHeight="1">
      <c r="A193" s="266" t="s">
        <v>944</v>
      </c>
      <c r="D193" s="323"/>
      <c r="E193" s="324"/>
      <c r="F193" s="330"/>
      <c r="G193" s="331"/>
      <c r="H193" s="362" t="s">
        <v>411</v>
      </c>
      <c r="I193" s="363">
        <v>2011</v>
      </c>
      <c r="J193" s="430">
        <v>0.125</v>
      </c>
      <c r="K193" s="333">
        <v>986236.51245979429</v>
      </c>
      <c r="L193" s="333">
        <v>0</v>
      </c>
      <c r="M193" s="333">
        <v>0</v>
      </c>
      <c r="N193" s="329">
        <f t="shared" si="49"/>
        <v>986236.51245979429</v>
      </c>
      <c r="O193" s="329">
        <v>739677.38434484683</v>
      </c>
      <c r="P193" s="333"/>
      <c r="Q193" s="333"/>
      <c r="R193" s="329">
        <f t="shared" si="51"/>
        <v>739677.38434484683</v>
      </c>
      <c r="S193" s="333">
        <f t="shared" si="50"/>
        <v>246559.12811494747</v>
      </c>
    </row>
    <row r="194" spans="1:19" ht="15.75" customHeight="1">
      <c r="A194" s="266" t="s">
        <v>944</v>
      </c>
      <c r="D194" s="323"/>
      <c r="E194" s="324"/>
      <c r="F194" s="330"/>
      <c r="G194" s="331"/>
      <c r="H194" s="362" t="s">
        <v>412</v>
      </c>
      <c r="I194" s="363">
        <v>2012</v>
      </c>
      <c r="J194" s="430">
        <v>0.125</v>
      </c>
      <c r="K194" s="333">
        <v>2524636.8039354011</v>
      </c>
      <c r="L194" s="333">
        <v>0</v>
      </c>
      <c r="M194" s="333">
        <v>0</v>
      </c>
      <c r="N194" s="329">
        <f t="shared" si="49"/>
        <v>2524636.8039354011</v>
      </c>
      <c r="O194" s="329">
        <v>1893477.6029515527</v>
      </c>
      <c r="P194" s="333"/>
      <c r="Q194" s="333"/>
      <c r="R194" s="329">
        <f t="shared" si="51"/>
        <v>1893477.6029515527</v>
      </c>
      <c r="S194" s="333">
        <f t="shared" si="50"/>
        <v>631159.20098384842</v>
      </c>
    </row>
    <row r="195" spans="1:19" ht="15.75" customHeight="1">
      <c r="A195" s="266" t="s">
        <v>944</v>
      </c>
      <c r="D195" s="323"/>
      <c r="E195" s="324"/>
      <c r="F195" s="330"/>
      <c r="G195" s="331"/>
      <c r="H195" s="362" t="s">
        <v>413</v>
      </c>
      <c r="I195" s="363">
        <v>2013</v>
      </c>
      <c r="J195" s="430">
        <v>0.125</v>
      </c>
      <c r="K195" s="333">
        <v>304028.02706696541</v>
      </c>
      <c r="L195" s="333">
        <v>0</v>
      </c>
      <c r="M195" s="333">
        <v>0</v>
      </c>
      <c r="N195" s="329">
        <f t="shared" si="49"/>
        <v>304028.02706696541</v>
      </c>
      <c r="O195" s="329">
        <v>228021.02030022416</v>
      </c>
      <c r="P195" s="333"/>
      <c r="Q195" s="333"/>
      <c r="R195" s="329">
        <f t="shared" si="51"/>
        <v>228021.02030022416</v>
      </c>
      <c r="S195" s="333">
        <f t="shared" si="50"/>
        <v>76007.006766741251</v>
      </c>
    </row>
    <row r="196" spans="1:19" ht="15.75" customHeight="1">
      <c r="A196" s="266" t="s">
        <v>944</v>
      </c>
      <c r="D196" s="323"/>
      <c r="E196" s="324"/>
      <c r="F196" s="330"/>
      <c r="G196" s="331"/>
      <c r="H196" s="362" t="s">
        <v>413</v>
      </c>
      <c r="I196" s="363">
        <v>2013</v>
      </c>
      <c r="J196" s="430">
        <v>0.125</v>
      </c>
      <c r="K196" s="333">
        <v>962755.41904539044</v>
      </c>
      <c r="L196" s="333">
        <v>0</v>
      </c>
      <c r="M196" s="333">
        <v>0</v>
      </c>
      <c r="N196" s="329">
        <f t="shared" si="49"/>
        <v>962755.41904539044</v>
      </c>
      <c r="O196" s="329">
        <v>722066.56428404211</v>
      </c>
      <c r="P196" s="333"/>
      <c r="Q196" s="333"/>
      <c r="R196" s="329">
        <f t="shared" si="51"/>
        <v>722066.56428404211</v>
      </c>
      <c r="S196" s="333">
        <f t="shared" si="50"/>
        <v>240688.85476134834</v>
      </c>
    </row>
    <row r="197" spans="1:19" ht="15.75" customHeight="1">
      <c r="A197" s="266" t="s">
        <v>944</v>
      </c>
      <c r="D197" s="323"/>
      <c r="E197" s="324"/>
      <c r="F197" s="330"/>
      <c r="G197" s="331"/>
      <c r="H197" s="362" t="s">
        <v>414</v>
      </c>
      <c r="I197" s="363">
        <v>2013</v>
      </c>
      <c r="J197" s="430">
        <v>0.125</v>
      </c>
      <c r="K197" s="333">
        <v>970457.46239775361</v>
      </c>
      <c r="L197" s="333">
        <v>0</v>
      </c>
      <c r="M197" s="333">
        <v>0</v>
      </c>
      <c r="N197" s="329">
        <f t="shared" si="49"/>
        <v>970457.46239775361</v>
      </c>
      <c r="O197" s="329">
        <v>727843.09679831518</v>
      </c>
      <c r="P197" s="333"/>
      <c r="Q197" s="333"/>
      <c r="R197" s="329">
        <f t="shared" si="51"/>
        <v>727843.09679831518</v>
      </c>
      <c r="S197" s="333">
        <f t="shared" si="50"/>
        <v>242614.36559943843</v>
      </c>
    </row>
    <row r="198" spans="1:19" ht="15.75" customHeight="1">
      <c r="A198" s="266" t="s">
        <v>944</v>
      </c>
      <c r="D198" s="323"/>
      <c r="E198" s="324"/>
      <c r="F198" s="330"/>
      <c r="G198" s="331"/>
      <c r="H198" s="362" t="s">
        <v>211</v>
      </c>
      <c r="I198" s="411">
        <v>2016</v>
      </c>
      <c r="J198" s="430">
        <v>0.125</v>
      </c>
      <c r="K198" s="333">
        <v>6500000</v>
      </c>
      <c r="L198" s="333">
        <v>0</v>
      </c>
      <c r="M198" s="333">
        <v>0</v>
      </c>
      <c r="N198" s="329">
        <f t="shared" si="49"/>
        <v>6500000</v>
      </c>
      <c r="O198" s="329">
        <v>4468750.0000000028</v>
      </c>
      <c r="P198" s="333"/>
      <c r="Q198" s="333"/>
      <c r="R198" s="329">
        <f t="shared" si="51"/>
        <v>4468750.0000000028</v>
      </c>
      <c r="S198" s="333">
        <f t="shared" si="50"/>
        <v>2031249.9999999972</v>
      </c>
    </row>
    <row r="199" spans="1:19" ht="15.75" customHeight="1">
      <c r="A199" s="266" t="s">
        <v>944</v>
      </c>
      <c r="D199" s="323"/>
      <c r="E199" s="324"/>
      <c r="F199" s="330"/>
      <c r="G199" s="331"/>
      <c r="H199" s="442" t="s">
        <v>415</v>
      </c>
      <c r="I199" s="443">
        <v>2020</v>
      </c>
      <c r="J199" s="444">
        <v>0.125</v>
      </c>
      <c r="K199" s="445">
        <v>1544000</v>
      </c>
      <c r="L199" s="445"/>
      <c r="M199" s="333">
        <v>0</v>
      </c>
      <c r="N199" s="329">
        <f t="shared" si="49"/>
        <v>1544000</v>
      </c>
      <c r="O199" s="329">
        <v>321666.66666666669</v>
      </c>
      <c r="P199" s="333"/>
      <c r="Q199" s="333"/>
      <c r="R199" s="329">
        <f t="shared" si="51"/>
        <v>321666.66666666669</v>
      </c>
      <c r="S199" s="333">
        <f t="shared" si="50"/>
        <v>1222333.3333333333</v>
      </c>
    </row>
    <row r="200" spans="1:19" ht="15.75" customHeight="1">
      <c r="A200" s="266" t="s">
        <v>944</v>
      </c>
      <c r="D200" s="323"/>
      <c r="E200" s="324"/>
      <c r="F200" s="330"/>
      <c r="G200" s="331"/>
      <c r="H200" s="446" t="s">
        <v>406</v>
      </c>
      <c r="I200" s="262">
        <v>2020</v>
      </c>
      <c r="J200" s="444">
        <v>0.125</v>
      </c>
      <c r="K200" s="447">
        <v>468772957</v>
      </c>
      <c r="L200" s="333"/>
      <c r="M200" s="333">
        <v>0</v>
      </c>
      <c r="N200" s="329">
        <f t="shared" si="49"/>
        <v>468772957</v>
      </c>
      <c r="O200" s="329">
        <v>25698411.370000001</v>
      </c>
      <c r="P200" s="333"/>
      <c r="Q200" s="333"/>
      <c r="R200" s="329">
        <f t="shared" si="51"/>
        <v>25698411.370000001</v>
      </c>
      <c r="S200" s="333">
        <f t="shared" si="50"/>
        <v>443074545.63</v>
      </c>
    </row>
    <row r="201" spans="1:19" s="317" customFormat="1" ht="15.75" customHeight="1">
      <c r="A201" s="266" t="s">
        <v>944</v>
      </c>
      <c r="B201" s="266"/>
      <c r="C201" s="266"/>
      <c r="D201" s="309"/>
      <c r="E201" s="1235" t="s">
        <v>978</v>
      </c>
      <c r="F201" s="1236"/>
      <c r="G201" s="1236"/>
      <c r="H201" s="1236"/>
      <c r="I201" s="1236"/>
      <c r="J201" s="1237"/>
      <c r="K201" s="342">
        <f>SUM(K189:K200)</f>
        <v>536326265.02560759</v>
      </c>
      <c r="L201" s="342">
        <f t="shared" ref="L201:S201" si="52">SUM(L189:L200)</f>
        <v>0</v>
      </c>
      <c r="M201" s="342">
        <f t="shared" si="52"/>
        <v>0</v>
      </c>
      <c r="N201" s="342">
        <f t="shared" si="52"/>
        <v>536326265.02560759</v>
      </c>
      <c r="O201" s="342">
        <f t="shared" si="52"/>
        <v>75120809.055872321</v>
      </c>
      <c r="P201" s="342">
        <f t="shared" si="52"/>
        <v>0</v>
      </c>
      <c r="Q201" s="342">
        <f t="shared" si="52"/>
        <v>0</v>
      </c>
      <c r="R201" s="342">
        <f t="shared" si="52"/>
        <v>75120809.055872321</v>
      </c>
      <c r="S201" s="342">
        <f t="shared" si="52"/>
        <v>461205455.96973521</v>
      </c>
    </row>
    <row r="202" spans="1:19" ht="15.75" customHeight="1">
      <c r="D202" s="387"/>
      <c r="E202" s="388"/>
      <c r="F202" s="330"/>
      <c r="G202" s="380"/>
      <c r="H202" s="394"/>
      <c r="I202" s="395"/>
      <c r="J202" s="364"/>
      <c r="K202" s="329"/>
      <c r="L202" s="333"/>
      <c r="M202" s="333"/>
      <c r="N202" s="329"/>
      <c r="O202" s="329"/>
      <c r="P202" s="333"/>
      <c r="Q202" s="329"/>
      <c r="R202" s="329"/>
      <c r="S202" s="329"/>
    </row>
    <row r="203" spans="1:19" s="425" customFormat="1" ht="25" customHeight="1">
      <c r="A203" s="266"/>
      <c r="B203" s="266"/>
      <c r="C203" s="266"/>
      <c r="D203" s="1229" t="s">
        <v>979</v>
      </c>
      <c r="E203" s="1230"/>
      <c r="F203" s="1230"/>
      <c r="G203" s="1230"/>
      <c r="H203" s="1230"/>
      <c r="I203" s="1230"/>
      <c r="J203" s="1231"/>
      <c r="K203" s="342">
        <f>K176+K186+K201</f>
        <v>1012785765.0256076</v>
      </c>
      <c r="L203" s="342">
        <f t="shared" ref="L203:S203" si="53">L176+L186+L201</f>
        <v>0</v>
      </c>
      <c r="M203" s="342">
        <f t="shared" si="53"/>
        <v>0</v>
      </c>
      <c r="N203" s="342">
        <f>N176+N186+N201</f>
        <v>1012785765.0256076</v>
      </c>
      <c r="O203" s="342">
        <f>O176+O186+O201</f>
        <v>401664392.38920563</v>
      </c>
      <c r="P203" s="342">
        <f t="shared" si="53"/>
        <v>54074500.000000067</v>
      </c>
      <c r="Q203" s="342">
        <f t="shared" si="53"/>
        <v>0</v>
      </c>
      <c r="R203" s="342">
        <f t="shared" si="53"/>
        <v>455738892.38920569</v>
      </c>
      <c r="S203" s="342">
        <f t="shared" si="53"/>
        <v>557046872.63640189</v>
      </c>
    </row>
    <row r="204" spans="1:19" ht="15.75" customHeight="1">
      <c r="D204" s="323"/>
      <c r="E204" s="324"/>
      <c r="F204" s="302"/>
      <c r="G204" s="303"/>
      <c r="H204" s="448"/>
      <c r="I204" s="354"/>
      <c r="J204" s="396"/>
      <c r="K204" s="356"/>
      <c r="L204" s="356"/>
      <c r="M204" s="356"/>
      <c r="N204" s="356"/>
      <c r="O204" s="356"/>
      <c r="P204" s="356"/>
      <c r="Q204" s="356"/>
      <c r="R204" s="356"/>
      <c r="S204" s="356"/>
    </row>
    <row r="205" spans="1:19" s="317" customFormat="1" ht="15.75" customHeight="1">
      <c r="A205" s="266" t="s">
        <v>935</v>
      </c>
      <c r="B205" s="308" t="s">
        <v>980</v>
      </c>
      <c r="C205" s="308" t="s">
        <v>980</v>
      </c>
      <c r="D205" s="357">
        <v>4</v>
      </c>
      <c r="E205" s="353" t="s">
        <v>980</v>
      </c>
      <c r="G205" s="311"/>
      <c r="H205" s="312"/>
      <c r="I205" s="258"/>
      <c r="J205" s="393"/>
      <c r="K205" s="315"/>
      <c r="L205" s="315"/>
      <c r="M205" s="315"/>
      <c r="N205" s="315"/>
      <c r="O205" s="315"/>
      <c r="P205" s="315"/>
      <c r="Q205" s="315"/>
      <c r="R205" s="315"/>
      <c r="S205" s="315"/>
    </row>
    <row r="206" spans="1:19" s="317" customFormat="1" ht="15.75" customHeight="1">
      <c r="A206" s="266" t="s">
        <v>935</v>
      </c>
      <c r="B206" s="266"/>
      <c r="C206" s="266"/>
      <c r="D206" s="309"/>
      <c r="E206" s="316" t="s">
        <v>854</v>
      </c>
      <c r="F206" s="317" t="s">
        <v>416</v>
      </c>
      <c r="G206" s="311"/>
      <c r="H206" s="312"/>
      <c r="I206" s="258"/>
      <c r="J206" s="393"/>
      <c r="K206" s="315"/>
      <c r="L206" s="315"/>
      <c r="M206" s="315"/>
      <c r="N206" s="315"/>
      <c r="O206" s="315"/>
      <c r="P206" s="315"/>
      <c r="Q206" s="315"/>
      <c r="R206" s="315"/>
      <c r="S206" s="315"/>
    </row>
    <row r="207" spans="1:19" s="317" customFormat="1" ht="15.75" customHeight="1">
      <c r="A207" s="266" t="s">
        <v>935</v>
      </c>
      <c r="B207" s="266"/>
      <c r="C207" s="266"/>
      <c r="D207" s="357"/>
      <c r="E207" s="301"/>
      <c r="F207" s="316" t="s">
        <v>981</v>
      </c>
      <c r="G207" s="311" t="s">
        <v>405</v>
      </c>
      <c r="H207" s="312"/>
      <c r="I207" s="258"/>
      <c r="J207" s="393"/>
      <c r="K207" s="315"/>
      <c r="L207" s="315"/>
      <c r="M207" s="315"/>
      <c r="N207" s="315"/>
      <c r="O207" s="315"/>
      <c r="P207" s="315"/>
      <c r="Q207" s="315"/>
      <c r="R207" s="315"/>
      <c r="S207" s="315"/>
    </row>
    <row r="208" spans="1:19" ht="15.75" customHeight="1">
      <c r="A208" s="266" t="s">
        <v>935</v>
      </c>
      <c r="D208" s="309"/>
      <c r="E208" s="316"/>
      <c r="F208" s="353"/>
      <c r="G208" s="311"/>
      <c r="H208" s="362" t="s">
        <v>418</v>
      </c>
      <c r="I208" s="363">
        <v>2010</v>
      </c>
      <c r="J208" s="393">
        <v>0.25</v>
      </c>
      <c r="K208" s="333">
        <v>261140000</v>
      </c>
      <c r="L208" s="333">
        <v>0</v>
      </c>
      <c r="M208" s="333">
        <v>0</v>
      </c>
      <c r="N208" s="329">
        <f>K208+L208-M208</f>
        <v>261140000</v>
      </c>
      <c r="O208" s="329">
        <v>261140000</v>
      </c>
      <c r="P208" s="333">
        <v>0</v>
      </c>
      <c r="Q208" s="333">
        <v>0</v>
      </c>
      <c r="R208" s="329">
        <f>O208+P208-Q208</f>
        <v>261140000</v>
      </c>
      <c r="S208" s="333">
        <f>N208-R208</f>
        <v>0</v>
      </c>
    </row>
    <row r="209" spans="1:19" ht="15.75" customHeight="1">
      <c r="A209" s="266" t="s">
        <v>935</v>
      </c>
      <c r="D209" s="309"/>
      <c r="E209" s="316"/>
      <c r="F209" s="353"/>
      <c r="G209" s="311"/>
      <c r="H209" s="362" t="s">
        <v>419</v>
      </c>
      <c r="I209" s="363">
        <v>2011</v>
      </c>
      <c r="J209" s="393">
        <v>0.25</v>
      </c>
      <c r="K209" s="333">
        <v>312013000</v>
      </c>
      <c r="L209" s="333">
        <v>0</v>
      </c>
      <c r="M209" s="333">
        <v>0</v>
      </c>
      <c r="N209" s="329">
        <f>K209+L209-M209</f>
        <v>312013000</v>
      </c>
      <c r="O209" s="329">
        <v>312013000</v>
      </c>
      <c r="P209" s="333">
        <v>0</v>
      </c>
      <c r="Q209" s="333">
        <v>0</v>
      </c>
      <c r="R209" s="329">
        <f>O209+P209-Q209</f>
        <v>312013000</v>
      </c>
      <c r="S209" s="333">
        <f>N209-R209</f>
        <v>0</v>
      </c>
    </row>
    <row r="210" spans="1:19" ht="15.75" customHeight="1">
      <c r="A210" s="266" t="s">
        <v>935</v>
      </c>
      <c r="D210" s="309"/>
      <c r="E210" s="316"/>
      <c r="F210" s="353"/>
      <c r="G210" s="311"/>
      <c r="H210" s="408" t="s">
        <v>420</v>
      </c>
      <c r="I210" s="431">
        <v>2011</v>
      </c>
      <c r="J210" s="396">
        <v>0.25</v>
      </c>
      <c r="K210" s="333">
        <v>215914000</v>
      </c>
      <c r="L210" s="333">
        <v>0</v>
      </c>
      <c r="M210" s="333">
        <v>0</v>
      </c>
      <c r="N210" s="329">
        <f>K210+L210-M210</f>
        <v>215914000</v>
      </c>
      <c r="O210" s="329">
        <v>215914000</v>
      </c>
      <c r="P210" s="333">
        <v>0</v>
      </c>
      <c r="Q210" s="333">
        <v>0</v>
      </c>
      <c r="R210" s="329">
        <f>O210+P210-Q210</f>
        <v>215914000</v>
      </c>
      <c r="S210" s="333">
        <f>N210-R210</f>
        <v>0</v>
      </c>
    </row>
    <row r="211" spans="1:19" ht="15.75" customHeight="1">
      <c r="D211" s="309"/>
      <c r="E211" s="316"/>
      <c r="F211" s="449"/>
      <c r="G211" s="450"/>
      <c r="H211" s="381" t="s">
        <v>421</v>
      </c>
      <c r="I211" s="451">
        <v>2019</v>
      </c>
      <c r="J211" s="364"/>
      <c r="K211" s="333">
        <v>181518750</v>
      </c>
      <c r="L211" s="333">
        <v>0</v>
      </c>
      <c r="M211" s="333">
        <v>0</v>
      </c>
      <c r="N211" s="329">
        <f>K211+L211-M211</f>
        <v>181518750</v>
      </c>
      <c r="O211" s="329">
        <v>109788316.77083333</v>
      </c>
      <c r="P211" s="333">
        <v>45379687.499999985</v>
      </c>
      <c r="Q211" s="348">
        <v>0</v>
      </c>
      <c r="R211" s="329">
        <f>O211+P211-Q211</f>
        <v>155168004.27083331</v>
      </c>
      <c r="S211" s="333">
        <f>N211-R211</f>
        <v>26350745.729166687</v>
      </c>
    </row>
    <row r="212" spans="1:19" ht="15.75" customHeight="1">
      <c r="D212" s="309"/>
      <c r="E212" s="316"/>
      <c r="F212" s="353"/>
      <c r="G212" s="311"/>
      <c r="H212" s="394" t="s">
        <v>422</v>
      </c>
      <c r="I212" s="452">
        <v>2020</v>
      </c>
      <c r="J212" s="393">
        <v>0.25</v>
      </c>
      <c r="K212" s="348">
        <v>34632367993.639999</v>
      </c>
      <c r="L212" s="333">
        <v>0</v>
      </c>
      <c r="M212" s="333">
        <v>0</v>
      </c>
      <c r="N212" s="329">
        <f>K212+L212-M212</f>
        <v>34632367993.639999</v>
      </c>
      <c r="O212" s="348"/>
      <c r="P212" s="333">
        <v>0</v>
      </c>
      <c r="Q212" s="333">
        <v>0</v>
      </c>
      <c r="R212" s="329">
        <f>O212+P212-Q212</f>
        <v>0</v>
      </c>
      <c r="S212" s="333">
        <f>N212-R212</f>
        <v>34632367993.639999</v>
      </c>
    </row>
    <row r="213" spans="1:19" ht="15.75" customHeight="1">
      <c r="A213" s="266" t="s">
        <v>935</v>
      </c>
      <c r="D213" s="387"/>
      <c r="E213" s="388"/>
      <c r="F213" s="1241" t="s">
        <v>982</v>
      </c>
      <c r="G213" s="1242"/>
      <c r="H213" s="1242"/>
      <c r="I213" s="1242"/>
      <c r="J213" s="1243"/>
      <c r="K213" s="342">
        <f>SUM(K208:K212)</f>
        <v>35602953743.639999</v>
      </c>
      <c r="L213" s="342">
        <f t="shared" ref="L213:S213" si="54">SUM(L208:L212)</f>
        <v>0</v>
      </c>
      <c r="M213" s="342">
        <f t="shared" si="54"/>
        <v>0</v>
      </c>
      <c r="N213" s="342">
        <f t="shared" si="54"/>
        <v>35602953743.639999</v>
      </c>
      <c r="O213" s="342">
        <f t="shared" si="54"/>
        <v>898855316.77083337</v>
      </c>
      <c r="P213" s="342">
        <f t="shared" si="54"/>
        <v>45379687.499999985</v>
      </c>
      <c r="Q213" s="342">
        <f t="shared" si="54"/>
        <v>0</v>
      </c>
      <c r="R213" s="342">
        <f t="shared" si="54"/>
        <v>944235004.27083325</v>
      </c>
      <c r="S213" s="342">
        <f t="shared" si="54"/>
        <v>34658718739.369164</v>
      </c>
    </row>
    <row r="214" spans="1:19" s="317" customFormat="1" ht="15.75" customHeight="1">
      <c r="A214" s="266" t="s">
        <v>935</v>
      </c>
      <c r="B214" s="266"/>
      <c r="C214" s="266"/>
      <c r="D214" s="309"/>
      <c r="E214" s="1235" t="s">
        <v>983</v>
      </c>
      <c r="F214" s="1236"/>
      <c r="G214" s="1236"/>
      <c r="H214" s="1236"/>
      <c r="I214" s="1236"/>
      <c r="J214" s="1237"/>
      <c r="K214" s="342">
        <f>K213</f>
        <v>35602953743.639999</v>
      </c>
      <c r="L214" s="342">
        <f t="shared" ref="L214:S214" si="55">L213</f>
        <v>0</v>
      </c>
      <c r="M214" s="342">
        <f t="shared" si="55"/>
        <v>0</v>
      </c>
      <c r="N214" s="342">
        <f t="shared" si="55"/>
        <v>35602953743.639999</v>
      </c>
      <c r="O214" s="342">
        <f t="shared" si="55"/>
        <v>898855316.77083337</v>
      </c>
      <c r="P214" s="342">
        <f t="shared" si="55"/>
        <v>45379687.499999985</v>
      </c>
      <c r="Q214" s="342">
        <f t="shared" si="55"/>
        <v>0</v>
      </c>
      <c r="R214" s="342">
        <f t="shared" si="55"/>
        <v>944235004.27083325</v>
      </c>
      <c r="S214" s="342">
        <f t="shared" si="55"/>
        <v>34658718739.369164</v>
      </c>
    </row>
    <row r="215" spans="1:19" ht="15.75" customHeight="1">
      <c r="D215" s="387"/>
      <c r="E215" s="324"/>
      <c r="F215" s="330"/>
      <c r="G215" s="370"/>
      <c r="H215" s="362"/>
      <c r="I215" s="414"/>
      <c r="J215" s="393"/>
      <c r="K215" s="329"/>
      <c r="L215" s="333"/>
      <c r="M215" s="333"/>
      <c r="N215" s="329"/>
      <c r="O215" s="329"/>
      <c r="P215" s="333"/>
      <c r="Q215" s="329"/>
      <c r="R215" s="329"/>
      <c r="S215" s="329"/>
    </row>
    <row r="216" spans="1:19" s="317" customFormat="1" ht="15.75" customHeight="1">
      <c r="A216" s="266" t="s">
        <v>938</v>
      </c>
      <c r="B216" s="266"/>
      <c r="C216" s="266"/>
      <c r="D216" s="309"/>
      <c r="E216" s="316" t="s">
        <v>871</v>
      </c>
      <c r="F216" s="317" t="s">
        <v>423</v>
      </c>
      <c r="G216" s="311"/>
      <c r="H216" s="312"/>
      <c r="I216" s="258"/>
      <c r="J216" s="393"/>
      <c r="K216" s="315"/>
      <c r="L216" s="315"/>
      <c r="M216" s="315"/>
      <c r="N216" s="315"/>
      <c r="O216" s="315"/>
      <c r="P216" s="315"/>
      <c r="Q216" s="315"/>
      <c r="R216" s="315"/>
      <c r="S216" s="315"/>
    </row>
    <row r="217" spans="1:19" ht="15.75" customHeight="1">
      <c r="A217" s="266" t="s">
        <v>938</v>
      </c>
      <c r="D217" s="309"/>
      <c r="E217" s="316"/>
      <c r="F217" s="353"/>
      <c r="G217" s="311"/>
      <c r="H217" s="362" t="s">
        <v>418</v>
      </c>
      <c r="I217" s="363">
        <v>2014</v>
      </c>
      <c r="J217" s="393">
        <v>0.25</v>
      </c>
      <c r="K217" s="333">
        <v>125361500</v>
      </c>
      <c r="L217" s="333">
        <v>0</v>
      </c>
      <c r="M217" s="333">
        <v>0</v>
      </c>
      <c r="N217" s="329">
        <f t="shared" ref="N217:N223" si="56">K217+L217-M217</f>
        <v>125361500</v>
      </c>
      <c r="O217" s="329">
        <v>94021125.00000003</v>
      </c>
      <c r="P217" s="333">
        <v>0</v>
      </c>
      <c r="Q217" s="333">
        <v>0</v>
      </c>
      <c r="R217" s="329">
        <f t="shared" ref="R217:R223" si="57">O217+P217-Q217</f>
        <v>94021125.00000003</v>
      </c>
      <c r="S217" s="333">
        <f t="shared" ref="S217:S223" si="58">N217-R217</f>
        <v>31340374.99999997</v>
      </c>
    </row>
    <row r="218" spans="1:19" ht="15.75" customHeight="1">
      <c r="A218" s="266" t="s">
        <v>938</v>
      </c>
      <c r="D218" s="309"/>
      <c r="E218" s="316"/>
      <c r="F218" s="353"/>
      <c r="G218" s="311"/>
      <c r="H218" s="362" t="s">
        <v>424</v>
      </c>
      <c r="I218" s="363">
        <v>2005</v>
      </c>
      <c r="J218" s="393">
        <v>0.25</v>
      </c>
      <c r="K218" s="333">
        <v>117276000</v>
      </c>
      <c r="L218" s="333">
        <v>0</v>
      </c>
      <c r="M218" s="333">
        <v>0</v>
      </c>
      <c r="N218" s="329">
        <f t="shared" si="56"/>
        <v>117276000</v>
      </c>
      <c r="O218" s="329">
        <v>87957000</v>
      </c>
      <c r="P218" s="333">
        <v>0</v>
      </c>
      <c r="Q218" s="333">
        <v>0</v>
      </c>
      <c r="R218" s="329">
        <f t="shared" si="57"/>
        <v>87957000</v>
      </c>
      <c r="S218" s="333">
        <f t="shared" si="58"/>
        <v>29319000</v>
      </c>
    </row>
    <row r="219" spans="1:19" ht="15.75" customHeight="1">
      <c r="A219" s="266" t="s">
        <v>938</v>
      </c>
      <c r="D219" s="309"/>
      <c r="E219" s="316"/>
      <c r="F219" s="353"/>
      <c r="G219" s="311"/>
      <c r="H219" s="362" t="s">
        <v>425</v>
      </c>
      <c r="I219" s="363">
        <v>2005</v>
      </c>
      <c r="J219" s="393">
        <v>0.25</v>
      </c>
      <c r="K219" s="333">
        <v>4909530000</v>
      </c>
      <c r="L219" s="333">
        <v>0</v>
      </c>
      <c r="M219" s="333">
        <v>0</v>
      </c>
      <c r="N219" s="329">
        <f t="shared" si="56"/>
        <v>4909530000</v>
      </c>
      <c r="O219" s="329">
        <v>3682147500</v>
      </c>
      <c r="P219" s="333">
        <v>0</v>
      </c>
      <c r="Q219" s="333">
        <v>0</v>
      </c>
      <c r="R219" s="329">
        <f t="shared" si="57"/>
        <v>3682147500</v>
      </c>
      <c r="S219" s="333">
        <f t="shared" si="58"/>
        <v>1227382500</v>
      </c>
    </row>
    <row r="220" spans="1:19" ht="15.75" customHeight="1">
      <c r="D220" s="309"/>
      <c r="E220" s="316"/>
      <c r="F220" s="353"/>
      <c r="G220" s="311"/>
      <c r="H220" s="362" t="s">
        <v>426</v>
      </c>
      <c r="I220" s="453">
        <v>2015</v>
      </c>
      <c r="J220" s="393">
        <v>0.25</v>
      </c>
      <c r="K220" s="333">
        <v>8590909</v>
      </c>
      <c r="L220" s="333">
        <v>0</v>
      </c>
      <c r="M220" s="333">
        <v>0</v>
      </c>
      <c r="N220" s="329">
        <f t="shared" si="56"/>
        <v>8590909</v>
      </c>
      <c r="O220" s="329">
        <v>6443182</v>
      </c>
      <c r="P220" s="333">
        <v>0</v>
      </c>
      <c r="Q220" s="333">
        <v>0</v>
      </c>
      <c r="R220" s="329">
        <f t="shared" si="57"/>
        <v>6443182</v>
      </c>
      <c r="S220" s="333">
        <f t="shared" si="58"/>
        <v>2147727</v>
      </c>
    </row>
    <row r="221" spans="1:19" ht="15.75" customHeight="1">
      <c r="A221" s="266" t="s">
        <v>938</v>
      </c>
      <c r="D221" s="309"/>
      <c r="E221" s="316"/>
      <c r="F221" s="353"/>
      <c r="G221" s="311"/>
      <c r="H221" s="362" t="s">
        <v>427</v>
      </c>
      <c r="I221" s="409">
        <v>2016</v>
      </c>
      <c r="J221" s="393">
        <v>0.25</v>
      </c>
      <c r="K221" s="333">
        <v>27595946</v>
      </c>
      <c r="L221" s="333">
        <v>0</v>
      </c>
      <c r="M221" s="333">
        <v>0</v>
      </c>
      <c r="N221" s="329">
        <f t="shared" si="56"/>
        <v>27595946</v>
      </c>
      <c r="O221" s="329">
        <v>16097635.16666666</v>
      </c>
      <c r="P221" s="333">
        <v>0</v>
      </c>
      <c r="Q221" s="333">
        <v>0</v>
      </c>
      <c r="R221" s="329">
        <f t="shared" si="57"/>
        <v>16097635.16666666</v>
      </c>
      <c r="S221" s="333">
        <f t="shared" si="58"/>
        <v>11498310.83333334</v>
      </c>
    </row>
    <row r="222" spans="1:19" ht="15.75" customHeight="1">
      <c r="D222" s="309"/>
      <c r="E222" s="316"/>
      <c r="F222" s="454"/>
      <c r="G222" s="311"/>
      <c r="H222" s="362" t="s">
        <v>428</v>
      </c>
      <c r="I222" s="409" t="s">
        <v>430</v>
      </c>
      <c r="J222" s="393">
        <v>0.25</v>
      </c>
      <c r="K222" s="333">
        <v>77464120</v>
      </c>
      <c r="L222" s="333">
        <v>0</v>
      </c>
      <c r="M222" s="333">
        <v>0</v>
      </c>
      <c r="N222" s="329">
        <f t="shared" si="56"/>
        <v>77464120</v>
      </c>
      <c r="O222" s="329">
        <v>6455343.333333333</v>
      </c>
      <c r="P222" s="333">
        <v>0</v>
      </c>
      <c r="Q222" s="333">
        <v>0</v>
      </c>
      <c r="R222" s="329">
        <f t="shared" si="57"/>
        <v>6455343.333333333</v>
      </c>
      <c r="S222" s="333">
        <f t="shared" si="58"/>
        <v>71008776.666666672</v>
      </c>
    </row>
    <row r="223" spans="1:19" ht="15.75" customHeight="1">
      <c r="D223" s="309"/>
      <c r="E223" s="316"/>
      <c r="F223" s="455"/>
      <c r="G223" s="450"/>
      <c r="H223" s="420" t="s">
        <v>429</v>
      </c>
      <c r="I223" s="411" t="s">
        <v>431</v>
      </c>
      <c r="J223" s="383">
        <v>0.25</v>
      </c>
      <c r="K223" s="333">
        <v>342750014</v>
      </c>
      <c r="L223" s="333">
        <v>0</v>
      </c>
      <c r="M223" s="333">
        <v>0</v>
      </c>
      <c r="N223" s="329">
        <f t="shared" si="56"/>
        <v>342750014</v>
      </c>
      <c r="O223" s="329">
        <v>21421875.875</v>
      </c>
      <c r="P223" s="333">
        <v>0</v>
      </c>
      <c r="Q223" s="333">
        <v>0</v>
      </c>
      <c r="R223" s="329">
        <f t="shared" si="57"/>
        <v>21421875.875</v>
      </c>
      <c r="S223" s="333">
        <f t="shared" si="58"/>
        <v>321328138.125</v>
      </c>
    </row>
    <row r="224" spans="1:19" s="317" customFormat="1" ht="15.75" customHeight="1">
      <c r="A224" s="266" t="s">
        <v>938</v>
      </c>
      <c r="B224" s="266"/>
      <c r="C224" s="266"/>
      <c r="D224" s="309"/>
      <c r="E224" s="1235" t="s">
        <v>984</v>
      </c>
      <c r="F224" s="1236"/>
      <c r="G224" s="1236"/>
      <c r="H224" s="1236"/>
      <c r="I224" s="1236"/>
      <c r="J224" s="1237"/>
      <c r="K224" s="342">
        <f>SUM(K217:K223)</f>
        <v>5608568489</v>
      </c>
      <c r="L224" s="342">
        <f t="shared" ref="L224:S224" si="59">SUM(L217:L223)</f>
        <v>0</v>
      </c>
      <c r="M224" s="342">
        <f t="shared" si="59"/>
        <v>0</v>
      </c>
      <c r="N224" s="342">
        <f t="shared" si="59"/>
        <v>5608568489</v>
      </c>
      <c r="O224" s="342">
        <f t="shared" si="59"/>
        <v>3914543661.375</v>
      </c>
      <c r="P224" s="342">
        <f t="shared" si="59"/>
        <v>0</v>
      </c>
      <c r="Q224" s="342">
        <f t="shared" si="59"/>
        <v>0</v>
      </c>
      <c r="R224" s="342">
        <f t="shared" si="59"/>
        <v>3914543661.375</v>
      </c>
      <c r="S224" s="342">
        <f t="shared" si="59"/>
        <v>1694024827.625</v>
      </c>
    </row>
    <row r="225" spans="1:19" ht="15.75" customHeight="1">
      <c r="D225" s="309"/>
      <c r="E225" s="316"/>
      <c r="F225" s="353"/>
      <c r="G225" s="311"/>
      <c r="H225" s="362"/>
      <c r="I225" s="414"/>
      <c r="J225" s="393"/>
      <c r="K225" s="333"/>
      <c r="L225" s="333"/>
      <c r="M225" s="333"/>
      <c r="N225" s="333"/>
      <c r="O225" s="329"/>
      <c r="P225" s="333"/>
      <c r="Q225" s="333"/>
      <c r="R225" s="329"/>
      <c r="S225" s="333"/>
    </row>
    <row r="226" spans="1:19" s="317" customFormat="1" ht="15.75" customHeight="1">
      <c r="A226" s="266" t="s">
        <v>944</v>
      </c>
      <c r="B226" s="266"/>
      <c r="C226" s="266"/>
      <c r="D226" s="309"/>
      <c r="E226" s="316" t="s">
        <v>985</v>
      </c>
      <c r="F226" s="317" t="s">
        <v>432</v>
      </c>
      <c r="G226" s="311"/>
      <c r="H226" s="312"/>
      <c r="I226" s="258"/>
      <c r="J226" s="393"/>
      <c r="K226" s="315"/>
      <c r="L226" s="315"/>
      <c r="M226" s="315"/>
      <c r="N226" s="315"/>
      <c r="O226" s="315"/>
      <c r="P226" s="333"/>
      <c r="Q226" s="315"/>
      <c r="R226" s="315"/>
      <c r="S226" s="315"/>
    </row>
    <row r="227" spans="1:19" ht="15.75" customHeight="1">
      <c r="A227" s="266" t="s">
        <v>944</v>
      </c>
      <c r="D227" s="309"/>
      <c r="E227" s="316"/>
      <c r="F227" s="353"/>
      <c r="G227" s="311"/>
      <c r="H227" s="362" t="s">
        <v>433</v>
      </c>
      <c r="I227" s="363">
        <v>2014</v>
      </c>
      <c r="J227" s="393">
        <v>0.25</v>
      </c>
      <c r="K227" s="333">
        <v>12800000</v>
      </c>
      <c r="L227" s="333">
        <v>0</v>
      </c>
      <c r="M227" s="333">
        <v>0</v>
      </c>
      <c r="N227" s="329">
        <f t="shared" ref="N227:N236" si="60">K227+L227-M227</f>
        <v>12800000</v>
      </c>
      <c r="O227" s="416">
        <v>12799999.999999994</v>
      </c>
      <c r="P227" s="329">
        <v>0</v>
      </c>
      <c r="Q227" s="333">
        <v>0</v>
      </c>
      <c r="R227" s="329">
        <f>O227+P227-Q227</f>
        <v>12799999.999999994</v>
      </c>
      <c r="S227" s="333">
        <f t="shared" ref="S227:S236" si="61">N227-R227</f>
        <v>0</v>
      </c>
    </row>
    <row r="228" spans="1:19" ht="15.75" customHeight="1">
      <c r="A228" s="266" t="s">
        <v>944</v>
      </c>
      <c r="D228" s="309"/>
      <c r="E228" s="316"/>
      <c r="F228" s="353"/>
      <c r="G228" s="311"/>
      <c r="H228" s="362" t="s">
        <v>424</v>
      </c>
      <c r="I228" s="363">
        <v>2014</v>
      </c>
      <c r="J228" s="393">
        <v>0.25</v>
      </c>
      <c r="K228" s="333">
        <v>58973000</v>
      </c>
      <c r="L228" s="333">
        <v>0</v>
      </c>
      <c r="M228" s="333">
        <v>0</v>
      </c>
      <c r="N228" s="329">
        <f t="shared" si="60"/>
        <v>58973000</v>
      </c>
      <c r="O228" s="416">
        <v>58972999.999999963</v>
      </c>
      <c r="P228" s="329">
        <v>0</v>
      </c>
      <c r="Q228" s="333">
        <v>0</v>
      </c>
      <c r="R228" s="329">
        <f t="shared" ref="R228:R236" si="62">O228+P228-Q228</f>
        <v>58972999.999999963</v>
      </c>
      <c r="S228" s="333">
        <f t="shared" si="61"/>
        <v>0</v>
      </c>
    </row>
    <row r="229" spans="1:19" ht="15.75" customHeight="1">
      <c r="A229" s="266" t="s">
        <v>944</v>
      </c>
      <c r="D229" s="309"/>
      <c r="E229" s="316"/>
      <c r="F229" s="353"/>
      <c r="G229" s="311"/>
      <c r="H229" s="362" t="s">
        <v>425</v>
      </c>
      <c r="I229" s="363">
        <v>2010</v>
      </c>
      <c r="J229" s="393">
        <v>0.25</v>
      </c>
      <c r="K229" s="333">
        <v>7780483000</v>
      </c>
      <c r="L229" s="333">
        <v>0</v>
      </c>
      <c r="M229" s="333">
        <v>0</v>
      </c>
      <c r="N229" s="329">
        <f t="shared" si="60"/>
        <v>7780483000</v>
      </c>
      <c r="O229" s="416">
        <v>7780482999.9999952</v>
      </c>
      <c r="P229" s="329">
        <v>0</v>
      </c>
      <c r="Q229" s="333">
        <v>0</v>
      </c>
      <c r="R229" s="329">
        <f t="shared" si="62"/>
        <v>7780482999.9999952</v>
      </c>
      <c r="S229" s="333">
        <f t="shared" si="61"/>
        <v>0</v>
      </c>
    </row>
    <row r="230" spans="1:19" ht="15.75" customHeight="1">
      <c r="D230" s="309"/>
      <c r="E230" s="316"/>
      <c r="F230" s="353"/>
      <c r="G230" s="311"/>
      <c r="H230" s="362" t="s">
        <v>434</v>
      </c>
      <c r="I230" s="409">
        <v>2016</v>
      </c>
      <c r="J230" s="393">
        <v>0.25</v>
      </c>
      <c r="K230" s="333">
        <v>781963636.36000001</v>
      </c>
      <c r="L230" s="333">
        <v>0</v>
      </c>
      <c r="M230" s="333">
        <v>0</v>
      </c>
      <c r="N230" s="329">
        <f t="shared" si="60"/>
        <v>781963636.36000001</v>
      </c>
      <c r="O230" s="416">
        <v>781963636.00000036</v>
      </c>
      <c r="P230" s="329">
        <v>0</v>
      </c>
      <c r="Q230" s="333">
        <v>0</v>
      </c>
      <c r="R230" s="329">
        <f t="shared" si="62"/>
        <v>781963636.00000036</v>
      </c>
      <c r="S230" s="333">
        <f t="shared" si="61"/>
        <v>0.35999965667724609</v>
      </c>
    </row>
    <row r="231" spans="1:19" ht="15.75" customHeight="1">
      <c r="A231" s="266" t="s">
        <v>944</v>
      </c>
      <c r="D231" s="309"/>
      <c r="E231" s="316"/>
      <c r="F231" s="353"/>
      <c r="G231" s="311"/>
      <c r="H231" s="362" t="s">
        <v>434</v>
      </c>
      <c r="I231" s="409">
        <v>2016</v>
      </c>
      <c r="J231" s="393">
        <v>0.25</v>
      </c>
      <c r="K231" s="333">
        <v>977454545</v>
      </c>
      <c r="L231" s="333">
        <v>0</v>
      </c>
      <c r="M231" s="333">
        <v>0</v>
      </c>
      <c r="N231" s="329">
        <f t="shared" si="60"/>
        <v>977454545</v>
      </c>
      <c r="O231" s="416">
        <v>977454545</v>
      </c>
      <c r="P231" s="329">
        <v>0</v>
      </c>
      <c r="Q231" s="333">
        <v>0</v>
      </c>
      <c r="R231" s="329">
        <f t="shared" si="62"/>
        <v>977454545</v>
      </c>
      <c r="S231" s="333">
        <f t="shared" si="61"/>
        <v>0</v>
      </c>
    </row>
    <row r="232" spans="1:19" s="317" customFormat="1" ht="15.75" customHeight="1">
      <c r="A232" s="266" t="s">
        <v>944</v>
      </c>
      <c r="B232" s="266"/>
      <c r="C232" s="266"/>
      <c r="D232" s="309"/>
      <c r="E232" s="316"/>
      <c r="F232" s="456"/>
      <c r="G232" s="318"/>
      <c r="H232" s="372" t="s">
        <v>434</v>
      </c>
      <c r="I232" s="457">
        <v>2016</v>
      </c>
      <c r="J232" s="377">
        <v>0.25</v>
      </c>
      <c r="K232" s="329">
        <v>390981965</v>
      </c>
      <c r="L232" s="329">
        <v>0</v>
      </c>
      <c r="M232" s="329">
        <v>0</v>
      </c>
      <c r="N232" s="329">
        <f t="shared" si="60"/>
        <v>390981965</v>
      </c>
      <c r="O232" s="416">
        <v>390981965.00000018</v>
      </c>
      <c r="P232" s="329">
        <v>0</v>
      </c>
      <c r="Q232" s="329">
        <v>0</v>
      </c>
      <c r="R232" s="329">
        <f t="shared" si="62"/>
        <v>390981965.00000018</v>
      </c>
      <c r="S232" s="333">
        <f t="shared" si="61"/>
        <v>0</v>
      </c>
    </row>
    <row r="233" spans="1:19" s="317" customFormat="1" ht="15.75" customHeight="1">
      <c r="A233" s="266"/>
      <c r="B233" s="266"/>
      <c r="C233" s="266"/>
      <c r="D233" s="309"/>
      <c r="E233" s="316"/>
      <c r="F233" s="353"/>
      <c r="G233" s="311"/>
      <c r="H233" s="410" t="s">
        <v>435</v>
      </c>
      <c r="I233" s="458">
        <v>43529</v>
      </c>
      <c r="J233" s="393">
        <v>0.25</v>
      </c>
      <c r="K233" s="333">
        <v>25130378</v>
      </c>
      <c r="L233" s="333"/>
      <c r="M233" s="333"/>
      <c r="N233" s="329">
        <f t="shared" si="60"/>
        <v>25130378</v>
      </c>
      <c r="O233" s="415">
        <v>17800684.41666666</v>
      </c>
      <c r="P233" s="329"/>
      <c r="Q233" s="333"/>
      <c r="R233" s="329">
        <f t="shared" si="62"/>
        <v>17800684.41666666</v>
      </c>
      <c r="S233" s="333">
        <f t="shared" si="61"/>
        <v>7329693.5833333395</v>
      </c>
    </row>
    <row r="234" spans="1:19" s="317" customFormat="1" ht="15.75" customHeight="1">
      <c r="A234" s="266"/>
      <c r="B234" s="266"/>
      <c r="C234" s="266"/>
      <c r="D234" s="309"/>
      <c r="E234" s="316"/>
      <c r="F234" s="456"/>
      <c r="G234" s="318"/>
      <c r="H234" s="375" t="s">
        <v>429</v>
      </c>
      <c r="I234" s="376">
        <v>43647</v>
      </c>
      <c r="J234" s="377">
        <v>0.25</v>
      </c>
      <c r="K234" s="329">
        <v>53842496</v>
      </c>
      <c r="L234" s="329"/>
      <c r="M234" s="329"/>
      <c r="N234" s="329">
        <f t="shared" si="60"/>
        <v>53842496</v>
      </c>
      <c r="O234" s="416">
        <v>33651560.000000015</v>
      </c>
      <c r="P234" s="329"/>
      <c r="Q234" s="329"/>
      <c r="R234" s="329">
        <f t="shared" si="62"/>
        <v>33651560.000000015</v>
      </c>
      <c r="S234" s="329">
        <f t="shared" si="61"/>
        <v>20190935.999999985</v>
      </c>
    </row>
    <row r="235" spans="1:19" s="317" customFormat="1" ht="15.75" customHeight="1">
      <c r="A235" s="266"/>
      <c r="B235" s="266"/>
      <c r="C235" s="266"/>
      <c r="D235" s="309"/>
      <c r="E235" s="316"/>
      <c r="F235" s="353"/>
      <c r="G235" s="311"/>
      <c r="H235" s="459" t="s">
        <v>436</v>
      </c>
      <c r="I235" s="460">
        <v>2020</v>
      </c>
      <c r="J235" s="461">
        <v>0.25</v>
      </c>
      <c r="K235" s="333">
        <v>507156352</v>
      </c>
      <c r="L235" s="415"/>
      <c r="M235" s="333"/>
      <c r="N235" s="333">
        <f t="shared" si="60"/>
        <v>507156352</v>
      </c>
      <c r="O235" s="333">
        <v>126789087.99999999</v>
      </c>
      <c r="P235" s="329"/>
      <c r="Q235" s="333"/>
      <c r="R235" s="329">
        <f t="shared" si="62"/>
        <v>126789087.99999999</v>
      </c>
      <c r="S235" s="333">
        <f t="shared" si="61"/>
        <v>380367264</v>
      </c>
    </row>
    <row r="236" spans="1:19" s="317" customFormat="1" ht="15.75" customHeight="1">
      <c r="A236" s="266"/>
      <c r="B236" s="266"/>
      <c r="C236" s="266"/>
      <c r="D236" s="309"/>
      <c r="E236" s="316"/>
      <c r="F236" s="462"/>
      <c r="G236" s="450"/>
      <c r="H236" s="463" t="s">
        <v>437</v>
      </c>
      <c r="I236" s="262">
        <v>2022</v>
      </c>
      <c r="J236" s="464">
        <v>0.25</v>
      </c>
      <c r="K236" s="339"/>
      <c r="L236" s="465">
        <v>41754400</v>
      </c>
      <c r="M236" s="339"/>
      <c r="N236" s="333">
        <f t="shared" si="60"/>
        <v>41754400</v>
      </c>
      <c r="O236" s="339"/>
      <c r="P236" s="329"/>
      <c r="Q236" s="339"/>
      <c r="R236" s="329">
        <f t="shared" si="62"/>
        <v>0</v>
      </c>
      <c r="S236" s="333">
        <f t="shared" si="61"/>
        <v>41754400</v>
      </c>
    </row>
    <row r="237" spans="1:19" ht="15.75" customHeight="1">
      <c r="A237" s="266" t="s">
        <v>944</v>
      </c>
      <c r="D237" s="309"/>
      <c r="E237" s="1235" t="s">
        <v>986</v>
      </c>
      <c r="F237" s="1236"/>
      <c r="G237" s="1236"/>
      <c r="H237" s="1236"/>
      <c r="I237" s="1236"/>
      <c r="J237" s="1237"/>
      <c r="K237" s="342">
        <f>SUM(K227:K236)</f>
        <v>10588785372.360001</v>
      </c>
      <c r="L237" s="342">
        <f t="shared" ref="L237:S237" si="63">SUM(L227:L236)</f>
        <v>41754400</v>
      </c>
      <c r="M237" s="342">
        <f t="shared" si="63"/>
        <v>0</v>
      </c>
      <c r="N237" s="342">
        <f t="shared" si="63"/>
        <v>10630539772.360001</v>
      </c>
      <c r="O237" s="342">
        <f t="shared" si="63"/>
        <v>10180897478.416662</v>
      </c>
      <c r="P237" s="342">
        <f t="shared" si="63"/>
        <v>0</v>
      </c>
      <c r="Q237" s="342">
        <f t="shared" si="63"/>
        <v>0</v>
      </c>
      <c r="R237" s="342">
        <f t="shared" si="63"/>
        <v>10180897478.416662</v>
      </c>
      <c r="S237" s="342">
        <f t="shared" si="63"/>
        <v>449642293.94333297</v>
      </c>
    </row>
    <row r="238" spans="1:19" s="425" customFormat="1" ht="25" customHeight="1">
      <c r="A238" s="266"/>
      <c r="B238" s="266"/>
      <c r="C238" s="266"/>
      <c r="D238" s="309"/>
      <c r="E238" s="316"/>
      <c r="F238" s="353"/>
      <c r="G238" s="311"/>
      <c r="H238" s="362"/>
      <c r="I238" s="363"/>
      <c r="J238" s="393"/>
      <c r="K238" s="333"/>
      <c r="L238" s="333"/>
      <c r="M238" s="333"/>
      <c r="N238" s="333"/>
      <c r="O238" s="329"/>
      <c r="P238" s="333"/>
      <c r="Q238" s="333"/>
      <c r="R238" s="329"/>
      <c r="S238" s="333"/>
    </row>
    <row r="239" spans="1:19" ht="15.75" customHeight="1">
      <c r="D239" s="1229" t="s">
        <v>987</v>
      </c>
      <c r="E239" s="1230"/>
      <c r="F239" s="1230"/>
      <c r="G239" s="1230"/>
      <c r="H239" s="1230"/>
      <c r="I239" s="1230"/>
      <c r="J239" s="1231"/>
      <c r="K239" s="342">
        <f>K214+K224+K237</f>
        <v>51800307605</v>
      </c>
      <c r="L239" s="342">
        <f t="shared" ref="L239:S239" si="64">L214+L224+L237</f>
        <v>41754400</v>
      </c>
      <c r="M239" s="342">
        <f t="shared" si="64"/>
        <v>0</v>
      </c>
      <c r="N239" s="342">
        <f t="shared" si="64"/>
        <v>51842062005</v>
      </c>
      <c r="O239" s="342">
        <f t="shared" si="64"/>
        <v>14994296456.562496</v>
      </c>
      <c r="P239" s="342">
        <f t="shared" si="64"/>
        <v>45379687.499999985</v>
      </c>
      <c r="Q239" s="342">
        <f t="shared" si="64"/>
        <v>0</v>
      </c>
      <c r="R239" s="342">
        <f t="shared" si="64"/>
        <v>15039676144.062496</v>
      </c>
      <c r="S239" s="342">
        <f t="shared" si="64"/>
        <v>36802385860.9375</v>
      </c>
    </row>
    <row r="240" spans="1:19" ht="15.75" customHeight="1">
      <c r="D240" s="309"/>
      <c r="E240" s="316"/>
      <c r="F240" s="353"/>
      <c r="G240" s="311"/>
      <c r="H240" s="332"/>
      <c r="I240" s="354"/>
      <c r="J240" s="393"/>
      <c r="K240" s="358"/>
      <c r="L240" s="358"/>
      <c r="M240" s="358"/>
      <c r="N240" s="358"/>
      <c r="O240" s="358"/>
      <c r="P240" s="358"/>
      <c r="Q240" s="358"/>
      <c r="R240" s="358"/>
      <c r="S240" s="358"/>
    </row>
    <row r="241" spans="1:19" ht="15.75" customHeight="1">
      <c r="A241" s="266" t="s">
        <v>935</v>
      </c>
      <c r="B241" s="308" t="s">
        <v>988</v>
      </c>
      <c r="C241" s="308" t="s">
        <v>988</v>
      </c>
      <c r="D241" s="357">
        <v>5</v>
      </c>
      <c r="E241" s="353" t="s">
        <v>988</v>
      </c>
      <c r="F241" s="317"/>
      <c r="G241" s="311"/>
      <c r="H241" s="312"/>
      <c r="I241" s="258"/>
      <c r="J241" s="393"/>
      <c r="K241" s="358"/>
      <c r="L241" s="358"/>
      <c r="M241" s="358"/>
      <c r="N241" s="358"/>
      <c r="O241" s="358"/>
      <c r="P241" s="358"/>
      <c r="Q241" s="358"/>
      <c r="R241" s="358"/>
      <c r="S241" s="358"/>
    </row>
    <row r="242" spans="1:19" ht="15.75" customHeight="1">
      <c r="A242" s="266" t="s">
        <v>935</v>
      </c>
      <c r="D242" s="309"/>
      <c r="E242" s="316" t="s">
        <v>989</v>
      </c>
      <c r="F242" s="317" t="s">
        <v>990</v>
      </c>
      <c r="G242" s="311"/>
      <c r="H242" s="312"/>
      <c r="I242" s="258"/>
      <c r="J242" s="393"/>
      <c r="K242" s="358"/>
      <c r="L242" s="358"/>
      <c r="M242" s="358"/>
      <c r="N242" s="358"/>
      <c r="O242" s="358"/>
      <c r="P242" s="358"/>
      <c r="Q242" s="358"/>
      <c r="R242" s="358"/>
      <c r="S242" s="358"/>
    </row>
    <row r="243" spans="1:19" ht="15.75" customHeight="1">
      <c r="A243" s="266" t="s">
        <v>935</v>
      </c>
      <c r="D243" s="357"/>
      <c r="E243" s="301"/>
      <c r="F243" s="466" t="s">
        <v>991</v>
      </c>
      <c r="G243" s="311" t="s">
        <v>405</v>
      </c>
      <c r="H243" s="312"/>
      <c r="I243" s="258"/>
      <c r="J243" s="393"/>
      <c r="K243" s="358"/>
      <c r="L243" s="358"/>
      <c r="M243" s="358"/>
      <c r="N243" s="358"/>
      <c r="O243" s="358"/>
      <c r="P243" s="358"/>
      <c r="Q243" s="358"/>
      <c r="R243" s="358"/>
      <c r="S243" s="358"/>
    </row>
    <row r="244" spans="1:19" ht="15.75" customHeight="1">
      <c r="A244" s="266" t="s">
        <v>935</v>
      </c>
      <c r="D244" s="309"/>
      <c r="E244" s="316"/>
      <c r="F244" s="466"/>
      <c r="G244" s="467" t="s">
        <v>992</v>
      </c>
      <c r="H244" s="468" t="s">
        <v>439</v>
      </c>
      <c r="I244" s="258"/>
      <c r="J244" s="393"/>
      <c r="K244" s="314"/>
      <c r="L244" s="314"/>
      <c r="M244" s="314"/>
      <c r="N244" s="314"/>
      <c r="O244" s="314"/>
      <c r="P244" s="314"/>
      <c r="Q244" s="314"/>
      <c r="R244" s="314"/>
      <c r="S244" s="314"/>
    </row>
    <row r="245" spans="1:19" ht="15.75" customHeight="1">
      <c r="A245" s="266" t="s">
        <v>935</v>
      </c>
      <c r="D245" s="323"/>
      <c r="E245" s="324"/>
      <c r="F245" s="469"/>
      <c r="G245" s="470"/>
      <c r="H245" s="410" t="s">
        <v>441</v>
      </c>
      <c r="I245" s="363">
        <v>2004</v>
      </c>
      <c r="J245" s="471">
        <v>0.125</v>
      </c>
      <c r="K245" s="415">
        <v>1176000000</v>
      </c>
      <c r="L245" s="333">
        <v>0</v>
      </c>
      <c r="M245" s="333">
        <v>0</v>
      </c>
      <c r="N245" s="329">
        <f>K245+L245-M245</f>
        <v>1176000000</v>
      </c>
      <c r="O245" s="472">
        <v>612500000</v>
      </c>
      <c r="P245" s="107">
        <f>12250000*12</f>
        <v>147000000</v>
      </c>
      <c r="Q245" s="333">
        <v>0</v>
      </c>
      <c r="R245" s="329">
        <f>O245+P245-Q245</f>
        <v>759500000</v>
      </c>
      <c r="S245" s="333">
        <f>N245-R245</f>
        <v>416500000</v>
      </c>
    </row>
    <row r="246" spans="1:19" ht="15.75" customHeight="1">
      <c r="A246" s="266" t="s">
        <v>935</v>
      </c>
      <c r="D246" s="309"/>
      <c r="E246" s="316"/>
      <c r="F246" s="466"/>
      <c r="G246" s="473"/>
      <c r="H246" s="375" t="s">
        <v>442</v>
      </c>
      <c r="I246" s="404">
        <v>2005</v>
      </c>
      <c r="J246" s="471">
        <v>0.125</v>
      </c>
      <c r="K246" s="416">
        <v>868700000</v>
      </c>
      <c r="L246" s="329">
        <v>0</v>
      </c>
      <c r="M246" s="329">
        <v>0</v>
      </c>
      <c r="N246" s="329">
        <f>K246+L246-M246</f>
        <v>868700000</v>
      </c>
      <c r="O246" s="472">
        <v>452447916.65999979</v>
      </c>
      <c r="P246" s="107">
        <f>9048958.33333333*12</f>
        <v>108587499.99999997</v>
      </c>
      <c r="Q246" s="329">
        <v>0</v>
      </c>
      <c r="R246" s="329">
        <f>O246+P246-Q246</f>
        <v>561035416.65999973</v>
      </c>
      <c r="S246" s="333">
        <f>N246-R246</f>
        <v>307664583.34000027</v>
      </c>
    </row>
    <row r="247" spans="1:19" ht="15.75" customHeight="1">
      <c r="A247" s="266" t="s">
        <v>935</v>
      </c>
      <c r="D247" s="309"/>
      <c r="E247" s="316"/>
      <c r="F247" s="466"/>
      <c r="G247" s="1236" t="s">
        <v>993</v>
      </c>
      <c r="H247" s="1236"/>
      <c r="I247" s="1236"/>
      <c r="J247" s="1237"/>
      <c r="K247" s="342">
        <f>SUM(K245:K246)</f>
        <v>2044700000</v>
      </c>
      <c r="L247" s="342">
        <f t="shared" ref="L247:S247" si="65">SUM(L245:L246)</f>
        <v>0</v>
      </c>
      <c r="M247" s="342">
        <f t="shared" si="65"/>
        <v>0</v>
      </c>
      <c r="N247" s="342">
        <f t="shared" si="65"/>
        <v>2044700000</v>
      </c>
      <c r="O247" s="342">
        <f t="shared" si="65"/>
        <v>1064947916.6599998</v>
      </c>
      <c r="P247" s="342">
        <f>SUM(P245:P246)</f>
        <v>255587499.99999997</v>
      </c>
      <c r="Q247" s="342">
        <f t="shared" si="65"/>
        <v>0</v>
      </c>
      <c r="R247" s="342">
        <f>SUM(R245:R246)</f>
        <v>1320535416.6599998</v>
      </c>
      <c r="S247" s="342">
        <f t="shared" si="65"/>
        <v>724164583.34000027</v>
      </c>
    </row>
    <row r="248" spans="1:19" s="317" customFormat="1" ht="15.75" customHeight="1">
      <c r="A248" s="266" t="s">
        <v>935</v>
      </c>
      <c r="B248" s="266"/>
      <c r="C248" s="266"/>
      <c r="D248" s="309"/>
      <c r="E248" s="316"/>
      <c r="F248" s="466"/>
      <c r="G248" s="474" t="s">
        <v>994</v>
      </c>
      <c r="H248" s="475" t="s">
        <v>443</v>
      </c>
      <c r="I248" s="476"/>
      <c r="J248" s="396"/>
      <c r="K248" s="477"/>
      <c r="L248" s="477"/>
      <c r="M248" s="477"/>
      <c r="N248" s="477"/>
      <c r="O248" s="477"/>
      <c r="P248" s="477"/>
      <c r="Q248" s="477"/>
      <c r="R248" s="477"/>
      <c r="S248" s="477"/>
    </row>
    <row r="249" spans="1:19" s="317" customFormat="1" ht="15.75" customHeight="1">
      <c r="A249" s="266" t="s">
        <v>935</v>
      </c>
      <c r="B249" s="266"/>
      <c r="C249" s="266"/>
      <c r="D249" s="309"/>
      <c r="E249" s="316"/>
      <c r="F249" s="466"/>
      <c r="G249" s="467"/>
      <c r="H249" s="410" t="s">
        <v>445</v>
      </c>
      <c r="I249" s="363">
        <v>2002</v>
      </c>
      <c r="J249" s="471">
        <v>0.125</v>
      </c>
      <c r="K249" s="415">
        <v>1792100000</v>
      </c>
      <c r="L249" s="333">
        <v>0</v>
      </c>
      <c r="M249" s="333">
        <v>0</v>
      </c>
      <c r="N249" s="329">
        <f t="shared" ref="N249:N256" si="66">K249+L249-M249</f>
        <v>1792100000</v>
      </c>
      <c r="O249" s="107">
        <v>933385416.66666722</v>
      </c>
      <c r="P249" s="107">
        <f>18667708.3333333*12</f>
        <v>224012499.99999958</v>
      </c>
      <c r="Q249" s="333">
        <v>0</v>
      </c>
      <c r="R249" s="329">
        <f>O249+P249-Q249</f>
        <v>1157397916.6666667</v>
      </c>
      <c r="S249" s="333">
        <f t="shared" ref="S249:S256" si="67">N249-R249</f>
        <v>634702083.33333325</v>
      </c>
    </row>
    <row r="250" spans="1:19" s="317" customFormat="1" ht="15.75" customHeight="1">
      <c r="A250" s="266" t="s">
        <v>935</v>
      </c>
      <c r="B250" s="266"/>
      <c r="C250" s="266"/>
      <c r="D250" s="309"/>
      <c r="E250" s="316"/>
      <c r="F250" s="466"/>
      <c r="G250" s="467"/>
      <c r="H250" s="410" t="s">
        <v>445</v>
      </c>
      <c r="I250" s="363">
        <v>2005</v>
      </c>
      <c r="J250" s="471">
        <v>0.125</v>
      </c>
      <c r="K250" s="415">
        <v>406100000</v>
      </c>
      <c r="L250" s="333">
        <v>0</v>
      </c>
      <c r="M250" s="333">
        <v>0</v>
      </c>
      <c r="N250" s="329">
        <f t="shared" si="66"/>
        <v>406100000</v>
      </c>
      <c r="O250" s="107">
        <v>211510416.66666675</v>
      </c>
      <c r="P250" s="107">
        <f>4230208.33333333*12</f>
        <v>50762499.999999963</v>
      </c>
      <c r="Q250" s="333">
        <v>0</v>
      </c>
      <c r="R250" s="329">
        <f t="shared" ref="R250:R256" si="68">O250+P250-Q250</f>
        <v>262272916.66666672</v>
      </c>
      <c r="S250" s="333">
        <f t="shared" si="67"/>
        <v>143827083.33333328</v>
      </c>
    </row>
    <row r="251" spans="1:19" s="317" customFormat="1" ht="15.75" customHeight="1">
      <c r="A251" s="266" t="s">
        <v>935</v>
      </c>
      <c r="B251" s="266"/>
      <c r="C251" s="266"/>
      <c r="D251" s="309"/>
      <c r="E251" s="316"/>
      <c r="F251" s="466"/>
      <c r="G251" s="467"/>
      <c r="H251" s="410" t="s">
        <v>445</v>
      </c>
      <c r="I251" s="363">
        <v>2006</v>
      </c>
      <c r="J251" s="471">
        <v>0.125</v>
      </c>
      <c r="K251" s="415">
        <v>113600000</v>
      </c>
      <c r="L251" s="333">
        <v>0</v>
      </c>
      <c r="M251" s="333">
        <v>0</v>
      </c>
      <c r="N251" s="329">
        <f t="shared" si="66"/>
        <v>113600000</v>
      </c>
      <c r="O251" s="107">
        <v>59166666.666666694</v>
      </c>
      <c r="P251" s="107">
        <f>1183333.33333333*12</f>
        <v>14199999.999999959</v>
      </c>
      <c r="Q251" s="333">
        <v>0</v>
      </c>
      <c r="R251" s="329">
        <f t="shared" si="68"/>
        <v>73366666.666666657</v>
      </c>
      <c r="S251" s="333">
        <f t="shared" si="67"/>
        <v>40233333.333333343</v>
      </c>
    </row>
    <row r="252" spans="1:19" ht="15.75" customHeight="1">
      <c r="A252" s="266" t="s">
        <v>935</v>
      </c>
      <c r="D252" s="309"/>
      <c r="E252" s="316"/>
      <c r="F252" s="466"/>
      <c r="G252" s="473"/>
      <c r="H252" s="375" t="s">
        <v>445</v>
      </c>
      <c r="I252" s="373">
        <v>2007</v>
      </c>
      <c r="J252" s="478">
        <v>0.125</v>
      </c>
      <c r="K252" s="415">
        <v>6500000</v>
      </c>
      <c r="L252" s="333">
        <v>0</v>
      </c>
      <c r="M252" s="333">
        <v>0</v>
      </c>
      <c r="N252" s="329">
        <f t="shared" si="66"/>
        <v>6500000</v>
      </c>
      <c r="O252" s="107">
        <v>3385416.6666666684</v>
      </c>
      <c r="P252" s="107">
        <f>67708.3333333333*12</f>
        <v>812499.99999999953</v>
      </c>
      <c r="Q252" s="333">
        <v>0</v>
      </c>
      <c r="R252" s="329">
        <f t="shared" si="68"/>
        <v>4197916.6666666679</v>
      </c>
      <c r="S252" s="333">
        <f t="shared" si="67"/>
        <v>2302083.3333333321</v>
      </c>
    </row>
    <row r="253" spans="1:19" ht="15.75" customHeight="1">
      <c r="D253" s="309"/>
      <c r="E253" s="316"/>
      <c r="F253" s="479"/>
      <c r="G253" s="480"/>
      <c r="H253" s="481" t="s">
        <v>446</v>
      </c>
      <c r="I253" s="482" t="s">
        <v>450</v>
      </c>
      <c r="J253" s="483">
        <v>0.125</v>
      </c>
      <c r="K253" s="333">
        <v>437778900</v>
      </c>
      <c r="L253" s="484"/>
      <c r="M253" s="333"/>
      <c r="N253" s="333">
        <f t="shared" si="66"/>
        <v>437778900</v>
      </c>
      <c r="O253" s="333">
        <v>9120393.75</v>
      </c>
      <c r="P253" s="333">
        <f>4560196.875*12</f>
        <v>54722362.5</v>
      </c>
      <c r="Q253" s="333"/>
      <c r="R253" s="329">
        <f t="shared" si="68"/>
        <v>63842756.25</v>
      </c>
      <c r="S253" s="333">
        <f t="shared" si="67"/>
        <v>373936143.75</v>
      </c>
    </row>
    <row r="254" spans="1:19" ht="15.75" customHeight="1">
      <c r="D254" s="309"/>
      <c r="E254" s="316"/>
      <c r="F254" s="479"/>
      <c r="G254" s="480"/>
      <c r="H254" s="481" t="s">
        <v>447</v>
      </c>
      <c r="I254" s="482" t="s">
        <v>450</v>
      </c>
      <c r="J254" s="483">
        <v>0.125</v>
      </c>
      <c r="K254" s="333">
        <v>429283800</v>
      </c>
      <c r="L254" s="484"/>
      <c r="M254" s="333"/>
      <c r="N254" s="333">
        <f t="shared" si="66"/>
        <v>429283800</v>
      </c>
      <c r="O254" s="333">
        <v>8943412.5</v>
      </c>
      <c r="P254" s="333">
        <f>4471706.25*12</f>
        <v>53660475</v>
      </c>
      <c r="Q254" s="333"/>
      <c r="R254" s="329">
        <f t="shared" si="68"/>
        <v>62603887.5</v>
      </c>
      <c r="S254" s="333">
        <f t="shared" si="67"/>
        <v>366679912.5</v>
      </c>
    </row>
    <row r="255" spans="1:19" ht="15.75" customHeight="1">
      <c r="D255" s="309"/>
      <c r="E255" s="316"/>
      <c r="F255" s="479"/>
      <c r="G255" s="480"/>
      <c r="H255" s="481" t="s">
        <v>448</v>
      </c>
      <c r="I255" s="482" t="s">
        <v>450</v>
      </c>
      <c r="J255" s="483">
        <v>0.125</v>
      </c>
      <c r="K255" s="333">
        <v>7898914340</v>
      </c>
      <c r="L255" s="484"/>
      <c r="M255" s="333"/>
      <c r="N255" s="333">
        <f t="shared" si="66"/>
        <v>7898914340</v>
      </c>
      <c r="O255" s="333">
        <v>164560715.4166666</v>
      </c>
      <c r="P255" s="333">
        <f>82280357.7083333*12</f>
        <v>987364292.49999952</v>
      </c>
      <c r="Q255" s="333"/>
      <c r="R255" s="329">
        <f t="shared" si="68"/>
        <v>1151925007.916666</v>
      </c>
      <c r="S255" s="333">
        <f t="shared" si="67"/>
        <v>6746989332.083334</v>
      </c>
    </row>
    <row r="256" spans="1:19" ht="15.75" customHeight="1">
      <c r="D256" s="309"/>
      <c r="E256" s="316"/>
      <c r="F256" s="479"/>
      <c r="G256" s="480"/>
      <c r="H256" s="481" t="s">
        <v>449</v>
      </c>
      <c r="I256" s="482" t="s">
        <v>450</v>
      </c>
      <c r="J256" s="483">
        <v>0.125</v>
      </c>
      <c r="K256" s="333">
        <v>149509500</v>
      </c>
      <c r="L256" s="484"/>
      <c r="M256" s="333"/>
      <c r="N256" s="333">
        <f t="shared" si="66"/>
        <v>149509500</v>
      </c>
      <c r="O256" s="333">
        <v>3114781.25</v>
      </c>
      <c r="P256" s="333">
        <f>1557390.625*12</f>
        <v>18688687.5</v>
      </c>
      <c r="Q256" s="333"/>
      <c r="R256" s="329">
        <f t="shared" si="68"/>
        <v>21803468.75</v>
      </c>
      <c r="S256" s="333">
        <f t="shared" si="67"/>
        <v>127706031.25</v>
      </c>
    </row>
    <row r="257" spans="1:19" ht="15.75" customHeight="1">
      <c r="A257" s="266" t="s">
        <v>935</v>
      </c>
      <c r="D257" s="309"/>
      <c r="E257" s="316"/>
      <c r="F257" s="466"/>
      <c r="G257" s="1236" t="s">
        <v>995</v>
      </c>
      <c r="H257" s="1236"/>
      <c r="I257" s="1236"/>
      <c r="J257" s="1237"/>
      <c r="K257" s="342">
        <f>SUM(K249:K256)</f>
        <v>11233786540</v>
      </c>
      <c r="L257" s="342">
        <f t="shared" ref="L257:S257" si="69">SUM(L249:L256)</f>
        <v>0</v>
      </c>
      <c r="M257" s="342">
        <f t="shared" si="69"/>
        <v>0</v>
      </c>
      <c r="N257" s="342">
        <f t="shared" si="69"/>
        <v>11233786540</v>
      </c>
      <c r="O257" s="342">
        <f t="shared" si="69"/>
        <v>1393187219.583334</v>
      </c>
      <c r="P257" s="342">
        <f t="shared" si="69"/>
        <v>1404223317.499999</v>
      </c>
      <c r="Q257" s="342">
        <f t="shared" si="69"/>
        <v>0</v>
      </c>
      <c r="R257" s="342">
        <f>SUM(R249:R256)</f>
        <v>2797410537.083333</v>
      </c>
      <c r="S257" s="342">
        <f t="shared" si="69"/>
        <v>8436376002.916667</v>
      </c>
    </row>
    <row r="258" spans="1:19" s="317" customFormat="1" ht="15.75" customHeight="1">
      <c r="A258" s="266" t="s">
        <v>935</v>
      </c>
      <c r="B258" s="266"/>
      <c r="C258" s="266"/>
      <c r="D258" s="309"/>
      <c r="E258" s="316"/>
      <c r="F258" s="466"/>
      <c r="G258" s="474" t="s">
        <v>996</v>
      </c>
      <c r="H258" s="475" t="s">
        <v>453</v>
      </c>
      <c r="I258" s="485"/>
      <c r="J258" s="486"/>
      <c r="K258" s="315"/>
      <c r="L258" s="315"/>
      <c r="M258" s="315"/>
      <c r="N258" s="315"/>
      <c r="O258" s="315"/>
      <c r="P258" s="315"/>
      <c r="Q258" s="315"/>
      <c r="R258" s="315"/>
      <c r="S258" s="315"/>
    </row>
    <row r="259" spans="1:19" ht="15.75" customHeight="1">
      <c r="A259" s="266" t="s">
        <v>935</v>
      </c>
      <c r="D259" s="309"/>
      <c r="E259" s="316"/>
      <c r="F259" s="466"/>
      <c r="G259" s="467"/>
      <c r="H259" s="487" t="s">
        <v>455</v>
      </c>
      <c r="I259" s="363">
        <v>2002</v>
      </c>
      <c r="J259" s="471">
        <v>0.125</v>
      </c>
      <c r="K259" s="415">
        <v>825700000</v>
      </c>
      <c r="L259" s="333">
        <v>0</v>
      </c>
      <c r="M259" s="333">
        <v>0</v>
      </c>
      <c r="N259" s="329">
        <f>K259+L259-M259</f>
        <v>825700000</v>
      </c>
      <c r="O259" s="107">
        <v>430052083.33333349</v>
      </c>
      <c r="P259" s="107">
        <f>8601041.66666667*12</f>
        <v>103212500.00000003</v>
      </c>
      <c r="Q259" s="333">
        <v>0</v>
      </c>
      <c r="R259" s="329">
        <f>O259+P259-Q259</f>
        <v>533264583.33333349</v>
      </c>
      <c r="S259" s="333">
        <f>N259-R259</f>
        <v>292435416.66666651</v>
      </c>
    </row>
    <row r="260" spans="1:19" ht="15.75" customHeight="1">
      <c r="A260" s="266" t="s">
        <v>935</v>
      </c>
      <c r="D260" s="309"/>
      <c r="E260" s="316"/>
      <c r="F260" s="466"/>
      <c r="G260" s="467"/>
      <c r="H260" s="487" t="s">
        <v>456</v>
      </c>
      <c r="I260" s="363">
        <v>2002</v>
      </c>
      <c r="J260" s="471">
        <v>0.125</v>
      </c>
      <c r="K260" s="415">
        <v>70900000</v>
      </c>
      <c r="L260" s="333">
        <v>0</v>
      </c>
      <c r="M260" s="333">
        <v>0</v>
      </c>
      <c r="N260" s="329">
        <f>K260+L260-M260</f>
        <v>70900000</v>
      </c>
      <c r="O260" s="107">
        <v>36927083.333333351</v>
      </c>
      <c r="P260" s="107">
        <f>738541.666666667*12</f>
        <v>8862500.0000000037</v>
      </c>
      <c r="Q260" s="333">
        <v>0</v>
      </c>
      <c r="R260" s="329">
        <f>O260+P260-Q260</f>
        <v>45789583.333333358</v>
      </c>
      <c r="S260" s="333">
        <f>N260-R260</f>
        <v>25110416.666666642</v>
      </c>
    </row>
    <row r="261" spans="1:19" ht="15.75" customHeight="1">
      <c r="A261" s="266" t="s">
        <v>935</v>
      </c>
      <c r="D261" s="309"/>
      <c r="E261" s="316"/>
      <c r="F261" s="466"/>
      <c r="G261" s="467"/>
      <c r="H261" s="487" t="s">
        <v>457</v>
      </c>
      <c r="I261" s="363">
        <v>2005</v>
      </c>
      <c r="J261" s="471">
        <v>0.125</v>
      </c>
      <c r="K261" s="415">
        <v>441100000</v>
      </c>
      <c r="L261" s="333">
        <v>0</v>
      </c>
      <c r="M261" s="333">
        <v>0</v>
      </c>
      <c r="N261" s="329">
        <f>K261+L261-M261</f>
        <v>441100000</v>
      </c>
      <c r="O261" s="107">
        <v>229739583.33333322</v>
      </c>
      <c r="P261" s="107">
        <f>4594791.66666667*12</f>
        <v>55137500.000000037</v>
      </c>
      <c r="Q261" s="333">
        <v>0</v>
      </c>
      <c r="R261" s="329">
        <f>O261+P261-Q261</f>
        <v>284877083.33333325</v>
      </c>
      <c r="S261" s="333">
        <f>N261-R261</f>
        <v>156222916.66666675</v>
      </c>
    </row>
    <row r="262" spans="1:19" ht="15.75" customHeight="1">
      <c r="A262" s="266" t="s">
        <v>935</v>
      </c>
      <c r="D262" s="309"/>
      <c r="E262" s="316"/>
      <c r="F262" s="466"/>
      <c r="G262" s="473"/>
      <c r="H262" s="487" t="s">
        <v>458</v>
      </c>
      <c r="I262" s="373">
        <v>2012</v>
      </c>
      <c r="J262" s="478">
        <v>0.125</v>
      </c>
      <c r="K262" s="415">
        <v>176900000</v>
      </c>
      <c r="L262" s="333">
        <v>0</v>
      </c>
      <c r="M262" s="333">
        <v>0</v>
      </c>
      <c r="N262" s="329">
        <f>K262+L262-M262</f>
        <v>176900000</v>
      </c>
      <c r="O262" s="107">
        <v>92135416.666666642</v>
      </c>
      <c r="P262" s="107">
        <f>1842708.33333333*12</f>
        <v>22112499.999999959</v>
      </c>
      <c r="Q262" s="333">
        <v>0</v>
      </c>
      <c r="R262" s="329">
        <f>O262+P262-Q262</f>
        <v>114247916.6666666</v>
      </c>
      <c r="S262" s="333">
        <f>N262-R262</f>
        <v>62652083.333333403</v>
      </c>
    </row>
    <row r="263" spans="1:19" ht="15.75" customHeight="1">
      <c r="A263" s="266" t="s">
        <v>935</v>
      </c>
      <c r="D263" s="309"/>
      <c r="E263" s="316"/>
      <c r="F263" s="466"/>
      <c r="G263" s="1236" t="s">
        <v>997</v>
      </c>
      <c r="H263" s="1236"/>
      <c r="I263" s="1236"/>
      <c r="J263" s="1237"/>
      <c r="K263" s="342">
        <f>SUM(K259:K262)</f>
        <v>1514600000</v>
      </c>
      <c r="L263" s="342">
        <f t="shared" ref="L263:S263" si="70">SUM(L259:L262)</f>
        <v>0</v>
      </c>
      <c r="M263" s="342">
        <f t="shared" si="70"/>
        <v>0</v>
      </c>
      <c r="N263" s="342">
        <f t="shared" si="70"/>
        <v>1514600000</v>
      </c>
      <c r="O263" s="342">
        <f t="shared" si="70"/>
        <v>788854166.66666675</v>
      </c>
      <c r="P263" s="342">
        <f>SUM(P259:P262)</f>
        <v>189325000.00000003</v>
      </c>
      <c r="Q263" s="342">
        <f t="shared" si="70"/>
        <v>0</v>
      </c>
      <c r="R263" s="342">
        <f>SUM(R259:R262)</f>
        <v>978179166.66666675</v>
      </c>
      <c r="S263" s="342">
        <f t="shared" si="70"/>
        <v>536420833.33333325</v>
      </c>
    </row>
    <row r="264" spans="1:19" ht="15.75" customHeight="1">
      <c r="A264" s="266" t="s">
        <v>935</v>
      </c>
      <c r="D264" s="309"/>
      <c r="E264" s="316"/>
      <c r="F264" s="466"/>
      <c r="G264" s="474" t="s">
        <v>998</v>
      </c>
      <c r="H264" s="475" t="s">
        <v>459</v>
      </c>
      <c r="I264" s="488"/>
      <c r="J264" s="396"/>
      <c r="K264" s="314"/>
      <c r="L264" s="333"/>
      <c r="M264" s="314"/>
      <c r="N264" s="314"/>
      <c r="O264" s="314"/>
      <c r="P264" s="314"/>
      <c r="Q264" s="314"/>
      <c r="R264" s="314"/>
      <c r="S264" s="314"/>
    </row>
    <row r="265" spans="1:19" ht="15.75" customHeight="1">
      <c r="A265" s="266" t="s">
        <v>935</v>
      </c>
      <c r="D265" s="323"/>
      <c r="E265" s="324"/>
      <c r="F265" s="469"/>
      <c r="G265" s="470"/>
      <c r="H265" s="408" t="s">
        <v>461</v>
      </c>
      <c r="I265" s="373">
        <v>2002</v>
      </c>
      <c r="J265" s="471">
        <v>0.125</v>
      </c>
      <c r="K265" s="415">
        <v>1400000</v>
      </c>
      <c r="L265" s="333">
        <v>0</v>
      </c>
      <c r="M265" s="333">
        <v>0</v>
      </c>
      <c r="N265" s="329">
        <f>K265+L265-M265</f>
        <v>1400000</v>
      </c>
      <c r="O265" s="472">
        <v>729166.66666666686</v>
      </c>
      <c r="P265" s="107">
        <f>14583.3333333333*12</f>
        <v>174999.99999999959</v>
      </c>
      <c r="Q265" s="333">
        <v>0</v>
      </c>
      <c r="R265" s="329">
        <f>O265+P265-Q265</f>
        <v>904166.66666666651</v>
      </c>
      <c r="S265" s="333">
        <f>N265-R265</f>
        <v>495833.33333333349</v>
      </c>
    </row>
    <row r="266" spans="1:19" ht="15.75" customHeight="1">
      <c r="A266" s="266" t="s">
        <v>935</v>
      </c>
      <c r="D266" s="323"/>
      <c r="E266" s="324"/>
      <c r="F266" s="469"/>
      <c r="G266" s="489"/>
      <c r="H266" s="375" t="s">
        <v>461</v>
      </c>
      <c r="I266" s="404">
        <v>2005</v>
      </c>
      <c r="J266" s="471">
        <v>0.125</v>
      </c>
      <c r="K266" s="415">
        <v>2600000</v>
      </c>
      <c r="L266" s="333">
        <v>0</v>
      </c>
      <c r="M266" s="333">
        <v>0</v>
      </c>
      <c r="N266" s="329">
        <f>K266+L266-M266</f>
        <v>2600000</v>
      </c>
      <c r="O266" s="472">
        <v>1354166.6666666663</v>
      </c>
      <c r="P266" s="107">
        <f>27083.3333333333*12</f>
        <v>324999.99999999959</v>
      </c>
      <c r="Q266" s="333">
        <v>0</v>
      </c>
      <c r="R266" s="329">
        <f>O266+P266-Q266</f>
        <v>1679166.6666666658</v>
      </c>
      <c r="S266" s="333">
        <f>N266-R266</f>
        <v>920833.33333333419</v>
      </c>
    </row>
    <row r="267" spans="1:19" ht="15.75" customHeight="1">
      <c r="A267" s="266" t="s">
        <v>935</v>
      </c>
      <c r="D267" s="309"/>
      <c r="E267" s="316"/>
      <c r="F267" s="466"/>
      <c r="G267" s="1236" t="s">
        <v>999</v>
      </c>
      <c r="H267" s="1236"/>
      <c r="I267" s="1236"/>
      <c r="J267" s="1237"/>
      <c r="K267" s="342">
        <f>SUM(K265:K266)</f>
        <v>4000000</v>
      </c>
      <c r="L267" s="342">
        <f t="shared" ref="L267:S267" si="71">SUM(L265:L266)</f>
        <v>0</v>
      </c>
      <c r="M267" s="342">
        <f t="shared" si="71"/>
        <v>0</v>
      </c>
      <c r="N267" s="342">
        <f t="shared" si="71"/>
        <v>4000000</v>
      </c>
      <c r="O267" s="342">
        <f t="shared" si="71"/>
        <v>2083333.333333333</v>
      </c>
      <c r="P267" s="342">
        <f>SUM(P265:P266)</f>
        <v>499999.99999999919</v>
      </c>
      <c r="Q267" s="342">
        <f t="shared" si="71"/>
        <v>0</v>
      </c>
      <c r="R267" s="342">
        <f>SUM(R265:R266)</f>
        <v>2583333.3333333321</v>
      </c>
      <c r="S267" s="342">
        <f t="shared" si="71"/>
        <v>1416666.6666666677</v>
      </c>
    </row>
    <row r="268" spans="1:19" ht="15.75" customHeight="1">
      <c r="A268" s="266" t="s">
        <v>935</v>
      </c>
      <c r="D268" s="309"/>
      <c r="E268" s="316"/>
      <c r="F268" s="466"/>
      <c r="G268" s="474" t="s">
        <v>1000</v>
      </c>
      <c r="H268" s="490" t="s">
        <v>462</v>
      </c>
      <c r="I268" s="491"/>
      <c r="J268" s="396"/>
      <c r="K268" s="358"/>
      <c r="L268" s="358"/>
      <c r="M268" s="358"/>
      <c r="N268" s="358"/>
      <c r="O268" s="358"/>
      <c r="P268" s="358"/>
      <c r="Q268" s="358"/>
      <c r="R268" s="358"/>
      <c r="S268" s="358"/>
    </row>
    <row r="269" spans="1:19" ht="15.75" customHeight="1">
      <c r="A269" s="266" t="s">
        <v>935</v>
      </c>
      <c r="D269" s="323"/>
      <c r="E269" s="324"/>
      <c r="F269" s="469"/>
      <c r="G269" s="489"/>
      <c r="H269" s="375" t="s">
        <v>464</v>
      </c>
      <c r="I269" s="373">
        <v>2002</v>
      </c>
      <c r="J269" s="471">
        <v>0.125</v>
      </c>
      <c r="K269" s="415">
        <v>3922000000</v>
      </c>
      <c r="L269" s="333">
        <v>0</v>
      </c>
      <c r="M269" s="333">
        <v>0</v>
      </c>
      <c r="N269" s="329">
        <f>K269+L269-M269</f>
        <v>3922000000</v>
      </c>
      <c r="O269" s="472">
        <v>2042708333.3333347</v>
      </c>
      <c r="P269" s="107">
        <f>40854166.6666667*12</f>
        <v>490250000.00000042</v>
      </c>
      <c r="Q269" s="333">
        <v>0</v>
      </c>
      <c r="R269" s="329">
        <f>O269+P269-Q269</f>
        <v>2532958333.3333349</v>
      </c>
      <c r="S269" s="333">
        <f>N269-R269</f>
        <v>1389041666.6666651</v>
      </c>
    </row>
    <row r="270" spans="1:19" ht="15.75" customHeight="1">
      <c r="A270" s="266" t="s">
        <v>935</v>
      </c>
      <c r="D270" s="309"/>
      <c r="E270" s="316"/>
      <c r="F270" s="466"/>
      <c r="G270" s="1236" t="s">
        <v>1001</v>
      </c>
      <c r="H270" s="1236"/>
      <c r="I270" s="1236"/>
      <c r="J270" s="1237"/>
      <c r="K270" s="342">
        <f>SUM(K269)</f>
        <v>3922000000</v>
      </c>
      <c r="L270" s="342">
        <f t="shared" ref="L270:S270" si="72">SUM(L269)</f>
        <v>0</v>
      </c>
      <c r="M270" s="342">
        <f t="shared" si="72"/>
        <v>0</v>
      </c>
      <c r="N270" s="342">
        <f t="shared" si="72"/>
        <v>3922000000</v>
      </c>
      <c r="O270" s="342">
        <f t="shared" si="72"/>
        <v>2042708333.3333347</v>
      </c>
      <c r="P270" s="342">
        <f>SUM(P269)</f>
        <v>490250000.00000042</v>
      </c>
      <c r="Q270" s="342">
        <f t="shared" si="72"/>
        <v>0</v>
      </c>
      <c r="R270" s="342">
        <f>SUM(R269)</f>
        <v>2532958333.3333349</v>
      </c>
      <c r="S270" s="342">
        <f t="shared" si="72"/>
        <v>1389041666.6666651</v>
      </c>
    </row>
    <row r="271" spans="1:19" s="317" customFormat="1" ht="15.75" customHeight="1">
      <c r="A271" s="266" t="s">
        <v>935</v>
      </c>
      <c r="B271" s="266"/>
      <c r="C271" s="266"/>
      <c r="D271" s="309"/>
      <c r="E271" s="316"/>
      <c r="F271" s="466"/>
      <c r="G271" s="474" t="s">
        <v>1002</v>
      </c>
      <c r="H271" s="490" t="s">
        <v>465</v>
      </c>
      <c r="I271" s="492"/>
      <c r="J271" s="486"/>
      <c r="K271" s="315"/>
      <c r="L271" s="315"/>
      <c r="M271" s="315"/>
      <c r="N271" s="315"/>
      <c r="O271" s="315"/>
      <c r="P271" s="315"/>
      <c r="Q271" s="315"/>
      <c r="R271" s="315"/>
      <c r="S271" s="315"/>
    </row>
    <row r="272" spans="1:19" ht="15.75" customHeight="1">
      <c r="A272" s="266" t="s">
        <v>935</v>
      </c>
      <c r="D272" s="309"/>
      <c r="E272" s="316"/>
      <c r="F272" s="466"/>
      <c r="G272" s="467"/>
      <c r="H272" s="375" t="s">
        <v>467</v>
      </c>
      <c r="I272" s="431">
        <v>2002</v>
      </c>
      <c r="J272" s="471">
        <v>0.125</v>
      </c>
      <c r="K272" s="415">
        <v>52800000</v>
      </c>
      <c r="L272" s="333">
        <v>0</v>
      </c>
      <c r="M272" s="333">
        <v>0</v>
      </c>
      <c r="N272" s="329">
        <f t="shared" ref="N272:N277" si="73">K272+L272-M272</f>
        <v>52800000</v>
      </c>
      <c r="O272" s="472">
        <v>27500000</v>
      </c>
      <c r="P272" s="333">
        <f>550000*12</f>
        <v>6600000</v>
      </c>
      <c r="Q272" s="333">
        <v>0</v>
      </c>
      <c r="R272" s="329">
        <f t="shared" ref="R272:R277" si="74">O272+P272-Q272</f>
        <v>34100000</v>
      </c>
      <c r="S272" s="333">
        <f t="shared" ref="S272:S277" si="75">N272-R272</f>
        <v>18700000</v>
      </c>
    </row>
    <row r="273" spans="1:19" ht="15.75" customHeight="1">
      <c r="A273" s="266" t="s">
        <v>935</v>
      </c>
      <c r="D273" s="309"/>
      <c r="E273" s="316"/>
      <c r="F273" s="466"/>
      <c r="G273" s="467"/>
      <c r="H273" s="410" t="s">
        <v>468</v>
      </c>
      <c r="I273" s="363">
        <v>2002</v>
      </c>
      <c r="J273" s="471">
        <v>0.125</v>
      </c>
      <c r="K273" s="415">
        <v>252600000</v>
      </c>
      <c r="L273" s="333">
        <v>0</v>
      </c>
      <c r="M273" s="333">
        <v>0</v>
      </c>
      <c r="N273" s="329">
        <f t="shared" si="73"/>
        <v>252600000</v>
      </c>
      <c r="O273" s="472">
        <v>131562500</v>
      </c>
      <c r="P273" s="333">
        <f>2631250*12</f>
        <v>31575000</v>
      </c>
      <c r="Q273" s="333">
        <v>0</v>
      </c>
      <c r="R273" s="329">
        <f t="shared" si="74"/>
        <v>163137500</v>
      </c>
      <c r="S273" s="333">
        <f t="shared" si="75"/>
        <v>89462500</v>
      </c>
    </row>
    <row r="274" spans="1:19" ht="15.75" customHeight="1">
      <c r="A274" s="266" t="s">
        <v>935</v>
      </c>
      <c r="D274" s="309"/>
      <c r="E274" s="316"/>
      <c r="F274" s="466"/>
      <c r="G274" s="467"/>
      <c r="H274" s="410" t="s">
        <v>469</v>
      </c>
      <c r="I274" s="363">
        <v>2003</v>
      </c>
      <c r="J274" s="471">
        <v>0.125</v>
      </c>
      <c r="K274" s="415">
        <v>74900000</v>
      </c>
      <c r="L274" s="333">
        <v>0</v>
      </c>
      <c r="M274" s="333">
        <v>0</v>
      </c>
      <c r="N274" s="329">
        <f t="shared" si="73"/>
        <v>74900000</v>
      </c>
      <c r="O274" s="472">
        <v>39010416.666666657</v>
      </c>
      <c r="P274" s="333">
        <f>780208.333333333*12</f>
        <v>9362499.9999999963</v>
      </c>
      <c r="Q274" s="333">
        <v>0</v>
      </c>
      <c r="R274" s="329">
        <f t="shared" si="74"/>
        <v>48372916.666666657</v>
      </c>
      <c r="S274" s="333">
        <f t="shared" si="75"/>
        <v>26527083.333333343</v>
      </c>
    </row>
    <row r="275" spans="1:19" ht="15.75" customHeight="1">
      <c r="A275" s="266" t="s">
        <v>935</v>
      </c>
      <c r="D275" s="309"/>
      <c r="E275" s="316"/>
      <c r="F275" s="466"/>
      <c r="G275" s="467"/>
      <c r="H275" s="410" t="s">
        <v>470</v>
      </c>
      <c r="I275" s="363">
        <v>2005</v>
      </c>
      <c r="J275" s="471">
        <v>0.125</v>
      </c>
      <c r="K275" s="415">
        <v>86200000</v>
      </c>
      <c r="L275" s="333">
        <v>0</v>
      </c>
      <c r="M275" s="333">
        <v>0</v>
      </c>
      <c r="N275" s="329">
        <f t="shared" si="73"/>
        <v>86200000</v>
      </c>
      <c r="O275" s="472">
        <v>44895833.333333328</v>
      </c>
      <c r="P275" s="333">
        <f>897916.666666667*12</f>
        <v>10775000.000000004</v>
      </c>
      <c r="Q275" s="333">
        <v>0</v>
      </c>
      <c r="R275" s="329">
        <f t="shared" si="74"/>
        <v>55670833.333333328</v>
      </c>
      <c r="S275" s="333">
        <f t="shared" si="75"/>
        <v>30529166.666666672</v>
      </c>
    </row>
    <row r="276" spans="1:19" ht="15.75" customHeight="1">
      <c r="A276" s="266" t="s">
        <v>935</v>
      </c>
      <c r="D276" s="309"/>
      <c r="E276" s="316"/>
      <c r="F276" s="466"/>
      <c r="G276" s="467"/>
      <c r="H276" s="410" t="s">
        <v>471</v>
      </c>
      <c r="I276" s="363">
        <v>2008</v>
      </c>
      <c r="J276" s="471">
        <v>0.125</v>
      </c>
      <c r="K276" s="415">
        <v>4600000</v>
      </c>
      <c r="L276" s="333">
        <v>0</v>
      </c>
      <c r="M276" s="333">
        <v>0</v>
      </c>
      <c r="N276" s="329">
        <f t="shared" si="73"/>
        <v>4600000</v>
      </c>
      <c r="O276" s="472">
        <v>2395833.333333334</v>
      </c>
      <c r="P276" s="333">
        <f>47916.6666666667*12</f>
        <v>575000.00000000047</v>
      </c>
      <c r="Q276" s="333">
        <v>0</v>
      </c>
      <c r="R276" s="329">
        <f t="shared" si="74"/>
        <v>2970833.3333333344</v>
      </c>
      <c r="S276" s="333">
        <f t="shared" si="75"/>
        <v>1629166.6666666656</v>
      </c>
    </row>
    <row r="277" spans="1:19" ht="15.75" customHeight="1">
      <c r="A277" s="266" t="s">
        <v>935</v>
      </c>
      <c r="D277" s="309"/>
      <c r="E277" s="316"/>
      <c r="F277" s="466"/>
      <c r="G277" s="473"/>
      <c r="H277" s="375" t="s">
        <v>472</v>
      </c>
      <c r="I277" s="373">
        <v>2008</v>
      </c>
      <c r="J277" s="471">
        <v>0.125</v>
      </c>
      <c r="K277" s="415">
        <v>155200000</v>
      </c>
      <c r="L277" s="333">
        <v>0</v>
      </c>
      <c r="M277" s="333">
        <v>0</v>
      </c>
      <c r="N277" s="329">
        <f t="shared" si="73"/>
        <v>155200000</v>
      </c>
      <c r="O277" s="472">
        <v>80833333.333333328</v>
      </c>
      <c r="P277" s="333">
        <f>1616666.66666667*12</f>
        <v>19400000.000000041</v>
      </c>
      <c r="Q277" s="333">
        <v>0</v>
      </c>
      <c r="R277" s="329">
        <f t="shared" si="74"/>
        <v>100233333.33333337</v>
      </c>
      <c r="S277" s="333">
        <f t="shared" si="75"/>
        <v>54966666.666666627</v>
      </c>
    </row>
    <row r="278" spans="1:19" ht="15.75" customHeight="1">
      <c r="A278" s="266" t="s">
        <v>935</v>
      </c>
      <c r="D278" s="309"/>
      <c r="E278" s="316"/>
      <c r="F278" s="466"/>
      <c r="G278" s="1236" t="s">
        <v>1003</v>
      </c>
      <c r="H278" s="1236"/>
      <c r="I278" s="1236"/>
      <c r="J278" s="1237"/>
      <c r="K278" s="342">
        <f>SUM(K272:K277)</f>
        <v>626300000</v>
      </c>
      <c r="L278" s="342">
        <f t="shared" ref="L278:S278" si="76">SUM(L272:L277)</f>
        <v>0</v>
      </c>
      <c r="M278" s="342">
        <f t="shared" si="76"/>
        <v>0</v>
      </c>
      <c r="N278" s="342">
        <f t="shared" si="76"/>
        <v>626300000</v>
      </c>
      <c r="O278" s="342">
        <f t="shared" si="76"/>
        <v>326197916.66666669</v>
      </c>
      <c r="P278" s="342">
        <f>SUM(P272:P277)</f>
        <v>78287500.000000045</v>
      </c>
      <c r="Q278" s="342"/>
      <c r="R278" s="342">
        <f>SUM(R272:R277)</f>
        <v>404485416.66666669</v>
      </c>
      <c r="S278" s="342">
        <f t="shared" si="76"/>
        <v>221814583.33333328</v>
      </c>
    </row>
    <row r="279" spans="1:19" ht="15.75" customHeight="1">
      <c r="A279" s="266" t="s">
        <v>935</v>
      </c>
      <c r="D279" s="309"/>
      <c r="E279" s="316"/>
      <c r="F279" s="466"/>
      <c r="G279" s="474" t="s">
        <v>1004</v>
      </c>
      <c r="H279" s="475" t="s">
        <v>473</v>
      </c>
      <c r="I279" s="354"/>
      <c r="J279" s="396"/>
      <c r="K279" s="358"/>
      <c r="L279" s="358"/>
      <c r="M279" s="358"/>
      <c r="N279" s="358"/>
      <c r="O279" s="358"/>
      <c r="P279" s="358"/>
      <c r="Q279" s="358"/>
      <c r="R279" s="358"/>
      <c r="S279" s="358"/>
    </row>
    <row r="280" spans="1:19" ht="15.75" customHeight="1">
      <c r="A280" s="266" t="s">
        <v>935</v>
      </c>
      <c r="D280" s="309"/>
      <c r="E280" s="316"/>
      <c r="F280" s="466"/>
      <c r="G280" s="467"/>
      <c r="H280" s="410" t="s">
        <v>174</v>
      </c>
      <c r="I280" s="363">
        <v>2002</v>
      </c>
      <c r="J280" s="471">
        <v>0.125</v>
      </c>
      <c r="K280" s="415">
        <v>1715900000</v>
      </c>
      <c r="L280" s="333">
        <v>0</v>
      </c>
      <c r="M280" s="333">
        <v>0</v>
      </c>
      <c r="N280" s="329">
        <f t="shared" ref="N280:N316" si="77">K280+L280-M280</f>
        <v>1715900000</v>
      </c>
      <c r="O280" s="107">
        <v>893697916.6666671</v>
      </c>
      <c r="P280" s="333">
        <f>17873958.3333333*12</f>
        <v>214487499.99999958</v>
      </c>
      <c r="Q280" s="333">
        <v>0</v>
      </c>
      <c r="R280" s="329">
        <f t="shared" ref="R280:R316" si="78">O280+P280-Q280</f>
        <v>1108185416.6666667</v>
      </c>
      <c r="S280" s="333">
        <f t="shared" ref="S280:S316" si="79">N280-R280</f>
        <v>607714583.33333325</v>
      </c>
    </row>
    <row r="281" spans="1:19" ht="15.75" customHeight="1">
      <c r="A281" s="266" t="s">
        <v>935</v>
      </c>
      <c r="D281" s="309"/>
      <c r="E281" s="316"/>
      <c r="F281" s="466"/>
      <c r="G281" s="467"/>
      <c r="H281" s="493" t="s">
        <v>174</v>
      </c>
      <c r="I281" s="363">
        <v>2006</v>
      </c>
      <c r="J281" s="471">
        <v>0.125</v>
      </c>
      <c r="K281" s="415">
        <v>1590000000</v>
      </c>
      <c r="L281" s="333">
        <v>0</v>
      </c>
      <c r="M281" s="333">
        <v>0</v>
      </c>
      <c r="N281" s="329">
        <f t="shared" si="77"/>
        <v>1590000000</v>
      </c>
      <c r="O281" s="107">
        <v>828125000</v>
      </c>
      <c r="P281" s="333">
        <f>16562500*12</f>
        <v>198750000</v>
      </c>
      <c r="Q281" s="333">
        <v>0</v>
      </c>
      <c r="R281" s="329">
        <f t="shared" si="78"/>
        <v>1026875000</v>
      </c>
      <c r="S281" s="333">
        <f t="shared" si="79"/>
        <v>563125000</v>
      </c>
    </row>
    <row r="282" spans="1:19" ht="15.75" customHeight="1">
      <c r="A282" s="266" t="s">
        <v>935</v>
      </c>
      <c r="D282" s="309"/>
      <c r="E282" s="316"/>
      <c r="F282" s="466"/>
      <c r="G282" s="467"/>
      <c r="H282" s="494" t="s">
        <v>174</v>
      </c>
      <c r="I282" s="413">
        <v>2007</v>
      </c>
      <c r="J282" s="471">
        <v>0.125</v>
      </c>
      <c r="K282" s="415">
        <v>168100000</v>
      </c>
      <c r="L282" s="333">
        <v>0</v>
      </c>
      <c r="M282" s="333">
        <v>0</v>
      </c>
      <c r="N282" s="329">
        <f t="shared" si="77"/>
        <v>168100000</v>
      </c>
      <c r="O282" s="107">
        <v>87552083.333333358</v>
      </c>
      <c r="P282" s="333">
        <f>1751041.66666667*12</f>
        <v>21012500.000000041</v>
      </c>
      <c r="Q282" s="333">
        <v>0</v>
      </c>
      <c r="R282" s="329">
        <f t="shared" si="78"/>
        <v>108564583.3333334</v>
      </c>
      <c r="S282" s="333">
        <f t="shared" si="79"/>
        <v>59535416.666666597</v>
      </c>
    </row>
    <row r="283" spans="1:19" ht="15.75" customHeight="1">
      <c r="A283" s="266" t="s">
        <v>935</v>
      </c>
      <c r="D283" s="309"/>
      <c r="E283" s="316"/>
      <c r="F283" s="479"/>
      <c r="G283" s="480"/>
      <c r="H283" s="495" t="s">
        <v>475</v>
      </c>
      <c r="I283" s="496">
        <v>2008</v>
      </c>
      <c r="J283" s="471">
        <v>0.125</v>
      </c>
      <c r="K283" s="415">
        <v>39300000</v>
      </c>
      <c r="L283" s="333">
        <v>0</v>
      </c>
      <c r="M283" s="333">
        <v>0</v>
      </c>
      <c r="N283" s="329">
        <f t="shared" si="77"/>
        <v>39300000</v>
      </c>
      <c r="O283" s="107">
        <v>20468750</v>
      </c>
      <c r="P283" s="333">
        <f>409375*12</f>
        <v>4912500</v>
      </c>
      <c r="Q283" s="333">
        <v>0</v>
      </c>
      <c r="R283" s="329">
        <f t="shared" si="78"/>
        <v>25381250</v>
      </c>
      <c r="S283" s="333">
        <f t="shared" si="79"/>
        <v>13918750</v>
      </c>
    </row>
    <row r="284" spans="1:19" ht="15.75" customHeight="1">
      <c r="A284" s="266" t="s">
        <v>935</v>
      </c>
      <c r="D284" s="309"/>
      <c r="E284" s="316"/>
      <c r="F284" s="479"/>
      <c r="G284" s="480"/>
      <c r="H284" s="497" t="s">
        <v>476</v>
      </c>
      <c r="I284" s="405">
        <v>2008</v>
      </c>
      <c r="J284" s="471">
        <v>0.125</v>
      </c>
      <c r="K284" s="415">
        <v>20800000</v>
      </c>
      <c r="L284" s="333">
        <v>0</v>
      </c>
      <c r="M284" s="333">
        <v>0</v>
      </c>
      <c r="N284" s="329">
        <f t="shared" si="77"/>
        <v>20800000</v>
      </c>
      <c r="O284" s="107">
        <v>10833333.333333332</v>
      </c>
      <c r="P284" s="333">
        <f>216666.666666667*12</f>
        <v>2600000.0000000042</v>
      </c>
      <c r="Q284" s="333">
        <v>0</v>
      </c>
      <c r="R284" s="329">
        <f t="shared" si="78"/>
        <v>13433333.333333336</v>
      </c>
      <c r="S284" s="333">
        <f t="shared" si="79"/>
        <v>7366666.6666666642</v>
      </c>
    </row>
    <row r="285" spans="1:19" ht="15.75" customHeight="1">
      <c r="A285" s="266" t="s">
        <v>935</v>
      </c>
      <c r="D285" s="309"/>
      <c r="E285" s="316"/>
      <c r="F285" s="479"/>
      <c r="G285" s="480"/>
      <c r="H285" s="494" t="s">
        <v>477</v>
      </c>
      <c r="I285" s="405">
        <v>2008</v>
      </c>
      <c r="J285" s="471">
        <v>0.125</v>
      </c>
      <c r="K285" s="415">
        <v>10500000</v>
      </c>
      <c r="L285" s="333">
        <v>0</v>
      </c>
      <c r="M285" s="333">
        <v>0</v>
      </c>
      <c r="N285" s="329">
        <f t="shared" si="77"/>
        <v>10500000</v>
      </c>
      <c r="O285" s="107">
        <v>5468750</v>
      </c>
      <c r="P285" s="333">
        <f>109375*12</f>
        <v>1312500</v>
      </c>
      <c r="Q285" s="333">
        <v>0</v>
      </c>
      <c r="R285" s="329">
        <f t="shared" si="78"/>
        <v>6781250</v>
      </c>
      <c r="S285" s="333">
        <f t="shared" si="79"/>
        <v>3718750</v>
      </c>
    </row>
    <row r="286" spans="1:19" ht="15.75" customHeight="1">
      <c r="A286" s="266" t="s">
        <v>935</v>
      </c>
      <c r="D286" s="309"/>
      <c r="E286" s="316"/>
      <c r="F286" s="479"/>
      <c r="G286" s="480"/>
      <c r="H286" s="495" t="s">
        <v>478</v>
      </c>
      <c r="I286" s="405">
        <v>2009</v>
      </c>
      <c r="J286" s="471">
        <v>0.125</v>
      </c>
      <c r="K286" s="415">
        <v>7900000</v>
      </c>
      <c r="L286" s="333">
        <v>0</v>
      </c>
      <c r="M286" s="333">
        <v>0</v>
      </c>
      <c r="N286" s="329">
        <f t="shared" si="77"/>
        <v>7900000</v>
      </c>
      <c r="O286" s="107">
        <v>4114583.3333333307</v>
      </c>
      <c r="P286" s="333">
        <f>82291.6666666667*12</f>
        <v>987500.00000000047</v>
      </c>
      <c r="Q286" s="333">
        <v>0</v>
      </c>
      <c r="R286" s="329">
        <f t="shared" si="78"/>
        <v>5102083.3333333312</v>
      </c>
      <c r="S286" s="333">
        <f t="shared" si="79"/>
        <v>2797916.6666666688</v>
      </c>
    </row>
    <row r="287" spans="1:19" ht="15.75" customHeight="1">
      <c r="A287" s="266" t="s">
        <v>935</v>
      </c>
      <c r="D287" s="309"/>
      <c r="E287" s="316"/>
      <c r="F287" s="479"/>
      <c r="G287" s="480"/>
      <c r="H287" s="497" t="s">
        <v>479</v>
      </c>
      <c r="I287" s="413">
        <v>2009</v>
      </c>
      <c r="J287" s="471">
        <v>0.125</v>
      </c>
      <c r="K287" s="415">
        <v>97100000</v>
      </c>
      <c r="L287" s="333">
        <v>0</v>
      </c>
      <c r="M287" s="333">
        <v>0</v>
      </c>
      <c r="N287" s="329">
        <f t="shared" si="77"/>
        <v>97100000</v>
      </c>
      <c r="O287" s="107">
        <v>50572916.666666679</v>
      </c>
      <c r="P287" s="333">
        <f>1011458.33333333*12</f>
        <v>12137499.999999959</v>
      </c>
      <c r="Q287" s="333">
        <v>0</v>
      </c>
      <c r="R287" s="329">
        <f t="shared" si="78"/>
        <v>62710416.666666642</v>
      </c>
      <c r="S287" s="333">
        <f t="shared" si="79"/>
        <v>34389583.333333358</v>
      </c>
    </row>
    <row r="288" spans="1:19" ht="15.75" customHeight="1">
      <c r="A288" s="266" t="s">
        <v>935</v>
      </c>
      <c r="D288" s="309"/>
      <c r="E288" s="316"/>
      <c r="F288" s="479"/>
      <c r="G288" s="480"/>
      <c r="H288" s="494" t="s">
        <v>480</v>
      </c>
      <c r="I288" s="496">
        <v>2011</v>
      </c>
      <c r="J288" s="471">
        <v>0.125</v>
      </c>
      <c r="K288" s="415">
        <v>4800000</v>
      </c>
      <c r="L288" s="333">
        <v>0</v>
      </c>
      <c r="M288" s="333">
        <v>0</v>
      </c>
      <c r="N288" s="329">
        <f t="shared" si="77"/>
        <v>4800000</v>
      </c>
      <c r="O288" s="107">
        <v>2500000</v>
      </c>
      <c r="P288" s="333">
        <f>50000*12</f>
        <v>600000</v>
      </c>
      <c r="Q288" s="333">
        <v>0</v>
      </c>
      <c r="R288" s="329">
        <f t="shared" si="78"/>
        <v>3100000</v>
      </c>
      <c r="S288" s="333">
        <f t="shared" si="79"/>
        <v>1700000</v>
      </c>
    </row>
    <row r="289" spans="1:19" ht="15.75" customHeight="1">
      <c r="A289" s="266" t="s">
        <v>935</v>
      </c>
      <c r="D289" s="309"/>
      <c r="E289" s="316"/>
      <c r="F289" s="479"/>
      <c r="G289" s="480"/>
      <c r="H289" s="495" t="s">
        <v>481</v>
      </c>
      <c r="I289" s="413">
        <v>2012</v>
      </c>
      <c r="J289" s="471">
        <v>0.125</v>
      </c>
      <c r="K289" s="415">
        <v>5000000</v>
      </c>
      <c r="L289" s="333">
        <v>0</v>
      </c>
      <c r="M289" s="333">
        <v>0</v>
      </c>
      <c r="N289" s="329">
        <f t="shared" si="77"/>
        <v>5000000</v>
      </c>
      <c r="O289" s="107">
        <v>2604166.6666666665</v>
      </c>
      <c r="P289" s="333">
        <f>52083.3333333333*12</f>
        <v>624999.99999999953</v>
      </c>
      <c r="Q289" s="333">
        <v>0</v>
      </c>
      <c r="R289" s="329">
        <f t="shared" si="78"/>
        <v>3229166.666666666</v>
      </c>
      <c r="S289" s="333">
        <f t="shared" si="79"/>
        <v>1770833.333333334</v>
      </c>
    </row>
    <row r="290" spans="1:19" ht="15.75" customHeight="1">
      <c r="A290" s="266" t="s">
        <v>935</v>
      </c>
      <c r="D290" s="309"/>
      <c r="E290" s="316"/>
      <c r="F290" s="479"/>
      <c r="G290" s="480"/>
      <c r="H290" s="494" t="s">
        <v>482</v>
      </c>
      <c r="I290" s="496">
        <v>2012</v>
      </c>
      <c r="J290" s="471">
        <v>0.125</v>
      </c>
      <c r="K290" s="415">
        <v>248145455</v>
      </c>
      <c r="L290" s="333">
        <v>0</v>
      </c>
      <c r="M290" s="333">
        <v>0</v>
      </c>
      <c r="N290" s="329">
        <f t="shared" si="77"/>
        <v>248145455</v>
      </c>
      <c r="O290" s="107">
        <v>75284090.989583358</v>
      </c>
      <c r="P290" s="333">
        <f>2584848.48958333*12</f>
        <v>31018181.874999963</v>
      </c>
      <c r="Q290" s="333">
        <v>0</v>
      </c>
      <c r="R290" s="329">
        <f t="shared" si="78"/>
        <v>106302272.86458331</v>
      </c>
      <c r="S290" s="333">
        <f t="shared" si="79"/>
        <v>141843182.13541669</v>
      </c>
    </row>
    <row r="291" spans="1:19" ht="15.75" customHeight="1">
      <c r="A291" s="266" t="s">
        <v>935</v>
      </c>
      <c r="D291" s="309"/>
      <c r="E291" s="316"/>
      <c r="F291" s="479"/>
      <c r="G291" s="480"/>
      <c r="H291" s="494" t="s">
        <v>483</v>
      </c>
      <c r="I291" s="413">
        <v>2013</v>
      </c>
      <c r="J291" s="471">
        <v>0.125</v>
      </c>
      <c r="K291" s="415">
        <v>9200000</v>
      </c>
      <c r="L291" s="333">
        <v>0</v>
      </c>
      <c r="M291" s="333">
        <v>0</v>
      </c>
      <c r="N291" s="329">
        <f t="shared" si="77"/>
        <v>9200000</v>
      </c>
      <c r="O291" s="107">
        <v>4791666.6666666679</v>
      </c>
      <c r="P291" s="333">
        <f>95833.3333333333*12</f>
        <v>1149999.9999999995</v>
      </c>
      <c r="Q291" s="333">
        <v>0</v>
      </c>
      <c r="R291" s="329">
        <f t="shared" si="78"/>
        <v>5941666.6666666679</v>
      </c>
      <c r="S291" s="333">
        <f t="shared" si="79"/>
        <v>3258333.3333333321</v>
      </c>
    </row>
    <row r="292" spans="1:19" ht="15.75" customHeight="1">
      <c r="A292" s="266" t="s">
        <v>935</v>
      </c>
      <c r="D292" s="309"/>
      <c r="E292" s="316"/>
      <c r="F292" s="479"/>
      <c r="G292" s="480"/>
      <c r="H292" s="494" t="s">
        <v>484</v>
      </c>
      <c r="I292" s="496">
        <v>2013</v>
      </c>
      <c r="J292" s="471">
        <v>0.125</v>
      </c>
      <c r="K292" s="415">
        <v>36200000</v>
      </c>
      <c r="L292" s="333">
        <v>0</v>
      </c>
      <c r="M292" s="333">
        <v>0</v>
      </c>
      <c r="N292" s="329">
        <f t="shared" si="77"/>
        <v>36200000</v>
      </c>
      <c r="O292" s="107">
        <v>18854166.666666672</v>
      </c>
      <c r="P292" s="333">
        <f>377083.333333333*12</f>
        <v>4524999.9999999963</v>
      </c>
      <c r="Q292" s="333">
        <v>0</v>
      </c>
      <c r="R292" s="329">
        <f t="shared" si="78"/>
        <v>23379166.666666668</v>
      </c>
      <c r="S292" s="333">
        <f t="shared" si="79"/>
        <v>12820833.333333332</v>
      </c>
    </row>
    <row r="293" spans="1:19" ht="15.75" customHeight="1">
      <c r="A293" s="266" t="s">
        <v>935</v>
      </c>
      <c r="D293" s="309"/>
      <c r="E293" s="316"/>
      <c r="F293" s="479"/>
      <c r="G293" s="480"/>
      <c r="H293" s="497" t="s">
        <v>485</v>
      </c>
      <c r="I293" s="405">
        <v>2013</v>
      </c>
      <c r="J293" s="471">
        <v>0.125</v>
      </c>
      <c r="K293" s="415">
        <v>28000000</v>
      </c>
      <c r="L293" s="333">
        <v>0</v>
      </c>
      <c r="M293" s="333">
        <v>0</v>
      </c>
      <c r="N293" s="329">
        <f t="shared" si="77"/>
        <v>28000000</v>
      </c>
      <c r="O293" s="107">
        <v>14583333.333333325</v>
      </c>
      <c r="P293" s="333">
        <f>291666.666666667*12</f>
        <v>3500000.0000000037</v>
      </c>
      <c r="Q293" s="333">
        <v>0</v>
      </c>
      <c r="R293" s="329">
        <f t="shared" si="78"/>
        <v>18083333.333333328</v>
      </c>
      <c r="S293" s="333">
        <f t="shared" si="79"/>
        <v>9916666.6666666716</v>
      </c>
    </row>
    <row r="294" spans="1:19" ht="15.75" customHeight="1">
      <c r="A294" s="266" t="s">
        <v>935</v>
      </c>
      <c r="D294" s="309"/>
      <c r="E294" s="316"/>
      <c r="F294" s="479"/>
      <c r="G294" s="480"/>
      <c r="H294" s="494" t="s">
        <v>486</v>
      </c>
      <c r="I294" s="405">
        <v>2014</v>
      </c>
      <c r="J294" s="471">
        <v>0.125</v>
      </c>
      <c r="K294" s="415">
        <v>32100000</v>
      </c>
      <c r="L294" s="333">
        <v>0</v>
      </c>
      <c r="M294" s="333">
        <v>0</v>
      </c>
      <c r="N294" s="329">
        <f t="shared" si="77"/>
        <v>32100000</v>
      </c>
      <c r="O294" s="107">
        <v>16718750</v>
      </c>
      <c r="P294" s="333">
        <f>334375*12</f>
        <v>4012500</v>
      </c>
      <c r="Q294" s="333">
        <v>0</v>
      </c>
      <c r="R294" s="329">
        <f t="shared" si="78"/>
        <v>20731250</v>
      </c>
      <c r="S294" s="333">
        <f t="shared" si="79"/>
        <v>11368750</v>
      </c>
    </row>
    <row r="295" spans="1:19" ht="15.75" customHeight="1">
      <c r="A295" s="266" t="s">
        <v>935</v>
      </c>
      <c r="D295" s="309"/>
      <c r="E295" s="316"/>
      <c r="F295" s="479"/>
      <c r="G295" s="480"/>
      <c r="H295" s="495" t="s">
        <v>487</v>
      </c>
      <c r="I295" s="405">
        <v>2014</v>
      </c>
      <c r="J295" s="471">
        <v>0.125</v>
      </c>
      <c r="K295" s="415">
        <v>16500000</v>
      </c>
      <c r="L295" s="333">
        <v>0</v>
      </c>
      <c r="M295" s="333">
        <v>0</v>
      </c>
      <c r="N295" s="329">
        <f t="shared" si="77"/>
        <v>16500000</v>
      </c>
      <c r="O295" s="107">
        <v>8593750</v>
      </c>
      <c r="P295" s="333">
        <f>171875*12</f>
        <v>2062500</v>
      </c>
      <c r="Q295" s="333">
        <v>0</v>
      </c>
      <c r="R295" s="329">
        <f t="shared" si="78"/>
        <v>10656250</v>
      </c>
      <c r="S295" s="333">
        <f t="shared" si="79"/>
        <v>5843750</v>
      </c>
    </row>
    <row r="296" spans="1:19" ht="15.75" customHeight="1">
      <c r="A296" s="266" t="s">
        <v>935</v>
      </c>
      <c r="D296" s="309"/>
      <c r="E296" s="316"/>
      <c r="F296" s="479"/>
      <c r="G296" s="480"/>
      <c r="H296" s="494" t="s">
        <v>487</v>
      </c>
      <c r="I296" s="405">
        <v>2014</v>
      </c>
      <c r="J296" s="471">
        <v>0.125</v>
      </c>
      <c r="K296" s="415">
        <v>8600000</v>
      </c>
      <c r="L296" s="333">
        <v>0</v>
      </c>
      <c r="M296" s="333">
        <v>0</v>
      </c>
      <c r="N296" s="329">
        <f t="shared" si="77"/>
        <v>8600000</v>
      </c>
      <c r="O296" s="107">
        <v>4479166.6666666698</v>
      </c>
      <c r="P296" s="333">
        <f>89583.3333333333*12</f>
        <v>1074999.9999999995</v>
      </c>
      <c r="Q296" s="333">
        <v>0</v>
      </c>
      <c r="R296" s="329">
        <f t="shared" si="78"/>
        <v>5554166.6666666698</v>
      </c>
      <c r="S296" s="333">
        <f t="shared" si="79"/>
        <v>3045833.3333333302</v>
      </c>
    </row>
    <row r="297" spans="1:19" ht="15.75" customHeight="1">
      <c r="A297" s="266" t="s">
        <v>935</v>
      </c>
      <c r="D297" s="309"/>
      <c r="E297" s="316"/>
      <c r="F297" s="479"/>
      <c r="G297" s="480"/>
      <c r="H297" s="494" t="s">
        <v>488</v>
      </c>
      <c r="I297" s="413">
        <v>2014</v>
      </c>
      <c r="J297" s="471">
        <v>0.125</v>
      </c>
      <c r="K297" s="415">
        <v>186300000</v>
      </c>
      <c r="L297" s="333">
        <v>0</v>
      </c>
      <c r="M297" s="333">
        <v>0</v>
      </c>
      <c r="N297" s="329">
        <f t="shared" si="77"/>
        <v>186300000</v>
      </c>
      <c r="O297" s="107">
        <v>97031250</v>
      </c>
      <c r="P297" s="333">
        <f>1940625*12</f>
        <v>23287500</v>
      </c>
      <c r="Q297" s="333">
        <v>0</v>
      </c>
      <c r="R297" s="329">
        <f t="shared" si="78"/>
        <v>120318750</v>
      </c>
      <c r="S297" s="333">
        <f t="shared" si="79"/>
        <v>65981250</v>
      </c>
    </row>
    <row r="298" spans="1:19" ht="15.75" customHeight="1">
      <c r="A298" s="266" t="s">
        <v>935</v>
      </c>
      <c r="B298" s="266">
        <v>2</v>
      </c>
      <c r="C298" s="266">
        <v>2</v>
      </c>
      <c r="D298" s="309"/>
      <c r="E298" s="316"/>
      <c r="F298" s="479"/>
      <c r="G298" s="498"/>
      <c r="H298" s="499" t="s">
        <v>489</v>
      </c>
      <c r="I298" s="500">
        <v>42061</v>
      </c>
      <c r="J298" s="471">
        <v>0.125</v>
      </c>
      <c r="K298" s="484">
        <v>3000000</v>
      </c>
      <c r="L298" s="329">
        <v>0</v>
      </c>
      <c r="M298" s="329">
        <v>0</v>
      </c>
      <c r="N298" s="329">
        <f t="shared" si="77"/>
        <v>3000000</v>
      </c>
      <c r="O298" s="107">
        <v>1837500</v>
      </c>
      <c r="P298" s="333">
        <f>31250*12</f>
        <v>375000</v>
      </c>
      <c r="Q298" s="329">
        <v>0</v>
      </c>
      <c r="R298" s="329">
        <f t="shared" si="78"/>
        <v>2212500</v>
      </c>
      <c r="S298" s="333">
        <f t="shared" si="79"/>
        <v>787500</v>
      </c>
    </row>
    <row r="299" spans="1:19" ht="15.75" customHeight="1">
      <c r="A299" s="266" t="s">
        <v>935</v>
      </c>
      <c r="B299" s="266">
        <v>3</v>
      </c>
      <c r="C299" s="266">
        <v>3</v>
      </c>
      <c r="D299" s="309"/>
      <c r="E299" s="316"/>
      <c r="F299" s="479"/>
      <c r="G299" s="498"/>
      <c r="H299" s="501" t="s">
        <v>490</v>
      </c>
      <c r="I299" s="500">
        <v>42086</v>
      </c>
      <c r="J299" s="471">
        <v>0.125</v>
      </c>
      <c r="K299" s="484">
        <v>1344000</v>
      </c>
      <c r="L299" s="329">
        <v>0</v>
      </c>
      <c r="M299" s="329">
        <v>0</v>
      </c>
      <c r="N299" s="329">
        <f t="shared" si="77"/>
        <v>1344000</v>
      </c>
      <c r="O299" s="107">
        <v>812000</v>
      </c>
      <c r="P299" s="333">
        <f>14000*12</f>
        <v>168000</v>
      </c>
      <c r="Q299" s="329">
        <v>0</v>
      </c>
      <c r="R299" s="329">
        <f t="shared" si="78"/>
        <v>980000</v>
      </c>
      <c r="S299" s="333">
        <f t="shared" si="79"/>
        <v>364000</v>
      </c>
    </row>
    <row r="300" spans="1:19" ht="15.75" customHeight="1">
      <c r="A300" s="266" t="s">
        <v>935</v>
      </c>
      <c r="B300" s="266">
        <v>4</v>
      </c>
      <c r="C300" s="266">
        <v>4</v>
      </c>
      <c r="D300" s="309"/>
      <c r="E300" s="316"/>
      <c r="F300" s="479"/>
      <c r="G300" s="498"/>
      <c r="H300" s="501" t="s">
        <v>491</v>
      </c>
      <c r="I300" s="500">
        <v>42114</v>
      </c>
      <c r="J300" s="471">
        <v>0.125</v>
      </c>
      <c r="K300" s="484">
        <v>3800000</v>
      </c>
      <c r="L300" s="329">
        <v>0</v>
      </c>
      <c r="M300" s="329">
        <v>0</v>
      </c>
      <c r="N300" s="329">
        <f t="shared" si="77"/>
        <v>3800000</v>
      </c>
      <c r="O300" s="107">
        <v>2264166.6666666651</v>
      </c>
      <c r="P300" s="333">
        <f>39583.3333333333*12</f>
        <v>474999.99999999959</v>
      </c>
      <c r="Q300" s="329">
        <v>0</v>
      </c>
      <c r="R300" s="329">
        <f t="shared" si="78"/>
        <v>2739166.6666666646</v>
      </c>
      <c r="S300" s="333">
        <f t="shared" si="79"/>
        <v>1060833.3333333354</v>
      </c>
    </row>
    <row r="301" spans="1:19" ht="15.75" customHeight="1">
      <c r="A301" s="266" t="s">
        <v>935</v>
      </c>
      <c r="B301" s="266">
        <v>8</v>
      </c>
      <c r="C301" s="266">
        <v>8</v>
      </c>
      <c r="D301" s="309"/>
      <c r="E301" s="316"/>
      <c r="F301" s="479"/>
      <c r="G301" s="498"/>
      <c r="H301" s="501" t="s">
        <v>492</v>
      </c>
      <c r="I301" s="500">
        <v>42240</v>
      </c>
      <c r="J301" s="471">
        <v>0.125</v>
      </c>
      <c r="K301" s="484">
        <v>15300000</v>
      </c>
      <c r="L301" s="329">
        <v>0</v>
      </c>
      <c r="M301" s="329">
        <v>0</v>
      </c>
      <c r="N301" s="329">
        <f t="shared" si="77"/>
        <v>15300000</v>
      </c>
      <c r="O301" s="107">
        <v>8606250</v>
      </c>
      <c r="P301" s="333">
        <f>159375*12</f>
        <v>1912500</v>
      </c>
      <c r="Q301" s="329">
        <v>0</v>
      </c>
      <c r="R301" s="329">
        <f t="shared" si="78"/>
        <v>10518750</v>
      </c>
      <c r="S301" s="333">
        <f t="shared" si="79"/>
        <v>4781250</v>
      </c>
    </row>
    <row r="302" spans="1:19" ht="15.75" customHeight="1">
      <c r="A302" s="266" t="s">
        <v>935</v>
      </c>
      <c r="B302" s="266">
        <v>8</v>
      </c>
      <c r="C302" s="266">
        <v>8</v>
      </c>
      <c r="D302" s="309"/>
      <c r="E302" s="316"/>
      <c r="F302" s="479"/>
      <c r="G302" s="498"/>
      <c r="H302" s="501" t="s">
        <v>493</v>
      </c>
      <c r="I302" s="500">
        <v>42247</v>
      </c>
      <c r="J302" s="471">
        <v>0.125</v>
      </c>
      <c r="K302" s="472">
        <v>5300000</v>
      </c>
      <c r="L302" s="329">
        <v>0</v>
      </c>
      <c r="M302" s="329">
        <v>0</v>
      </c>
      <c r="N302" s="329">
        <f t="shared" si="77"/>
        <v>5300000</v>
      </c>
      <c r="O302" s="107">
        <v>2981250.0000000009</v>
      </c>
      <c r="P302" s="333">
        <f>55208.3333333333*12</f>
        <v>662499.99999999953</v>
      </c>
      <c r="Q302" s="329">
        <v>0</v>
      </c>
      <c r="R302" s="329">
        <f t="shared" si="78"/>
        <v>3643750.0000000005</v>
      </c>
      <c r="S302" s="333">
        <f t="shared" si="79"/>
        <v>1656249.9999999995</v>
      </c>
    </row>
    <row r="303" spans="1:19" ht="15.75" customHeight="1">
      <c r="A303" s="266" t="s">
        <v>935</v>
      </c>
      <c r="B303" s="266">
        <v>8</v>
      </c>
      <c r="C303" s="266">
        <v>8</v>
      </c>
      <c r="D303" s="309"/>
      <c r="E303" s="316"/>
      <c r="F303" s="479"/>
      <c r="G303" s="498"/>
      <c r="H303" s="501" t="s">
        <v>494</v>
      </c>
      <c r="I303" s="500">
        <v>42594</v>
      </c>
      <c r="J303" s="471">
        <v>0.125</v>
      </c>
      <c r="K303" s="472">
        <v>8600000</v>
      </c>
      <c r="L303" s="329">
        <v>0</v>
      </c>
      <c r="M303" s="329">
        <v>0</v>
      </c>
      <c r="N303" s="329">
        <f t="shared" si="77"/>
        <v>8600000</v>
      </c>
      <c r="O303" s="108">
        <v>3852083.3333333354</v>
      </c>
      <c r="P303" s="333">
        <f>89583.3333333333*12</f>
        <v>1074999.9999999995</v>
      </c>
      <c r="Q303" s="329">
        <v>0</v>
      </c>
      <c r="R303" s="329">
        <f t="shared" si="78"/>
        <v>4927083.3333333349</v>
      </c>
      <c r="S303" s="333">
        <f t="shared" si="79"/>
        <v>3672916.6666666651</v>
      </c>
    </row>
    <row r="304" spans="1:19" ht="15.75" customHeight="1">
      <c r="A304" s="266" t="s">
        <v>935</v>
      </c>
      <c r="B304" s="266">
        <v>8</v>
      </c>
      <c r="C304" s="266">
        <v>8</v>
      </c>
      <c r="D304" s="309"/>
      <c r="E304" s="316"/>
      <c r="F304" s="479"/>
      <c r="G304" s="480"/>
      <c r="H304" s="502" t="s">
        <v>495</v>
      </c>
      <c r="I304" s="503">
        <v>42630</v>
      </c>
      <c r="J304" s="471">
        <v>0.125</v>
      </c>
      <c r="K304" s="472">
        <v>15925000</v>
      </c>
      <c r="L304" s="329">
        <v>0</v>
      </c>
      <c r="M304" s="329">
        <v>0</v>
      </c>
      <c r="N304" s="329">
        <f t="shared" si="77"/>
        <v>15925000</v>
      </c>
      <c r="O304" s="108">
        <v>6801302.0833333367</v>
      </c>
      <c r="P304" s="333">
        <f>165885.416666667*12</f>
        <v>1990625.0000000042</v>
      </c>
      <c r="Q304" s="329">
        <v>0</v>
      </c>
      <c r="R304" s="329">
        <f t="shared" si="78"/>
        <v>8791927.0833333414</v>
      </c>
      <c r="S304" s="333">
        <f t="shared" si="79"/>
        <v>7133072.9166666586</v>
      </c>
    </row>
    <row r="305" spans="1:19" ht="15.75" customHeight="1">
      <c r="D305" s="309"/>
      <c r="E305" s="316"/>
      <c r="F305" s="479"/>
      <c r="G305" s="480"/>
      <c r="H305" s="502" t="s">
        <v>496</v>
      </c>
      <c r="I305" s="503">
        <v>42818</v>
      </c>
      <c r="J305" s="471">
        <v>0.125</v>
      </c>
      <c r="K305" s="472">
        <v>31272800</v>
      </c>
      <c r="L305" s="329">
        <v>0</v>
      </c>
      <c r="M305" s="329">
        <v>0</v>
      </c>
      <c r="N305" s="329">
        <f t="shared" si="77"/>
        <v>31272800</v>
      </c>
      <c r="O305" s="108">
        <v>11401541.666666668</v>
      </c>
      <c r="P305" s="333">
        <f>325758.333333333*12</f>
        <v>3909099.9999999963</v>
      </c>
      <c r="Q305" s="329">
        <v>0</v>
      </c>
      <c r="R305" s="329">
        <f t="shared" si="78"/>
        <v>15310641.666666664</v>
      </c>
      <c r="S305" s="333">
        <f t="shared" si="79"/>
        <v>15962158.333333336</v>
      </c>
    </row>
    <row r="306" spans="1:19" ht="15.75" customHeight="1">
      <c r="D306" s="309"/>
      <c r="E306" s="316"/>
      <c r="F306" s="479"/>
      <c r="G306" s="480"/>
      <c r="H306" s="502" t="s">
        <v>497</v>
      </c>
      <c r="I306" s="503">
        <v>42818</v>
      </c>
      <c r="J306" s="471">
        <v>0.125</v>
      </c>
      <c r="K306" s="472">
        <v>130971776</v>
      </c>
      <c r="L306" s="329">
        <v>0</v>
      </c>
      <c r="M306" s="329">
        <v>0</v>
      </c>
      <c r="N306" s="329">
        <f t="shared" si="77"/>
        <v>130971776</v>
      </c>
      <c r="O306" s="108">
        <v>47750126.666666664</v>
      </c>
      <c r="P306" s="333">
        <f>1364289.33333333*12</f>
        <v>16371471.999999959</v>
      </c>
      <c r="Q306" s="329">
        <v>0</v>
      </c>
      <c r="R306" s="329">
        <f t="shared" si="78"/>
        <v>64121598.666666627</v>
      </c>
      <c r="S306" s="333">
        <f t="shared" si="79"/>
        <v>66850177.333333373</v>
      </c>
    </row>
    <row r="307" spans="1:19" ht="15.75" customHeight="1">
      <c r="D307" s="309"/>
      <c r="E307" s="316"/>
      <c r="F307" s="479"/>
      <c r="G307" s="480"/>
      <c r="H307" s="502" t="s">
        <v>498</v>
      </c>
      <c r="I307" s="503">
        <v>42818</v>
      </c>
      <c r="J307" s="471">
        <v>0.125</v>
      </c>
      <c r="K307" s="472">
        <v>363957360</v>
      </c>
      <c r="L307" s="329">
        <v>0</v>
      </c>
      <c r="M307" s="329">
        <v>0</v>
      </c>
      <c r="N307" s="329">
        <f t="shared" si="77"/>
        <v>363957360</v>
      </c>
      <c r="O307" s="108">
        <v>132692787.5</v>
      </c>
      <c r="P307" s="333">
        <f>3791222.5*12</f>
        <v>45494670</v>
      </c>
      <c r="Q307" s="329">
        <v>0</v>
      </c>
      <c r="R307" s="329">
        <f t="shared" si="78"/>
        <v>178187457.5</v>
      </c>
      <c r="S307" s="333">
        <f t="shared" si="79"/>
        <v>185769902.5</v>
      </c>
    </row>
    <row r="308" spans="1:19" ht="15.75" customHeight="1">
      <c r="D308" s="309"/>
      <c r="E308" s="316"/>
      <c r="F308" s="479"/>
      <c r="G308" s="480"/>
      <c r="H308" s="502" t="s">
        <v>499</v>
      </c>
      <c r="I308" s="503">
        <v>42818</v>
      </c>
      <c r="J308" s="471">
        <v>0.125</v>
      </c>
      <c r="K308" s="472">
        <v>251472000</v>
      </c>
      <c r="L308" s="329">
        <v>0</v>
      </c>
      <c r="M308" s="329">
        <v>0</v>
      </c>
      <c r="N308" s="329">
        <f t="shared" si="77"/>
        <v>251472000</v>
      </c>
      <c r="O308" s="108">
        <v>91682500</v>
      </c>
      <c r="P308" s="333">
        <f>2619500*12</f>
        <v>31434000</v>
      </c>
      <c r="Q308" s="329">
        <v>0</v>
      </c>
      <c r="R308" s="329">
        <f t="shared" si="78"/>
        <v>123116500</v>
      </c>
      <c r="S308" s="333">
        <f t="shared" si="79"/>
        <v>128355500</v>
      </c>
    </row>
    <row r="309" spans="1:19" ht="15.75" customHeight="1">
      <c r="D309" s="309"/>
      <c r="E309" s="316"/>
      <c r="F309" s="479"/>
      <c r="G309" s="480"/>
      <c r="H309" s="502" t="s">
        <v>500</v>
      </c>
      <c r="I309" s="503">
        <v>42818</v>
      </c>
      <c r="J309" s="471">
        <v>0.125</v>
      </c>
      <c r="K309" s="472">
        <v>42937232</v>
      </c>
      <c r="L309" s="329">
        <v>0</v>
      </c>
      <c r="M309" s="329">
        <v>0</v>
      </c>
      <c r="N309" s="329">
        <f t="shared" si="77"/>
        <v>42937232</v>
      </c>
      <c r="O309" s="108">
        <v>15654199.166666673</v>
      </c>
      <c r="P309" s="333">
        <f>447262.833333333*12</f>
        <v>5367153.9999999963</v>
      </c>
      <c r="Q309" s="329">
        <v>0</v>
      </c>
      <c r="R309" s="329">
        <f t="shared" si="78"/>
        <v>21021353.166666672</v>
      </c>
      <c r="S309" s="333">
        <f t="shared" si="79"/>
        <v>21915878.833333328</v>
      </c>
    </row>
    <row r="310" spans="1:19" ht="15.75" customHeight="1">
      <c r="D310" s="309"/>
      <c r="E310" s="316"/>
      <c r="F310" s="479"/>
      <c r="G310" s="498"/>
      <c r="H310" s="501" t="s">
        <v>501</v>
      </c>
      <c r="I310" s="504">
        <v>42881</v>
      </c>
      <c r="J310" s="478">
        <v>0.125</v>
      </c>
      <c r="K310" s="472">
        <v>30940000</v>
      </c>
      <c r="L310" s="329">
        <v>0</v>
      </c>
      <c r="M310" s="329">
        <v>0</v>
      </c>
      <c r="N310" s="329">
        <f t="shared" si="77"/>
        <v>30940000</v>
      </c>
      <c r="O310" s="108">
        <v>10635625.000000002</v>
      </c>
      <c r="P310" s="333">
        <f>322291.666666667*12</f>
        <v>3867500.0000000037</v>
      </c>
      <c r="Q310" s="329">
        <v>0</v>
      </c>
      <c r="R310" s="329">
        <f t="shared" si="78"/>
        <v>14503125.000000006</v>
      </c>
      <c r="S310" s="333">
        <f t="shared" si="79"/>
        <v>16436874.999999994</v>
      </c>
    </row>
    <row r="311" spans="1:19" ht="15.75" customHeight="1">
      <c r="D311" s="309"/>
      <c r="E311" s="316"/>
      <c r="F311" s="479"/>
      <c r="G311" s="505"/>
      <c r="H311" s="506" t="s">
        <v>502</v>
      </c>
      <c r="I311" s="507">
        <v>43678</v>
      </c>
      <c r="J311" s="471">
        <v>0.125</v>
      </c>
      <c r="K311" s="484">
        <v>244900000</v>
      </c>
      <c r="L311" s="333"/>
      <c r="M311" s="333">
        <v>0</v>
      </c>
      <c r="N311" s="329">
        <f t="shared" si="77"/>
        <v>244900000</v>
      </c>
      <c r="O311" s="108">
        <v>17857291.666666672</v>
      </c>
      <c r="P311" s="333">
        <f>2551041.66666667*12</f>
        <v>30612500.000000037</v>
      </c>
      <c r="Q311" s="333">
        <v>0</v>
      </c>
      <c r="R311" s="329">
        <f t="shared" si="78"/>
        <v>48469791.666666709</v>
      </c>
      <c r="S311" s="333">
        <f t="shared" si="79"/>
        <v>196430208.33333328</v>
      </c>
    </row>
    <row r="312" spans="1:19" ht="15.75" customHeight="1">
      <c r="D312" s="309"/>
      <c r="E312" s="316"/>
      <c r="F312" s="479"/>
      <c r="G312" s="505"/>
      <c r="H312" s="506" t="s">
        <v>503</v>
      </c>
      <c r="I312" s="507">
        <v>43770</v>
      </c>
      <c r="J312" s="471">
        <v>0.125</v>
      </c>
      <c r="K312" s="484">
        <v>1035300</v>
      </c>
      <c r="L312" s="333"/>
      <c r="M312" s="333">
        <v>0</v>
      </c>
      <c r="N312" s="329">
        <f t="shared" si="77"/>
        <v>1035300</v>
      </c>
      <c r="O312" s="508">
        <v>43137.5</v>
      </c>
      <c r="P312" s="333">
        <f>10784.375*12</f>
        <v>129412.5</v>
      </c>
      <c r="Q312" s="333">
        <v>0</v>
      </c>
      <c r="R312" s="329">
        <f t="shared" si="78"/>
        <v>172550</v>
      </c>
      <c r="S312" s="333">
        <f t="shared" si="79"/>
        <v>862750</v>
      </c>
    </row>
    <row r="313" spans="1:19" ht="15.75" customHeight="1">
      <c r="D313" s="309"/>
      <c r="E313" s="316"/>
      <c r="F313" s="479"/>
      <c r="G313" s="509"/>
      <c r="H313" s="510" t="s">
        <v>504</v>
      </c>
      <c r="I313" s="511">
        <v>43770</v>
      </c>
      <c r="J313" s="478">
        <v>0.125</v>
      </c>
      <c r="K313" s="472">
        <v>4687273</v>
      </c>
      <c r="L313" s="329"/>
      <c r="M313" s="329">
        <v>0</v>
      </c>
      <c r="N313" s="329">
        <f t="shared" si="77"/>
        <v>4687273</v>
      </c>
      <c r="O313" s="508">
        <v>195303.04166666674</v>
      </c>
      <c r="P313" s="333">
        <f>48825.7604166667*12</f>
        <v>585909.12500000047</v>
      </c>
      <c r="Q313" s="329">
        <v>0</v>
      </c>
      <c r="R313" s="329">
        <f t="shared" si="78"/>
        <v>781212.16666666721</v>
      </c>
      <c r="S313" s="329">
        <f t="shared" si="79"/>
        <v>3906060.833333333</v>
      </c>
    </row>
    <row r="314" spans="1:19" ht="15.75" customHeight="1">
      <c r="D314" s="309"/>
      <c r="E314" s="316"/>
      <c r="F314" s="479"/>
      <c r="G314" s="480"/>
      <c r="H314" s="481" t="s">
        <v>505</v>
      </c>
      <c r="I314" s="482">
        <v>43874</v>
      </c>
      <c r="J314" s="430">
        <v>0.125</v>
      </c>
      <c r="K314" s="333">
        <v>4500000</v>
      </c>
      <c r="L314" s="484"/>
      <c r="M314" s="333">
        <v>0</v>
      </c>
      <c r="N314" s="333">
        <f t="shared" si="77"/>
        <v>4500000</v>
      </c>
      <c r="O314" s="512">
        <v>93750</v>
      </c>
      <c r="P314" s="333">
        <f>46875*12</f>
        <v>562500</v>
      </c>
      <c r="Q314" s="333">
        <v>0</v>
      </c>
      <c r="R314" s="329">
        <f t="shared" si="78"/>
        <v>656250</v>
      </c>
      <c r="S314" s="333">
        <f t="shared" si="79"/>
        <v>3843750</v>
      </c>
    </row>
    <row r="315" spans="1:19" ht="15.75" customHeight="1">
      <c r="D315" s="309"/>
      <c r="E315" s="316"/>
      <c r="F315" s="479"/>
      <c r="G315" s="480"/>
      <c r="H315" s="481" t="s">
        <v>506</v>
      </c>
      <c r="I315" s="482">
        <v>43922</v>
      </c>
      <c r="J315" s="430">
        <v>0.125</v>
      </c>
      <c r="K315" s="333">
        <v>1750000</v>
      </c>
      <c r="L315" s="484"/>
      <c r="M315" s="333">
        <v>0</v>
      </c>
      <c r="N315" s="333">
        <f t="shared" si="77"/>
        <v>1750000</v>
      </c>
      <c r="O315" s="512">
        <v>36458.333333333401</v>
      </c>
      <c r="P315" s="333">
        <f>18229.1666666667*12</f>
        <v>218750.00000000041</v>
      </c>
      <c r="Q315" s="333">
        <v>0</v>
      </c>
      <c r="R315" s="329">
        <f t="shared" si="78"/>
        <v>255208.33333333381</v>
      </c>
      <c r="S315" s="333">
        <f t="shared" si="79"/>
        <v>1494791.6666666663</v>
      </c>
    </row>
    <row r="316" spans="1:19" ht="15.75" customHeight="1">
      <c r="D316" s="309"/>
      <c r="E316" s="316"/>
      <c r="F316" s="479"/>
      <c r="G316" s="498"/>
      <c r="H316" s="513" t="s">
        <v>507</v>
      </c>
      <c r="I316" s="514">
        <v>44449</v>
      </c>
      <c r="J316" s="515">
        <v>0.125</v>
      </c>
      <c r="K316" s="329">
        <v>7950000</v>
      </c>
      <c r="L316" s="472"/>
      <c r="M316" s="329"/>
      <c r="N316" s="329">
        <f t="shared" si="77"/>
        <v>7950000</v>
      </c>
      <c r="O316" s="329">
        <v>331250</v>
      </c>
      <c r="P316" s="333">
        <f>82812.5*12</f>
        <v>993750</v>
      </c>
      <c r="Q316" s="329"/>
      <c r="R316" s="329">
        <f t="shared" si="78"/>
        <v>1325000</v>
      </c>
      <c r="S316" s="329">
        <f t="shared" si="79"/>
        <v>6625000</v>
      </c>
    </row>
    <row r="317" spans="1:19" ht="15.75" customHeight="1">
      <c r="A317" s="266" t="s">
        <v>935</v>
      </c>
      <c r="D317" s="309"/>
      <c r="E317" s="316"/>
      <c r="F317" s="466"/>
      <c r="G317" s="1236" t="s">
        <v>1005</v>
      </c>
      <c r="H317" s="1236"/>
      <c r="I317" s="1236"/>
      <c r="J317" s="1237"/>
      <c r="K317" s="342">
        <f t="shared" ref="K317:S317" si="80">SUM(K280:K316)</f>
        <v>5394088196</v>
      </c>
      <c r="L317" s="342">
        <f t="shared" si="80"/>
        <v>0</v>
      </c>
      <c r="M317" s="342">
        <f t="shared" si="80"/>
        <v>0</v>
      </c>
      <c r="N317" s="342">
        <f t="shared" si="80"/>
        <v>5394088196</v>
      </c>
      <c r="O317" s="342">
        <f t="shared" si="80"/>
        <v>2501802196.9479165</v>
      </c>
      <c r="P317" s="342">
        <f>SUM(P280:P316)</f>
        <v>674261024.49999952</v>
      </c>
      <c r="Q317" s="342">
        <f t="shared" si="80"/>
        <v>0</v>
      </c>
      <c r="R317" s="342">
        <f t="shared" si="80"/>
        <v>3176063221.447916</v>
      </c>
      <c r="S317" s="342">
        <f t="shared" si="80"/>
        <v>2218024974.552083</v>
      </c>
    </row>
    <row r="318" spans="1:19" ht="15.75" customHeight="1">
      <c r="A318" s="266" t="s">
        <v>935</v>
      </c>
      <c r="D318" s="309"/>
      <c r="E318" s="316"/>
      <c r="F318" s="1247" t="s">
        <v>1006</v>
      </c>
      <c r="G318" s="1248"/>
      <c r="H318" s="1248"/>
      <c r="I318" s="1248"/>
      <c r="J318" s="1249"/>
      <c r="K318" s="342">
        <f t="shared" ref="K318:S318" si="81">K247+K257+K263+K267+K270+K278+K317</f>
        <v>24739474736</v>
      </c>
      <c r="L318" s="342">
        <f t="shared" si="81"/>
        <v>0</v>
      </c>
      <c r="M318" s="342">
        <f t="shared" si="81"/>
        <v>0</v>
      </c>
      <c r="N318" s="342">
        <f t="shared" si="81"/>
        <v>24739474736</v>
      </c>
      <c r="O318" s="342">
        <f t="shared" si="81"/>
        <v>8119781083.1912518</v>
      </c>
      <c r="P318" s="342">
        <f t="shared" si="81"/>
        <v>3092434341.999999</v>
      </c>
      <c r="Q318" s="342">
        <f t="shared" si="81"/>
        <v>0</v>
      </c>
      <c r="R318" s="342">
        <f t="shared" si="81"/>
        <v>11212215425.19125</v>
      </c>
      <c r="S318" s="342">
        <f t="shared" si="81"/>
        <v>13527259310.80875</v>
      </c>
    </row>
    <row r="319" spans="1:19" ht="15.75" customHeight="1">
      <c r="A319" s="266" t="s">
        <v>935</v>
      </c>
      <c r="D319" s="387"/>
      <c r="E319" s="388"/>
      <c r="F319" s="466" t="s">
        <v>1007</v>
      </c>
      <c r="G319" s="389" t="s">
        <v>323</v>
      </c>
      <c r="H319" s="516"/>
      <c r="I319" s="391"/>
      <c r="J319" s="396"/>
      <c r="K319" s="356"/>
      <c r="L319" s="356"/>
      <c r="M319" s="356"/>
      <c r="N319" s="356"/>
      <c r="O319" s="356"/>
      <c r="P319" s="356"/>
      <c r="Q319" s="356"/>
      <c r="R319" s="356"/>
      <c r="S319" s="356"/>
    </row>
    <row r="320" spans="1:19" ht="15.75" customHeight="1">
      <c r="A320" s="266" t="s">
        <v>935</v>
      </c>
      <c r="D320" s="517"/>
      <c r="E320" s="518"/>
      <c r="F320" s="466"/>
      <c r="G320" s="519"/>
      <c r="H320" s="520" t="s">
        <v>508</v>
      </c>
      <c r="I320" s="413">
        <v>2008</v>
      </c>
      <c r="J320" s="471">
        <v>0.125</v>
      </c>
      <c r="K320" s="415">
        <v>26600000</v>
      </c>
      <c r="L320" s="333">
        <v>0</v>
      </c>
      <c r="M320" s="333">
        <v>0</v>
      </c>
      <c r="N320" s="329">
        <f t="shared" ref="N320:N336" si="82">K320+L320-M320</f>
        <v>26600000</v>
      </c>
      <c r="O320" s="107">
        <v>19949999.990000017</v>
      </c>
      <c r="P320" s="333">
        <f>277083.333333333*12</f>
        <v>3324999.9999999963</v>
      </c>
      <c r="Q320" s="333">
        <v>0</v>
      </c>
      <c r="R320" s="329">
        <f>O320+P320-Q320</f>
        <v>23274999.990000013</v>
      </c>
      <c r="S320" s="333">
        <f t="shared" ref="S320:S336" si="83">N320-R320</f>
        <v>3325000.0099999867</v>
      </c>
    </row>
    <row r="321" spans="1:19" s="317" customFormat="1" ht="15.75" customHeight="1">
      <c r="A321" s="266" t="s">
        <v>935</v>
      </c>
      <c r="B321" s="266"/>
      <c r="C321" s="266"/>
      <c r="D321" s="517"/>
      <c r="E321" s="518"/>
      <c r="F321" s="469"/>
      <c r="G321" s="519"/>
      <c r="H321" s="521" t="s">
        <v>509</v>
      </c>
      <c r="I321" s="496">
        <v>2009</v>
      </c>
      <c r="J321" s="471">
        <v>0.125</v>
      </c>
      <c r="K321" s="415">
        <v>3200000</v>
      </c>
      <c r="L321" s="333">
        <v>0</v>
      </c>
      <c r="M321" s="333">
        <v>0</v>
      </c>
      <c r="N321" s="329">
        <f t="shared" si="82"/>
        <v>3200000</v>
      </c>
      <c r="O321" s="107">
        <v>2399999.9999999981</v>
      </c>
      <c r="P321" s="333">
        <f>33333.3333333333*12</f>
        <v>399999.99999999959</v>
      </c>
      <c r="Q321" s="333">
        <v>0</v>
      </c>
      <c r="R321" s="329">
        <f t="shared" ref="R321:R336" si="84">O321+P321-Q321</f>
        <v>2799999.9999999977</v>
      </c>
      <c r="S321" s="333">
        <f t="shared" si="83"/>
        <v>400000.00000000233</v>
      </c>
    </row>
    <row r="322" spans="1:19" s="317" customFormat="1" ht="15.75" customHeight="1">
      <c r="A322" s="266" t="s">
        <v>935</v>
      </c>
      <c r="B322" s="266"/>
      <c r="C322" s="266"/>
      <c r="D322" s="517"/>
      <c r="E322" s="518"/>
      <c r="F322" s="469"/>
      <c r="G322" s="519"/>
      <c r="H322" s="521" t="s">
        <v>510</v>
      </c>
      <c r="I322" s="405">
        <v>2009</v>
      </c>
      <c r="J322" s="471">
        <v>0.125</v>
      </c>
      <c r="K322" s="415">
        <v>5700000</v>
      </c>
      <c r="L322" s="333">
        <v>0</v>
      </c>
      <c r="M322" s="333">
        <v>0</v>
      </c>
      <c r="N322" s="329">
        <f t="shared" si="82"/>
        <v>5700000</v>
      </c>
      <c r="O322" s="107">
        <v>4275000</v>
      </c>
      <c r="P322" s="333">
        <f>59375*12</f>
        <v>712500</v>
      </c>
      <c r="Q322" s="333">
        <v>0</v>
      </c>
      <c r="R322" s="329">
        <f t="shared" si="84"/>
        <v>4987500</v>
      </c>
      <c r="S322" s="333">
        <f t="shared" si="83"/>
        <v>712500</v>
      </c>
    </row>
    <row r="323" spans="1:19" s="317" customFormat="1" ht="15.75" customHeight="1">
      <c r="A323" s="266" t="s">
        <v>935</v>
      </c>
      <c r="B323" s="266"/>
      <c r="C323" s="266"/>
      <c r="D323" s="517"/>
      <c r="E323" s="518"/>
      <c r="F323" s="469"/>
      <c r="G323" s="519"/>
      <c r="H323" s="521" t="s">
        <v>479</v>
      </c>
      <c r="I323" s="405">
        <v>2009</v>
      </c>
      <c r="J323" s="471">
        <v>0.125</v>
      </c>
      <c r="K323" s="415">
        <v>102400000</v>
      </c>
      <c r="L323" s="333">
        <v>0</v>
      </c>
      <c r="M323" s="333">
        <v>0</v>
      </c>
      <c r="N323" s="329">
        <f t="shared" si="82"/>
        <v>102400000</v>
      </c>
      <c r="O323" s="107">
        <v>76799999.999999985</v>
      </c>
      <c r="P323" s="333">
        <f>1066666.66666667*12</f>
        <v>12800000.000000041</v>
      </c>
      <c r="Q323" s="333">
        <v>0</v>
      </c>
      <c r="R323" s="329">
        <f t="shared" si="84"/>
        <v>89600000.00000003</v>
      </c>
      <c r="S323" s="333">
        <f t="shared" si="83"/>
        <v>12799999.99999997</v>
      </c>
    </row>
    <row r="324" spans="1:19" s="317" customFormat="1" ht="15.75" customHeight="1">
      <c r="A324" s="266" t="s">
        <v>935</v>
      </c>
      <c r="B324" s="266"/>
      <c r="C324" s="266"/>
      <c r="D324" s="517"/>
      <c r="E324" s="518"/>
      <c r="F324" s="469"/>
      <c r="G324" s="519"/>
      <c r="H324" s="522" t="s">
        <v>511</v>
      </c>
      <c r="I324" s="405">
        <v>2010</v>
      </c>
      <c r="J324" s="471">
        <v>0.125</v>
      </c>
      <c r="K324" s="415">
        <v>9000000</v>
      </c>
      <c r="L324" s="333">
        <v>0</v>
      </c>
      <c r="M324" s="333">
        <v>0</v>
      </c>
      <c r="N324" s="329">
        <f t="shared" si="82"/>
        <v>9000000</v>
      </c>
      <c r="O324" s="107">
        <v>6750000</v>
      </c>
      <c r="P324" s="333">
        <f>93750*12</f>
        <v>1125000</v>
      </c>
      <c r="Q324" s="333">
        <v>0</v>
      </c>
      <c r="R324" s="329">
        <f t="shared" si="84"/>
        <v>7875000</v>
      </c>
      <c r="S324" s="333">
        <f t="shared" si="83"/>
        <v>1125000</v>
      </c>
    </row>
    <row r="325" spans="1:19" s="317" customFormat="1" ht="15.75" customHeight="1">
      <c r="A325" s="266" t="s">
        <v>935</v>
      </c>
      <c r="B325" s="266"/>
      <c r="C325" s="266"/>
      <c r="D325" s="517"/>
      <c r="E325" s="518"/>
      <c r="F325" s="469"/>
      <c r="G325" s="519"/>
      <c r="H325" s="523" t="s">
        <v>512</v>
      </c>
      <c r="I325" s="413">
        <v>2012</v>
      </c>
      <c r="J325" s="471">
        <v>0.125</v>
      </c>
      <c r="K325" s="415">
        <v>92500000</v>
      </c>
      <c r="L325" s="333">
        <v>0</v>
      </c>
      <c r="M325" s="333">
        <v>0</v>
      </c>
      <c r="N325" s="329">
        <f t="shared" si="82"/>
        <v>92500000</v>
      </c>
      <c r="O325" s="107">
        <v>69374999.99999994</v>
      </c>
      <c r="P325" s="333">
        <f>963541.666666667*12</f>
        <v>11562500.000000004</v>
      </c>
      <c r="Q325" s="333">
        <v>0</v>
      </c>
      <c r="R325" s="329">
        <f t="shared" si="84"/>
        <v>80937499.99999994</v>
      </c>
      <c r="S325" s="333">
        <f t="shared" si="83"/>
        <v>11562500.00000006</v>
      </c>
    </row>
    <row r="326" spans="1:19" s="317" customFormat="1" ht="15.75" customHeight="1">
      <c r="A326" s="266" t="s">
        <v>935</v>
      </c>
      <c r="B326" s="266"/>
      <c r="C326" s="266"/>
      <c r="D326" s="517"/>
      <c r="E326" s="518"/>
      <c r="F326" s="469"/>
      <c r="G326" s="519"/>
      <c r="H326" s="521" t="s">
        <v>513</v>
      </c>
      <c r="I326" s="405">
        <v>2010</v>
      </c>
      <c r="J326" s="471">
        <v>0.125</v>
      </c>
      <c r="K326" s="415">
        <v>41900000</v>
      </c>
      <c r="L326" s="333">
        <v>0</v>
      </c>
      <c r="M326" s="333">
        <v>0</v>
      </c>
      <c r="N326" s="329">
        <f t="shared" si="82"/>
        <v>41900000</v>
      </c>
      <c r="O326" s="107">
        <v>31424999.98999998</v>
      </c>
      <c r="P326" s="333">
        <f>436458.333333333*12</f>
        <v>5237499.9999999963</v>
      </c>
      <c r="Q326" s="333">
        <v>0</v>
      </c>
      <c r="R326" s="329">
        <f t="shared" si="84"/>
        <v>36662499.98999998</v>
      </c>
      <c r="S326" s="333">
        <f t="shared" si="83"/>
        <v>5237500.0100000203</v>
      </c>
    </row>
    <row r="327" spans="1:19" s="317" customFormat="1" ht="15.75" customHeight="1">
      <c r="A327" s="266" t="s">
        <v>935</v>
      </c>
      <c r="B327" s="266"/>
      <c r="C327" s="266"/>
      <c r="D327" s="517"/>
      <c r="E327" s="518"/>
      <c r="F327" s="469"/>
      <c r="G327" s="519"/>
      <c r="H327" s="522" t="s">
        <v>514</v>
      </c>
      <c r="I327" s="405">
        <v>2011</v>
      </c>
      <c r="J327" s="471">
        <v>0.125</v>
      </c>
      <c r="K327" s="415">
        <v>18600000</v>
      </c>
      <c r="L327" s="333">
        <v>0</v>
      </c>
      <c r="M327" s="333">
        <v>0</v>
      </c>
      <c r="N327" s="329">
        <f t="shared" si="82"/>
        <v>18600000</v>
      </c>
      <c r="O327" s="107">
        <v>13950000</v>
      </c>
      <c r="P327" s="333">
        <f>193750*12</f>
        <v>2325000</v>
      </c>
      <c r="Q327" s="333">
        <v>0</v>
      </c>
      <c r="R327" s="329">
        <f t="shared" si="84"/>
        <v>16275000</v>
      </c>
      <c r="S327" s="333">
        <f t="shared" si="83"/>
        <v>2325000</v>
      </c>
    </row>
    <row r="328" spans="1:19" s="317" customFormat="1" ht="15.75" customHeight="1">
      <c r="A328" s="266" t="s">
        <v>935</v>
      </c>
      <c r="B328" s="266"/>
      <c r="C328" s="266"/>
      <c r="D328" s="517"/>
      <c r="E328" s="518"/>
      <c r="F328" s="469"/>
      <c r="G328" s="519"/>
      <c r="H328" s="523" t="s">
        <v>515</v>
      </c>
      <c r="I328" s="413">
        <v>2011</v>
      </c>
      <c r="J328" s="471">
        <v>0.125</v>
      </c>
      <c r="K328" s="415">
        <v>9600000</v>
      </c>
      <c r="L328" s="333">
        <v>0</v>
      </c>
      <c r="M328" s="333">
        <v>0</v>
      </c>
      <c r="N328" s="329">
        <f t="shared" si="82"/>
        <v>9600000</v>
      </c>
      <c r="O328" s="107">
        <v>7200000</v>
      </c>
      <c r="P328" s="333">
        <f>100000*12</f>
        <v>1200000</v>
      </c>
      <c r="Q328" s="333">
        <v>0</v>
      </c>
      <c r="R328" s="329">
        <f t="shared" si="84"/>
        <v>8400000</v>
      </c>
      <c r="S328" s="333">
        <f t="shared" si="83"/>
        <v>1200000</v>
      </c>
    </row>
    <row r="329" spans="1:19" s="317" customFormat="1" ht="15.75" customHeight="1">
      <c r="A329" s="266" t="s">
        <v>935</v>
      </c>
      <c r="B329" s="266"/>
      <c r="C329" s="266"/>
      <c r="D329" s="517"/>
      <c r="E329" s="518"/>
      <c r="F329" s="469"/>
      <c r="G329" s="519"/>
      <c r="H329" s="520" t="s">
        <v>516</v>
      </c>
      <c r="I329" s="413">
        <v>2011</v>
      </c>
      <c r="J329" s="471">
        <v>0.125</v>
      </c>
      <c r="K329" s="415">
        <v>74200000</v>
      </c>
      <c r="L329" s="333">
        <v>0</v>
      </c>
      <c r="M329" s="333">
        <v>0</v>
      </c>
      <c r="N329" s="329">
        <f t="shared" si="82"/>
        <v>74200000</v>
      </c>
      <c r="O329" s="107">
        <v>55649999.98999998</v>
      </c>
      <c r="P329" s="333">
        <f>772916.666666667*12</f>
        <v>9275000.0000000037</v>
      </c>
      <c r="Q329" s="333">
        <v>0</v>
      </c>
      <c r="R329" s="329">
        <f t="shared" si="84"/>
        <v>64924999.98999998</v>
      </c>
      <c r="S329" s="333">
        <f t="shared" si="83"/>
        <v>9275000.0100000203</v>
      </c>
    </row>
    <row r="330" spans="1:19" s="317" customFormat="1" ht="15.75" customHeight="1">
      <c r="A330" s="266" t="s">
        <v>935</v>
      </c>
      <c r="B330" s="266"/>
      <c r="C330" s="266"/>
      <c r="D330" s="517"/>
      <c r="E330" s="518"/>
      <c r="F330" s="469"/>
      <c r="G330" s="519"/>
      <c r="H330" s="520" t="s">
        <v>517</v>
      </c>
      <c r="I330" s="524">
        <v>2011</v>
      </c>
      <c r="J330" s="471">
        <v>0.125</v>
      </c>
      <c r="K330" s="415">
        <v>4800000</v>
      </c>
      <c r="L330" s="333">
        <v>0</v>
      </c>
      <c r="M330" s="333">
        <v>0</v>
      </c>
      <c r="N330" s="329">
        <f t="shared" si="82"/>
        <v>4800000</v>
      </c>
      <c r="O330" s="107">
        <v>3600000</v>
      </c>
      <c r="P330" s="333">
        <f>50000*12</f>
        <v>600000</v>
      </c>
      <c r="Q330" s="333">
        <v>0</v>
      </c>
      <c r="R330" s="329">
        <f t="shared" si="84"/>
        <v>4200000</v>
      </c>
      <c r="S330" s="333">
        <f t="shared" si="83"/>
        <v>600000</v>
      </c>
    </row>
    <row r="331" spans="1:19" s="317" customFormat="1" ht="15.75" customHeight="1">
      <c r="A331" s="266" t="s">
        <v>935</v>
      </c>
      <c r="B331" s="266"/>
      <c r="C331" s="266"/>
      <c r="D331" s="517"/>
      <c r="E331" s="518"/>
      <c r="F331" s="469"/>
      <c r="G331" s="519"/>
      <c r="H331" s="521" t="s">
        <v>518</v>
      </c>
      <c r="I331" s="496">
        <v>2011</v>
      </c>
      <c r="J331" s="471">
        <v>0.125</v>
      </c>
      <c r="K331" s="415">
        <v>14300000</v>
      </c>
      <c r="L331" s="333">
        <v>0</v>
      </c>
      <c r="M331" s="333">
        <v>0</v>
      </c>
      <c r="N331" s="329">
        <f t="shared" si="82"/>
        <v>14300000</v>
      </c>
      <c r="O331" s="107">
        <v>10724999.999999994</v>
      </c>
      <c r="P331" s="333">
        <f>148958.333333333*12</f>
        <v>1787499.9999999958</v>
      </c>
      <c r="Q331" s="333">
        <v>0</v>
      </c>
      <c r="R331" s="329">
        <f t="shared" si="84"/>
        <v>12512499.999999991</v>
      </c>
      <c r="S331" s="333">
        <f t="shared" si="83"/>
        <v>1787500.0000000093</v>
      </c>
    </row>
    <row r="332" spans="1:19" s="317" customFormat="1" ht="15.75" customHeight="1">
      <c r="A332" s="266" t="s">
        <v>935</v>
      </c>
      <c r="B332" s="266"/>
      <c r="C332" s="266"/>
      <c r="D332" s="517"/>
      <c r="E332" s="518"/>
      <c r="F332" s="469"/>
      <c r="G332" s="519"/>
      <c r="H332" s="523" t="s">
        <v>519</v>
      </c>
      <c r="I332" s="413">
        <v>2011</v>
      </c>
      <c r="J332" s="471">
        <v>0.125</v>
      </c>
      <c r="K332" s="415">
        <v>15900000</v>
      </c>
      <c r="L332" s="333">
        <v>0</v>
      </c>
      <c r="M332" s="333">
        <v>0</v>
      </c>
      <c r="N332" s="329">
        <f t="shared" si="82"/>
        <v>15900000</v>
      </c>
      <c r="O332" s="107">
        <v>11925000</v>
      </c>
      <c r="P332" s="333">
        <f>165625*12</f>
        <v>1987500</v>
      </c>
      <c r="Q332" s="333">
        <v>0</v>
      </c>
      <c r="R332" s="329">
        <f t="shared" si="84"/>
        <v>13912500</v>
      </c>
      <c r="S332" s="333">
        <f t="shared" si="83"/>
        <v>1987500</v>
      </c>
    </row>
    <row r="333" spans="1:19" s="317" customFormat="1" ht="15.75" customHeight="1">
      <c r="A333" s="266" t="s">
        <v>935</v>
      </c>
      <c r="B333" s="266"/>
      <c r="C333" s="266"/>
      <c r="D333" s="517"/>
      <c r="E333" s="518"/>
      <c r="F333" s="469"/>
      <c r="G333" s="519"/>
      <c r="H333" s="521" t="s">
        <v>520</v>
      </c>
      <c r="I333" s="413">
        <v>2011</v>
      </c>
      <c r="J333" s="471">
        <v>0.125</v>
      </c>
      <c r="K333" s="415">
        <v>287200000</v>
      </c>
      <c r="L333" s="333">
        <v>0</v>
      </c>
      <c r="M333" s="333">
        <v>0</v>
      </c>
      <c r="N333" s="329">
        <f t="shared" si="82"/>
        <v>287200000</v>
      </c>
      <c r="O333" s="107">
        <v>215399999.98999995</v>
      </c>
      <c r="P333" s="333">
        <f>2991666.66666667*12</f>
        <v>35900000.000000037</v>
      </c>
      <c r="Q333" s="333">
        <v>0</v>
      </c>
      <c r="R333" s="329">
        <f t="shared" si="84"/>
        <v>251299999.98999998</v>
      </c>
      <c r="S333" s="333">
        <f t="shared" si="83"/>
        <v>35900000.01000002</v>
      </c>
    </row>
    <row r="334" spans="1:19" s="266" customFormat="1" ht="15.75" customHeight="1">
      <c r="A334" s="266" t="s">
        <v>935</v>
      </c>
      <c r="D334" s="517"/>
      <c r="E334" s="518"/>
      <c r="F334" s="469"/>
      <c r="G334" s="525"/>
      <c r="H334" s="520" t="s">
        <v>521</v>
      </c>
      <c r="I334" s="405">
        <v>2012</v>
      </c>
      <c r="J334" s="478">
        <v>0.125</v>
      </c>
      <c r="K334" s="416">
        <v>12300000</v>
      </c>
      <c r="L334" s="329">
        <v>0</v>
      </c>
      <c r="M334" s="329">
        <v>0</v>
      </c>
      <c r="N334" s="329">
        <f t="shared" si="82"/>
        <v>12300000</v>
      </c>
      <c r="O334" s="107">
        <v>9225000</v>
      </c>
      <c r="P334" s="333">
        <f>128125*12</f>
        <v>1537500</v>
      </c>
      <c r="Q334" s="329">
        <v>0</v>
      </c>
      <c r="R334" s="329">
        <f t="shared" si="84"/>
        <v>10762500</v>
      </c>
      <c r="S334" s="333">
        <f t="shared" si="83"/>
        <v>1537500</v>
      </c>
    </row>
    <row r="335" spans="1:19" s="266" customFormat="1" ht="15.75" customHeight="1">
      <c r="D335" s="517"/>
      <c r="E335" s="518"/>
      <c r="F335" s="469"/>
      <c r="G335" s="526"/>
      <c r="H335" s="521" t="s">
        <v>522</v>
      </c>
      <c r="I335" s="527">
        <v>43191</v>
      </c>
      <c r="J335" s="471">
        <v>0.125</v>
      </c>
      <c r="K335" s="415">
        <v>7090000</v>
      </c>
      <c r="L335" s="333">
        <v>0</v>
      </c>
      <c r="M335" s="333">
        <v>0</v>
      </c>
      <c r="N335" s="329">
        <f t="shared" si="82"/>
        <v>7090000</v>
      </c>
      <c r="O335" s="108">
        <v>3323437.49</v>
      </c>
      <c r="P335" s="333">
        <f>73854.1666666667*12</f>
        <v>886250.00000000047</v>
      </c>
      <c r="Q335" s="333">
        <v>0</v>
      </c>
      <c r="R335" s="329">
        <f t="shared" si="84"/>
        <v>4209687.49</v>
      </c>
      <c r="S335" s="333">
        <f t="shared" si="83"/>
        <v>2880312.51</v>
      </c>
    </row>
    <row r="336" spans="1:19" s="266" customFormat="1" ht="15.75" customHeight="1">
      <c r="D336" s="517"/>
      <c r="E336" s="518"/>
      <c r="F336" s="528"/>
      <c r="G336" s="529"/>
      <c r="H336" s="530" t="s">
        <v>523</v>
      </c>
      <c r="I336" s="424">
        <v>43340</v>
      </c>
      <c r="J336" s="531">
        <v>0.125</v>
      </c>
      <c r="K336" s="532">
        <v>235086250</v>
      </c>
      <c r="L336" s="339">
        <v>0</v>
      </c>
      <c r="M336" s="339">
        <v>0</v>
      </c>
      <c r="N336" s="329">
        <f t="shared" si="82"/>
        <v>235086250</v>
      </c>
      <c r="O336" s="533">
        <v>100401419.27083331</v>
      </c>
      <c r="P336" s="333">
        <f>2448815.10416667*12</f>
        <v>29385781.250000037</v>
      </c>
      <c r="Q336" s="339">
        <v>0</v>
      </c>
      <c r="R336" s="329">
        <f t="shared" si="84"/>
        <v>129787200.52083334</v>
      </c>
      <c r="S336" s="333">
        <f t="shared" si="83"/>
        <v>105299049.47916666</v>
      </c>
    </row>
    <row r="337" spans="1:19" ht="15.75" customHeight="1">
      <c r="A337" s="266" t="s">
        <v>935</v>
      </c>
      <c r="D337" s="534"/>
      <c r="E337" s="535"/>
      <c r="F337" s="1241" t="s">
        <v>1008</v>
      </c>
      <c r="G337" s="1242"/>
      <c r="H337" s="1242"/>
      <c r="I337" s="1242"/>
      <c r="J337" s="1243"/>
      <c r="K337" s="536">
        <f>SUM(K320:K336)</f>
        <v>960376250</v>
      </c>
      <c r="L337" s="536">
        <f t="shared" ref="L337:S337" si="85">SUM(L320:L336)</f>
        <v>0</v>
      </c>
      <c r="M337" s="536">
        <f t="shared" si="85"/>
        <v>0</v>
      </c>
      <c r="N337" s="536">
        <f t="shared" si="85"/>
        <v>960376250</v>
      </c>
      <c r="O337" s="536">
        <f>SUM(O320:O336)</f>
        <v>642374856.72083306</v>
      </c>
      <c r="P337" s="536">
        <f>SUM(P320:P336)</f>
        <v>120047031.25000012</v>
      </c>
      <c r="Q337" s="536">
        <f t="shared" si="85"/>
        <v>0</v>
      </c>
      <c r="R337" s="536">
        <f>SUM(R320:R336)</f>
        <v>762421887.9708333</v>
      </c>
      <c r="S337" s="536">
        <f t="shared" si="85"/>
        <v>197954362.02916676</v>
      </c>
    </row>
    <row r="338" spans="1:19" ht="15.75" customHeight="1">
      <c r="A338" s="266" t="s">
        <v>935</v>
      </c>
      <c r="D338" s="309"/>
      <c r="E338" s="1235" t="s">
        <v>1009</v>
      </c>
      <c r="F338" s="1236"/>
      <c r="G338" s="1236"/>
      <c r="H338" s="1236"/>
      <c r="I338" s="1236"/>
      <c r="J338" s="1237"/>
      <c r="K338" s="342">
        <f>K318+K337</f>
        <v>25699850986</v>
      </c>
      <c r="L338" s="342">
        <f t="shared" ref="L338:S338" si="86">L318+L337</f>
        <v>0</v>
      </c>
      <c r="M338" s="342">
        <f t="shared" si="86"/>
        <v>0</v>
      </c>
      <c r="N338" s="342">
        <f t="shared" si="86"/>
        <v>25699850986</v>
      </c>
      <c r="O338" s="342">
        <f t="shared" si="86"/>
        <v>8762155939.9120846</v>
      </c>
      <c r="P338" s="342">
        <f t="shared" si="86"/>
        <v>3212481373.249999</v>
      </c>
      <c r="Q338" s="342">
        <f t="shared" si="86"/>
        <v>0</v>
      </c>
      <c r="R338" s="342">
        <f t="shared" si="86"/>
        <v>11974637313.162083</v>
      </c>
      <c r="S338" s="342">
        <f t="shared" si="86"/>
        <v>13725213672.837917</v>
      </c>
    </row>
    <row r="339" spans="1:19" ht="15.75" customHeight="1">
      <c r="D339" s="387"/>
      <c r="E339" s="324"/>
      <c r="F339" s="330"/>
      <c r="G339" s="370"/>
      <c r="H339" s="362"/>
      <c r="I339" s="363"/>
      <c r="J339" s="393"/>
      <c r="K339" s="329"/>
      <c r="L339" s="333"/>
      <c r="M339" s="333"/>
      <c r="N339" s="329"/>
      <c r="O339" s="329"/>
      <c r="P339" s="333"/>
      <c r="Q339" s="329"/>
      <c r="R339" s="329"/>
      <c r="S339" s="329"/>
    </row>
    <row r="340" spans="1:19" ht="15.75" customHeight="1">
      <c r="A340" s="266" t="s">
        <v>938</v>
      </c>
      <c r="D340" s="309"/>
      <c r="E340" s="316" t="s">
        <v>1010</v>
      </c>
      <c r="F340" s="317" t="s">
        <v>1011</v>
      </c>
      <c r="G340" s="311"/>
      <c r="H340" s="312"/>
      <c r="I340" s="537"/>
      <c r="J340" s="393"/>
      <c r="K340" s="358"/>
      <c r="L340" s="358"/>
      <c r="M340" s="358"/>
      <c r="N340" s="358"/>
      <c r="O340" s="358"/>
      <c r="P340" s="358"/>
      <c r="Q340" s="358"/>
      <c r="R340" s="358"/>
      <c r="S340" s="358"/>
    </row>
    <row r="341" spans="1:19" ht="15.75" customHeight="1">
      <c r="A341" s="266" t="s">
        <v>938</v>
      </c>
      <c r="D341" s="538"/>
      <c r="E341" s="539"/>
      <c r="F341" s="466"/>
      <c r="G341" s="540"/>
      <c r="H341" s="362" t="s">
        <v>525</v>
      </c>
      <c r="I341" s="363">
        <v>2005</v>
      </c>
      <c r="J341" s="430">
        <v>0.125</v>
      </c>
      <c r="K341" s="333">
        <v>70800000</v>
      </c>
      <c r="L341" s="333">
        <v>0</v>
      </c>
      <c r="M341" s="333">
        <v>0</v>
      </c>
      <c r="N341" s="329">
        <f t="shared" ref="N341:N404" si="87">K341+L341-M341</f>
        <v>70800000</v>
      </c>
      <c r="O341" s="329">
        <v>26550000</v>
      </c>
      <c r="P341" s="333">
        <v>0</v>
      </c>
      <c r="Q341" s="333">
        <v>0</v>
      </c>
      <c r="R341" s="329">
        <f t="shared" ref="R341:R404" si="88">O341+P341-Q341</f>
        <v>26550000</v>
      </c>
      <c r="S341" s="333">
        <f t="shared" ref="S341:S404" si="89">N341-R341</f>
        <v>44250000</v>
      </c>
    </row>
    <row r="342" spans="1:19" ht="15.75" customHeight="1">
      <c r="A342" s="266" t="s">
        <v>938</v>
      </c>
      <c r="D342" s="538"/>
      <c r="E342" s="539"/>
      <c r="F342" s="466"/>
      <c r="G342" s="540"/>
      <c r="H342" s="362" t="s">
        <v>526</v>
      </c>
      <c r="I342" s="363">
        <v>2005</v>
      </c>
      <c r="J342" s="430">
        <v>0.125</v>
      </c>
      <c r="K342" s="333">
        <v>30700000</v>
      </c>
      <c r="L342" s="333">
        <v>0</v>
      </c>
      <c r="M342" s="333">
        <v>0</v>
      </c>
      <c r="N342" s="329">
        <f t="shared" si="87"/>
        <v>30700000</v>
      </c>
      <c r="O342" s="329">
        <v>11512500.000000004</v>
      </c>
      <c r="P342" s="333">
        <v>0</v>
      </c>
      <c r="Q342" s="333">
        <v>0</v>
      </c>
      <c r="R342" s="329">
        <f t="shared" si="88"/>
        <v>11512500.000000004</v>
      </c>
      <c r="S342" s="333">
        <f t="shared" si="89"/>
        <v>19187499.999999996</v>
      </c>
    </row>
    <row r="343" spans="1:19" ht="15.75" customHeight="1">
      <c r="A343" s="266" t="s">
        <v>938</v>
      </c>
      <c r="D343" s="538"/>
      <c r="E343" s="539"/>
      <c r="F343" s="466"/>
      <c r="G343" s="540"/>
      <c r="H343" s="362" t="s">
        <v>527</v>
      </c>
      <c r="I343" s="363">
        <v>2005</v>
      </c>
      <c r="J343" s="430">
        <v>0.125</v>
      </c>
      <c r="K343" s="333">
        <v>7500000</v>
      </c>
      <c r="L343" s="333">
        <v>0</v>
      </c>
      <c r="M343" s="333">
        <v>0</v>
      </c>
      <c r="N343" s="329">
        <f t="shared" si="87"/>
        <v>7500000</v>
      </c>
      <c r="O343" s="329">
        <v>2812500</v>
      </c>
      <c r="P343" s="333">
        <v>0</v>
      </c>
      <c r="Q343" s="333">
        <v>0</v>
      </c>
      <c r="R343" s="329">
        <f t="shared" si="88"/>
        <v>2812500</v>
      </c>
      <c r="S343" s="333">
        <f t="shared" si="89"/>
        <v>4687500</v>
      </c>
    </row>
    <row r="344" spans="1:19" ht="15.75" customHeight="1">
      <c r="A344" s="266" t="s">
        <v>938</v>
      </c>
      <c r="D344" s="538"/>
      <c r="E344" s="539"/>
      <c r="F344" s="466"/>
      <c r="G344" s="540"/>
      <c r="H344" s="362" t="s">
        <v>528</v>
      </c>
      <c r="I344" s="363">
        <v>2005</v>
      </c>
      <c r="J344" s="430">
        <v>0.125</v>
      </c>
      <c r="K344" s="333">
        <v>1200000</v>
      </c>
      <c r="L344" s="333">
        <v>0</v>
      </c>
      <c r="M344" s="333">
        <v>0</v>
      </c>
      <c r="N344" s="329">
        <f t="shared" si="87"/>
        <v>1200000</v>
      </c>
      <c r="O344" s="329">
        <v>450000</v>
      </c>
      <c r="P344" s="333">
        <v>0</v>
      </c>
      <c r="Q344" s="333">
        <v>0</v>
      </c>
      <c r="R344" s="329">
        <f t="shared" si="88"/>
        <v>450000</v>
      </c>
      <c r="S344" s="333">
        <f t="shared" si="89"/>
        <v>750000</v>
      </c>
    </row>
    <row r="345" spans="1:19" ht="15.75" customHeight="1">
      <c r="A345" s="266" t="s">
        <v>938</v>
      </c>
      <c r="D345" s="538"/>
      <c r="E345" s="539"/>
      <c r="F345" s="466"/>
      <c r="G345" s="540"/>
      <c r="H345" s="362" t="s">
        <v>529</v>
      </c>
      <c r="I345" s="363">
        <v>2005</v>
      </c>
      <c r="J345" s="430">
        <v>0.125</v>
      </c>
      <c r="K345" s="333">
        <v>100000</v>
      </c>
      <c r="L345" s="333">
        <v>0</v>
      </c>
      <c r="M345" s="333">
        <v>0</v>
      </c>
      <c r="N345" s="329">
        <f t="shared" si="87"/>
        <v>100000</v>
      </c>
      <c r="O345" s="329">
        <v>37500.000000000007</v>
      </c>
      <c r="P345" s="333">
        <v>0</v>
      </c>
      <c r="Q345" s="333">
        <v>0</v>
      </c>
      <c r="R345" s="329">
        <f t="shared" si="88"/>
        <v>37500.000000000007</v>
      </c>
      <c r="S345" s="333">
        <f t="shared" si="89"/>
        <v>62499.999999999993</v>
      </c>
    </row>
    <row r="346" spans="1:19" ht="15.75" customHeight="1">
      <c r="A346" s="266" t="s">
        <v>938</v>
      </c>
      <c r="D346" s="538"/>
      <c r="E346" s="539"/>
      <c r="F346" s="466"/>
      <c r="G346" s="540"/>
      <c r="H346" s="362" t="s">
        <v>530</v>
      </c>
      <c r="I346" s="363">
        <v>2005</v>
      </c>
      <c r="J346" s="430">
        <v>0.125</v>
      </c>
      <c r="K346" s="333">
        <v>2400000</v>
      </c>
      <c r="L346" s="333">
        <v>0</v>
      </c>
      <c r="M346" s="333">
        <v>0</v>
      </c>
      <c r="N346" s="329">
        <f t="shared" si="87"/>
        <v>2400000</v>
      </c>
      <c r="O346" s="329">
        <v>900000</v>
      </c>
      <c r="P346" s="333">
        <v>0</v>
      </c>
      <c r="Q346" s="333">
        <v>0</v>
      </c>
      <c r="R346" s="329">
        <f t="shared" si="88"/>
        <v>900000</v>
      </c>
      <c r="S346" s="333">
        <f t="shared" si="89"/>
        <v>1500000</v>
      </c>
    </row>
    <row r="347" spans="1:19" ht="15.75" customHeight="1">
      <c r="A347" s="266" t="s">
        <v>938</v>
      </c>
      <c r="D347" s="538"/>
      <c r="E347" s="539"/>
      <c r="F347" s="466"/>
      <c r="G347" s="540"/>
      <c r="H347" s="362" t="s">
        <v>530</v>
      </c>
      <c r="I347" s="363">
        <v>2014</v>
      </c>
      <c r="J347" s="430">
        <v>0.125</v>
      </c>
      <c r="K347" s="333">
        <v>7300000</v>
      </c>
      <c r="L347" s="333">
        <v>0</v>
      </c>
      <c r="M347" s="333">
        <v>0</v>
      </c>
      <c r="N347" s="329">
        <f t="shared" si="87"/>
        <v>7300000</v>
      </c>
      <c r="O347" s="329">
        <v>2737500.0000000009</v>
      </c>
      <c r="P347" s="333">
        <v>0</v>
      </c>
      <c r="Q347" s="333">
        <v>0</v>
      </c>
      <c r="R347" s="329">
        <f t="shared" si="88"/>
        <v>2737500.0000000009</v>
      </c>
      <c r="S347" s="333">
        <f t="shared" si="89"/>
        <v>4562499.9999999991</v>
      </c>
    </row>
    <row r="348" spans="1:19" ht="15.75" customHeight="1">
      <c r="A348" s="266" t="s">
        <v>938</v>
      </c>
      <c r="D348" s="538"/>
      <c r="E348" s="539"/>
      <c r="F348" s="466"/>
      <c r="G348" s="540"/>
      <c r="H348" s="362" t="s">
        <v>531</v>
      </c>
      <c r="I348" s="363">
        <v>2005</v>
      </c>
      <c r="J348" s="430">
        <v>0.125</v>
      </c>
      <c r="K348" s="333">
        <v>700000</v>
      </c>
      <c r="L348" s="333">
        <v>0</v>
      </c>
      <c r="M348" s="333">
        <v>0</v>
      </c>
      <c r="N348" s="329">
        <f t="shared" si="87"/>
        <v>700000</v>
      </c>
      <c r="O348" s="329">
        <v>262500</v>
      </c>
      <c r="P348" s="333">
        <v>0</v>
      </c>
      <c r="Q348" s="333">
        <v>0</v>
      </c>
      <c r="R348" s="329">
        <f t="shared" si="88"/>
        <v>262500</v>
      </c>
      <c r="S348" s="333">
        <f t="shared" si="89"/>
        <v>437500</v>
      </c>
    </row>
    <row r="349" spans="1:19" ht="15.75" customHeight="1">
      <c r="A349" s="266" t="s">
        <v>938</v>
      </c>
      <c r="D349" s="538"/>
      <c r="E349" s="539"/>
      <c r="F349" s="466"/>
      <c r="G349" s="540"/>
      <c r="H349" s="362" t="s">
        <v>532</v>
      </c>
      <c r="I349" s="363">
        <v>2005</v>
      </c>
      <c r="J349" s="430">
        <v>0.125</v>
      </c>
      <c r="K349" s="333">
        <v>400000</v>
      </c>
      <c r="L349" s="333">
        <v>0</v>
      </c>
      <c r="M349" s="333">
        <v>0</v>
      </c>
      <c r="N349" s="329">
        <f t="shared" si="87"/>
        <v>400000</v>
      </c>
      <c r="O349" s="329">
        <v>150000.00000000003</v>
      </c>
      <c r="P349" s="333">
        <v>0</v>
      </c>
      <c r="Q349" s="333">
        <v>0</v>
      </c>
      <c r="R349" s="329">
        <f t="shared" si="88"/>
        <v>150000.00000000003</v>
      </c>
      <c r="S349" s="333">
        <f t="shared" si="89"/>
        <v>249999.99999999997</v>
      </c>
    </row>
    <row r="350" spans="1:19" ht="15.75" customHeight="1">
      <c r="A350" s="266" t="s">
        <v>938</v>
      </c>
      <c r="D350" s="538"/>
      <c r="E350" s="539"/>
      <c r="F350" s="466"/>
      <c r="G350" s="540"/>
      <c r="H350" s="362" t="s">
        <v>532</v>
      </c>
      <c r="I350" s="363">
        <v>2005</v>
      </c>
      <c r="J350" s="430">
        <v>0.125</v>
      </c>
      <c r="K350" s="333">
        <v>300000</v>
      </c>
      <c r="L350" s="333">
        <v>0</v>
      </c>
      <c r="M350" s="333">
        <v>0</v>
      </c>
      <c r="N350" s="329">
        <f t="shared" si="87"/>
        <v>300000</v>
      </c>
      <c r="O350" s="329">
        <v>112500</v>
      </c>
      <c r="P350" s="333">
        <v>0</v>
      </c>
      <c r="Q350" s="333">
        <v>0</v>
      </c>
      <c r="R350" s="329">
        <f t="shared" si="88"/>
        <v>112500</v>
      </c>
      <c r="S350" s="333">
        <f t="shared" si="89"/>
        <v>187500</v>
      </c>
    </row>
    <row r="351" spans="1:19" ht="15.75" customHeight="1">
      <c r="A351" s="266" t="s">
        <v>938</v>
      </c>
      <c r="D351" s="538"/>
      <c r="E351" s="539"/>
      <c r="F351" s="466"/>
      <c r="G351" s="540"/>
      <c r="H351" s="362" t="s">
        <v>533</v>
      </c>
      <c r="I351" s="363">
        <v>2005</v>
      </c>
      <c r="J351" s="430">
        <v>0.125</v>
      </c>
      <c r="K351" s="333">
        <v>300000</v>
      </c>
      <c r="L351" s="333">
        <v>0</v>
      </c>
      <c r="M351" s="333">
        <v>0</v>
      </c>
      <c r="N351" s="329">
        <f t="shared" si="87"/>
        <v>300000</v>
      </c>
      <c r="O351" s="329">
        <v>112500</v>
      </c>
      <c r="P351" s="333">
        <v>0</v>
      </c>
      <c r="Q351" s="333">
        <v>0</v>
      </c>
      <c r="R351" s="329">
        <f t="shared" si="88"/>
        <v>112500</v>
      </c>
      <c r="S351" s="333">
        <f t="shared" si="89"/>
        <v>187500</v>
      </c>
    </row>
    <row r="352" spans="1:19" ht="15.75" customHeight="1">
      <c r="A352" s="266" t="s">
        <v>938</v>
      </c>
      <c r="D352" s="538"/>
      <c r="E352" s="539"/>
      <c r="F352" s="466"/>
      <c r="G352" s="540"/>
      <c r="H352" s="362" t="s">
        <v>534</v>
      </c>
      <c r="I352" s="363">
        <v>2005</v>
      </c>
      <c r="J352" s="430">
        <v>0.125</v>
      </c>
      <c r="K352" s="333">
        <v>7300000</v>
      </c>
      <c r="L352" s="333">
        <v>0</v>
      </c>
      <c r="M352" s="333">
        <v>0</v>
      </c>
      <c r="N352" s="329">
        <f t="shared" si="87"/>
        <v>7300000</v>
      </c>
      <c r="O352" s="329">
        <v>2737500.0000000009</v>
      </c>
      <c r="P352" s="333">
        <v>0</v>
      </c>
      <c r="Q352" s="333">
        <v>0</v>
      </c>
      <c r="R352" s="329">
        <f t="shared" si="88"/>
        <v>2737500.0000000009</v>
      </c>
      <c r="S352" s="333">
        <f t="shared" si="89"/>
        <v>4562499.9999999991</v>
      </c>
    </row>
    <row r="353" spans="1:19" ht="15.75" customHeight="1">
      <c r="A353" s="266" t="s">
        <v>938</v>
      </c>
      <c r="D353" s="538"/>
      <c r="E353" s="539"/>
      <c r="F353" s="466"/>
      <c r="G353" s="540"/>
      <c r="H353" s="362" t="s">
        <v>535</v>
      </c>
      <c r="I353" s="363">
        <v>2005</v>
      </c>
      <c r="J353" s="430">
        <v>0.125</v>
      </c>
      <c r="K353" s="333">
        <v>600000</v>
      </c>
      <c r="L353" s="333">
        <v>0</v>
      </c>
      <c r="M353" s="333">
        <v>0</v>
      </c>
      <c r="N353" s="329">
        <f t="shared" si="87"/>
        <v>600000</v>
      </c>
      <c r="O353" s="329">
        <v>225000</v>
      </c>
      <c r="P353" s="333">
        <v>0</v>
      </c>
      <c r="Q353" s="333">
        <v>0</v>
      </c>
      <c r="R353" s="329">
        <f t="shared" si="88"/>
        <v>225000</v>
      </c>
      <c r="S353" s="333">
        <f t="shared" si="89"/>
        <v>375000</v>
      </c>
    </row>
    <row r="354" spans="1:19" ht="15.75" customHeight="1">
      <c r="A354" s="266" t="s">
        <v>938</v>
      </c>
      <c r="D354" s="538"/>
      <c r="E354" s="539"/>
      <c r="F354" s="466"/>
      <c r="G354" s="540"/>
      <c r="H354" s="362" t="s">
        <v>536</v>
      </c>
      <c r="I354" s="363">
        <v>2005</v>
      </c>
      <c r="J354" s="430">
        <v>0.125</v>
      </c>
      <c r="K354" s="333">
        <v>1500000</v>
      </c>
      <c r="L354" s="333">
        <v>0</v>
      </c>
      <c r="M354" s="333">
        <v>0</v>
      </c>
      <c r="N354" s="329">
        <f t="shared" si="87"/>
        <v>1500000</v>
      </c>
      <c r="O354" s="329">
        <v>562500</v>
      </c>
      <c r="P354" s="333">
        <v>0</v>
      </c>
      <c r="Q354" s="333">
        <v>0</v>
      </c>
      <c r="R354" s="329">
        <f t="shared" si="88"/>
        <v>562500</v>
      </c>
      <c r="S354" s="333">
        <f t="shared" si="89"/>
        <v>937500</v>
      </c>
    </row>
    <row r="355" spans="1:19" ht="15.75" customHeight="1">
      <c r="A355" s="266" t="s">
        <v>938</v>
      </c>
      <c r="D355" s="538"/>
      <c r="E355" s="539"/>
      <c r="F355" s="466"/>
      <c r="G355" s="540"/>
      <c r="H355" s="362" t="s">
        <v>537</v>
      </c>
      <c r="I355" s="363">
        <v>2008</v>
      </c>
      <c r="J355" s="430">
        <v>0.125</v>
      </c>
      <c r="K355" s="333">
        <v>1000000</v>
      </c>
      <c r="L355" s="333">
        <v>0</v>
      </c>
      <c r="M355" s="333">
        <v>0</v>
      </c>
      <c r="N355" s="329">
        <f t="shared" si="87"/>
        <v>1000000</v>
      </c>
      <c r="O355" s="329">
        <v>374999.99999999988</v>
      </c>
      <c r="P355" s="333">
        <v>0</v>
      </c>
      <c r="Q355" s="333">
        <v>0</v>
      </c>
      <c r="R355" s="329">
        <f t="shared" si="88"/>
        <v>374999.99999999988</v>
      </c>
      <c r="S355" s="333">
        <f t="shared" si="89"/>
        <v>625000.00000000012</v>
      </c>
    </row>
    <row r="356" spans="1:19" ht="15.75" customHeight="1">
      <c r="A356" s="266" t="s">
        <v>938</v>
      </c>
      <c r="D356" s="538"/>
      <c r="E356" s="539"/>
      <c r="F356" s="466"/>
      <c r="G356" s="540"/>
      <c r="H356" s="362" t="s">
        <v>537</v>
      </c>
      <c r="I356" s="363">
        <v>2014</v>
      </c>
      <c r="J356" s="430">
        <v>0.125</v>
      </c>
      <c r="K356" s="333">
        <v>600000</v>
      </c>
      <c r="L356" s="333">
        <v>0</v>
      </c>
      <c r="M356" s="333">
        <v>0</v>
      </c>
      <c r="N356" s="329">
        <f t="shared" si="87"/>
        <v>600000</v>
      </c>
      <c r="O356" s="329">
        <v>225000</v>
      </c>
      <c r="P356" s="333">
        <v>0</v>
      </c>
      <c r="Q356" s="333">
        <v>0</v>
      </c>
      <c r="R356" s="329">
        <f t="shared" si="88"/>
        <v>225000</v>
      </c>
      <c r="S356" s="333">
        <f t="shared" si="89"/>
        <v>375000</v>
      </c>
    </row>
    <row r="357" spans="1:19" ht="15.75" customHeight="1">
      <c r="A357" s="266" t="s">
        <v>938</v>
      </c>
      <c r="D357" s="538"/>
      <c r="E357" s="539"/>
      <c r="F357" s="466"/>
      <c r="G357" s="540"/>
      <c r="H357" s="362" t="s">
        <v>538</v>
      </c>
      <c r="I357" s="363">
        <v>2008</v>
      </c>
      <c r="J357" s="430">
        <v>0.125</v>
      </c>
      <c r="K357" s="333">
        <v>2000000</v>
      </c>
      <c r="L357" s="333">
        <v>0</v>
      </c>
      <c r="M357" s="333">
        <v>0</v>
      </c>
      <c r="N357" s="329">
        <f t="shared" si="87"/>
        <v>2000000</v>
      </c>
      <c r="O357" s="329">
        <v>749999.99999999977</v>
      </c>
      <c r="P357" s="333">
        <v>0</v>
      </c>
      <c r="Q357" s="333">
        <v>0</v>
      </c>
      <c r="R357" s="329">
        <f t="shared" si="88"/>
        <v>749999.99999999977</v>
      </c>
      <c r="S357" s="333">
        <f t="shared" si="89"/>
        <v>1250000.0000000002</v>
      </c>
    </row>
    <row r="358" spans="1:19" ht="15.75" customHeight="1">
      <c r="A358" s="266" t="s">
        <v>938</v>
      </c>
      <c r="D358" s="538"/>
      <c r="E358" s="539"/>
      <c r="F358" s="466"/>
      <c r="G358" s="540"/>
      <c r="H358" s="362" t="s">
        <v>539</v>
      </c>
      <c r="I358" s="363">
        <v>2008</v>
      </c>
      <c r="J358" s="430">
        <v>0.125</v>
      </c>
      <c r="K358" s="333">
        <v>228800000</v>
      </c>
      <c r="L358" s="333">
        <v>0</v>
      </c>
      <c r="M358" s="333">
        <v>0</v>
      </c>
      <c r="N358" s="329">
        <f t="shared" si="87"/>
        <v>228800000</v>
      </c>
      <c r="O358" s="329">
        <v>85800000.000000015</v>
      </c>
      <c r="P358" s="333">
        <v>0</v>
      </c>
      <c r="Q358" s="333">
        <v>0</v>
      </c>
      <c r="R358" s="329">
        <f t="shared" si="88"/>
        <v>85800000.000000015</v>
      </c>
      <c r="S358" s="333">
        <f t="shared" si="89"/>
        <v>143000000</v>
      </c>
    </row>
    <row r="359" spans="1:19" ht="15.75" customHeight="1">
      <c r="A359" s="266" t="s">
        <v>938</v>
      </c>
      <c r="D359" s="538"/>
      <c r="E359" s="539"/>
      <c r="F359" s="466"/>
      <c r="G359" s="540"/>
      <c r="H359" s="362" t="s">
        <v>540</v>
      </c>
      <c r="I359" s="363">
        <v>2009</v>
      </c>
      <c r="J359" s="430">
        <v>0.125</v>
      </c>
      <c r="K359" s="333">
        <v>4900000</v>
      </c>
      <c r="L359" s="333">
        <v>0</v>
      </c>
      <c r="M359" s="333">
        <v>0</v>
      </c>
      <c r="N359" s="329">
        <f t="shared" si="87"/>
        <v>4900000</v>
      </c>
      <c r="O359" s="329">
        <v>1837500</v>
      </c>
      <c r="P359" s="333">
        <v>0</v>
      </c>
      <c r="Q359" s="333">
        <v>0</v>
      </c>
      <c r="R359" s="329">
        <f t="shared" si="88"/>
        <v>1837500</v>
      </c>
      <c r="S359" s="333">
        <f t="shared" si="89"/>
        <v>3062500</v>
      </c>
    </row>
    <row r="360" spans="1:19" ht="15.75" customHeight="1">
      <c r="A360" s="266" t="s">
        <v>938</v>
      </c>
      <c r="D360" s="538"/>
      <c r="E360" s="539"/>
      <c r="F360" s="466"/>
      <c r="G360" s="540"/>
      <c r="H360" s="362" t="s">
        <v>541</v>
      </c>
      <c r="I360" s="363">
        <v>2009</v>
      </c>
      <c r="J360" s="430">
        <v>0.125</v>
      </c>
      <c r="K360" s="333">
        <v>9300000</v>
      </c>
      <c r="L360" s="333">
        <v>0</v>
      </c>
      <c r="M360" s="333">
        <v>0</v>
      </c>
      <c r="N360" s="329">
        <f t="shared" si="87"/>
        <v>9300000</v>
      </c>
      <c r="O360" s="329">
        <v>3487500</v>
      </c>
      <c r="P360" s="333">
        <v>0</v>
      </c>
      <c r="Q360" s="333">
        <v>0</v>
      </c>
      <c r="R360" s="329">
        <f t="shared" si="88"/>
        <v>3487500</v>
      </c>
      <c r="S360" s="333">
        <f t="shared" si="89"/>
        <v>5812500</v>
      </c>
    </row>
    <row r="361" spans="1:19" ht="15.75" customHeight="1">
      <c r="A361" s="266" t="s">
        <v>938</v>
      </c>
      <c r="D361" s="538"/>
      <c r="E361" s="539"/>
      <c r="F361" s="466"/>
      <c r="G361" s="540"/>
      <c r="H361" s="362" t="s">
        <v>542</v>
      </c>
      <c r="I361" s="363">
        <v>2009</v>
      </c>
      <c r="J361" s="430">
        <v>0.125</v>
      </c>
      <c r="K361" s="333">
        <v>25300000</v>
      </c>
      <c r="L361" s="333">
        <v>0</v>
      </c>
      <c r="M361" s="333">
        <v>0</v>
      </c>
      <c r="N361" s="329">
        <f t="shared" si="87"/>
        <v>25300000</v>
      </c>
      <c r="O361" s="329">
        <v>9487500.0000000019</v>
      </c>
      <c r="P361" s="333">
        <v>0</v>
      </c>
      <c r="Q361" s="333">
        <v>0</v>
      </c>
      <c r="R361" s="329">
        <f t="shared" si="88"/>
        <v>9487500.0000000019</v>
      </c>
      <c r="S361" s="333">
        <f t="shared" si="89"/>
        <v>15812499.999999998</v>
      </c>
    </row>
    <row r="362" spans="1:19" ht="15.75" customHeight="1">
      <c r="A362" s="266" t="s">
        <v>938</v>
      </c>
      <c r="D362" s="538"/>
      <c r="E362" s="539"/>
      <c r="F362" s="466"/>
      <c r="G362" s="540"/>
      <c r="H362" s="362" t="s">
        <v>543</v>
      </c>
      <c r="I362" s="363">
        <v>2011</v>
      </c>
      <c r="J362" s="430">
        <v>0.125</v>
      </c>
      <c r="K362" s="333">
        <v>4500000</v>
      </c>
      <c r="L362" s="333">
        <v>0</v>
      </c>
      <c r="M362" s="333">
        <v>0</v>
      </c>
      <c r="N362" s="329">
        <f t="shared" si="87"/>
        <v>4500000</v>
      </c>
      <c r="O362" s="329">
        <v>1687500</v>
      </c>
      <c r="P362" s="333">
        <v>0</v>
      </c>
      <c r="Q362" s="333">
        <v>0</v>
      </c>
      <c r="R362" s="329">
        <f t="shared" si="88"/>
        <v>1687500</v>
      </c>
      <c r="S362" s="333">
        <f t="shared" si="89"/>
        <v>2812500</v>
      </c>
    </row>
    <row r="363" spans="1:19" ht="15.75" customHeight="1">
      <c r="A363" s="266" t="s">
        <v>938</v>
      </c>
      <c r="D363" s="538"/>
      <c r="E363" s="539"/>
      <c r="F363" s="466"/>
      <c r="G363" s="540"/>
      <c r="H363" s="362" t="s">
        <v>409</v>
      </c>
      <c r="I363" s="363">
        <v>2009</v>
      </c>
      <c r="J363" s="430">
        <v>0.125</v>
      </c>
      <c r="K363" s="333">
        <v>1000000</v>
      </c>
      <c r="L363" s="333">
        <v>0</v>
      </c>
      <c r="M363" s="333">
        <v>0</v>
      </c>
      <c r="N363" s="329">
        <f t="shared" si="87"/>
        <v>1000000</v>
      </c>
      <c r="O363" s="329">
        <v>374999.99999999988</v>
      </c>
      <c r="P363" s="333">
        <v>0</v>
      </c>
      <c r="Q363" s="333">
        <v>0</v>
      </c>
      <c r="R363" s="329">
        <f t="shared" si="88"/>
        <v>374999.99999999988</v>
      </c>
      <c r="S363" s="333">
        <f t="shared" si="89"/>
        <v>625000.00000000012</v>
      </c>
    </row>
    <row r="364" spans="1:19" ht="15.75" customHeight="1">
      <c r="A364" s="266" t="s">
        <v>938</v>
      </c>
      <c r="D364" s="538"/>
      <c r="E364" s="539"/>
      <c r="F364" s="466"/>
      <c r="G364" s="540"/>
      <c r="H364" s="362" t="s">
        <v>544</v>
      </c>
      <c r="I364" s="363">
        <v>2009</v>
      </c>
      <c r="J364" s="430">
        <v>0.125</v>
      </c>
      <c r="K364" s="333">
        <v>53400000</v>
      </c>
      <c r="L364" s="333">
        <v>0</v>
      </c>
      <c r="M364" s="333">
        <v>0</v>
      </c>
      <c r="N364" s="329">
        <f t="shared" si="87"/>
        <v>53400000</v>
      </c>
      <c r="O364" s="329">
        <v>20025000</v>
      </c>
      <c r="P364" s="333">
        <v>0</v>
      </c>
      <c r="Q364" s="333">
        <v>0</v>
      </c>
      <c r="R364" s="329">
        <f t="shared" si="88"/>
        <v>20025000</v>
      </c>
      <c r="S364" s="333">
        <f t="shared" si="89"/>
        <v>33375000</v>
      </c>
    </row>
    <row r="365" spans="1:19" ht="15.75" customHeight="1">
      <c r="A365" s="266" t="s">
        <v>938</v>
      </c>
      <c r="D365" s="538"/>
      <c r="E365" s="539"/>
      <c r="F365" s="466"/>
      <c r="G365" s="540"/>
      <c r="H365" s="362" t="s">
        <v>545</v>
      </c>
      <c r="I365" s="363">
        <v>2009</v>
      </c>
      <c r="J365" s="430">
        <v>0.125</v>
      </c>
      <c r="K365" s="333">
        <v>2300000</v>
      </c>
      <c r="L365" s="333">
        <v>0</v>
      </c>
      <c r="M365" s="333">
        <v>0</v>
      </c>
      <c r="N365" s="329">
        <f t="shared" si="87"/>
        <v>2300000</v>
      </c>
      <c r="O365" s="329">
        <v>862499.99999999988</v>
      </c>
      <c r="P365" s="333">
        <v>0</v>
      </c>
      <c r="Q365" s="333">
        <v>0</v>
      </c>
      <c r="R365" s="329">
        <f t="shared" si="88"/>
        <v>862499.99999999988</v>
      </c>
      <c r="S365" s="333">
        <f t="shared" si="89"/>
        <v>1437500</v>
      </c>
    </row>
    <row r="366" spans="1:19" ht="15.75" customHeight="1">
      <c r="A366" s="266" t="s">
        <v>938</v>
      </c>
      <c r="D366" s="538"/>
      <c r="E366" s="539"/>
      <c r="F366" s="466"/>
      <c r="G366" s="540"/>
      <c r="H366" s="362" t="s">
        <v>546</v>
      </c>
      <c r="I366" s="363">
        <v>2005</v>
      </c>
      <c r="J366" s="430">
        <v>0.125</v>
      </c>
      <c r="K366" s="333">
        <v>8200000</v>
      </c>
      <c r="L366" s="333">
        <v>0</v>
      </c>
      <c r="M366" s="333">
        <v>0</v>
      </c>
      <c r="N366" s="329">
        <f t="shared" si="87"/>
        <v>8200000</v>
      </c>
      <c r="O366" s="329">
        <v>3075000.0000000009</v>
      </c>
      <c r="P366" s="333">
        <v>0</v>
      </c>
      <c r="Q366" s="333">
        <v>0</v>
      </c>
      <c r="R366" s="329">
        <f t="shared" si="88"/>
        <v>3075000.0000000009</v>
      </c>
      <c r="S366" s="333">
        <f t="shared" si="89"/>
        <v>5124999.9999999991</v>
      </c>
    </row>
    <row r="367" spans="1:19" ht="15.75" customHeight="1">
      <c r="A367" s="266" t="s">
        <v>938</v>
      </c>
      <c r="D367" s="538"/>
      <c r="E367" s="539"/>
      <c r="F367" s="466"/>
      <c r="G367" s="540"/>
      <c r="H367" s="362" t="s">
        <v>547</v>
      </c>
      <c r="I367" s="363">
        <v>2010</v>
      </c>
      <c r="J367" s="430">
        <v>0.125</v>
      </c>
      <c r="K367" s="333">
        <v>10500000</v>
      </c>
      <c r="L367" s="333">
        <v>0</v>
      </c>
      <c r="M367" s="333">
        <v>0</v>
      </c>
      <c r="N367" s="329">
        <f t="shared" si="87"/>
        <v>10500000</v>
      </c>
      <c r="O367" s="329">
        <v>3937500</v>
      </c>
      <c r="P367" s="333">
        <v>0</v>
      </c>
      <c r="Q367" s="333">
        <v>0</v>
      </c>
      <c r="R367" s="329">
        <f t="shared" si="88"/>
        <v>3937500</v>
      </c>
      <c r="S367" s="333">
        <f t="shared" si="89"/>
        <v>6562500</v>
      </c>
    </row>
    <row r="368" spans="1:19" ht="15.75" customHeight="1">
      <c r="A368" s="266" t="s">
        <v>938</v>
      </c>
      <c r="D368" s="538"/>
      <c r="E368" s="539"/>
      <c r="F368" s="466"/>
      <c r="G368" s="540"/>
      <c r="H368" s="362" t="s">
        <v>548</v>
      </c>
      <c r="I368" s="363">
        <v>2010</v>
      </c>
      <c r="J368" s="430">
        <v>0.125</v>
      </c>
      <c r="K368" s="333">
        <v>9800000</v>
      </c>
      <c r="L368" s="333">
        <v>0</v>
      </c>
      <c r="M368" s="333">
        <v>0</v>
      </c>
      <c r="N368" s="329">
        <f t="shared" si="87"/>
        <v>9800000</v>
      </c>
      <c r="O368" s="329">
        <v>3675000</v>
      </c>
      <c r="P368" s="333">
        <v>0</v>
      </c>
      <c r="Q368" s="333">
        <v>0</v>
      </c>
      <c r="R368" s="329">
        <f t="shared" si="88"/>
        <v>3675000</v>
      </c>
      <c r="S368" s="333">
        <f t="shared" si="89"/>
        <v>6125000</v>
      </c>
    </row>
    <row r="369" spans="1:19" ht="15.75" customHeight="1">
      <c r="A369" s="266" t="s">
        <v>938</v>
      </c>
      <c r="D369" s="538"/>
      <c r="E369" s="539"/>
      <c r="F369" s="466"/>
      <c r="G369" s="540"/>
      <c r="H369" s="362" t="s">
        <v>549</v>
      </c>
      <c r="I369" s="363">
        <v>2011</v>
      </c>
      <c r="J369" s="430">
        <v>0.125</v>
      </c>
      <c r="K369" s="333">
        <v>14500000</v>
      </c>
      <c r="L369" s="333">
        <v>0</v>
      </c>
      <c r="M369" s="333">
        <v>0</v>
      </c>
      <c r="N369" s="329">
        <f t="shared" si="87"/>
        <v>14500000</v>
      </c>
      <c r="O369" s="329">
        <v>5437499.9999999981</v>
      </c>
      <c r="P369" s="333">
        <v>0</v>
      </c>
      <c r="Q369" s="333">
        <v>0</v>
      </c>
      <c r="R369" s="329">
        <f t="shared" si="88"/>
        <v>5437499.9999999981</v>
      </c>
      <c r="S369" s="333">
        <f t="shared" si="89"/>
        <v>9062500.0000000019</v>
      </c>
    </row>
    <row r="370" spans="1:19" ht="15.75" customHeight="1">
      <c r="A370" s="266" t="s">
        <v>938</v>
      </c>
      <c r="D370" s="538"/>
      <c r="E370" s="539"/>
      <c r="F370" s="466"/>
      <c r="G370" s="540"/>
      <c r="H370" s="362" t="s">
        <v>550</v>
      </c>
      <c r="I370" s="363">
        <v>2011</v>
      </c>
      <c r="J370" s="430">
        <v>0.125</v>
      </c>
      <c r="K370" s="333">
        <v>188400000</v>
      </c>
      <c r="L370" s="333">
        <v>0</v>
      </c>
      <c r="M370" s="333">
        <v>0</v>
      </c>
      <c r="N370" s="329">
        <f t="shared" si="87"/>
        <v>188400000</v>
      </c>
      <c r="O370" s="329">
        <v>70650000</v>
      </c>
      <c r="P370" s="333">
        <v>0</v>
      </c>
      <c r="Q370" s="333">
        <v>0</v>
      </c>
      <c r="R370" s="329">
        <f t="shared" si="88"/>
        <v>70650000</v>
      </c>
      <c r="S370" s="333">
        <f t="shared" si="89"/>
        <v>117750000</v>
      </c>
    </row>
    <row r="371" spans="1:19" ht="15.75" customHeight="1">
      <c r="A371" s="266" t="s">
        <v>938</v>
      </c>
      <c r="D371" s="538"/>
      <c r="E371" s="539"/>
      <c r="F371" s="466"/>
      <c r="G371" s="540"/>
      <c r="H371" s="362" t="s">
        <v>551</v>
      </c>
      <c r="I371" s="363">
        <v>2011</v>
      </c>
      <c r="J371" s="430">
        <v>0.125</v>
      </c>
      <c r="K371" s="333">
        <v>47800000</v>
      </c>
      <c r="L371" s="333">
        <v>0</v>
      </c>
      <c r="M371" s="333">
        <v>0</v>
      </c>
      <c r="N371" s="329">
        <f t="shared" si="87"/>
        <v>47800000</v>
      </c>
      <c r="O371" s="329">
        <v>17925000</v>
      </c>
      <c r="P371" s="333">
        <v>0</v>
      </c>
      <c r="Q371" s="333">
        <v>0</v>
      </c>
      <c r="R371" s="329">
        <f t="shared" si="88"/>
        <v>17925000</v>
      </c>
      <c r="S371" s="333">
        <f t="shared" si="89"/>
        <v>29875000</v>
      </c>
    </row>
    <row r="372" spans="1:19" ht="15.75" customHeight="1">
      <c r="A372" s="266" t="s">
        <v>938</v>
      </c>
      <c r="D372" s="538"/>
      <c r="E372" s="539"/>
      <c r="F372" s="466"/>
      <c r="G372" s="540"/>
      <c r="H372" s="362" t="s">
        <v>552</v>
      </c>
      <c r="I372" s="363">
        <v>2011</v>
      </c>
      <c r="J372" s="430">
        <v>0.125</v>
      </c>
      <c r="K372" s="333">
        <v>88300000</v>
      </c>
      <c r="L372" s="333">
        <v>0</v>
      </c>
      <c r="M372" s="333">
        <v>0</v>
      </c>
      <c r="N372" s="329">
        <f t="shared" si="87"/>
        <v>88300000</v>
      </c>
      <c r="O372" s="329">
        <v>33112500.000000004</v>
      </c>
      <c r="P372" s="333">
        <v>0</v>
      </c>
      <c r="Q372" s="333">
        <v>0</v>
      </c>
      <c r="R372" s="329">
        <f t="shared" si="88"/>
        <v>33112500.000000004</v>
      </c>
      <c r="S372" s="333">
        <f t="shared" si="89"/>
        <v>55187500</v>
      </c>
    </row>
    <row r="373" spans="1:19" ht="15.75" customHeight="1">
      <c r="A373" s="266" t="s">
        <v>938</v>
      </c>
      <c r="D373" s="538"/>
      <c r="E373" s="539"/>
      <c r="F373" s="466"/>
      <c r="G373" s="540"/>
      <c r="H373" s="362" t="s">
        <v>553</v>
      </c>
      <c r="I373" s="363">
        <v>2011</v>
      </c>
      <c r="J373" s="430">
        <v>0.125</v>
      </c>
      <c r="K373" s="333">
        <v>12500000</v>
      </c>
      <c r="L373" s="333">
        <v>0</v>
      </c>
      <c r="M373" s="333">
        <v>0</v>
      </c>
      <c r="N373" s="329">
        <f t="shared" si="87"/>
        <v>12500000</v>
      </c>
      <c r="O373" s="329">
        <v>4687500</v>
      </c>
      <c r="P373" s="333">
        <v>0</v>
      </c>
      <c r="Q373" s="333">
        <v>0</v>
      </c>
      <c r="R373" s="329">
        <f t="shared" si="88"/>
        <v>4687500</v>
      </c>
      <c r="S373" s="333">
        <f t="shared" si="89"/>
        <v>7812500</v>
      </c>
    </row>
    <row r="374" spans="1:19" ht="15.75" customHeight="1">
      <c r="A374" s="266" t="s">
        <v>938</v>
      </c>
      <c r="D374" s="538"/>
      <c r="E374" s="539"/>
      <c r="F374" s="466"/>
      <c r="G374" s="540"/>
      <c r="H374" s="362" t="s">
        <v>554</v>
      </c>
      <c r="I374" s="363">
        <v>2011</v>
      </c>
      <c r="J374" s="430">
        <v>0.125</v>
      </c>
      <c r="K374" s="333">
        <v>12500000</v>
      </c>
      <c r="L374" s="333">
        <v>0</v>
      </c>
      <c r="M374" s="333">
        <v>0</v>
      </c>
      <c r="N374" s="329">
        <f t="shared" si="87"/>
        <v>12500000</v>
      </c>
      <c r="O374" s="329">
        <v>4687500</v>
      </c>
      <c r="P374" s="333">
        <v>0</v>
      </c>
      <c r="Q374" s="333">
        <v>0</v>
      </c>
      <c r="R374" s="329">
        <f t="shared" si="88"/>
        <v>4687500</v>
      </c>
      <c r="S374" s="333">
        <f t="shared" si="89"/>
        <v>7812500</v>
      </c>
    </row>
    <row r="375" spans="1:19" ht="15.75" customHeight="1">
      <c r="A375" s="266" t="s">
        <v>938</v>
      </c>
      <c r="D375" s="538"/>
      <c r="E375" s="539"/>
      <c r="F375" s="466"/>
      <c r="G375" s="540"/>
      <c r="H375" s="362" t="s">
        <v>555</v>
      </c>
      <c r="I375" s="363">
        <v>2011</v>
      </c>
      <c r="J375" s="430">
        <v>0.125</v>
      </c>
      <c r="K375" s="333">
        <v>277800000</v>
      </c>
      <c r="L375" s="333">
        <v>0</v>
      </c>
      <c r="M375" s="333">
        <v>0</v>
      </c>
      <c r="N375" s="329">
        <f t="shared" si="87"/>
        <v>277800000</v>
      </c>
      <c r="O375" s="329">
        <v>104175000</v>
      </c>
      <c r="P375" s="333">
        <v>0</v>
      </c>
      <c r="Q375" s="333">
        <v>0</v>
      </c>
      <c r="R375" s="329">
        <f t="shared" si="88"/>
        <v>104175000</v>
      </c>
      <c r="S375" s="333">
        <f t="shared" si="89"/>
        <v>173625000</v>
      </c>
    </row>
    <row r="376" spans="1:19" ht="15.75" customHeight="1">
      <c r="A376" s="266" t="s">
        <v>938</v>
      </c>
      <c r="D376" s="538"/>
      <c r="E376" s="539"/>
      <c r="F376" s="466"/>
      <c r="G376" s="540"/>
      <c r="H376" s="362" t="s">
        <v>556</v>
      </c>
      <c r="I376" s="363">
        <v>2011</v>
      </c>
      <c r="J376" s="430">
        <v>0.125</v>
      </c>
      <c r="K376" s="333">
        <v>9600000</v>
      </c>
      <c r="L376" s="333">
        <v>0</v>
      </c>
      <c r="M376" s="333">
        <v>0</v>
      </c>
      <c r="N376" s="329">
        <f t="shared" si="87"/>
        <v>9600000</v>
      </c>
      <c r="O376" s="329">
        <v>3600000</v>
      </c>
      <c r="P376" s="333">
        <v>0</v>
      </c>
      <c r="Q376" s="333">
        <v>0</v>
      </c>
      <c r="R376" s="329">
        <f t="shared" si="88"/>
        <v>3600000</v>
      </c>
      <c r="S376" s="333">
        <f t="shared" si="89"/>
        <v>6000000</v>
      </c>
    </row>
    <row r="377" spans="1:19" ht="15.75" customHeight="1">
      <c r="A377" s="266" t="s">
        <v>938</v>
      </c>
      <c r="D377" s="538"/>
      <c r="E377" s="539"/>
      <c r="F377" s="466"/>
      <c r="G377" s="540"/>
      <c r="H377" s="362" t="s">
        <v>557</v>
      </c>
      <c r="I377" s="363">
        <v>2011</v>
      </c>
      <c r="J377" s="430">
        <v>0.125</v>
      </c>
      <c r="K377" s="333">
        <v>45900000</v>
      </c>
      <c r="L377" s="333">
        <v>0</v>
      </c>
      <c r="M377" s="333">
        <v>0</v>
      </c>
      <c r="N377" s="329">
        <f t="shared" si="87"/>
        <v>45900000</v>
      </c>
      <c r="O377" s="329">
        <v>17212500</v>
      </c>
      <c r="P377" s="333">
        <v>0</v>
      </c>
      <c r="Q377" s="333">
        <v>0</v>
      </c>
      <c r="R377" s="329">
        <f t="shared" si="88"/>
        <v>17212500</v>
      </c>
      <c r="S377" s="333">
        <f t="shared" si="89"/>
        <v>28687500</v>
      </c>
    </row>
    <row r="378" spans="1:19" ht="15.75" customHeight="1">
      <c r="A378" s="266" t="s">
        <v>938</v>
      </c>
      <c r="D378" s="538"/>
      <c r="E378" s="539"/>
      <c r="F378" s="466"/>
      <c r="G378" s="540"/>
      <c r="H378" s="362" t="s">
        <v>558</v>
      </c>
      <c r="I378" s="363">
        <v>2011</v>
      </c>
      <c r="J378" s="430">
        <v>0.125</v>
      </c>
      <c r="K378" s="333">
        <v>15200000</v>
      </c>
      <c r="L378" s="333">
        <v>0</v>
      </c>
      <c r="M378" s="333">
        <v>0</v>
      </c>
      <c r="N378" s="329">
        <f t="shared" si="87"/>
        <v>15200000</v>
      </c>
      <c r="O378" s="329">
        <v>5700000.0000000019</v>
      </c>
      <c r="P378" s="333">
        <v>0</v>
      </c>
      <c r="Q378" s="333">
        <v>0</v>
      </c>
      <c r="R378" s="329">
        <f t="shared" si="88"/>
        <v>5700000.0000000019</v>
      </c>
      <c r="S378" s="333">
        <f t="shared" si="89"/>
        <v>9499999.9999999981</v>
      </c>
    </row>
    <row r="379" spans="1:19" ht="15.75" customHeight="1">
      <c r="A379" s="266" t="s">
        <v>938</v>
      </c>
      <c r="D379" s="538"/>
      <c r="E379" s="539"/>
      <c r="F379" s="466"/>
      <c r="G379" s="540"/>
      <c r="H379" s="362" t="s">
        <v>559</v>
      </c>
      <c r="I379" s="363">
        <v>2011</v>
      </c>
      <c r="J379" s="430">
        <v>0.125</v>
      </c>
      <c r="K379" s="333">
        <v>6200000</v>
      </c>
      <c r="L379" s="333">
        <v>0</v>
      </c>
      <c r="M379" s="333">
        <v>0</v>
      </c>
      <c r="N379" s="329">
        <f t="shared" si="87"/>
        <v>6200000</v>
      </c>
      <c r="O379" s="329">
        <v>2325000</v>
      </c>
      <c r="P379" s="333">
        <v>0</v>
      </c>
      <c r="Q379" s="333">
        <v>0</v>
      </c>
      <c r="R379" s="329">
        <f t="shared" si="88"/>
        <v>2325000</v>
      </c>
      <c r="S379" s="333">
        <f t="shared" si="89"/>
        <v>3875000</v>
      </c>
    </row>
    <row r="380" spans="1:19" ht="15.75" customHeight="1">
      <c r="A380" s="266" t="s">
        <v>938</v>
      </c>
      <c r="D380" s="538"/>
      <c r="E380" s="539"/>
      <c r="F380" s="466"/>
      <c r="G380" s="540"/>
      <c r="H380" s="362" t="s">
        <v>560</v>
      </c>
      <c r="I380" s="363">
        <v>2011</v>
      </c>
      <c r="J380" s="430">
        <v>0.125</v>
      </c>
      <c r="K380" s="333">
        <v>19100000</v>
      </c>
      <c r="L380" s="333">
        <v>0</v>
      </c>
      <c r="M380" s="333">
        <v>0</v>
      </c>
      <c r="N380" s="329">
        <f t="shared" si="87"/>
        <v>19100000</v>
      </c>
      <c r="O380" s="329">
        <v>7162500.0000000009</v>
      </c>
      <c r="P380" s="333">
        <v>0</v>
      </c>
      <c r="Q380" s="333">
        <v>0</v>
      </c>
      <c r="R380" s="329">
        <f t="shared" si="88"/>
        <v>7162500.0000000009</v>
      </c>
      <c r="S380" s="333">
        <f t="shared" si="89"/>
        <v>11937500</v>
      </c>
    </row>
    <row r="381" spans="1:19" ht="15.75" customHeight="1">
      <c r="A381" s="266" t="s">
        <v>938</v>
      </c>
      <c r="D381" s="538"/>
      <c r="E381" s="539"/>
      <c r="F381" s="466"/>
      <c r="G381" s="540"/>
      <c r="H381" s="362" t="s">
        <v>561</v>
      </c>
      <c r="I381" s="363">
        <v>2011</v>
      </c>
      <c r="J381" s="430">
        <v>0.125</v>
      </c>
      <c r="K381" s="333">
        <v>10000000</v>
      </c>
      <c r="L381" s="333">
        <v>0</v>
      </c>
      <c r="M381" s="333">
        <v>0</v>
      </c>
      <c r="N381" s="329">
        <f t="shared" si="87"/>
        <v>10000000</v>
      </c>
      <c r="O381" s="329">
        <v>3750000</v>
      </c>
      <c r="P381" s="333">
        <v>0</v>
      </c>
      <c r="Q381" s="333">
        <v>0</v>
      </c>
      <c r="R381" s="329">
        <f t="shared" si="88"/>
        <v>3750000</v>
      </c>
      <c r="S381" s="333">
        <f t="shared" si="89"/>
        <v>6250000</v>
      </c>
    </row>
    <row r="382" spans="1:19" ht="15.75" customHeight="1">
      <c r="A382" s="266" t="s">
        <v>938</v>
      </c>
      <c r="D382" s="538"/>
      <c r="E382" s="539"/>
      <c r="F382" s="466"/>
      <c r="G382" s="540"/>
      <c r="H382" s="362" t="s">
        <v>562</v>
      </c>
      <c r="I382" s="363">
        <v>2011</v>
      </c>
      <c r="J382" s="430">
        <v>0.125</v>
      </c>
      <c r="K382" s="333">
        <v>237700000</v>
      </c>
      <c r="L382" s="333">
        <v>0</v>
      </c>
      <c r="M382" s="333">
        <v>0</v>
      </c>
      <c r="N382" s="329">
        <f t="shared" si="87"/>
        <v>237700000</v>
      </c>
      <c r="O382" s="329">
        <v>89137499.99999997</v>
      </c>
      <c r="P382" s="333">
        <v>0</v>
      </c>
      <c r="Q382" s="333">
        <v>0</v>
      </c>
      <c r="R382" s="329">
        <f t="shared" si="88"/>
        <v>89137499.99999997</v>
      </c>
      <c r="S382" s="333">
        <f t="shared" si="89"/>
        <v>148562500.00000003</v>
      </c>
    </row>
    <row r="383" spans="1:19" ht="15.75" customHeight="1">
      <c r="A383" s="266" t="s">
        <v>938</v>
      </c>
      <c r="D383" s="538"/>
      <c r="E383" s="539"/>
      <c r="F383" s="466"/>
      <c r="G383" s="540"/>
      <c r="H383" s="362" t="s">
        <v>563</v>
      </c>
      <c r="I383" s="363">
        <v>2011</v>
      </c>
      <c r="J383" s="430">
        <v>0.125</v>
      </c>
      <c r="K383" s="333">
        <v>20900000</v>
      </c>
      <c r="L383" s="333">
        <v>0</v>
      </c>
      <c r="M383" s="333">
        <v>0</v>
      </c>
      <c r="N383" s="329">
        <f t="shared" si="87"/>
        <v>20900000</v>
      </c>
      <c r="O383" s="329">
        <v>7837500</v>
      </c>
      <c r="P383" s="333">
        <v>0</v>
      </c>
      <c r="Q383" s="333">
        <v>0</v>
      </c>
      <c r="R383" s="329">
        <f t="shared" si="88"/>
        <v>7837500</v>
      </c>
      <c r="S383" s="333">
        <f t="shared" si="89"/>
        <v>13062500</v>
      </c>
    </row>
    <row r="384" spans="1:19" ht="15.75" customHeight="1">
      <c r="A384" s="266" t="s">
        <v>938</v>
      </c>
      <c r="D384" s="538"/>
      <c r="E384" s="539"/>
      <c r="F384" s="466"/>
      <c r="G384" s="540"/>
      <c r="H384" s="362" t="s">
        <v>564</v>
      </c>
      <c r="I384" s="363">
        <v>2011</v>
      </c>
      <c r="J384" s="430">
        <v>0.125</v>
      </c>
      <c r="K384" s="333">
        <v>17100000</v>
      </c>
      <c r="L384" s="333">
        <v>0</v>
      </c>
      <c r="M384" s="333">
        <v>0</v>
      </c>
      <c r="N384" s="329">
        <f t="shared" si="87"/>
        <v>17100000</v>
      </c>
      <c r="O384" s="329">
        <v>6412500</v>
      </c>
      <c r="P384" s="333">
        <v>0</v>
      </c>
      <c r="Q384" s="333">
        <v>0</v>
      </c>
      <c r="R384" s="329">
        <f t="shared" si="88"/>
        <v>6412500</v>
      </c>
      <c r="S384" s="333">
        <f t="shared" si="89"/>
        <v>10687500</v>
      </c>
    </row>
    <row r="385" spans="1:19" ht="15.75" customHeight="1">
      <c r="A385" s="266" t="s">
        <v>938</v>
      </c>
      <c r="D385" s="538"/>
      <c r="E385" s="539"/>
      <c r="F385" s="466"/>
      <c r="G385" s="540"/>
      <c r="H385" s="362" t="s">
        <v>565</v>
      </c>
      <c r="I385" s="363">
        <v>2011</v>
      </c>
      <c r="J385" s="430">
        <v>0.125</v>
      </c>
      <c r="K385" s="333">
        <v>18100000</v>
      </c>
      <c r="L385" s="333">
        <v>0</v>
      </c>
      <c r="M385" s="333">
        <v>0</v>
      </c>
      <c r="N385" s="329">
        <f t="shared" si="87"/>
        <v>18100000</v>
      </c>
      <c r="O385" s="329">
        <v>6787499.9999999991</v>
      </c>
      <c r="P385" s="333">
        <v>0</v>
      </c>
      <c r="Q385" s="333">
        <v>0</v>
      </c>
      <c r="R385" s="329">
        <f t="shared" si="88"/>
        <v>6787499.9999999991</v>
      </c>
      <c r="S385" s="333">
        <f t="shared" si="89"/>
        <v>11312500</v>
      </c>
    </row>
    <row r="386" spans="1:19" ht="15.75" customHeight="1">
      <c r="A386" s="266" t="s">
        <v>938</v>
      </c>
      <c r="D386" s="538"/>
      <c r="E386" s="539"/>
      <c r="F386" s="466"/>
      <c r="G386" s="540"/>
      <c r="H386" s="362" t="s">
        <v>566</v>
      </c>
      <c r="I386" s="363">
        <v>2011</v>
      </c>
      <c r="J386" s="430">
        <v>0.125</v>
      </c>
      <c r="K386" s="333">
        <v>36500000</v>
      </c>
      <c r="L386" s="333">
        <v>0</v>
      </c>
      <c r="M386" s="333">
        <v>0</v>
      </c>
      <c r="N386" s="329">
        <f t="shared" si="87"/>
        <v>36500000</v>
      </c>
      <c r="O386" s="329">
        <v>13687499.999999998</v>
      </c>
      <c r="P386" s="333">
        <v>0</v>
      </c>
      <c r="Q386" s="333">
        <v>0</v>
      </c>
      <c r="R386" s="329">
        <f t="shared" si="88"/>
        <v>13687499.999999998</v>
      </c>
      <c r="S386" s="333">
        <f t="shared" si="89"/>
        <v>22812500</v>
      </c>
    </row>
    <row r="387" spans="1:19" ht="15.75" customHeight="1">
      <c r="A387" s="266" t="s">
        <v>938</v>
      </c>
      <c r="D387" s="538"/>
      <c r="E387" s="539"/>
      <c r="F387" s="466"/>
      <c r="G387" s="540"/>
      <c r="H387" s="362" t="s">
        <v>567</v>
      </c>
      <c r="I387" s="363">
        <v>2011</v>
      </c>
      <c r="J387" s="430">
        <v>0.125</v>
      </c>
      <c r="K387" s="333">
        <v>7400000</v>
      </c>
      <c r="L387" s="333">
        <v>0</v>
      </c>
      <c r="M387" s="333">
        <v>0</v>
      </c>
      <c r="N387" s="329">
        <f t="shared" si="87"/>
        <v>7400000</v>
      </c>
      <c r="O387" s="329">
        <v>2774999.9999999991</v>
      </c>
      <c r="P387" s="333">
        <v>0</v>
      </c>
      <c r="Q387" s="333">
        <v>0</v>
      </c>
      <c r="R387" s="329">
        <f t="shared" si="88"/>
        <v>2774999.9999999991</v>
      </c>
      <c r="S387" s="333">
        <f t="shared" si="89"/>
        <v>4625000.0000000009</v>
      </c>
    </row>
    <row r="388" spans="1:19" ht="15.75" customHeight="1">
      <c r="A388" s="266" t="s">
        <v>938</v>
      </c>
      <c r="D388" s="538"/>
      <c r="E388" s="539"/>
      <c r="F388" s="466"/>
      <c r="G388" s="540"/>
      <c r="H388" s="362" t="s">
        <v>568</v>
      </c>
      <c r="I388" s="363">
        <v>2011</v>
      </c>
      <c r="J388" s="430">
        <v>0.125</v>
      </c>
      <c r="K388" s="333">
        <v>6900000</v>
      </c>
      <c r="L388" s="333">
        <v>0</v>
      </c>
      <c r="M388" s="333">
        <v>0</v>
      </c>
      <c r="N388" s="329">
        <f t="shared" si="87"/>
        <v>6900000</v>
      </c>
      <c r="O388" s="329">
        <v>2587500</v>
      </c>
      <c r="P388" s="333">
        <v>0</v>
      </c>
      <c r="Q388" s="333">
        <v>0</v>
      </c>
      <c r="R388" s="329">
        <f t="shared" si="88"/>
        <v>2587500</v>
      </c>
      <c r="S388" s="333">
        <f t="shared" si="89"/>
        <v>4312500</v>
      </c>
    </row>
    <row r="389" spans="1:19" ht="15.75" customHeight="1">
      <c r="A389" s="266" t="s">
        <v>938</v>
      </c>
      <c r="D389" s="538"/>
      <c r="E389" s="539"/>
      <c r="F389" s="466"/>
      <c r="G389" s="540"/>
      <c r="H389" s="362" t="s">
        <v>569</v>
      </c>
      <c r="I389" s="363">
        <v>2011</v>
      </c>
      <c r="J389" s="430">
        <v>0.125</v>
      </c>
      <c r="K389" s="333">
        <v>41500000</v>
      </c>
      <c r="L389" s="333">
        <v>0</v>
      </c>
      <c r="M389" s="333">
        <v>0</v>
      </c>
      <c r="N389" s="329">
        <f t="shared" si="87"/>
        <v>41500000</v>
      </c>
      <c r="O389" s="329">
        <v>15562500</v>
      </c>
      <c r="P389" s="333">
        <v>0</v>
      </c>
      <c r="Q389" s="333">
        <v>0</v>
      </c>
      <c r="R389" s="329">
        <f t="shared" si="88"/>
        <v>15562500</v>
      </c>
      <c r="S389" s="333">
        <f t="shared" si="89"/>
        <v>25937500</v>
      </c>
    </row>
    <row r="390" spans="1:19" ht="15.75" customHeight="1">
      <c r="A390" s="266" t="s">
        <v>938</v>
      </c>
      <c r="D390" s="538"/>
      <c r="E390" s="539"/>
      <c r="F390" s="466"/>
      <c r="G390" s="540"/>
      <c r="H390" s="362" t="s">
        <v>569</v>
      </c>
      <c r="I390" s="363">
        <v>2014</v>
      </c>
      <c r="J390" s="430">
        <v>0.125</v>
      </c>
      <c r="K390" s="333">
        <v>10400000</v>
      </c>
      <c r="L390" s="333">
        <v>0</v>
      </c>
      <c r="M390" s="333">
        <v>0</v>
      </c>
      <c r="N390" s="329">
        <f t="shared" si="87"/>
        <v>10400000</v>
      </c>
      <c r="O390" s="329">
        <v>3900000</v>
      </c>
      <c r="P390" s="333">
        <v>0</v>
      </c>
      <c r="Q390" s="333">
        <v>0</v>
      </c>
      <c r="R390" s="329">
        <f t="shared" si="88"/>
        <v>3900000</v>
      </c>
      <c r="S390" s="333">
        <f t="shared" si="89"/>
        <v>6500000</v>
      </c>
    </row>
    <row r="391" spans="1:19" ht="15.75" customHeight="1">
      <c r="A391" s="266" t="s">
        <v>938</v>
      </c>
      <c r="D391" s="538"/>
      <c r="E391" s="539"/>
      <c r="F391" s="466"/>
      <c r="G391" s="540"/>
      <c r="H391" s="362" t="s">
        <v>569</v>
      </c>
      <c r="I391" s="363">
        <v>2014</v>
      </c>
      <c r="J391" s="430">
        <v>0.125</v>
      </c>
      <c r="K391" s="333">
        <v>9300000</v>
      </c>
      <c r="L391" s="333">
        <v>0</v>
      </c>
      <c r="M391" s="333">
        <v>0</v>
      </c>
      <c r="N391" s="329">
        <f t="shared" si="87"/>
        <v>9300000</v>
      </c>
      <c r="O391" s="329">
        <v>3487500</v>
      </c>
      <c r="P391" s="333">
        <v>0</v>
      </c>
      <c r="Q391" s="333">
        <v>0</v>
      </c>
      <c r="R391" s="329">
        <f t="shared" si="88"/>
        <v>3487500</v>
      </c>
      <c r="S391" s="333">
        <f t="shared" si="89"/>
        <v>5812500</v>
      </c>
    </row>
    <row r="392" spans="1:19" ht="15.75" customHeight="1">
      <c r="A392" s="266" t="s">
        <v>938</v>
      </c>
      <c r="D392" s="538"/>
      <c r="E392" s="539"/>
      <c r="F392" s="466"/>
      <c r="G392" s="540"/>
      <c r="H392" s="362" t="s">
        <v>570</v>
      </c>
      <c r="I392" s="363">
        <v>2011</v>
      </c>
      <c r="J392" s="430">
        <v>0.125</v>
      </c>
      <c r="K392" s="333">
        <v>32600000</v>
      </c>
      <c r="L392" s="333">
        <v>0</v>
      </c>
      <c r="M392" s="333">
        <v>0</v>
      </c>
      <c r="N392" s="329">
        <f t="shared" si="87"/>
        <v>32600000</v>
      </c>
      <c r="O392" s="329">
        <v>12224999.999999996</v>
      </c>
      <c r="P392" s="333">
        <v>0</v>
      </c>
      <c r="Q392" s="333">
        <v>0</v>
      </c>
      <c r="R392" s="329">
        <f t="shared" si="88"/>
        <v>12224999.999999996</v>
      </c>
      <c r="S392" s="333">
        <f t="shared" si="89"/>
        <v>20375000.000000004</v>
      </c>
    </row>
    <row r="393" spans="1:19" ht="15.75" customHeight="1">
      <c r="A393" s="266" t="s">
        <v>938</v>
      </c>
      <c r="D393" s="538"/>
      <c r="E393" s="539"/>
      <c r="F393" s="466"/>
      <c r="G393" s="540"/>
      <c r="H393" s="362" t="s">
        <v>571</v>
      </c>
      <c r="I393" s="363">
        <v>2011</v>
      </c>
      <c r="J393" s="430">
        <v>0.125</v>
      </c>
      <c r="K393" s="333">
        <v>19800000</v>
      </c>
      <c r="L393" s="333">
        <v>0</v>
      </c>
      <c r="M393" s="333">
        <v>0</v>
      </c>
      <c r="N393" s="329">
        <f t="shared" si="87"/>
        <v>19800000</v>
      </c>
      <c r="O393" s="329">
        <v>7425000</v>
      </c>
      <c r="P393" s="333">
        <v>0</v>
      </c>
      <c r="Q393" s="333">
        <v>0</v>
      </c>
      <c r="R393" s="329">
        <f t="shared" si="88"/>
        <v>7425000</v>
      </c>
      <c r="S393" s="333">
        <f t="shared" si="89"/>
        <v>12375000</v>
      </c>
    </row>
    <row r="394" spans="1:19" ht="15.75" customHeight="1">
      <c r="A394" s="266" t="s">
        <v>938</v>
      </c>
      <c r="D394" s="538"/>
      <c r="E394" s="539"/>
      <c r="F394" s="466"/>
      <c r="G394" s="540"/>
      <c r="H394" s="362" t="s">
        <v>572</v>
      </c>
      <c r="I394" s="363">
        <v>2012</v>
      </c>
      <c r="J394" s="430">
        <v>0.125</v>
      </c>
      <c r="K394" s="333">
        <v>21700000</v>
      </c>
      <c r="L394" s="333">
        <v>0</v>
      </c>
      <c r="M394" s="333">
        <v>0</v>
      </c>
      <c r="N394" s="329">
        <f t="shared" si="87"/>
        <v>21700000</v>
      </c>
      <c r="O394" s="329">
        <v>8137500.0000000009</v>
      </c>
      <c r="P394" s="333">
        <v>0</v>
      </c>
      <c r="Q394" s="333">
        <v>0</v>
      </c>
      <c r="R394" s="329">
        <f t="shared" si="88"/>
        <v>8137500.0000000009</v>
      </c>
      <c r="S394" s="333">
        <f t="shared" si="89"/>
        <v>13562500</v>
      </c>
    </row>
    <row r="395" spans="1:19" ht="15.75" customHeight="1">
      <c r="A395" s="266" t="s">
        <v>938</v>
      </c>
      <c r="D395" s="538"/>
      <c r="E395" s="539"/>
      <c r="F395" s="466"/>
      <c r="G395" s="540"/>
      <c r="H395" s="362" t="s">
        <v>573</v>
      </c>
      <c r="I395" s="363">
        <v>2012</v>
      </c>
      <c r="J395" s="430">
        <v>0.125</v>
      </c>
      <c r="K395" s="333">
        <v>262100000</v>
      </c>
      <c r="L395" s="333">
        <v>0</v>
      </c>
      <c r="M395" s="333">
        <v>0</v>
      </c>
      <c r="N395" s="329">
        <f t="shared" si="87"/>
        <v>262100000</v>
      </c>
      <c r="O395" s="329">
        <v>98287500.00000003</v>
      </c>
      <c r="P395" s="333">
        <v>0</v>
      </c>
      <c r="Q395" s="333">
        <v>0</v>
      </c>
      <c r="R395" s="329">
        <f t="shared" si="88"/>
        <v>98287500.00000003</v>
      </c>
      <c r="S395" s="333">
        <f t="shared" si="89"/>
        <v>163812499.99999997</v>
      </c>
    </row>
    <row r="396" spans="1:19" ht="15.75" customHeight="1">
      <c r="A396" s="266" t="s">
        <v>938</v>
      </c>
      <c r="D396" s="538"/>
      <c r="E396" s="539"/>
      <c r="F396" s="466"/>
      <c r="G396" s="540"/>
      <c r="H396" s="362" t="s">
        <v>573</v>
      </c>
      <c r="I396" s="363">
        <v>2014</v>
      </c>
      <c r="J396" s="430">
        <v>0.125</v>
      </c>
      <c r="K396" s="333">
        <v>10800000</v>
      </c>
      <c r="L396" s="333">
        <v>0</v>
      </c>
      <c r="M396" s="333">
        <v>0</v>
      </c>
      <c r="N396" s="329">
        <f t="shared" si="87"/>
        <v>10800000</v>
      </c>
      <c r="O396" s="329">
        <v>4050000</v>
      </c>
      <c r="P396" s="333">
        <v>0</v>
      </c>
      <c r="Q396" s="333">
        <v>0</v>
      </c>
      <c r="R396" s="329">
        <f t="shared" si="88"/>
        <v>4050000</v>
      </c>
      <c r="S396" s="333">
        <f t="shared" si="89"/>
        <v>6750000</v>
      </c>
    </row>
    <row r="397" spans="1:19" ht="15.75" customHeight="1">
      <c r="A397" s="266" t="s">
        <v>938</v>
      </c>
      <c r="D397" s="538"/>
      <c r="E397" s="539"/>
      <c r="F397" s="466"/>
      <c r="G397" s="540"/>
      <c r="H397" s="362" t="s">
        <v>574</v>
      </c>
      <c r="I397" s="363">
        <v>2013</v>
      </c>
      <c r="J397" s="430">
        <v>0.125</v>
      </c>
      <c r="K397" s="333">
        <v>11400000</v>
      </c>
      <c r="L397" s="333">
        <v>0</v>
      </c>
      <c r="M397" s="333">
        <v>0</v>
      </c>
      <c r="N397" s="329">
        <f t="shared" si="87"/>
        <v>11400000</v>
      </c>
      <c r="O397" s="329">
        <v>4275000</v>
      </c>
      <c r="P397" s="333">
        <v>0</v>
      </c>
      <c r="Q397" s="333">
        <v>0</v>
      </c>
      <c r="R397" s="329">
        <f t="shared" si="88"/>
        <v>4275000</v>
      </c>
      <c r="S397" s="333">
        <f t="shared" si="89"/>
        <v>7125000</v>
      </c>
    </row>
    <row r="398" spans="1:19" ht="15.75" customHeight="1">
      <c r="A398" s="266" t="s">
        <v>938</v>
      </c>
      <c r="D398" s="538"/>
      <c r="E398" s="539"/>
      <c r="F398" s="466"/>
      <c r="G398" s="540"/>
      <c r="H398" s="362" t="s">
        <v>575</v>
      </c>
      <c r="I398" s="363">
        <v>2013</v>
      </c>
      <c r="J398" s="430">
        <v>0.125</v>
      </c>
      <c r="K398" s="333">
        <v>181200000</v>
      </c>
      <c r="L398" s="333">
        <v>0</v>
      </c>
      <c r="M398" s="333">
        <v>0</v>
      </c>
      <c r="N398" s="329">
        <f t="shared" si="87"/>
        <v>181200000</v>
      </c>
      <c r="O398" s="329">
        <v>67950000</v>
      </c>
      <c r="P398" s="333">
        <v>0</v>
      </c>
      <c r="Q398" s="333">
        <v>0</v>
      </c>
      <c r="R398" s="329">
        <f t="shared" si="88"/>
        <v>67950000</v>
      </c>
      <c r="S398" s="333">
        <f t="shared" si="89"/>
        <v>113250000</v>
      </c>
    </row>
    <row r="399" spans="1:19" ht="15.75" customHeight="1">
      <c r="A399" s="266" t="s">
        <v>938</v>
      </c>
      <c r="D399" s="538"/>
      <c r="E399" s="539"/>
      <c r="F399" s="466"/>
      <c r="G399" s="540"/>
      <c r="H399" s="362" t="s">
        <v>558</v>
      </c>
      <c r="I399" s="363">
        <v>2013</v>
      </c>
      <c r="J399" s="430">
        <v>0.125</v>
      </c>
      <c r="K399" s="333">
        <v>145800000</v>
      </c>
      <c r="L399" s="333">
        <v>0</v>
      </c>
      <c r="M399" s="333">
        <v>0</v>
      </c>
      <c r="N399" s="329">
        <f t="shared" si="87"/>
        <v>145800000</v>
      </c>
      <c r="O399" s="329">
        <v>54675000</v>
      </c>
      <c r="P399" s="333">
        <v>0</v>
      </c>
      <c r="Q399" s="333">
        <v>0</v>
      </c>
      <c r="R399" s="329">
        <f t="shared" si="88"/>
        <v>54675000</v>
      </c>
      <c r="S399" s="333">
        <f t="shared" si="89"/>
        <v>91125000</v>
      </c>
    </row>
    <row r="400" spans="1:19" ht="15.75" customHeight="1">
      <c r="A400" s="266" t="s">
        <v>938</v>
      </c>
      <c r="D400" s="538"/>
      <c r="E400" s="539"/>
      <c r="F400" s="466"/>
      <c r="G400" s="540"/>
      <c r="H400" s="362" t="s">
        <v>576</v>
      </c>
      <c r="I400" s="363">
        <v>2013</v>
      </c>
      <c r="J400" s="430">
        <v>0.125</v>
      </c>
      <c r="K400" s="333">
        <v>8300000</v>
      </c>
      <c r="L400" s="333">
        <v>0</v>
      </c>
      <c r="M400" s="333">
        <v>0</v>
      </c>
      <c r="N400" s="329">
        <f t="shared" si="87"/>
        <v>8300000</v>
      </c>
      <c r="O400" s="329">
        <v>3112499.9999999991</v>
      </c>
      <c r="P400" s="333">
        <v>0</v>
      </c>
      <c r="Q400" s="333">
        <v>0</v>
      </c>
      <c r="R400" s="329">
        <f t="shared" si="88"/>
        <v>3112499.9999999991</v>
      </c>
      <c r="S400" s="333">
        <f t="shared" si="89"/>
        <v>5187500.0000000009</v>
      </c>
    </row>
    <row r="401" spans="1:19" ht="15.75" customHeight="1">
      <c r="A401" s="266" t="s">
        <v>938</v>
      </c>
      <c r="D401" s="538"/>
      <c r="E401" s="539"/>
      <c r="F401" s="466"/>
      <c r="G401" s="540"/>
      <c r="H401" s="362" t="s">
        <v>577</v>
      </c>
      <c r="I401" s="363">
        <v>2014</v>
      </c>
      <c r="J401" s="430">
        <v>0.125</v>
      </c>
      <c r="K401" s="333">
        <v>12500000</v>
      </c>
      <c r="L401" s="333">
        <v>0</v>
      </c>
      <c r="M401" s="333">
        <v>0</v>
      </c>
      <c r="N401" s="329">
        <f t="shared" si="87"/>
        <v>12500000</v>
      </c>
      <c r="O401" s="329">
        <v>4687500</v>
      </c>
      <c r="P401" s="333">
        <v>0</v>
      </c>
      <c r="Q401" s="333">
        <v>0</v>
      </c>
      <c r="R401" s="329">
        <f t="shared" si="88"/>
        <v>4687500</v>
      </c>
      <c r="S401" s="333">
        <f t="shared" si="89"/>
        <v>7812500</v>
      </c>
    </row>
    <row r="402" spans="1:19" ht="15.75" customHeight="1">
      <c r="A402" s="266" t="s">
        <v>938</v>
      </c>
      <c r="D402" s="538"/>
      <c r="E402" s="539"/>
      <c r="F402" s="466"/>
      <c r="G402" s="540"/>
      <c r="H402" s="362" t="s">
        <v>578</v>
      </c>
      <c r="I402" s="363">
        <v>2014</v>
      </c>
      <c r="J402" s="430">
        <v>0.125</v>
      </c>
      <c r="K402" s="333">
        <v>183300000</v>
      </c>
      <c r="L402" s="333">
        <v>0</v>
      </c>
      <c r="M402" s="333">
        <v>0</v>
      </c>
      <c r="N402" s="329">
        <f t="shared" si="87"/>
        <v>183300000</v>
      </c>
      <c r="O402" s="329">
        <v>68737500</v>
      </c>
      <c r="P402" s="333">
        <v>0</v>
      </c>
      <c r="Q402" s="333">
        <v>0</v>
      </c>
      <c r="R402" s="329">
        <f t="shared" si="88"/>
        <v>68737500</v>
      </c>
      <c r="S402" s="333">
        <f t="shared" si="89"/>
        <v>114562500</v>
      </c>
    </row>
    <row r="403" spans="1:19" ht="15.75" customHeight="1">
      <c r="A403" s="266" t="s">
        <v>938</v>
      </c>
      <c r="D403" s="538"/>
      <c r="E403" s="539"/>
      <c r="F403" s="466"/>
      <c r="G403" s="540"/>
      <c r="H403" s="362" t="s">
        <v>579</v>
      </c>
      <c r="I403" s="363">
        <v>2014</v>
      </c>
      <c r="J403" s="430">
        <v>0.125</v>
      </c>
      <c r="K403" s="333">
        <v>15800000</v>
      </c>
      <c r="L403" s="333">
        <v>0</v>
      </c>
      <c r="M403" s="333">
        <v>0</v>
      </c>
      <c r="N403" s="329">
        <f t="shared" si="87"/>
        <v>15800000</v>
      </c>
      <c r="O403" s="329">
        <v>5925000.0000000019</v>
      </c>
      <c r="P403" s="333">
        <v>0</v>
      </c>
      <c r="Q403" s="333">
        <v>0</v>
      </c>
      <c r="R403" s="329">
        <f t="shared" si="88"/>
        <v>5925000.0000000019</v>
      </c>
      <c r="S403" s="333">
        <f t="shared" si="89"/>
        <v>9874999.9999999981</v>
      </c>
    </row>
    <row r="404" spans="1:19" ht="15.75" customHeight="1">
      <c r="A404" s="266" t="s">
        <v>938</v>
      </c>
      <c r="D404" s="538"/>
      <c r="E404" s="539"/>
      <c r="F404" s="466"/>
      <c r="G404" s="540"/>
      <c r="H404" s="362" t="s">
        <v>580</v>
      </c>
      <c r="I404" s="363">
        <v>2014</v>
      </c>
      <c r="J404" s="430">
        <v>0.125</v>
      </c>
      <c r="K404" s="333">
        <v>5300000</v>
      </c>
      <c r="L404" s="333">
        <v>0</v>
      </c>
      <c r="M404" s="333">
        <v>0</v>
      </c>
      <c r="N404" s="329">
        <f t="shared" si="87"/>
        <v>5300000</v>
      </c>
      <c r="O404" s="329">
        <v>1987499.9999999998</v>
      </c>
      <c r="P404" s="333">
        <v>0</v>
      </c>
      <c r="Q404" s="333">
        <v>0</v>
      </c>
      <c r="R404" s="329">
        <f t="shared" si="88"/>
        <v>1987499.9999999998</v>
      </c>
      <c r="S404" s="333">
        <f t="shared" si="89"/>
        <v>3312500</v>
      </c>
    </row>
    <row r="405" spans="1:19" ht="15.75" customHeight="1">
      <c r="A405" s="266" t="s">
        <v>938</v>
      </c>
      <c r="D405" s="538"/>
      <c r="E405" s="539"/>
      <c r="F405" s="466"/>
      <c r="G405" s="540"/>
      <c r="H405" s="362" t="s">
        <v>581</v>
      </c>
      <c r="I405" s="363">
        <v>2014</v>
      </c>
      <c r="J405" s="430">
        <v>0.125</v>
      </c>
      <c r="K405" s="333">
        <v>14400000</v>
      </c>
      <c r="L405" s="333">
        <v>0</v>
      </c>
      <c r="M405" s="333">
        <v>0</v>
      </c>
      <c r="N405" s="329">
        <f t="shared" ref="N405:N468" si="90">K405+L405-M405</f>
        <v>14400000</v>
      </c>
      <c r="O405" s="329">
        <v>5400000</v>
      </c>
      <c r="P405" s="333">
        <v>0</v>
      </c>
      <c r="Q405" s="333">
        <v>0</v>
      </c>
      <c r="R405" s="329">
        <f t="shared" ref="R405:R468" si="91">O405+P405-Q405</f>
        <v>5400000</v>
      </c>
      <c r="S405" s="333">
        <f t="shared" ref="S405:S468" si="92">N405-R405</f>
        <v>9000000</v>
      </c>
    </row>
    <row r="406" spans="1:19" ht="15.75" customHeight="1">
      <c r="A406" s="266" t="s">
        <v>938</v>
      </c>
      <c r="D406" s="538"/>
      <c r="E406" s="539"/>
      <c r="F406" s="466"/>
      <c r="G406" s="540"/>
      <c r="H406" s="362" t="s">
        <v>581</v>
      </c>
      <c r="I406" s="363">
        <v>2014</v>
      </c>
      <c r="J406" s="430">
        <v>0.125</v>
      </c>
      <c r="K406" s="333">
        <v>22300000</v>
      </c>
      <c r="L406" s="333">
        <v>0</v>
      </c>
      <c r="M406" s="333">
        <v>0</v>
      </c>
      <c r="N406" s="329">
        <f t="shared" si="90"/>
        <v>22300000</v>
      </c>
      <c r="O406" s="329">
        <v>8362500.0000000009</v>
      </c>
      <c r="P406" s="333">
        <v>0</v>
      </c>
      <c r="Q406" s="333">
        <v>0</v>
      </c>
      <c r="R406" s="329">
        <f t="shared" si="91"/>
        <v>8362500.0000000009</v>
      </c>
      <c r="S406" s="333">
        <f t="shared" si="92"/>
        <v>13937500</v>
      </c>
    </row>
    <row r="407" spans="1:19" ht="15.75" customHeight="1">
      <c r="A407" s="266" t="s">
        <v>938</v>
      </c>
      <c r="D407" s="538"/>
      <c r="E407" s="539"/>
      <c r="F407" s="466"/>
      <c r="G407" s="540"/>
      <c r="H407" s="362" t="s">
        <v>581</v>
      </c>
      <c r="I407" s="363">
        <v>2014</v>
      </c>
      <c r="J407" s="430">
        <v>0.125</v>
      </c>
      <c r="K407" s="333">
        <v>68300000</v>
      </c>
      <c r="L407" s="333">
        <v>0</v>
      </c>
      <c r="M407" s="333">
        <v>0</v>
      </c>
      <c r="N407" s="329">
        <f t="shared" si="90"/>
        <v>68300000</v>
      </c>
      <c r="O407" s="329">
        <v>25612500.000000004</v>
      </c>
      <c r="P407" s="333">
        <v>0</v>
      </c>
      <c r="Q407" s="333">
        <v>0</v>
      </c>
      <c r="R407" s="329">
        <f t="shared" si="91"/>
        <v>25612500.000000004</v>
      </c>
      <c r="S407" s="333">
        <f t="shared" si="92"/>
        <v>42687500</v>
      </c>
    </row>
    <row r="408" spans="1:19" ht="15.75" customHeight="1">
      <c r="A408" s="266" t="s">
        <v>938</v>
      </c>
      <c r="D408" s="538"/>
      <c r="E408" s="539"/>
      <c r="F408" s="466"/>
      <c r="G408" s="540"/>
      <c r="H408" s="362" t="s">
        <v>582</v>
      </c>
      <c r="I408" s="363">
        <v>2014</v>
      </c>
      <c r="J408" s="430">
        <v>0.125</v>
      </c>
      <c r="K408" s="333">
        <v>31400000</v>
      </c>
      <c r="L408" s="333">
        <v>0</v>
      </c>
      <c r="M408" s="333">
        <v>0</v>
      </c>
      <c r="N408" s="329">
        <f t="shared" si="90"/>
        <v>31400000</v>
      </c>
      <c r="O408" s="329">
        <v>11774999.999999996</v>
      </c>
      <c r="P408" s="333">
        <v>0</v>
      </c>
      <c r="Q408" s="333">
        <v>0</v>
      </c>
      <c r="R408" s="329">
        <f t="shared" si="91"/>
        <v>11774999.999999996</v>
      </c>
      <c r="S408" s="333">
        <f t="shared" si="92"/>
        <v>19625000.000000004</v>
      </c>
    </row>
    <row r="409" spans="1:19" ht="15.75" customHeight="1">
      <c r="A409" s="266" t="s">
        <v>938</v>
      </c>
      <c r="D409" s="538"/>
      <c r="E409" s="539"/>
      <c r="F409" s="466"/>
      <c r="G409" s="540"/>
      <c r="H409" s="362" t="s">
        <v>582</v>
      </c>
      <c r="I409" s="363">
        <v>2014</v>
      </c>
      <c r="J409" s="430">
        <v>0.125</v>
      </c>
      <c r="K409" s="333">
        <v>30300000</v>
      </c>
      <c r="L409" s="333">
        <v>0</v>
      </c>
      <c r="M409" s="333">
        <v>0</v>
      </c>
      <c r="N409" s="329">
        <f t="shared" si="90"/>
        <v>30300000</v>
      </c>
      <c r="O409" s="329">
        <v>11362500</v>
      </c>
      <c r="P409" s="333">
        <v>0</v>
      </c>
      <c r="Q409" s="333">
        <v>0</v>
      </c>
      <c r="R409" s="329">
        <f t="shared" si="91"/>
        <v>11362500</v>
      </c>
      <c r="S409" s="333">
        <f t="shared" si="92"/>
        <v>18937500</v>
      </c>
    </row>
    <row r="410" spans="1:19" ht="15.75" customHeight="1">
      <c r="A410" s="266" t="s">
        <v>938</v>
      </c>
      <c r="D410" s="538"/>
      <c r="E410" s="539"/>
      <c r="F410" s="466"/>
      <c r="G410" s="540"/>
      <c r="H410" s="362" t="s">
        <v>582</v>
      </c>
      <c r="I410" s="363">
        <v>2014</v>
      </c>
      <c r="J410" s="430">
        <v>0.125</v>
      </c>
      <c r="K410" s="333">
        <v>15200000</v>
      </c>
      <c r="L410" s="333">
        <v>0</v>
      </c>
      <c r="M410" s="333">
        <v>0</v>
      </c>
      <c r="N410" s="329">
        <f t="shared" si="90"/>
        <v>15200000</v>
      </c>
      <c r="O410" s="329">
        <v>5700000.0000000019</v>
      </c>
      <c r="P410" s="333">
        <v>0</v>
      </c>
      <c r="Q410" s="333">
        <v>0</v>
      </c>
      <c r="R410" s="329">
        <f t="shared" si="91"/>
        <v>5700000.0000000019</v>
      </c>
      <c r="S410" s="333">
        <f t="shared" si="92"/>
        <v>9499999.9999999981</v>
      </c>
    </row>
    <row r="411" spans="1:19" ht="15.75" customHeight="1">
      <c r="A411" s="266" t="s">
        <v>938</v>
      </c>
      <c r="D411" s="538"/>
      <c r="E411" s="539"/>
      <c r="F411" s="466"/>
      <c r="G411" s="540"/>
      <c r="H411" s="362" t="s">
        <v>583</v>
      </c>
      <c r="I411" s="363">
        <v>2014</v>
      </c>
      <c r="J411" s="430">
        <v>0.125</v>
      </c>
      <c r="K411" s="333">
        <v>10300000</v>
      </c>
      <c r="L411" s="333">
        <v>0</v>
      </c>
      <c r="M411" s="333">
        <v>0</v>
      </c>
      <c r="N411" s="329">
        <f t="shared" si="90"/>
        <v>10300000</v>
      </c>
      <c r="O411" s="329">
        <v>3862500</v>
      </c>
      <c r="P411" s="333">
        <v>0</v>
      </c>
      <c r="Q411" s="333">
        <v>0</v>
      </c>
      <c r="R411" s="329">
        <f t="shared" si="91"/>
        <v>3862500</v>
      </c>
      <c r="S411" s="333">
        <f t="shared" si="92"/>
        <v>6437500</v>
      </c>
    </row>
    <row r="412" spans="1:19" ht="15.75" customHeight="1">
      <c r="A412" s="266" t="s">
        <v>938</v>
      </c>
      <c r="D412" s="538"/>
      <c r="E412" s="539"/>
      <c r="F412" s="466"/>
      <c r="G412" s="540"/>
      <c r="H412" s="362" t="s">
        <v>583</v>
      </c>
      <c r="I412" s="363">
        <v>2014</v>
      </c>
      <c r="J412" s="430">
        <v>0.125</v>
      </c>
      <c r="K412" s="333">
        <v>15400000</v>
      </c>
      <c r="L412" s="333">
        <v>0</v>
      </c>
      <c r="M412" s="333">
        <v>0</v>
      </c>
      <c r="N412" s="329">
        <f t="shared" si="90"/>
        <v>15400000</v>
      </c>
      <c r="O412" s="329">
        <v>5774999.9999999981</v>
      </c>
      <c r="P412" s="333">
        <v>0</v>
      </c>
      <c r="Q412" s="333">
        <v>0</v>
      </c>
      <c r="R412" s="329">
        <f t="shared" si="91"/>
        <v>5774999.9999999981</v>
      </c>
      <c r="S412" s="333">
        <f t="shared" si="92"/>
        <v>9625000.0000000019</v>
      </c>
    </row>
    <row r="413" spans="1:19" ht="15.75" customHeight="1">
      <c r="A413" s="266" t="s">
        <v>938</v>
      </c>
      <c r="D413" s="538"/>
      <c r="E413" s="539"/>
      <c r="F413" s="466"/>
      <c r="G413" s="540"/>
      <c r="H413" s="362" t="s">
        <v>583</v>
      </c>
      <c r="I413" s="363">
        <v>2014</v>
      </c>
      <c r="J413" s="430">
        <v>0.125</v>
      </c>
      <c r="K413" s="333">
        <v>7200000</v>
      </c>
      <c r="L413" s="333">
        <v>0</v>
      </c>
      <c r="M413" s="333">
        <v>0</v>
      </c>
      <c r="N413" s="329">
        <f t="shared" si="90"/>
        <v>7200000</v>
      </c>
      <c r="O413" s="329">
        <v>2700000</v>
      </c>
      <c r="P413" s="333">
        <v>0</v>
      </c>
      <c r="Q413" s="333">
        <v>0</v>
      </c>
      <c r="R413" s="329">
        <f t="shared" si="91"/>
        <v>2700000</v>
      </c>
      <c r="S413" s="333">
        <f t="shared" si="92"/>
        <v>4500000</v>
      </c>
    </row>
    <row r="414" spans="1:19" ht="15.75" customHeight="1">
      <c r="A414" s="266" t="s">
        <v>938</v>
      </c>
      <c r="D414" s="538"/>
      <c r="E414" s="539"/>
      <c r="F414" s="466"/>
      <c r="G414" s="540"/>
      <c r="H414" s="362" t="s">
        <v>584</v>
      </c>
      <c r="I414" s="363">
        <v>2014</v>
      </c>
      <c r="J414" s="430">
        <v>0.125</v>
      </c>
      <c r="K414" s="333">
        <v>8600000</v>
      </c>
      <c r="L414" s="333">
        <v>0</v>
      </c>
      <c r="M414" s="333">
        <v>0</v>
      </c>
      <c r="N414" s="329">
        <f t="shared" si="90"/>
        <v>8600000</v>
      </c>
      <c r="O414" s="329">
        <v>3224999.9999999995</v>
      </c>
      <c r="P414" s="333">
        <v>0</v>
      </c>
      <c r="Q414" s="333">
        <v>0</v>
      </c>
      <c r="R414" s="329">
        <f t="shared" si="91"/>
        <v>3224999.9999999995</v>
      </c>
      <c r="S414" s="333">
        <f t="shared" si="92"/>
        <v>5375000</v>
      </c>
    </row>
    <row r="415" spans="1:19" ht="15.75" customHeight="1">
      <c r="A415" s="266" t="s">
        <v>938</v>
      </c>
      <c r="D415" s="538"/>
      <c r="E415" s="539"/>
      <c r="F415" s="466"/>
      <c r="G415" s="540"/>
      <c r="H415" s="362" t="s">
        <v>585</v>
      </c>
      <c r="I415" s="363">
        <v>2014</v>
      </c>
      <c r="J415" s="430">
        <v>0.125</v>
      </c>
      <c r="K415" s="333">
        <v>1500000</v>
      </c>
      <c r="L415" s="333">
        <v>0</v>
      </c>
      <c r="M415" s="333">
        <v>0</v>
      </c>
      <c r="N415" s="329">
        <f t="shared" si="90"/>
        <v>1500000</v>
      </c>
      <c r="O415" s="329">
        <v>562500</v>
      </c>
      <c r="P415" s="333">
        <v>0</v>
      </c>
      <c r="Q415" s="333">
        <v>0</v>
      </c>
      <c r="R415" s="329">
        <f t="shared" si="91"/>
        <v>562500</v>
      </c>
      <c r="S415" s="333">
        <f t="shared" si="92"/>
        <v>937500</v>
      </c>
    </row>
    <row r="416" spans="1:19" ht="15.75" customHeight="1">
      <c r="A416" s="266" t="s">
        <v>938</v>
      </c>
      <c r="D416" s="538"/>
      <c r="E416" s="539"/>
      <c r="F416" s="466"/>
      <c r="G416" s="540"/>
      <c r="H416" s="362" t="s">
        <v>586</v>
      </c>
      <c r="I416" s="363">
        <v>2014</v>
      </c>
      <c r="J416" s="430">
        <v>0.125</v>
      </c>
      <c r="K416" s="333">
        <v>60400000</v>
      </c>
      <c r="L416" s="333">
        <v>0</v>
      </c>
      <c r="M416" s="333">
        <v>0</v>
      </c>
      <c r="N416" s="329">
        <f t="shared" si="90"/>
        <v>60400000</v>
      </c>
      <c r="O416" s="329">
        <v>22649999.999999993</v>
      </c>
      <c r="P416" s="333">
        <v>0</v>
      </c>
      <c r="Q416" s="333">
        <v>0</v>
      </c>
      <c r="R416" s="329">
        <f t="shared" si="91"/>
        <v>22649999.999999993</v>
      </c>
      <c r="S416" s="333">
        <f t="shared" si="92"/>
        <v>37750000.000000007</v>
      </c>
    </row>
    <row r="417" spans="1:19" ht="15.75" customHeight="1">
      <c r="A417" s="266" t="s">
        <v>938</v>
      </c>
      <c r="D417" s="538"/>
      <c r="E417" s="539"/>
      <c r="F417" s="466"/>
      <c r="G417" s="540"/>
      <c r="H417" s="362" t="s">
        <v>586</v>
      </c>
      <c r="I417" s="363">
        <v>2014</v>
      </c>
      <c r="J417" s="430">
        <v>0.125</v>
      </c>
      <c r="K417" s="333">
        <v>3600000</v>
      </c>
      <c r="L417" s="333">
        <v>0</v>
      </c>
      <c r="M417" s="333">
        <v>0</v>
      </c>
      <c r="N417" s="329">
        <f t="shared" si="90"/>
        <v>3600000</v>
      </c>
      <c r="O417" s="329">
        <v>1350000</v>
      </c>
      <c r="P417" s="333">
        <v>0</v>
      </c>
      <c r="Q417" s="333">
        <v>0</v>
      </c>
      <c r="R417" s="329">
        <f t="shared" si="91"/>
        <v>1350000</v>
      </c>
      <c r="S417" s="333">
        <f t="shared" si="92"/>
        <v>2250000</v>
      </c>
    </row>
    <row r="418" spans="1:19" ht="15.75" customHeight="1">
      <c r="A418" s="266" t="s">
        <v>938</v>
      </c>
      <c r="D418" s="538"/>
      <c r="E418" s="539"/>
      <c r="F418" s="466"/>
      <c r="G418" s="540"/>
      <c r="H418" s="362" t="s">
        <v>587</v>
      </c>
      <c r="I418" s="363">
        <v>2014</v>
      </c>
      <c r="J418" s="430">
        <v>0.125</v>
      </c>
      <c r="K418" s="333">
        <v>600000</v>
      </c>
      <c r="L418" s="333">
        <v>0</v>
      </c>
      <c r="M418" s="333">
        <v>0</v>
      </c>
      <c r="N418" s="329">
        <f t="shared" si="90"/>
        <v>600000</v>
      </c>
      <c r="O418" s="329">
        <v>225000</v>
      </c>
      <c r="P418" s="333">
        <v>0</v>
      </c>
      <c r="Q418" s="333">
        <v>0</v>
      </c>
      <c r="R418" s="329">
        <f t="shared" si="91"/>
        <v>225000</v>
      </c>
      <c r="S418" s="333">
        <f t="shared" si="92"/>
        <v>375000</v>
      </c>
    </row>
    <row r="419" spans="1:19" ht="15.75" customHeight="1">
      <c r="A419" s="266" t="s">
        <v>938</v>
      </c>
      <c r="D419" s="538"/>
      <c r="E419" s="539"/>
      <c r="F419" s="466"/>
      <c r="G419" s="540"/>
      <c r="H419" s="362" t="s">
        <v>588</v>
      </c>
      <c r="I419" s="363">
        <v>2014</v>
      </c>
      <c r="J419" s="430">
        <v>0.125</v>
      </c>
      <c r="K419" s="333">
        <v>16400000</v>
      </c>
      <c r="L419" s="333">
        <v>0</v>
      </c>
      <c r="M419" s="333">
        <v>0</v>
      </c>
      <c r="N419" s="329">
        <f t="shared" si="90"/>
        <v>16400000</v>
      </c>
      <c r="O419" s="329">
        <v>6150000.0000000019</v>
      </c>
      <c r="P419" s="333">
        <v>0</v>
      </c>
      <c r="Q419" s="333">
        <v>0</v>
      </c>
      <c r="R419" s="329">
        <f t="shared" si="91"/>
        <v>6150000.0000000019</v>
      </c>
      <c r="S419" s="333">
        <f t="shared" si="92"/>
        <v>10249999.999999998</v>
      </c>
    </row>
    <row r="420" spans="1:19" ht="15.75" customHeight="1">
      <c r="A420" s="266" t="s">
        <v>938</v>
      </c>
      <c r="D420" s="538"/>
      <c r="E420" s="539"/>
      <c r="F420" s="466"/>
      <c r="G420" s="540"/>
      <c r="H420" s="362" t="s">
        <v>589</v>
      </c>
      <c r="I420" s="363">
        <v>2014</v>
      </c>
      <c r="J420" s="430">
        <v>0.125</v>
      </c>
      <c r="K420" s="333">
        <v>10400000</v>
      </c>
      <c r="L420" s="333">
        <v>0</v>
      </c>
      <c r="M420" s="333">
        <v>0</v>
      </c>
      <c r="N420" s="329">
        <f t="shared" si="90"/>
        <v>10400000</v>
      </c>
      <c r="O420" s="329">
        <v>3900000</v>
      </c>
      <c r="P420" s="333">
        <v>0</v>
      </c>
      <c r="Q420" s="333">
        <v>0</v>
      </c>
      <c r="R420" s="329">
        <f t="shared" si="91"/>
        <v>3900000</v>
      </c>
      <c r="S420" s="333">
        <f t="shared" si="92"/>
        <v>6500000</v>
      </c>
    </row>
    <row r="421" spans="1:19" ht="15.75" customHeight="1">
      <c r="A421" s="266" t="s">
        <v>938</v>
      </c>
      <c r="D421" s="538"/>
      <c r="E421" s="539"/>
      <c r="F421" s="466"/>
      <c r="G421" s="540"/>
      <c r="H421" s="362" t="s">
        <v>590</v>
      </c>
      <c r="I421" s="363">
        <v>2014</v>
      </c>
      <c r="J421" s="430">
        <v>0.125</v>
      </c>
      <c r="K421" s="333">
        <v>4900000</v>
      </c>
      <c r="L421" s="333">
        <v>0</v>
      </c>
      <c r="M421" s="333">
        <v>0</v>
      </c>
      <c r="N421" s="329">
        <f t="shared" si="90"/>
        <v>4900000</v>
      </c>
      <c r="O421" s="329">
        <v>1837500</v>
      </c>
      <c r="P421" s="333">
        <v>0</v>
      </c>
      <c r="Q421" s="333">
        <v>0</v>
      </c>
      <c r="R421" s="329">
        <f t="shared" si="91"/>
        <v>1837500</v>
      </c>
      <c r="S421" s="333">
        <f t="shared" si="92"/>
        <v>3062500</v>
      </c>
    </row>
    <row r="422" spans="1:19" ht="15.75" customHeight="1">
      <c r="A422" s="266" t="s">
        <v>938</v>
      </c>
      <c r="D422" s="538"/>
      <c r="E422" s="539"/>
      <c r="F422" s="466"/>
      <c r="G422" s="540"/>
      <c r="H422" s="362" t="s">
        <v>591</v>
      </c>
      <c r="I422" s="363">
        <v>2014</v>
      </c>
      <c r="J422" s="430">
        <v>0.125</v>
      </c>
      <c r="K422" s="333">
        <v>93700000</v>
      </c>
      <c r="L422" s="333">
        <v>0</v>
      </c>
      <c r="M422" s="333">
        <v>0</v>
      </c>
      <c r="N422" s="329">
        <f t="shared" si="90"/>
        <v>93700000</v>
      </c>
      <c r="O422" s="329">
        <v>35137500</v>
      </c>
      <c r="P422" s="333">
        <v>0</v>
      </c>
      <c r="Q422" s="333">
        <v>0</v>
      </c>
      <c r="R422" s="329">
        <f t="shared" si="91"/>
        <v>35137500</v>
      </c>
      <c r="S422" s="333">
        <f t="shared" si="92"/>
        <v>58562500</v>
      </c>
    </row>
    <row r="423" spans="1:19" ht="15.75" customHeight="1">
      <c r="A423" s="266" t="s">
        <v>938</v>
      </c>
      <c r="B423" s="266">
        <v>1</v>
      </c>
      <c r="C423" s="266">
        <v>1</v>
      </c>
      <c r="D423" s="538"/>
      <c r="E423" s="539"/>
      <c r="F423" s="466"/>
      <c r="G423" s="540"/>
      <c r="H423" s="362" t="s">
        <v>592</v>
      </c>
      <c r="I423" s="363">
        <v>2015</v>
      </c>
      <c r="J423" s="430">
        <v>0.125</v>
      </c>
      <c r="K423" s="333">
        <v>963636363.29999995</v>
      </c>
      <c r="L423" s="333">
        <v>0</v>
      </c>
      <c r="M423" s="333">
        <v>0</v>
      </c>
      <c r="N423" s="329">
        <f t="shared" si="90"/>
        <v>963636363.29999995</v>
      </c>
      <c r="O423" s="329">
        <v>457727272.23750019</v>
      </c>
      <c r="P423" s="333">
        <v>0</v>
      </c>
      <c r="Q423" s="333">
        <v>0</v>
      </c>
      <c r="R423" s="329">
        <f t="shared" si="91"/>
        <v>457727272.23750019</v>
      </c>
      <c r="S423" s="333">
        <f t="shared" si="92"/>
        <v>505909091.06249976</v>
      </c>
    </row>
    <row r="424" spans="1:19" ht="15.75" customHeight="1">
      <c r="A424" s="266" t="s">
        <v>938</v>
      </c>
      <c r="B424" s="266">
        <v>3</v>
      </c>
      <c r="C424" s="266">
        <v>3</v>
      </c>
      <c r="D424" s="538"/>
      <c r="E424" s="539"/>
      <c r="F424" s="466"/>
      <c r="G424" s="540"/>
      <c r="H424" s="362" t="s">
        <v>593</v>
      </c>
      <c r="I424" s="363">
        <v>2015</v>
      </c>
      <c r="J424" s="430">
        <v>0.125</v>
      </c>
      <c r="K424" s="333">
        <v>26708707</v>
      </c>
      <c r="L424" s="333">
        <v>0</v>
      </c>
      <c r="M424" s="333">
        <v>0</v>
      </c>
      <c r="N424" s="329">
        <f t="shared" si="90"/>
        <v>26708707</v>
      </c>
      <c r="O424" s="329">
        <v>12241491.125000002</v>
      </c>
      <c r="P424" s="333">
        <v>0</v>
      </c>
      <c r="Q424" s="333">
        <v>0</v>
      </c>
      <c r="R424" s="329">
        <f t="shared" si="91"/>
        <v>12241491.125000002</v>
      </c>
      <c r="S424" s="333">
        <f t="shared" si="92"/>
        <v>14467215.874999998</v>
      </c>
    </row>
    <row r="425" spans="1:19" ht="15.75" customHeight="1">
      <c r="A425" s="266" t="s">
        <v>938</v>
      </c>
      <c r="B425" s="266">
        <v>3</v>
      </c>
      <c r="C425" s="266">
        <v>3</v>
      </c>
      <c r="D425" s="538"/>
      <c r="E425" s="539"/>
      <c r="F425" s="466"/>
      <c r="G425" s="540"/>
      <c r="H425" s="362" t="s">
        <v>594</v>
      </c>
      <c r="I425" s="363">
        <v>2015</v>
      </c>
      <c r="J425" s="430">
        <v>0.125</v>
      </c>
      <c r="K425" s="333">
        <v>750000</v>
      </c>
      <c r="L425" s="333">
        <v>0</v>
      </c>
      <c r="M425" s="333">
        <v>0</v>
      </c>
      <c r="N425" s="329">
        <f t="shared" si="90"/>
        <v>750000</v>
      </c>
      <c r="O425" s="329">
        <v>343750</v>
      </c>
      <c r="P425" s="333">
        <v>0</v>
      </c>
      <c r="Q425" s="333">
        <v>0</v>
      </c>
      <c r="R425" s="329">
        <f t="shared" si="91"/>
        <v>343750</v>
      </c>
      <c r="S425" s="333">
        <f t="shared" si="92"/>
        <v>406250</v>
      </c>
    </row>
    <row r="426" spans="1:19" ht="15.75" customHeight="1">
      <c r="A426" s="266" t="s">
        <v>938</v>
      </c>
      <c r="B426" s="266">
        <v>3</v>
      </c>
      <c r="C426" s="266">
        <v>3</v>
      </c>
      <c r="D426" s="538"/>
      <c r="E426" s="539"/>
      <c r="F426" s="466"/>
      <c r="G426" s="540"/>
      <c r="H426" s="362" t="s">
        <v>588</v>
      </c>
      <c r="I426" s="363">
        <v>2015</v>
      </c>
      <c r="J426" s="430">
        <v>0.125</v>
      </c>
      <c r="K426" s="333">
        <v>46400000</v>
      </c>
      <c r="L426" s="333">
        <v>0</v>
      </c>
      <c r="M426" s="333">
        <v>0</v>
      </c>
      <c r="N426" s="329">
        <f t="shared" si="90"/>
        <v>46400000</v>
      </c>
      <c r="O426" s="329">
        <v>21266667.000000007</v>
      </c>
      <c r="P426" s="333">
        <v>0</v>
      </c>
      <c r="Q426" s="333">
        <v>0</v>
      </c>
      <c r="R426" s="329">
        <f t="shared" si="91"/>
        <v>21266667.000000007</v>
      </c>
      <c r="S426" s="333">
        <f t="shared" si="92"/>
        <v>25133332.999999993</v>
      </c>
    </row>
    <row r="427" spans="1:19" ht="15.75" customHeight="1">
      <c r="A427" s="266" t="s">
        <v>938</v>
      </c>
      <c r="B427" s="266">
        <v>3</v>
      </c>
      <c r="C427" s="266">
        <v>3</v>
      </c>
      <c r="D427" s="538"/>
      <c r="E427" s="539"/>
      <c r="F427" s="466"/>
      <c r="G427" s="540"/>
      <c r="H427" s="362" t="s">
        <v>595</v>
      </c>
      <c r="I427" s="363">
        <v>2015</v>
      </c>
      <c r="J427" s="430">
        <v>0.125</v>
      </c>
      <c r="K427" s="333">
        <v>3600000</v>
      </c>
      <c r="L427" s="333">
        <v>0</v>
      </c>
      <c r="M427" s="333">
        <v>0</v>
      </c>
      <c r="N427" s="329">
        <f t="shared" si="90"/>
        <v>3600000</v>
      </c>
      <c r="O427" s="329">
        <v>1650000</v>
      </c>
      <c r="P427" s="333">
        <v>0</v>
      </c>
      <c r="Q427" s="333">
        <v>0</v>
      </c>
      <c r="R427" s="329">
        <f t="shared" si="91"/>
        <v>1650000</v>
      </c>
      <c r="S427" s="333">
        <f t="shared" si="92"/>
        <v>1950000</v>
      </c>
    </row>
    <row r="428" spans="1:19" ht="15.75" customHeight="1">
      <c r="A428" s="266" t="s">
        <v>938</v>
      </c>
      <c r="B428" s="266">
        <v>4</v>
      </c>
      <c r="C428" s="266">
        <v>4</v>
      </c>
      <c r="D428" s="538"/>
      <c r="E428" s="539"/>
      <c r="F428" s="466"/>
      <c r="G428" s="540"/>
      <c r="H428" s="362" t="s">
        <v>596</v>
      </c>
      <c r="I428" s="363">
        <v>2015</v>
      </c>
      <c r="J428" s="430">
        <v>0.125</v>
      </c>
      <c r="K428" s="333">
        <v>4300000</v>
      </c>
      <c r="L428" s="333">
        <v>0</v>
      </c>
      <c r="M428" s="333">
        <v>0</v>
      </c>
      <c r="N428" s="329">
        <f t="shared" si="90"/>
        <v>4300000</v>
      </c>
      <c r="O428" s="329">
        <v>1935000.0000000002</v>
      </c>
      <c r="P428" s="333">
        <v>0</v>
      </c>
      <c r="Q428" s="333">
        <v>0</v>
      </c>
      <c r="R428" s="329">
        <f t="shared" si="91"/>
        <v>1935000.0000000002</v>
      </c>
      <c r="S428" s="333">
        <f t="shared" si="92"/>
        <v>2365000</v>
      </c>
    </row>
    <row r="429" spans="1:19" ht="15.75" customHeight="1">
      <c r="A429" s="266" t="s">
        <v>938</v>
      </c>
      <c r="B429" s="266">
        <v>8</v>
      </c>
      <c r="C429" s="266">
        <v>8</v>
      </c>
      <c r="D429" s="538"/>
      <c r="E429" s="539"/>
      <c r="F429" s="466"/>
      <c r="G429" s="540"/>
      <c r="H429" s="362" t="s">
        <v>597</v>
      </c>
      <c r="I429" s="363">
        <v>2015</v>
      </c>
      <c r="J429" s="430">
        <v>0.125</v>
      </c>
      <c r="K429" s="333">
        <v>44400000</v>
      </c>
      <c r="L429" s="333">
        <v>0</v>
      </c>
      <c r="M429" s="333">
        <v>0</v>
      </c>
      <c r="N429" s="329">
        <f t="shared" si="90"/>
        <v>44400000</v>
      </c>
      <c r="O429" s="329">
        <v>18500000</v>
      </c>
      <c r="P429" s="333">
        <v>0</v>
      </c>
      <c r="Q429" s="333">
        <v>0</v>
      </c>
      <c r="R429" s="329">
        <f t="shared" si="91"/>
        <v>18500000</v>
      </c>
      <c r="S429" s="333">
        <f t="shared" si="92"/>
        <v>25900000</v>
      </c>
    </row>
    <row r="430" spans="1:19" ht="15.75" customHeight="1">
      <c r="A430" s="266" t="s">
        <v>938</v>
      </c>
      <c r="B430" s="266">
        <v>10</v>
      </c>
      <c r="C430" s="266">
        <v>10</v>
      </c>
      <c r="D430" s="538"/>
      <c r="E430" s="539"/>
      <c r="F430" s="466"/>
      <c r="G430" s="540"/>
      <c r="H430" s="362" t="s">
        <v>597</v>
      </c>
      <c r="I430" s="363">
        <v>2015</v>
      </c>
      <c r="J430" s="430">
        <v>0.125</v>
      </c>
      <c r="K430" s="333">
        <v>85100000</v>
      </c>
      <c r="L430" s="333">
        <v>0</v>
      </c>
      <c r="M430" s="333">
        <v>0</v>
      </c>
      <c r="N430" s="329">
        <f t="shared" si="90"/>
        <v>85100000</v>
      </c>
      <c r="O430" s="329">
        <v>34040000</v>
      </c>
      <c r="P430" s="333">
        <v>0</v>
      </c>
      <c r="Q430" s="333">
        <v>0</v>
      </c>
      <c r="R430" s="329">
        <f t="shared" si="91"/>
        <v>34040000</v>
      </c>
      <c r="S430" s="333">
        <f t="shared" si="92"/>
        <v>51060000</v>
      </c>
    </row>
    <row r="431" spans="1:19" ht="15.75" customHeight="1">
      <c r="A431" s="266" t="s">
        <v>938</v>
      </c>
      <c r="B431" s="266">
        <v>11</v>
      </c>
      <c r="C431" s="266">
        <v>11</v>
      </c>
      <c r="D431" s="538"/>
      <c r="E431" s="539"/>
      <c r="F431" s="466"/>
      <c r="G431" s="540"/>
      <c r="H431" s="362" t="s">
        <v>598</v>
      </c>
      <c r="I431" s="363">
        <v>2015</v>
      </c>
      <c r="J431" s="430">
        <v>0.125</v>
      </c>
      <c r="K431" s="333">
        <v>5500000</v>
      </c>
      <c r="L431" s="333">
        <v>0</v>
      </c>
      <c r="M431" s="333">
        <v>0</v>
      </c>
      <c r="N431" s="329">
        <f t="shared" si="90"/>
        <v>5500000</v>
      </c>
      <c r="O431" s="329">
        <v>2154167</v>
      </c>
      <c r="P431" s="333">
        <v>0</v>
      </c>
      <c r="Q431" s="333">
        <v>0</v>
      </c>
      <c r="R431" s="329">
        <f t="shared" si="91"/>
        <v>2154167</v>
      </c>
      <c r="S431" s="333">
        <f t="shared" si="92"/>
        <v>3345833</v>
      </c>
    </row>
    <row r="432" spans="1:19" ht="15.75" customHeight="1">
      <c r="A432" s="266" t="s">
        <v>938</v>
      </c>
      <c r="B432" s="266">
        <v>11</v>
      </c>
      <c r="C432" s="266">
        <v>11</v>
      </c>
      <c r="D432" s="538"/>
      <c r="E432" s="539"/>
      <c r="F432" s="466"/>
      <c r="G432" s="540"/>
      <c r="H432" s="362" t="s">
        <v>599</v>
      </c>
      <c r="I432" s="363">
        <v>2015</v>
      </c>
      <c r="J432" s="430">
        <v>0.125</v>
      </c>
      <c r="K432" s="333">
        <v>5500000</v>
      </c>
      <c r="L432" s="333">
        <v>0</v>
      </c>
      <c r="M432" s="333">
        <v>0</v>
      </c>
      <c r="N432" s="329">
        <f t="shared" si="90"/>
        <v>5500000</v>
      </c>
      <c r="O432" s="329">
        <v>2154167</v>
      </c>
      <c r="P432" s="333">
        <v>0</v>
      </c>
      <c r="Q432" s="333">
        <v>0</v>
      </c>
      <c r="R432" s="329">
        <f t="shared" si="91"/>
        <v>2154167</v>
      </c>
      <c r="S432" s="333">
        <f t="shared" si="92"/>
        <v>3345833</v>
      </c>
    </row>
    <row r="433" spans="1:19" ht="15.75" customHeight="1">
      <c r="A433" s="266" t="s">
        <v>938</v>
      </c>
      <c r="B433" s="266">
        <v>11</v>
      </c>
      <c r="C433" s="266">
        <v>11</v>
      </c>
      <c r="D433" s="538"/>
      <c r="E433" s="539"/>
      <c r="F433" s="466"/>
      <c r="G433" s="540"/>
      <c r="H433" s="362" t="s">
        <v>600</v>
      </c>
      <c r="I433" s="363">
        <v>2015</v>
      </c>
      <c r="J433" s="430">
        <v>0.125</v>
      </c>
      <c r="K433" s="333">
        <v>22200000</v>
      </c>
      <c r="L433" s="333">
        <v>0</v>
      </c>
      <c r="M433" s="333">
        <v>0</v>
      </c>
      <c r="N433" s="329">
        <f t="shared" si="90"/>
        <v>22200000</v>
      </c>
      <c r="O433" s="329">
        <v>8695000</v>
      </c>
      <c r="P433" s="333">
        <v>0</v>
      </c>
      <c r="Q433" s="333">
        <v>0</v>
      </c>
      <c r="R433" s="329">
        <f t="shared" si="91"/>
        <v>8695000</v>
      </c>
      <c r="S433" s="333">
        <f t="shared" si="92"/>
        <v>13505000</v>
      </c>
    </row>
    <row r="434" spans="1:19" ht="15.75" customHeight="1">
      <c r="A434" s="266" t="s">
        <v>938</v>
      </c>
      <c r="B434" s="266">
        <v>11</v>
      </c>
      <c r="C434" s="266">
        <v>11</v>
      </c>
      <c r="D434" s="538"/>
      <c r="E434" s="539"/>
      <c r="F434" s="466"/>
      <c r="G434" s="540"/>
      <c r="H434" s="362" t="s">
        <v>601</v>
      </c>
      <c r="I434" s="363">
        <v>2016</v>
      </c>
      <c r="J434" s="430">
        <v>0.125</v>
      </c>
      <c r="K434" s="333">
        <v>43225000</v>
      </c>
      <c r="L434" s="333">
        <v>0</v>
      </c>
      <c r="M434" s="333">
        <v>0</v>
      </c>
      <c r="N434" s="329">
        <f t="shared" si="90"/>
        <v>43225000</v>
      </c>
      <c r="O434" s="329">
        <v>12033593.75</v>
      </c>
      <c r="P434" s="333">
        <v>0</v>
      </c>
      <c r="Q434" s="333">
        <v>0</v>
      </c>
      <c r="R434" s="329">
        <f t="shared" si="91"/>
        <v>12033593.75</v>
      </c>
      <c r="S434" s="333">
        <f t="shared" si="92"/>
        <v>31191406.25</v>
      </c>
    </row>
    <row r="435" spans="1:19" ht="15.5">
      <c r="A435" s="266" t="s">
        <v>938</v>
      </c>
      <c r="B435" s="266">
        <v>11</v>
      </c>
      <c r="C435" s="266">
        <v>11</v>
      </c>
      <c r="D435" s="538"/>
      <c r="E435" s="539"/>
      <c r="F435" s="466"/>
      <c r="G435" s="540"/>
      <c r="H435" s="362" t="s">
        <v>602</v>
      </c>
      <c r="I435" s="363">
        <v>2016</v>
      </c>
      <c r="J435" s="430">
        <v>0.125</v>
      </c>
      <c r="K435" s="333">
        <v>27675000</v>
      </c>
      <c r="L435" s="333">
        <v>0</v>
      </c>
      <c r="M435" s="333">
        <v>0</v>
      </c>
      <c r="N435" s="329">
        <f t="shared" si="90"/>
        <v>27675000</v>
      </c>
      <c r="O435" s="329">
        <v>13815364.583333332</v>
      </c>
      <c r="P435" s="333">
        <v>0</v>
      </c>
      <c r="Q435" s="333">
        <v>0</v>
      </c>
      <c r="R435" s="329">
        <f t="shared" si="91"/>
        <v>13815364.583333332</v>
      </c>
      <c r="S435" s="333">
        <f t="shared" si="92"/>
        <v>13859635.416666668</v>
      </c>
    </row>
    <row r="436" spans="1:19" ht="15.75" customHeight="1">
      <c r="A436" s="266" t="s">
        <v>938</v>
      </c>
      <c r="B436" s="266">
        <v>11</v>
      </c>
      <c r="C436" s="266">
        <v>11</v>
      </c>
      <c r="D436" s="538"/>
      <c r="E436" s="539"/>
      <c r="F436" s="466"/>
      <c r="G436" s="540"/>
      <c r="H436" s="362" t="s">
        <v>603</v>
      </c>
      <c r="I436" s="363">
        <v>2016</v>
      </c>
      <c r="J436" s="430">
        <v>0.125</v>
      </c>
      <c r="K436" s="333">
        <v>44800000</v>
      </c>
      <c r="L436" s="333">
        <v>0</v>
      </c>
      <c r="M436" s="333">
        <v>0</v>
      </c>
      <c r="N436" s="329">
        <f t="shared" si="90"/>
        <v>44800000</v>
      </c>
      <c r="O436" s="329">
        <v>14466666.666666668</v>
      </c>
      <c r="P436" s="333">
        <v>0</v>
      </c>
      <c r="Q436" s="333">
        <v>0</v>
      </c>
      <c r="R436" s="329">
        <f t="shared" si="91"/>
        <v>14466666.666666668</v>
      </c>
      <c r="S436" s="333">
        <f t="shared" si="92"/>
        <v>30333333.333333332</v>
      </c>
    </row>
    <row r="437" spans="1:19" ht="15.75" customHeight="1">
      <c r="A437" s="266" t="s">
        <v>938</v>
      </c>
      <c r="B437" s="266">
        <v>11</v>
      </c>
      <c r="C437" s="266">
        <v>11</v>
      </c>
      <c r="D437" s="538"/>
      <c r="E437" s="539"/>
      <c r="F437" s="466"/>
      <c r="G437" s="540"/>
      <c r="H437" s="362" t="s">
        <v>603</v>
      </c>
      <c r="I437" s="363">
        <v>2016</v>
      </c>
      <c r="J437" s="430">
        <v>0.125</v>
      </c>
      <c r="K437" s="333">
        <v>45572000</v>
      </c>
      <c r="L437" s="333">
        <v>0</v>
      </c>
      <c r="M437" s="333">
        <v>0</v>
      </c>
      <c r="N437" s="329">
        <f t="shared" si="90"/>
        <v>45572000</v>
      </c>
      <c r="O437" s="329">
        <v>14241249.999999998</v>
      </c>
      <c r="P437" s="333">
        <v>0</v>
      </c>
      <c r="Q437" s="333">
        <v>0</v>
      </c>
      <c r="R437" s="329">
        <f t="shared" si="91"/>
        <v>14241249.999999998</v>
      </c>
      <c r="S437" s="333">
        <f t="shared" si="92"/>
        <v>31330750</v>
      </c>
    </row>
    <row r="438" spans="1:19" ht="15.75" customHeight="1">
      <c r="A438" s="266" t="s">
        <v>938</v>
      </c>
      <c r="B438" s="266">
        <v>11</v>
      </c>
      <c r="C438" s="266">
        <v>11</v>
      </c>
      <c r="D438" s="538"/>
      <c r="E438" s="539"/>
      <c r="F438" s="466"/>
      <c r="G438" s="540"/>
      <c r="H438" s="362" t="s">
        <v>539</v>
      </c>
      <c r="I438" s="363">
        <v>2016</v>
      </c>
      <c r="J438" s="430">
        <v>0.125</v>
      </c>
      <c r="K438" s="333">
        <v>42312000</v>
      </c>
      <c r="L438" s="333">
        <v>0</v>
      </c>
      <c r="M438" s="333">
        <v>0</v>
      </c>
      <c r="N438" s="329">
        <f t="shared" si="90"/>
        <v>42312000</v>
      </c>
      <c r="O438" s="329">
        <v>42312000</v>
      </c>
      <c r="P438" s="333">
        <v>0</v>
      </c>
      <c r="Q438" s="333"/>
      <c r="R438" s="329">
        <f t="shared" si="91"/>
        <v>42312000</v>
      </c>
      <c r="S438" s="333">
        <f t="shared" si="92"/>
        <v>0</v>
      </c>
    </row>
    <row r="439" spans="1:19" ht="15.75" customHeight="1">
      <c r="A439" s="266" t="s">
        <v>938</v>
      </c>
      <c r="B439" s="266">
        <v>11</v>
      </c>
      <c r="C439" s="266">
        <v>11</v>
      </c>
      <c r="D439" s="538"/>
      <c r="E439" s="539"/>
      <c r="F439" s="466"/>
      <c r="G439" s="540"/>
      <c r="H439" s="362" t="s">
        <v>604</v>
      </c>
      <c r="I439" s="363">
        <v>2016</v>
      </c>
      <c r="J439" s="430">
        <v>0.125</v>
      </c>
      <c r="K439" s="333">
        <v>255000000</v>
      </c>
      <c r="L439" s="333">
        <v>0</v>
      </c>
      <c r="M439" s="333">
        <v>0</v>
      </c>
      <c r="N439" s="329">
        <f t="shared" si="90"/>
        <v>255000000</v>
      </c>
      <c r="O439" s="329">
        <v>38927000</v>
      </c>
      <c r="P439" s="333">
        <v>0</v>
      </c>
      <c r="Q439" s="333">
        <v>0</v>
      </c>
      <c r="R439" s="329">
        <f t="shared" si="91"/>
        <v>38927000</v>
      </c>
      <c r="S439" s="333">
        <f t="shared" si="92"/>
        <v>216073000</v>
      </c>
    </row>
    <row r="440" spans="1:19" ht="15.75" customHeight="1">
      <c r="A440" s="266" t="s">
        <v>938</v>
      </c>
      <c r="B440" s="266">
        <v>11</v>
      </c>
      <c r="C440" s="266">
        <v>11</v>
      </c>
      <c r="D440" s="538"/>
      <c r="E440" s="539"/>
      <c r="F440" s="466"/>
      <c r="G440" s="540"/>
      <c r="H440" s="362" t="s">
        <v>603</v>
      </c>
      <c r="I440" s="363">
        <v>2016</v>
      </c>
      <c r="J440" s="430">
        <v>0.125</v>
      </c>
      <c r="K440" s="333">
        <v>31112000</v>
      </c>
      <c r="L440" s="333">
        <v>0</v>
      </c>
      <c r="M440" s="333">
        <v>0</v>
      </c>
      <c r="N440" s="329">
        <f t="shared" si="90"/>
        <v>31112000</v>
      </c>
      <c r="O440" s="329">
        <v>8426166.6666666679</v>
      </c>
      <c r="P440" s="333">
        <v>0</v>
      </c>
      <c r="Q440" s="333">
        <v>0</v>
      </c>
      <c r="R440" s="329">
        <f t="shared" si="91"/>
        <v>8426166.6666666679</v>
      </c>
      <c r="S440" s="333">
        <f t="shared" si="92"/>
        <v>22685833.333333332</v>
      </c>
    </row>
    <row r="441" spans="1:19" ht="15.75" customHeight="1">
      <c r="A441" s="266" t="s">
        <v>938</v>
      </c>
      <c r="B441" s="266">
        <v>11</v>
      </c>
      <c r="C441" s="266">
        <v>11</v>
      </c>
      <c r="D441" s="538"/>
      <c r="E441" s="539"/>
      <c r="F441" s="466"/>
      <c r="G441" s="540"/>
      <c r="H441" s="362" t="s">
        <v>603</v>
      </c>
      <c r="I441" s="363">
        <v>2016</v>
      </c>
      <c r="J441" s="430">
        <v>0.125</v>
      </c>
      <c r="K441" s="333">
        <v>187812000</v>
      </c>
      <c r="L441" s="333">
        <v>0</v>
      </c>
      <c r="M441" s="333">
        <v>0</v>
      </c>
      <c r="N441" s="329">
        <f t="shared" si="90"/>
        <v>187812000</v>
      </c>
      <c r="O441" s="329">
        <v>31296812.5</v>
      </c>
      <c r="P441" s="333">
        <v>0</v>
      </c>
      <c r="Q441" s="333">
        <v>0</v>
      </c>
      <c r="R441" s="329">
        <f t="shared" si="91"/>
        <v>31296812.5</v>
      </c>
      <c r="S441" s="333">
        <f t="shared" si="92"/>
        <v>156515187.5</v>
      </c>
    </row>
    <row r="442" spans="1:19" ht="15.75" customHeight="1">
      <c r="A442" s="266" t="s">
        <v>938</v>
      </c>
      <c r="B442" s="266">
        <v>11</v>
      </c>
      <c r="C442" s="266">
        <v>11</v>
      </c>
      <c r="D442" s="538"/>
      <c r="E442" s="539"/>
      <c r="F442" s="466"/>
      <c r="G442" s="540"/>
      <c r="H442" s="362" t="s">
        <v>605</v>
      </c>
      <c r="I442" s="363">
        <v>2016</v>
      </c>
      <c r="J442" s="430">
        <v>0.125</v>
      </c>
      <c r="K442" s="333">
        <v>57750000</v>
      </c>
      <c r="L442" s="333">
        <v>0</v>
      </c>
      <c r="M442" s="333">
        <v>0</v>
      </c>
      <c r="N442" s="329">
        <f t="shared" si="90"/>
        <v>57750000</v>
      </c>
      <c r="O442" s="329">
        <v>30695250</v>
      </c>
      <c r="P442" s="333">
        <v>0</v>
      </c>
      <c r="Q442" s="333">
        <v>0</v>
      </c>
      <c r="R442" s="329">
        <f t="shared" si="91"/>
        <v>30695250</v>
      </c>
      <c r="S442" s="333">
        <f t="shared" si="92"/>
        <v>27054750</v>
      </c>
    </row>
    <row r="443" spans="1:19" ht="15.75" customHeight="1">
      <c r="A443" s="266" t="s">
        <v>938</v>
      </c>
      <c r="B443" s="266">
        <v>11</v>
      </c>
      <c r="C443" s="266">
        <v>11</v>
      </c>
      <c r="D443" s="538"/>
      <c r="E443" s="539"/>
      <c r="F443" s="466"/>
      <c r="G443" s="540"/>
      <c r="H443" s="362" t="s">
        <v>606</v>
      </c>
      <c r="I443" s="363">
        <v>2016</v>
      </c>
      <c r="J443" s="430">
        <v>0.125</v>
      </c>
      <c r="K443" s="333">
        <v>385000000</v>
      </c>
      <c r="L443" s="333">
        <v>0</v>
      </c>
      <c r="M443" s="333">
        <v>0</v>
      </c>
      <c r="N443" s="329">
        <f t="shared" si="90"/>
        <v>385000000</v>
      </c>
      <c r="O443" s="329">
        <v>127500000</v>
      </c>
      <c r="P443" s="333">
        <v>0</v>
      </c>
      <c r="Q443" s="333">
        <v>0</v>
      </c>
      <c r="R443" s="329">
        <f t="shared" si="91"/>
        <v>127500000</v>
      </c>
      <c r="S443" s="333">
        <f t="shared" si="92"/>
        <v>257500000</v>
      </c>
    </row>
    <row r="444" spans="1:19" s="317" customFormat="1" ht="15.75" customHeight="1">
      <c r="A444" s="266" t="s">
        <v>938</v>
      </c>
      <c r="B444" s="266">
        <v>11</v>
      </c>
      <c r="C444" s="266">
        <v>11</v>
      </c>
      <c r="D444" s="538"/>
      <c r="E444" s="539"/>
      <c r="F444" s="466"/>
      <c r="G444" s="541"/>
      <c r="H444" s="372" t="s">
        <v>607</v>
      </c>
      <c r="I444" s="373">
        <v>2016</v>
      </c>
      <c r="J444" s="435">
        <v>0.125</v>
      </c>
      <c r="K444" s="329">
        <v>635000000</v>
      </c>
      <c r="L444" s="333">
        <v>0</v>
      </c>
      <c r="M444" s="329">
        <v>0</v>
      </c>
      <c r="N444" s="329">
        <f t="shared" si="90"/>
        <v>635000000</v>
      </c>
      <c r="O444" s="329">
        <v>127500000</v>
      </c>
      <c r="P444" s="333">
        <v>0</v>
      </c>
      <c r="Q444" s="329">
        <v>0</v>
      </c>
      <c r="R444" s="329">
        <f t="shared" si="91"/>
        <v>127500000</v>
      </c>
      <c r="S444" s="333">
        <f t="shared" si="92"/>
        <v>507500000</v>
      </c>
    </row>
    <row r="445" spans="1:19" s="317" customFormat="1" ht="15.75" customHeight="1">
      <c r="A445" s="266"/>
      <c r="B445" s="266"/>
      <c r="C445" s="266"/>
      <c r="D445" s="538"/>
      <c r="E445" s="542"/>
      <c r="F445" s="467"/>
      <c r="G445" s="543"/>
      <c r="H445" s="494" t="s">
        <v>603</v>
      </c>
      <c r="I445" s="409">
        <v>2017</v>
      </c>
      <c r="J445" s="430">
        <v>0.125</v>
      </c>
      <c r="K445" s="333">
        <v>26000000</v>
      </c>
      <c r="L445" s="333">
        <v>0</v>
      </c>
      <c r="M445" s="333">
        <v>0</v>
      </c>
      <c r="N445" s="329">
        <f t="shared" si="90"/>
        <v>26000000</v>
      </c>
      <c r="O445" s="333">
        <v>6229166.666666667</v>
      </c>
      <c r="P445" s="333">
        <v>0</v>
      </c>
      <c r="Q445" s="333">
        <v>0</v>
      </c>
      <c r="R445" s="329">
        <f t="shared" si="91"/>
        <v>6229166.666666667</v>
      </c>
      <c r="S445" s="333">
        <f t="shared" si="92"/>
        <v>19770833.333333332</v>
      </c>
    </row>
    <row r="446" spans="1:19" s="317" customFormat="1" ht="15.75" customHeight="1">
      <c r="A446" s="266"/>
      <c r="B446" s="266"/>
      <c r="C446" s="266"/>
      <c r="D446" s="538"/>
      <c r="E446" s="542"/>
      <c r="F446" s="467"/>
      <c r="G446" s="543"/>
      <c r="H446" s="494" t="s">
        <v>608</v>
      </c>
      <c r="I446" s="409">
        <v>2017</v>
      </c>
      <c r="J446" s="430">
        <v>0.125</v>
      </c>
      <c r="K446" s="333">
        <v>43600000</v>
      </c>
      <c r="L446" s="333">
        <v>0</v>
      </c>
      <c r="M446" s="333">
        <v>0</v>
      </c>
      <c r="N446" s="329">
        <f t="shared" si="90"/>
        <v>43600000</v>
      </c>
      <c r="O446" s="333">
        <v>10445833.333333332</v>
      </c>
      <c r="P446" s="333">
        <v>0</v>
      </c>
      <c r="Q446" s="333">
        <v>0</v>
      </c>
      <c r="R446" s="329">
        <f t="shared" si="91"/>
        <v>10445833.333333332</v>
      </c>
      <c r="S446" s="333">
        <f t="shared" si="92"/>
        <v>33154166.666666668</v>
      </c>
    </row>
    <row r="447" spans="1:19" s="317" customFormat="1" ht="15.75" customHeight="1">
      <c r="A447" s="266"/>
      <c r="B447" s="266"/>
      <c r="C447" s="266"/>
      <c r="D447" s="538"/>
      <c r="E447" s="542"/>
      <c r="F447" s="467"/>
      <c r="G447" s="543"/>
      <c r="H447" s="494" t="s">
        <v>609</v>
      </c>
      <c r="I447" s="409">
        <v>2017</v>
      </c>
      <c r="J447" s="430">
        <v>0.125</v>
      </c>
      <c r="K447" s="333">
        <v>204545454</v>
      </c>
      <c r="L447" s="333">
        <v>0</v>
      </c>
      <c r="M447" s="333">
        <v>0</v>
      </c>
      <c r="N447" s="329">
        <f t="shared" si="90"/>
        <v>204545454</v>
      </c>
      <c r="O447" s="333">
        <v>49005681.6875</v>
      </c>
      <c r="P447" s="333">
        <v>0</v>
      </c>
      <c r="Q447" s="333">
        <v>0</v>
      </c>
      <c r="R447" s="329">
        <f t="shared" si="91"/>
        <v>49005681.6875</v>
      </c>
      <c r="S447" s="333">
        <f t="shared" si="92"/>
        <v>155539772.3125</v>
      </c>
    </row>
    <row r="448" spans="1:19" s="317" customFormat="1" ht="15.75" customHeight="1">
      <c r="A448" s="266"/>
      <c r="B448" s="266"/>
      <c r="C448" s="266"/>
      <c r="D448" s="538"/>
      <c r="E448" s="542"/>
      <c r="F448" s="467"/>
      <c r="G448" s="543"/>
      <c r="H448" s="494" t="s">
        <v>610</v>
      </c>
      <c r="I448" s="409">
        <v>2017</v>
      </c>
      <c r="J448" s="430">
        <v>0.125</v>
      </c>
      <c r="K448" s="333">
        <v>125000000</v>
      </c>
      <c r="L448" s="333">
        <v>0</v>
      </c>
      <c r="M448" s="333">
        <v>0</v>
      </c>
      <c r="N448" s="329">
        <f t="shared" si="90"/>
        <v>125000000</v>
      </c>
      <c r="O448" s="333">
        <v>28645833.333333336</v>
      </c>
      <c r="P448" s="333">
        <v>0</v>
      </c>
      <c r="Q448" s="333">
        <v>0</v>
      </c>
      <c r="R448" s="329">
        <f t="shared" si="91"/>
        <v>28645833.333333336</v>
      </c>
      <c r="S448" s="333">
        <f t="shared" si="92"/>
        <v>96354166.666666657</v>
      </c>
    </row>
    <row r="449" spans="1:19" s="317" customFormat="1" ht="15.75" customHeight="1">
      <c r="A449" s="266"/>
      <c r="B449" s="266"/>
      <c r="C449" s="266"/>
      <c r="D449" s="538"/>
      <c r="E449" s="542"/>
      <c r="F449" s="467"/>
      <c r="G449" s="543"/>
      <c r="H449" s="494" t="s">
        <v>611</v>
      </c>
      <c r="I449" s="409">
        <v>2017</v>
      </c>
      <c r="J449" s="430">
        <v>0.125</v>
      </c>
      <c r="K449" s="333">
        <v>28000000</v>
      </c>
      <c r="L449" s="333">
        <v>0</v>
      </c>
      <c r="M449" s="333">
        <v>0</v>
      </c>
      <c r="N449" s="329">
        <f t="shared" si="90"/>
        <v>28000000</v>
      </c>
      <c r="O449" s="333">
        <v>6125000</v>
      </c>
      <c r="P449" s="333">
        <v>0</v>
      </c>
      <c r="Q449" s="333">
        <v>0</v>
      </c>
      <c r="R449" s="329">
        <f t="shared" si="91"/>
        <v>6125000</v>
      </c>
      <c r="S449" s="333">
        <f t="shared" si="92"/>
        <v>21875000</v>
      </c>
    </row>
    <row r="450" spans="1:19" s="317" customFormat="1" ht="15.75" customHeight="1">
      <c r="A450" s="266"/>
      <c r="B450" s="266"/>
      <c r="C450" s="266"/>
      <c r="D450" s="538"/>
      <c r="E450" s="542"/>
      <c r="F450" s="467"/>
      <c r="G450" s="543"/>
      <c r="H450" s="494" t="s">
        <v>612</v>
      </c>
      <c r="I450" s="409">
        <v>2017</v>
      </c>
      <c r="J450" s="430">
        <v>0.125</v>
      </c>
      <c r="K450" s="333">
        <v>511363650</v>
      </c>
      <c r="L450" s="333">
        <v>0</v>
      </c>
      <c r="M450" s="333">
        <v>0</v>
      </c>
      <c r="N450" s="329">
        <f t="shared" si="90"/>
        <v>511363650</v>
      </c>
      <c r="O450" s="333">
        <v>106534093.75</v>
      </c>
      <c r="P450" s="333">
        <v>0</v>
      </c>
      <c r="Q450" s="333">
        <v>0</v>
      </c>
      <c r="R450" s="329">
        <f t="shared" si="91"/>
        <v>106534093.75</v>
      </c>
      <c r="S450" s="333">
        <f t="shared" si="92"/>
        <v>404829556.25</v>
      </c>
    </row>
    <row r="451" spans="1:19" s="317" customFormat="1" ht="15.75" customHeight="1">
      <c r="A451" s="266"/>
      <c r="B451" s="266"/>
      <c r="C451" s="266"/>
      <c r="D451" s="538"/>
      <c r="E451" s="542"/>
      <c r="F451" s="467"/>
      <c r="G451" s="543"/>
      <c r="H451" s="494" t="s">
        <v>612</v>
      </c>
      <c r="I451" s="409">
        <v>2017</v>
      </c>
      <c r="J451" s="430">
        <v>0.125</v>
      </c>
      <c r="K451" s="333">
        <v>323863635.5</v>
      </c>
      <c r="L451" s="333">
        <v>0</v>
      </c>
      <c r="M451" s="333">
        <v>0</v>
      </c>
      <c r="N451" s="329">
        <f t="shared" si="90"/>
        <v>323863635.5</v>
      </c>
      <c r="O451" s="333">
        <v>64098011.192708328</v>
      </c>
      <c r="P451" s="333">
        <v>0</v>
      </c>
      <c r="Q451" s="333">
        <v>0</v>
      </c>
      <c r="R451" s="329">
        <f t="shared" si="91"/>
        <v>64098011.192708328</v>
      </c>
      <c r="S451" s="333">
        <f t="shared" si="92"/>
        <v>259765624.30729169</v>
      </c>
    </row>
    <row r="452" spans="1:19" s="317" customFormat="1" ht="15.75" customHeight="1">
      <c r="A452" s="266"/>
      <c r="B452" s="266"/>
      <c r="C452" s="266"/>
      <c r="D452" s="538"/>
      <c r="E452" s="542"/>
      <c r="F452" s="467"/>
      <c r="G452" s="543"/>
      <c r="H452" s="494" t="s">
        <v>612</v>
      </c>
      <c r="I452" s="409">
        <v>2017</v>
      </c>
      <c r="J452" s="430">
        <v>0.125</v>
      </c>
      <c r="K452" s="333">
        <v>187499999.5</v>
      </c>
      <c r="L452" s="333">
        <v>0</v>
      </c>
      <c r="M452" s="333">
        <v>0</v>
      </c>
      <c r="N452" s="329">
        <f t="shared" si="90"/>
        <v>187499999.5</v>
      </c>
      <c r="O452" s="333">
        <v>33203124.911458336</v>
      </c>
      <c r="P452" s="333">
        <v>0</v>
      </c>
      <c r="Q452" s="333">
        <v>0</v>
      </c>
      <c r="R452" s="329">
        <f t="shared" si="91"/>
        <v>33203124.911458336</v>
      </c>
      <c r="S452" s="333">
        <f t="shared" si="92"/>
        <v>154296874.58854166</v>
      </c>
    </row>
    <row r="453" spans="1:19" s="317" customFormat="1" ht="15.75" customHeight="1">
      <c r="A453" s="266"/>
      <c r="B453" s="266"/>
      <c r="C453" s="266"/>
      <c r="D453" s="538"/>
      <c r="E453" s="542"/>
      <c r="F453" s="467"/>
      <c r="G453" s="543"/>
      <c r="H453" s="494" t="s">
        <v>603</v>
      </c>
      <c r="I453" s="409">
        <v>2017</v>
      </c>
      <c r="J453" s="430">
        <v>0.125</v>
      </c>
      <c r="K453" s="333">
        <v>53800000</v>
      </c>
      <c r="L453" s="333">
        <v>0</v>
      </c>
      <c r="M453" s="333">
        <v>0</v>
      </c>
      <c r="N453" s="329">
        <f t="shared" si="90"/>
        <v>53800000</v>
      </c>
      <c r="O453" s="333">
        <v>8966666.666666666</v>
      </c>
      <c r="P453" s="333">
        <v>0</v>
      </c>
      <c r="Q453" s="333">
        <v>0</v>
      </c>
      <c r="R453" s="329">
        <f t="shared" si="91"/>
        <v>8966666.666666666</v>
      </c>
      <c r="S453" s="333">
        <f t="shared" si="92"/>
        <v>44833333.333333336</v>
      </c>
    </row>
    <row r="454" spans="1:19" s="317" customFormat="1" ht="15.75" customHeight="1">
      <c r="A454" s="266"/>
      <c r="B454" s="266"/>
      <c r="C454" s="266"/>
      <c r="D454" s="538"/>
      <c r="E454" s="542"/>
      <c r="F454" s="467"/>
      <c r="G454" s="543"/>
      <c r="H454" s="494" t="s">
        <v>613</v>
      </c>
      <c r="I454" s="409">
        <v>2017</v>
      </c>
      <c r="J454" s="430">
        <v>0.125</v>
      </c>
      <c r="K454" s="333">
        <v>75000000</v>
      </c>
      <c r="L454" s="333">
        <v>0</v>
      </c>
      <c r="M454" s="333">
        <v>0</v>
      </c>
      <c r="N454" s="329">
        <f t="shared" si="90"/>
        <v>75000000</v>
      </c>
      <c r="O454" s="333">
        <v>12500000</v>
      </c>
      <c r="P454" s="333">
        <v>0</v>
      </c>
      <c r="Q454" s="333">
        <v>0</v>
      </c>
      <c r="R454" s="329">
        <f t="shared" si="91"/>
        <v>12500000</v>
      </c>
      <c r="S454" s="333">
        <f t="shared" si="92"/>
        <v>62500000</v>
      </c>
    </row>
    <row r="455" spans="1:19" s="317" customFormat="1" ht="15.75" customHeight="1">
      <c r="A455" s="266"/>
      <c r="B455" s="266"/>
      <c r="C455" s="266"/>
      <c r="D455" s="538"/>
      <c r="E455" s="542"/>
      <c r="F455" s="467"/>
      <c r="G455" s="543"/>
      <c r="H455" s="494" t="s">
        <v>603</v>
      </c>
      <c r="I455" s="409">
        <v>2017</v>
      </c>
      <c r="J455" s="430">
        <v>0.125</v>
      </c>
      <c r="K455" s="333">
        <v>18900000</v>
      </c>
      <c r="L455" s="333">
        <v>0</v>
      </c>
      <c r="M455" s="333">
        <v>0</v>
      </c>
      <c r="N455" s="329">
        <f t="shared" si="90"/>
        <v>18900000</v>
      </c>
      <c r="O455" s="333">
        <v>2953125</v>
      </c>
      <c r="P455" s="333">
        <v>0</v>
      </c>
      <c r="Q455" s="333">
        <v>0</v>
      </c>
      <c r="R455" s="329">
        <f t="shared" si="91"/>
        <v>2953125</v>
      </c>
      <c r="S455" s="333">
        <f t="shared" si="92"/>
        <v>15946875</v>
      </c>
    </row>
    <row r="456" spans="1:19" s="317" customFormat="1" ht="15.75" customHeight="1">
      <c r="A456" s="266"/>
      <c r="B456" s="266"/>
      <c r="C456" s="266"/>
      <c r="D456" s="538"/>
      <c r="E456" s="542"/>
      <c r="F456" s="467"/>
      <c r="G456" s="543"/>
      <c r="H456" s="494" t="s">
        <v>603</v>
      </c>
      <c r="I456" s="409">
        <v>2017</v>
      </c>
      <c r="J456" s="430">
        <v>0.125</v>
      </c>
      <c r="K456" s="333">
        <v>88363636</v>
      </c>
      <c r="L456" s="333">
        <v>0</v>
      </c>
      <c r="M456" s="333">
        <v>0</v>
      </c>
      <c r="N456" s="329">
        <f t="shared" si="90"/>
        <v>88363636</v>
      </c>
      <c r="O456" s="333">
        <v>12886363.583333334</v>
      </c>
      <c r="P456" s="333">
        <v>0</v>
      </c>
      <c r="Q456" s="333">
        <v>0</v>
      </c>
      <c r="R456" s="329">
        <f t="shared" si="91"/>
        <v>12886363.583333334</v>
      </c>
      <c r="S456" s="333">
        <f t="shared" si="92"/>
        <v>75477272.416666672</v>
      </c>
    </row>
    <row r="457" spans="1:19" s="317" customFormat="1" ht="15.75" customHeight="1">
      <c r="A457" s="266"/>
      <c r="B457" s="266"/>
      <c r="C457" s="266"/>
      <c r="D457" s="538"/>
      <c r="E457" s="542"/>
      <c r="F457" s="467"/>
      <c r="G457" s="543"/>
      <c r="H457" s="494" t="s">
        <v>614</v>
      </c>
      <c r="I457" s="409">
        <v>2017</v>
      </c>
      <c r="J457" s="430">
        <v>0.125</v>
      </c>
      <c r="K457" s="333">
        <v>10727273</v>
      </c>
      <c r="L457" s="333">
        <v>0</v>
      </c>
      <c r="M457" s="333">
        <v>0</v>
      </c>
      <c r="N457" s="329">
        <f t="shared" si="90"/>
        <v>10727273</v>
      </c>
      <c r="O457" s="333">
        <v>1452651.5520833333</v>
      </c>
      <c r="P457" s="333">
        <v>0</v>
      </c>
      <c r="Q457" s="333">
        <v>0</v>
      </c>
      <c r="R457" s="329">
        <f t="shared" si="91"/>
        <v>1452651.5520833333</v>
      </c>
      <c r="S457" s="333">
        <f t="shared" si="92"/>
        <v>9274621.447916666</v>
      </c>
    </row>
    <row r="458" spans="1:19" s="317" customFormat="1" ht="15.75" customHeight="1">
      <c r="A458" s="266"/>
      <c r="B458" s="266"/>
      <c r="C458" s="266"/>
      <c r="D458" s="538"/>
      <c r="E458" s="542"/>
      <c r="F458" s="467"/>
      <c r="G458" s="543"/>
      <c r="H458" s="494" t="s">
        <v>615</v>
      </c>
      <c r="I458" s="503" t="s">
        <v>688</v>
      </c>
      <c r="J458" s="430">
        <v>0.125</v>
      </c>
      <c r="K458" s="333">
        <v>195000000</v>
      </c>
      <c r="L458" s="333">
        <v>0</v>
      </c>
      <c r="M458" s="333">
        <v>0</v>
      </c>
      <c r="N458" s="329">
        <f t="shared" si="90"/>
        <v>195000000</v>
      </c>
      <c r="O458" s="333">
        <v>22343750</v>
      </c>
      <c r="P458" s="333">
        <v>0</v>
      </c>
      <c r="Q458" s="333">
        <v>0</v>
      </c>
      <c r="R458" s="329">
        <f t="shared" si="91"/>
        <v>22343750</v>
      </c>
      <c r="S458" s="333">
        <f t="shared" si="92"/>
        <v>172656250</v>
      </c>
    </row>
    <row r="459" spans="1:19" s="317" customFormat="1" ht="15.75" customHeight="1">
      <c r="A459" s="266"/>
      <c r="B459" s="266"/>
      <c r="C459" s="266"/>
      <c r="D459" s="538"/>
      <c r="E459" s="542"/>
      <c r="F459" s="467"/>
      <c r="G459" s="543"/>
      <c r="H459" s="494" t="s">
        <v>616</v>
      </c>
      <c r="I459" s="503" t="s">
        <v>689</v>
      </c>
      <c r="J459" s="430">
        <v>0.125</v>
      </c>
      <c r="K459" s="333">
        <v>15272728</v>
      </c>
      <c r="L459" s="333">
        <v>0</v>
      </c>
      <c r="M459" s="333">
        <v>0</v>
      </c>
      <c r="N459" s="329">
        <f t="shared" si="90"/>
        <v>15272728</v>
      </c>
      <c r="O459" s="333">
        <v>1590909.1666666667</v>
      </c>
      <c r="P459" s="333">
        <v>0</v>
      </c>
      <c r="Q459" s="333">
        <v>0</v>
      </c>
      <c r="R459" s="329">
        <f t="shared" si="91"/>
        <v>1590909.1666666667</v>
      </c>
      <c r="S459" s="333">
        <f t="shared" si="92"/>
        <v>13681818.833333334</v>
      </c>
    </row>
    <row r="460" spans="1:19" s="317" customFormat="1" ht="15.75" customHeight="1">
      <c r="A460" s="266"/>
      <c r="B460" s="266"/>
      <c r="C460" s="266"/>
      <c r="D460" s="538"/>
      <c r="E460" s="542"/>
      <c r="F460" s="467"/>
      <c r="G460" s="543"/>
      <c r="H460" s="494" t="s">
        <v>591</v>
      </c>
      <c r="I460" s="503" t="s">
        <v>689</v>
      </c>
      <c r="J460" s="430">
        <v>0.125</v>
      </c>
      <c r="K460" s="333">
        <v>60000000</v>
      </c>
      <c r="L460" s="333">
        <v>0</v>
      </c>
      <c r="M460" s="333">
        <v>0</v>
      </c>
      <c r="N460" s="329">
        <f t="shared" si="90"/>
        <v>60000000</v>
      </c>
      <c r="O460" s="333">
        <v>6250000</v>
      </c>
      <c r="P460" s="333">
        <v>0</v>
      </c>
      <c r="Q460" s="333">
        <v>0</v>
      </c>
      <c r="R460" s="329">
        <f t="shared" si="91"/>
        <v>6250000</v>
      </c>
      <c r="S460" s="333">
        <f t="shared" si="92"/>
        <v>53750000</v>
      </c>
    </row>
    <row r="461" spans="1:19" s="317" customFormat="1" ht="15.75" customHeight="1">
      <c r="A461" s="266"/>
      <c r="B461" s="266"/>
      <c r="C461" s="266"/>
      <c r="D461" s="538"/>
      <c r="E461" s="542"/>
      <c r="F461" s="467"/>
      <c r="G461" s="543"/>
      <c r="H461" s="494" t="s">
        <v>617</v>
      </c>
      <c r="I461" s="503" t="s">
        <v>689</v>
      </c>
      <c r="J461" s="430">
        <v>0.125</v>
      </c>
      <c r="K461" s="333">
        <v>30836364</v>
      </c>
      <c r="L461" s="333">
        <v>0</v>
      </c>
      <c r="M461" s="333">
        <v>0</v>
      </c>
      <c r="N461" s="329">
        <f t="shared" si="90"/>
        <v>30836364</v>
      </c>
      <c r="O461" s="333">
        <v>3212121.25</v>
      </c>
      <c r="P461" s="333">
        <v>0</v>
      </c>
      <c r="Q461" s="333">
        <v>0</v>
      </c>
      <c r="R461" s="329">
        <f t="shared" si="91"/>
        <v>3212121.25</v>
      </c>
      <c r="S461" s="333">
        <f t="shared" si="92"/>
        <v>27624242.75</v>
      </c>
    </row>
    <row r="462" spans="1:19" s="317" customFormat="1" ht="15.75" customHeight="1">
      <c r="A462" s="266"/>
      <c r="B462" s="266"/>
      <c r="C462" s="266"/>
      <c r="D462" s="538"/>
      <c r="E462" s="542"/>
      <c r="F462" s="467"/>
      <c r="G462" s="543"/>
      <c r="H462" s="494" t="s">
        <v>618</v>
      </c>
      <c r="I462" s="503" t="s">
        <v>689</v>
      </c>
      <c r="J462" s="430">
        <v>0.125</v>
      </c>
      <c r="K462" s="333">
        <v>13272728</v>
      </c>
      <c r="L462" s="333">
        <v>0</v>
      </c>
      <c r="M462" s="333">
        <v>0</v>
      </c>
      <c r="N462" s="329">
        <f t="shared" si="90"/>
        <v>13272728</v>
      </c>
      <c r="O462" s="333">
        <v>1382575.8333333333</v>
      </c>
      <c r="P462" s="333">
        <v>0</v>
      </c>
      <c r="Q462" s="333">
        <v>0</v>
      </c>
      <c r="R462" s="329">
        <f t="shared" si="91"/>
        <v>1382575.8333333333</v>
      </c>
      <c r="S462" s="333">
        <f t="shared" si="92"/>
        <v>11890152.166666666</v>
      </c>
    </row>
    <row r="463" spans="1:19" s="317" customFormat="1" ht="15.75" customHeight="1">
      <c r="A463" s="266"/>
      <c r="B463" s="266"/>
      <c r="C463" s="266"/>
      <c r="D463" s="538"/>
      <c r="E463" s="542"/>
      <c r="F463" s="467"/>
      <c r="G463" s="543"/>
      <c r="H463" s="494" t="s">
        <v>619</v>
      </c>
      <c r="I463" s="503" t="s">
        <v>689</v>
      </c>
      <c r="J463" s="430">
        <v>0.125</v>
      </c>
      <c r="K463" s="333">
        <v>672727280</v>
      </c>
      <c r="L463" s="333">
        <v>0</v>
      </c>
      <c r="M463" s="333">
        <v>0</v>
      </c>
      <c r="N463" s="329">
        <f t="shared" si="90"/>
        <v>672727280</v>
      </c>
      <c r="O463" s="333">
        <v>70075758.333333343</v>
      </c>
      <c r="P463" s="333">
        <v>0</v>
      </c>
      <c r="Q463" s="333">
        <v>0</v>
      </c>
      <c r="R463" s="329">
        <f t="shared" si="91"/>
        <v>70075758.333333343</v>
      </c>
      <c r="S463" s="333">
        <f t="shared" si="92"/>
        <v>602651521.66666663</v>
      </c>
    </row>
    <row r="464" spans="1:19" s="317" customFormat="1" ht="15.75" customHeight="1">
      <c r="A464" s="266"/>
      <c r="B464" s="266"/>
      <c r="C464" s="266"/>
      <c r="D464" s="538"/>
      <c r="E464" s="542"/>
      <c r="F464" s="467"/>
      <c r="G464" s="543"/>
      <c r="H464" s="494" t="s">
        <v>208</v>
      </c>
      <c r="I464" s="503" t="s">
        <v>690</v>
      </c>
      <c r="J464" s="430">
        <v>0.125</v>
      </c>
      <c r="K464" s="333">
        <v>2487808770.1800003</v>
      </c>
      <c r="L464" s="333">
        <v>0</v>
      </c>
      <c r="M464" s="333">
        <v>0</v>
      </c>
      <c r="N464" s="329">
        <f t="shared" si="90"/>
        <v>2487808770.1800003</v>
      </c>
      <c r="O464" s="333">
        <v>259146746.89375007</v>
      </c>
      <c r="P464" s="333">
        <v>0</v>
      </c>
      <c r="Q464" s="333">
        <v>0</v>
      </c>
      <c r="R464" s="329">
        <f t="shared" si="91"/>
        <v>259146746.89375007</v>
      </c>
      <c r="S464" s="333">
        <f t="shared" si="92"/>
        <v>2228662023.2862501</v>
      </c>
    </row>
    <row r="465" spans="1:19" s="317" customFormat="1" ht="15.75" customHeight="1">
      <c r="A465" s="266"/>
      <c r="B465" s="266"/>
      <c r="C465" s="266"/>
      <c r="D465" s="538"/>
      <c r="E465" s="542"/>
      <c r="F465" s="467"/>
      <c r="G465" s="543"/>
      <c r="H465" s="494" t="s">
        <v>620</v>
      </c>
      <c r="I465" s="503" t="s">
        <v>690</v>
      </c>
      <c r="J465" s="430">
        <v>0.125</v>
      </c>
      <c r="K465" s="333">
        <v>13500000</v>
      </c>
      <c r="L465" s="333">
        <v>0</v>
      </c>
      <c r="M465" s="333">
        <v>0</v>
      </c>
      <c r="N465" s="329">
        <f t="shared" si="90"/>
        <v>13500000</v>
      </c>
      <c r="O465" s="333">
        <v>1265625</v>
      </c>
      <c r="P465" s="333">
        <v>0</v>
      </c>
      <c r="Q465" s="333">
        <v>0</v>
      </c>
      <c r="R465" s="329">
        <f t="shared" si="91"/>
        <v>1265625</v>
      </c>
      <c r="S465" s="333">
        <f t="shared" si="92"/>
        <v>12234375</v>
      </c>
    </row>
    <row r="466" spans="1:19" s="317" customFormat="1" ht="15.75" customHeight="1">
      <c r="A466" s="266"/>
      <c r="B466" s="266"/>
      <c r="C466" s="266"/>
      <c r="D466" s="538"/>
      <c r="E466" s="542"/>
      <c r="F466" s="467"/>
      <c r="G466" s="543"/>
      <c r="H466" s="494" t="s">
        <v>621</v>
      </c>
      <c r="I466" s="503" t="s">
        <v>690</v>
      </c>
      <c r="J466" s="430">
        <v>0.125</v>
      </c>
      <c r="K466" s="333">
        <v>79636363</v>
      </c>
      <c r="L466" s="333">
        <v>0</v>
      </c>
      <c r="M466" s="333">
        <v>0</v>
      </c>
      <c r="N466" s="329">
        <f t="shared" si="90"/>
        <v>79636363</v>
      </c>
      <c r="O466" s="333">
        <v>7465909.0312500009</v>
      </c>
      <c r="P466" s="333">
        <v>0</v>
      </c>
      <c r="Q466" s="333">
        <v>0</v>
      </c>
      <c r="R466" s="329">
        <f t="shared" si="91"/>
        <v>7465909.0312500009</v>
      </c>
      <c r="S466" s="333">
        <f t="shared" si="92"/>
        <v>72170453.96875</v>
      </c>
    </row>
    <row r="467" spans="1:19" s="317" customFormat="1" ht="15.75" customHeight="1">
      <c r="A467" s="266"/>
      <c r="B467" s="266"/>
      <c r="C467" s="266"/>
      <c r="D467" s="538"/>
      <c r="E467" s="542"/>
      <c r="F467" s="467"/>
      <c r="G467" s="543"/>
      <c r="H467" s="494" t="s">
        <v>622</v>
      </c>
      <c r="I467" s="503" t="s">
        <v>690</v>
      </c>
      <c r="J467" s="430">
        <v>0.125</v>
      </c>
      <c r="K467" s="333">
        <v>350363643</v>
      </c>
      <c r="L467" s="333">
        <v>0</v>
      </c>
      <c r="M467" s="333">
        <v>0</v>
      </c>
      <c r="N467" s="329">
        <f t="shared" si="90"/>
        <v>350363643</v>
      </c>
      <c r="O467" s="333">
        <v>32846591.53125</v>
      </c>
      <c r="P467" s="333">
        <v>0</v>
      </c>
      <c r="Q467" s="333">
        <v>0</v>
      </c>
      <c r="R467" s="329">
        <f t="shared" si="91"/>
        <v>32846591.53125</v>
      </c>
      <c r="S467" s="333">
        <f t="shared" si="92"/>
        <v>317517051.46875</v>
      </c>
    </row>
    <row r="468" spans="1:19" s="317" customFormat="1" ht="15.75" customHeight="1">
      <c r="A468" s="266"/>
      <c r="B468" s="266"/>
      <c r="C468" s="266"/>
      <c r="D468" s="538"/>
      <c r="E468" s="542"/>
      <c r="F468" s="467"/>
      <c r="G468" s="543"/>
      <c r="H468" s="494" t="s">
        <v>617</v>
      </c>
      <c r="I468" s="503" t="s">
        <v>690</v>
      </c>
      <c r="J468" s="430">
        <v>0.125</v>
      </c>
      <c r="K468" s="333">
        <v>84500000</v>
      </c>
      <c r="L468" s="333">
        <v>0</v>
      </c>
      <c r="M468" s="333">
        <v>0</v>
      </c>
      <c r="N468" s="329">
        <f t="shared" si="90"/>
        <v>84500000</v>
      </c>
      <c r="O468" s="333">
        <v>7921874.9999999991</v>
      </c>
      <c r="P468" s="333">
        <v>0</v>
      </c>
      <c r="Q468" s="333">
        <v>0</v>
      </c>
      <c r="R468" s="329">
        <f t="shared" si="91"/>
        <v>7921874.9999999991</v>
      </c>
      <c r="S468" s="333">
        <f t="shared" si="92"/>
        <v>76578125</v>
      </c>
    </row>
    <row r="469" spans="1:19" s="317" customFormat="1" ht="15.75" customHeight="1">
      <c r="A469" s="266"/>
      <c r="B469" s="266"/>
      <c r="C469" s="266"/>
      <c r="D469" s="538"/>
      <c r="E469" s="542"/>
      <c r="F469" s="467"/>
      <c r="G469" s="543"/>
      <c r="H469" s="494" t="s">
        <v>617</v>
      </c>
      <c r="I469" s="503" t="s">
        <v>691</v>
      </c>
      <c r="J469" s="430">
        <v>0.125</v>
      </c>
      <c r="K469" s="333">
        <v>58500000</v>
      </c>
      <c r="L469" s="333">
        <v>0</v>
      </c>
      <c r="M469" s="333">
        <v>0</v>
      </c>
      <c r="N469" s="329">
        <f t="shared" ref="N469:N488" si="93">K469+L469-M469</f>
        <v>58500000</v>
      </c>
      <c r="O469" s="333">
        <v>4875000</v>
      </c>
      <c r="P469" s="333">
        <v>0</v>
      </c>
      <c r="Q469" s="333">
        <v>0</v>
      </c>
      <c r="R469" s="329">
        <f t="shared" ref="R469:R487" si="94">O469+P469-Q469</f>
        <v>4875000</v>
      </c>
      <c r="S469" s="333">
        <f t="shared" ref="S469:S486" si="95">N469-R469</f>
        <v>53625000</v>
      </c>
    </row>
    <row r="470" spans="1:19" s="317" customFormat="1" ht="15.75" customHeight="1">
      <c r="A470" s="266"/>
      <c r="B470" s="266"/>
      <c r="C470" s="266"/>
      <c r="D470" s="538"/>
      <c r="E470" s="542"/>
      <c r="F470" s="467"/>
      <c r="G470" s="543"/>
      <c r="H470" s="494" t="s">
        <v>622</v>
      </c>
      <c r="I470" s="503" t="s">
        <v>691</v>
      </c>
      <c r="J470" s="430">
        <v>0.125</v>
      </c>
      <c r="K470" s="333">
        <v>320545392</v>
      </c>
      <c r="L470" s="333">
        <v>0</v>
      </c>
      <c r="M470" s="333">
        <v>0</v>
      </c>
      <c r="N470" s="329">
        <f t="shared" si="93"/>
        <v>320545392</v>
      </c>
      <c r="O470" s="333">
        <v>26712116</v>
      </c>
      <c r="P470" s="333">
        <v>0</v>
      </c>
      <c r="Q470" s="333">
        <v>0</v>
      </c>
      <c r="R470" s="329">
        <f t="shared" si="94"/>
        <v>26712116</v>
      </c>
      <c r="S470" s="333">
        <f t="shared" si="95"/>
        <v>293833276</v>
      </c>
    </row>
    <row r="471" spans="1:19" s="317" customFormat="1" ht="15.75" customHeight="1">
      <c r="A471" s="266"/>
      <c r="B471" s="266"/>
      <c r="C471" s="266"/>
      <c r="D471" s="538"/>
      <c r="E471" s="542"/>
      <c r="F471" s="467"/>
      <c r="G471" s="543"/>
      <c r="H471" s="494" t="s">
        <v>619</v>
      </c>
      <c r="I471" s="503" t="s">
        <v>691</v>
      </c>
      <c r="J471" s="430">
        <v>0.125</v>
      </c>
      <c r="K471" s="333">
        <v>43000001</v>
      </c>
      <c r="L471" s="333">
        <v>0</v>
      </c>
      <c r="M471" s="333">
        <v>0</v>
      </c>
      <c r="N471" s="329">
        <f t="shared" si="93"/>
        <v>43000001</v>
      </c>
      <c r="O471" s="333">
        <v>3583333.416666667</v>
      </c>
      <c r="P471" s="333">
        <v>0</v>
      </c>
      <c r="Q471" s="333">
        <v>0</v>
      </c>
      <c r="R471" s="329">
        <f t="shared" si="94"/>
        <v>3583333.416666667</v>
      </c>
      <c r="S471" s="333">
        <f t="shared" si="95"/>
        <v>39416667.583333336</v>
      </c>
    </row>
    <row r="472" spans="1:19" s="317" customFormat="1" ht="15.75" customHeight="1">
      <c r="A472" s="266"/>
      <c r="B472" s="266"/>
      <c r="C472" s="266"/>
      <c r="D472" s="538"/>
      <c r="E472" s="542"/>
      <c r="F472" s="467"/>
      <c r="G472" s="543"/>
      <c r="H472" s="494" t="s">
        <v>539</v>
      </c>
      <c r="I472" s="503" t="s">
        <v>692</v>
      </c>
      <c r="J472" s="430">
        <v>0.125</v>
      </c>
      <c r="K472" s="333">
        <v>24219000</v>
      </c>
      <c r="L472" s="333">
        <v>0</v>
      </c>
      <c r="M472" s="333">
        <v>0</v>
      </c>
      <c r="N472" s="329">
        <f t="shared" si="93"/>
        <v>24219000</v>
      </c>
      <c r="O472" s="333">
        <v>1765968.75</v>
      </c>
      <c r="P472" s="333">
        <v>0</v>
      </c>
      <c r="Q472" s="333">
        <v>0</v>
      </c>
      <c r="R472" s="329">
        <f t="shared" si="94"/>
        <v>1765968.75</v>
      </c>
      <c r="S472" s="333">
        <f t="shared" si="95"/>
        <v>22453031.25</v>
      </c>
    </row>
    <row r="473" spans="1:19" s="317" customFormat="1" ht="15.75" customHeight="1">
      <c r="A473" s="266"/>
      <c r="B473" s="266"/>
      <c r="C473" s="266"/>
      <c r="D473" s="538"/>
      <c r="E473" s="542"/>
      <c r="F473" s="467"/>
      <c r="G473" s="543"/>
      <c r="H473" s="494" t="s">
        <v>539</v>
      </c>
      <c r="I473" s="503" t="s">
        <v>693</v>
      </c>
      <c r="J473" s="430">
        <v>0.125</v>
      </c>
      <c r="K473" s="333">
        <v>106000000</v>
      </c>
      <c r="L473" s="333">
        <v>0</v>
      </c>
      <c r="M473" s="333">
        <v>0</v>
      </c>
      <c r="N473" s="329">
        <f t="shared" si="93"/>
        <v>106000000</v>
      </c>
      <c r="O473" s="333">
        <v>5520833.333333334</v>
      </c>
      <c r="P473" s="333">
        <v>0</v>
      </c>
      <c r="Q473" s="333">
        <v>0</v>
      </c>
      <c r="R473" s="329">
        <f t="shared" si="94"/>
        <v>5520833.333333334</v>
      </c>
      <c r="S473" s="333">
        <f t="shared" si="95"/>
        <v>100479166.66666667</v>
      </c>
    </row>
    <row r="474" spans="1:19" s="317" customFormat="1" ht="15.75" customHeight="1">
      <c r="A474" s="266"/>
      <c r="B474" s="266"/>
      <c r="C474" s="266"/>
      <c r="D474" s="538"/>
      <c r="E474" s="542"/>
      <c r="F474" s="467"/>
      <c r="G474" s="543"/>
      <c r="H474" s="494" t="s">
        <v>623</v>
      </c>
      <c r="I474" s="503" t="s">
        <v>694</v>
      </c>
      <c r="J474" s="430">
        <v>0.125</v>
      </c>
      <c r="K474" s="333">
        <v>225000000</v>
      </c>
      <c r="L474" s="333">
        <v>0</v>
      </c>
      <c r="M474" s="333">
        <v>0</v>
      </c>
      <c r="N474" s="329">
        <f t="shared" si="93"/>
        <v>225000000</v>
      </c>
      <c r="O474" s="333">
        <v>9375000</v>
      </c>
      <c r="P474" s="333">
        <v>0</v>
      </c>
      <c r="Q474" s="333">
        <v>0</v>
      </c>
      <c r="R474" s="329">
        <f t="shared" si="94"/>
        <v>9375000</v>
      </c>
      <c r="S474" s="333">
        <f t="shared" si="95"/>
        <v>215625000</v>
      </c>
    </row>
    <row r="475" spans="1:19" s="317" customFormat="1" ht="15.75" customHeight="1">
      <c r="A475" s="266"/>
      <c r="B475" s="266"/>
      <c r="C475" s="266"/>
      <c r="D475" s="538"/>
      <c r="E475" s="542"/>
      <c r="F475" s="467"/>
      <c r="G475" s="543"/>
      <c r="H475" s="494" t="s">
        <v>539</v>
      </c>
      <c r="I475" s="503" t="s">
        <v>694</v>
      </c>
      <c r="J475" s="430">
        <v>0.125</v>
      </c>
      <c r="K475" s="333">
        <v>204800000</v>
      </c>
      <c r="L475" s="333">
        <v>0</v>
      </c>
      <c r="M475" s="333">
        <v>0</v>
      </c>
      <c r="N475" s="329">
        <f t="shared" si="93"/>
        <v>204800000</v>
      </c>
      <c r="O475" s="333">
        <v>8533333.333333334</v>
      </c>
      <c r="P475" s="333">
        <v>0</v>
      </c>
      <c r="Q475" s="333">
        <v>0</v>
      </c>
      <c r="R475" s="329">
        <f t="shared" si="94"/>
        <v>8533333.333333334</v>
      </c>
      <c r="S475" s="333">
        <f t="shared" si="95"/>
        <v>196266666.66666666</v>
      </c>
    </row>
    <row r="476" spans="1:19" s="317" customFormat="1" ht="15.75" customHeight="1">
      <c r="A476" s="266"/>
      <c r="B476" s="266"/>
      <c r="C476" s="266"/>
      <c r="D476" s="538"/>
      <c r="E476" s="542"/>
      <c r="F476" s="467"/>
      <c r="G476" s="543"/>
      <c r="H476" s="494" t="s">
        <v>539</v>
      </c>
      <c r="I476" s="503" t="s">
        <v>694</v>
      </c>
      <c r="J476" s="430">
        <v>0.125</v>
      </c>
      <c r="K476" s="333">
        <v>39690000</v>
      </c>
      <c r="L476" s="333">
        <v>0</v>
      </c>
      <c r="M476" s="333">
        <v>0</v>
      </c>
      <c r="N476" s="329">
        <f t="shared" si="93"/>
        <v>39690000</v>
      </c>
      <c r="O476" s="333">
        <v>1653750</v>
      </c>
      <c r="P476" s="333">
        <v>0</v>
      </c>
      <c r="Q476" s="333">
        <v>0</v>
      </c>
      <c r="R476" s="329">
        <f t="shared" si="94"/>
        <v>1653750</v>
      </c>
      <c r="S476" s="333">
        <f t="shared" si="95"/>
        <v>38036250</v>
      </c>
    </row>
    <row r="477" spans="1:19" s="317" customFormat="1" ht="15.75" customHeight="1">
      <c r="A477" s="266"/>
      <c r="B477" s="266"/>
      <c r="C477" s="266"/>
      <c r="D477" s="538"/>
      <c r="E477" s="542"/>
      <c r="F477" s="467"/>
      <c r="G477" s="543"/>
      <c r="H477" s="494" t="s">
        <v>624</v>
      </c>
      <c r="I477" s="503" t="s">
        <v>430</v>
      </c>
      <c r="J477" s="430">
        <v>0.125</v>
      </c>
      <c r="K477" s="333">
        <v>265000000</v>
      </c>
      <c r="L477" s="333">
        <v>0</v>
      </c>
      <c r="M477" s="333">
        <v>0</v>
      </c>
      <c r="N477" s="329">
        <f t="shared" si="93"/>
        <v>265000000</v>
      </c>
      <c r="O477" s="333">
        <v>8281250</v>
      </c>
      <c r="P477" s="333">
        <v>0</v>
      </c>
      <c r="Q477" s="333">
        <v>0</v>
      </c>
      <c r="R477" s="329">
        <f t="shared" si="94"/>
        <v>8281250</v>
      </c>
      <c r="S477" s="333">
        <f t="shared" si="95"/>
        <v>256718750</v>
      </c>
    </row>
    <row r="478" spans="1:19" s="317" customFormat="1" ht="15.75" customHeight="1">
      <c r="A478" s="266"/>
      <c r="B478" s="266"/>
      <c r="C478" s="266"/>
      <c r="D478" s="538"/>
      <c r="E478" s="542"/>
      <c r="F478" s="467"/>
      <c r="G478" s="543"/>
      <c r="H478" s="494" t="s">
        <v>625</v>
      </c>
      <c r="I478" s="503" t="s">
        <v>430</v>
      </c>
      <c r="J478" s="430">
        <v>0.125</v>
      </c>
      <c r="K478" s="333">
        <v>21500000</v>
      </c>
      <c r="L478" s="333">
        <v>0</v>
      </c>
      <c r="M478" s="333">
        <v>0</v>
      </c>
      <c r="N478" s="329">
        <f t="shared" si="93"/>
        <v>21500000</v>
      </c>
      <c r="O478" s="333">
        <v>671875</v>
      </c>
      <c r="P478" s="333">
        <v>0</v>
      </c>
      <c r="Q478" s="333">
        <v>0</v>
      </c>
      <c r="R478" s="329">
        <f t="shared" si="94"/>
        <v>671875</v>
      </c>
      <c r="S478" s="333">
        <f t="shared" si="95"/>
        <v>20828125</v>
      </c>
    </row>
    <row r="479" spans="1:19" s="317" customFormat="1" ht="15.75" customHeight="1">
      <c r="A479" s="266"/>
      <c r="B479" s="266"/>
      <c r="C479" s="266"/>
      <c r="D479" s="538"/>
      <c r="E479" s="542"/>
      <c r="F479" s="467"/>
      <c r="G479" s="543"/>
      <c r="H479" s="494" t="s">
        <v>624</v>
      </c>
      <c r="I479" s="503" t="s">
        <v>430</v>
      </c>
      <c r="J479" s="430">
        <v>0.125</v>
      </c>
      <c r="K479" s="333">
        <v>26500000</v>
      </c>
      <c r="L479" s="333">
        <v>0</v>
      </c>
      <c r="M479" s="333">
        <v>0</v>
      </c>
      <c r="N479" s="329">
        <f t="shared" si="93"/>
        <v>26500000</v>
      </c>
      <c r="O479" s="333">
        <v>828125</v>
      </c>
      <c r="P479" s="333">
        <v>0</v>
      </c>
      <c r="Q479" s="333">
        <v>0</v>
      </c>
      <c r="R479" s="329">
        <f t="shared" si="94"/>
        <v>828125</v>
      </c>
      <c r="S479" s="333">
        <f t="shared" si="95"/>
        <v>25671875</v>
      </c>
    </row>
    <row r="480" spans="1:19" s="317" customFormat="1" ht="15.75" customHeight="1">
      <c r="A480" s="266"/>
      <c r="B480" s="266"/>
      <c r="C480" s="266"/>
      <c r="D480" s="538"/>
      <c r="E480" s="542"/>
      <c r="F480" s="467"/>
      <c r="G480" s="543"/>
      <c r="H480" s="494" t="s">
        <v>626</v>
      </c>
      <c r="I480" s="503" t="s">
        <v>430</v>
      </c>
      <c r="J480" s="430">
        <v>0.125</v>
      </c>
      <c r="K480" s="333">
        <v>76800000</v>
      </c>
      <c r="L480" s="333">
        <v>0</v>
      </c>
      <c r="M480" s="333">
        <v>0</v>
      </c>
      <c r="N480" s="329">
        <f t="shared" si="93"/>
        <v>76800000</v>
      </c>
      <c r="O480" s="333">
        <v>2400000</v>
      </c>
      <c r="P480" s="333">
        <v>0</v>
      </c>
      <c r="Q480" s="333">
        <v>0</v>
      </c>
      <c r="R480" s="329">
        <f t="shared" si="94"/>
        <v>2400000</v>
      </c>
      <c r="S480" s="333">
        <f t="shared" si="95"/>
        <v>74400000</v>
      </c>
    </row>
    <row r="481" spans="1:19" s="317" customFormat="1" ht="15.75" customHeight="1">
      <c r="A481" s="266"/>
      <c r="B481" s="266"/>
      <c r="C481" s="266"/>
      <c r="D481" s="538"/>
      <c r="E481" s="542"/>
      <c r="F481" s="467"/>
      <c r="G481" s="543"/>
      <c r="H481" s="494" t="s">
        <v>625</v>
      </c>
      <c r="I481" s="503" t="s">
        <v>430</v>
      </c>
      <c r="J481" s="430">
        <v>0.125</v>
      </c>
      <c r="K481" s="333">
        <v>64500000</v>
      </c>
      <c r="L481" s="333">
        <v>0</v>
      </c>
      <c r="M481" s="333">
        <v>0</v>
      </c>
      <c r="N481" s="329">
        <f t="shared" si="93"/>
        <v>64500000</v>
      </c>
      <c r="O481" s="333">
        <v>2015625</v>
      </c>
      <c r="P481" s="333">
        <v>0</v>
      </c>
      <c r="Q481" s="333">
        <v>0</v>
      </c>
      <c r="R481" s="329">
        <f t="shared" si="94"/>
        <v>2015625</v>
      </c>
      <c r="S481" s="333">
        <f t="shared" si="95"/>
        <v>62484375</v>
      </c>
    </row>
    <row r="482" spans="1:19" s="317" customFormat="1" ht="15.75" customHeight="1">
      <c r="A482" s="266"/>
      <c r="B482" s="266"/>
      <c r="C482" s="266"/>
      <c r="D482" s="538"/>
      <c r="E482" s="542"/>
      <c r="F482" s="467"/>
      <c r="G482" s="543"/>
      <c r="H482" s="494" t="s">
        <v>627</v>
      </c>
      <c r="I482" s="503" t="s">
        <v>430</v>
      </c>
      <c r="J482" s="430">
        <v>0.125</v>
      </c>
      <c r="K482" s="333">
        <v>60547500</v>
      </c>
      <c r="L482" s="333">
        <v>0</v>
      </c>
      <c r="M482" s="333">
        <v>0</v>
      </c>
      <c r="N482" s="329">
        <f t="shared" si="93"/>
        <v>60547500</v>
      </c>
      <c r="O482" s="333">
        <v>1892109.375</v>
      </c>
      <c r="P482" s="333">
        <v>0</v>
      </c>
      <c r="Q482" s="333">
        <v>0</v>
      </c>
      <c r="R482" s="329">
        <f t="shared" si="94"/>
        <v>1892109.375</v>
      </c>
      <c r="S482" s="333">
        <f t="shared" si="95"/>
        <v>58655390.625</v>
      </c>
    </row>
    <row r="483" spans="1:19" s="317" customFormat="1" ht="15.75" customHeight="1">
      <c r="A483" s="266"/>
      <c r="B483" s="266"/>
      <c r="C483" s="266"/>
      <c r="D483" s="538"/>
      <c r="E483" s="542"/>
      <c r="F483" s="467"/>
      <c r="G483" s="543"/>
      <c r="H483" s="494" t="s">
        <v>617</v>
      </c>
      <c r="I483" s="503" t="s">
        <v>430</v>
      </c>
      <c r="J483" s="430">
        <v>0.125</v>
      </c>
      <c r="K483" s="333">
        <v>51200000</v>
      </c>
      <c r="L483" s="333">
        <v>0</v>
      </c>
      <c r="M483" s="333">
        <v>0</v>
      </c>
      <c r="N483" s="329">
        <f t="shared" si="93"/>
        <v>51200000</v>
      </c>
      <c r="O483" s="333">
        <v>1600000</v>
      </c>
      <c r="P483" s="333">
        <v>0</v>
      </c>
      <c r="Q483" s="333">
        <v>0</v>
      </c>
      <c r="R483" s="329">
        <f t="shared" si="94"/>
        <v>1600000</v>
      </c>
      <c r="S483" s="333">
        <f t="shared" si="95"/>
        <v>49600000</v>
      </c>
    </row>
    <row r="484" spans="1:19" s="317" customFormat="1" ht="15.75" customHeight="1">
      <c r="A484" s="266"/>
      <c r="B484" s="266"/>
      <c r="C484" s="266"/>
      <c r="D484" s="538"/>
      <c r="E484" s="542"/>
      <c r="F484" s="467"/>
      <c r="G484" s="543"/>
      <c r="H484" s="494" t="s">
        <v>628</v>
      </c>
      <c r="I484" s="503" t="s">
        <v>430</v>
      </c>
      <c r="J484" s="430">
        <v>0.125</v>
      </c>
      <c r="K484" s="333">
        <v>242937500</v>
      </c>
      <c r="L484" s="333">
        <v>0</v>
      </c>
      <c r="M484" s="333">
        <v>0</v>
      </c>
      <c r="N484" s="329">
        <f t="shared" si="93"/>
        <v>242937500</v>
      </c>
      <c r="O484" s="333">
        <v>7591796.875</v>
      </c>
      <c r="P484" s="333">
        <v>0</v>
      </c>
      <c r="Q484" s="333">
        <v>0</v>
      </c>
      <c r="R484" s="329">
        <f t="shared" si="94"/>
        <v>7591796.875</v>
      </c>
      <c r="S484" s="333">
        <f t="shared" si="95"/>
        <v>235345703.125</v>
      </c>
    </row>
    <row r="485" spans="1:19" s="317" customFormat="1" ht="15.75" customHeight="1">
      <c r="A485" s="266"/>
      <c r="B485" s="266"/>
      <c r="C485" s="266"/>
      <c r="D485" s="538"/>
      <c r="E485" s="542"/>
      <c r="F485" s="467"/>
      <c r="G485" s="543"/>
      <c r="H485" s="494" t="s">
        <v>628</v>
      </c>
      <c r="I485" s="503" t="s">
        <v>430</v>
      </c>
      <c r="J485" s="430">
        <v>0.125</v>
      </c>
      <c r="K485" s="333">
        <v>242937500</v>
      </c>
      <c r="L485" s="333">
        <v>0</v>
      </c>
      <c r="M485" s="333">
        <v>0</v>
      </c>
      <c r="N485" s="329">
        <f t="shared" si="93"/>
        <v>242937500</v>
      </c>
      <c r="O485" s="333">
        <v>7591796.875</v>
      </c>
      <c r="P485" s="333">
        <v>0</v>
      </c>
      <c r="Q485" s="333">
        <v>0</v>
      </c>
      <c r="R485" s="329">
        <f t="shared" si="94"/>
        <v>7591796.875</v>
      </c>
      <c r="S485" s="333">
        <f t="shared" si="95"/>
        <v>235345703.125</v>
      </c>
    </row>
    <row r="486" spans="1:19" s="317" customFormat="1" ht="15.75" customHeight="1">
      <c r="A486" s="266"/>
      <c r="B486" s="266"/>
      <c r="C486" s="266"/>
      <c r="D486" s="538"/>
      <c r="E486" s="542"/>
      <c r="F486" s="467"/>
      <c r="G486" s="543"/>
      <c r="H486" s="494" t="s">
        <v>629</v>
      </c>
      <c r="I486" s="503" t="s">
        <v>431</v>
      </c>
      <c r="J486" s="430">
        <v>0.125</v>
      </c>
      <c r="K486" s="333">
        <v>400480000</v>
      </c>
      <c r="L486" s="333">
        <v>0</v>
      </c>
      <c r="M486" s="333">
        <v>0</v>
      </c>
      <c r="N486" s="329">
        <f t="shared" si="93"/>
        <v>400480000</v>
      </c>
      <c r="O486" s="333">
        <v>12515000</v>
      </c>
      <c r="P486" s="333">
        <v>0</v>
      </c>
      <c r="Q486" s="333">
        <v>0</v>
      </c>
      <c r="R486" s="329">
        <f t="shared" si="94"/>
        <v>12515000</v>
      </c>
      <c r="S486" s="333">
        <f t="shared" si="95"/>
        <v>387965000</v>
      </c>
    </row>
    <row r="487" spans="1:19" s="317" customFormat="1" ht="15.75" customHeight="1">
      <c r="A487" s="266"/>
      <c r="B487" s="266"/>
      <c r="C487" s="266"/>
      <c r="D487" s="538"/>
      <c r="E487" s="539"/>
      <c r="F487" s="473"/>
      <c r="G487" s="544"/>
      <c r="H487" s="408" t="s">
        <v>630</v>
      </c>
      <c r="I487" s="545" t="s">
        <v>431</v>
      </c>
      <c r="J487" s="432">
        <v>0.125</v>
      </c>
      <c r="K487" s="329">
        <v>12910400</v>
      </c>
      <c r="L487" s="329">
        <v>0</v>
      </c>
      <c r="M487" s="329">
        <v>0</v>
      </c>
      <c r="N487" s="329">
        <f t="shared" si="93"/>
        <v>12910400</v>
      </c>
      <c r="O487" s="329">
        <v>403450</v>
      </c>
      <c r="P487" s="329">
        <v>0</v>
      </c>
      <c r="Q487" s="329">
        <v>0</v>
      </c>
      <c r="R487" s="329">
        <f t="shared" si="94"/>
        <v>403450</v>
      </c>
      <c r="S487" s="329">
        <f>N487-R487</f>
        <v>12506950</v>
      </c>
    </row>
    <row r="488" spans="1:19" s="317" customFormat="1" ht="15.75" customHeight="1">
      <c r="A488" s="266"/>
      <c r="B488" s="266"/>
      <c r="C488" s="266"/>
      <c r="D488" s="538"/>
      <c r="E488" s="546"/>
      <c r="F488" s="547"/>
      <c r="G488" s="548"/>
      <c r="H488" s="549" t="s">
        <v>631</v>
      </c>
      <c r="I488" s="550" t="s">
        <v>695</v>
      </c>
      <c r="J488" s="440">
        <v>0.125</v>
      </c>
      <c r="K488" s="339"/>
      <c r="L488" s="551">
        <v>16929730</v>
      </c>
      <c r="M488" s="339"/>
      <c r="N488" s="329">
        <f t="shared" si="93"/>
        <v>16929730</v>
      </c>
      <c r="O488" s="339"/>
      <c r="P488" s="339"/>
      <c r="Q488" s="339"/>
      <c r="R488" s="339"/>
      <c r="S488" s="329">
        <f>N488-R488</f>
        <v>16929730</v>
      </c>
    </row>
    <row r="489" spans="1:19" ht="15.75" customHeight="1">
      <c r="A489" s="266" t="s">
        <v>938</v>
      </c>
      <c r="D489" s="309"/>
      <c r="E489" s="1235" t="s">
        <v>1012</v>
      </c>
      <c r="F489" s="1236"/>
      <c r="G489" s="1236"/>
      <c r="H489" s="1236"/>
      <c r="I489" s="1236"/>
      <c r="J489" s="1237"/>
      <c r="K489" s="342">
        <f>SUM(K341:K488)</f>
        <v>14121801887.48</v>
      </c>
      <c r="L489" s="342">
        <f t="shared" ref="L489:S489" si="96">SUM(L341:L488)</f>
        <v>16929730</v>
      </c>
      <c r="M489" s="342">
        <f t="shared" si="96"/>
        <v>0</v>
      </c>
      <c r="N489" s="342">
        <f>SUM(N341:N488)</f>
        <v>14138731617.48</v>
      </c>
      <c r="O489" s="342">
        <f t="shared" si="96"/>
        <v>3000704395.2041683</v>
      </c>
      <c r="P489" s="342">
        <f t="shared" si="96"/>
        <v>0</v>
      </c>
      <c r="Q489" s="342">
        <f t="shared" si="96"/>
        <v>0</v>
      </c>
      <c r="R489" s="342">
        <f t="shared" si="96"/>
        <v>3000704395.2041683</v>
      </c>
      <c r="S489" s="342">
        <f t="shared" si="96"/>
        <v>11138027222.275835</v>
      </c>
    </row>
    <row r="490" spans="1:19" ht="15.75" customHeight="1">
      <c r="D490" s="387"/>
      <c r="E490" s="324"/>
      <c r="F490" s="330"/>
      <c r="G490" s="370"/>
      <c r="H490" s="362"/>
      <c r="I490" s="363"/>
      <c r="J490" s="393"/>
      <c r="K490" s="329"/>
      <c r="L490" s="333"/>
      <c r="M490" s="333"/>
      <c r="N490" s="329"/>
      <c r="O490" s="329"/>
      <c r="P490" s="333"/>
      <c r="Q490" s="329"/>
      <c r="R490" s="329"/>
      <c r="S490" s="329"/>
    </row>
    <row r="491" spans="1:19" ht="15.75" customHeight="1">
      <c r="A491" s="266" t="s">
        <v>944</v>
      </c>
      <c r="D491" s="309"/>
      <c r="E491" s="316" t="s">
        <v>1013</v>
      </c>
      <c r="F491" s="317" t="s">
        <v>632</v>
      </c>
      <c r="G491" s="311"/>
      <c r="H491" s="312"/>
      <c r="I491" s="537"/>
      <c r="J491" s="393"/>
      <c r="K491" s="358"/>
      <c r="L491" s="358"/>
      <c r="M491" s="358"/>
      <c r="N491" s="358"/>
      <c r="O491" s="358"/>
      <c r="P491" s="358"/>
      <c r="Q491" s="358"/>
      <c r="R491" s="358"/>
      <c r="S491" s="358"/>
    </row>
    <row r="492" spans="1:19" ht="15.75" customHeight="1">
      <c r="A492" s="266" t="s">
        <v>944</v>
      </c>
      <c r="D492" s="538"/>
      <c r="E492" s="539"/>
      <c r="F492" s="466"/>
      <c r="G492" s="540"/>
      <c r="H492" s="362" t="s">
        <v>633</v>
      </c>
      <c r="I492" s="363">
        <v>2010</v>
      </c>
      <c r="J492" s="430">
        <v>0.125</v>
      </c>
      <c r="K492" s="333">
        <v>12100000</v>
      </c>
      <c r="L492" s="333">
        <v>0</v>
      </c>
      <c r="M492" s="333">
        <v>0</v>
      </c>
      <c r="N492" s="329">
        <f t="shared" ref="N492:N555" si="97">K492+L492-M492</f>
        <v>12100000</v>
      </c>
      <c r="O492" s="329">
        <v>9075000.0000000056</v>
      </c>
      <c r="P492" s="333"/>
      <c r="Q492" s="333">
        <v>0</v>
      </c>
      <c r="R492" s="329">
        <f>O492+P492-Q492</f>
        <v>9075000.0000000056</v>
      </c>
      <c r="S492" s="333">
        <f t="shared" ref="S492:S555" si="98">N492-R492</f>
        <v>3024999.9999999944</v>
      </c>
    </row>
    <row r="493" spans="1:19" ht="15.75" customHeight="1">
      <c r="A493" s="266" t="s">
        <v>944</v>
      </c>
      <c r="D493" s="538"/>
      <c r="E493" s="539"/>
      <c r="F493" s="466"/>
      <c r="G493" s="540"/>
      <c r="H493" s="362" t="s">
        <v>613</v>
      </c>
      <c r="I493" s="363">
        <v>2010</v>
      </c>
      <c r="J493" s="430">
        <v>0.125</v>
      </c>
      <c r="K493" s="333">
        <v>147100000</v>
      </c>
      <c r="L493" s="333">
        <v>0</v>
      </c>
      <c r="M493" s="333">
        <v>0</v>
      </c>
      <c r="N493" s="329">
        <f t="shared" si="97"/>
        <v>147100000</v>
      </c>
      <c r="O493" s="329">
        <v>110325000.0000001</v>
      </c>
      <c r="P493" s="333"/>
      <c r="Q493" s="333">
        <v>0</v>
      </c>
      <c r="R493" s="329">
        <f t="shared" ref="R493:R556" si="99">O493+P493-Q493</f>
        <v>110325000.0000001</v>
      </c>
      <c r="S493" s="333">
        <f t="shared" si="98"/>
        <v>36774999.999999896</v>
      </c>
    </row>
    <row r="494" spans="1:19" ht="15.75" customHeight="1">
      <c r="A494" s="266" t="s">
        <v>944</v>
      </c>
      <c r="D494" s="538"/>
      <c r="E494" s="539"/>
      <c r="F494" s="466"/>
      <c r="G494" s="540"/>
      <c r="H494" s="362" t="s">
        <v>539</v>
      </c>
      <c r="I494" s="363">
        <v>2010</v>
      </c>
      <c r="J494" s="430">
        <v>0.125</v>
      </c>
      <c r="K494" s="333">
        <v>370200000</v>
      </c>
      <c r="L494" s="333">
        <v>0</v>
      </c>
      <c r="M494" s="333">
        <v>0</v>
      </c>
      <c r="N494" s="329">
        <f t="shared" si="97"/>
        <v>370200000</v>
      </c>
      <c r="O494" s="329">
        <v>277650000</v>
      </c>
      <c r="P494" s="333"/>
      <c r="Q494" s="333">
        <v>0</v>
      </c>
      <c r="R494" s="329">
        <f t="shared" si="99"/>
        <v>277650000</v>
      </c>
      <c r="S494" s="333">
        <f t="shared" si="98"/>
        <v>92550000</v>
      </c>
    </row>
    <row r="495" spans="1:19" ht="15.75" customHeight="1">
      <c r="A495" s="266" t="s">
        <v>944</v>
      </c>
      <c r="D495" s="538"/>
      <c r="E495" s="539"/>
      <c r="F495" s="466"/>
      <c r="G495" s="540"/>
      <c r="H495" s="362" t="s">
        <v>634</v>
      </c>
      <c r="I495" s="363">
        <v>2010</v>
      </c>
      <c r="J495" s="430">
        <v>0.125</v>
      </c>
      <c r="K495" s="333">
        <v>287300000</v>
      </c>
      <c r="L495" s="333">
        <v>0</v>
      </c>
      <c r="M495" s="333">
        <v>0</v>
      </c>
      <c r="N495" s="329">
        <f t="shared" si="97"/>
        <v>287300000</v>
      </c>
      <c r="O495" s="329">
        <v>215475000.00000018</v>
      </c>
      <c r="P495" s="333"/>
      <c r="Q495" s="333">
        <v>0</v>
      </c>
      <c r="R495" s="329">
        <f t="shared" si="99"/>
        <v>215475000.00000018</v>
      </c>
      <c r="S495" s="333">
        <f t="shared" si="98"/>
        <v>71824999.999999821</v>
      </c>
    </row>
    <row r="496" spans="1:19" ht="15.75" customHeight="1">
      <c r="A496" s="266" t="s">
        <v>944</v>
      </c>
      <c r="D496" s="538"/>
      <c r="E496" s="539"/>
      <c r="F496" s="466"/>
      <c r="G496" s="540"/>
      <c r="H496" s="362" t="s">
        <v>526</v>
      </c>
      <c r="I496" s="363">
        <v>2010</v>
      </c>
      <c r="J496" s="430">
        <v>0.125</v>
      </c>
      <c r="K496" s="333">
        <v>157300000</v>
      </c>
      <c r="L496" s="333">
        <v>0</v>
      </c>
      <c r="M496" s="333">
        <v>0</v>
      </c>
      <c r="N496" s="329">
        <f t="shared" si="97"/>
        <v>157300000</v>
      </c>
      <c r="O496" s="329">
        <v>117975000.00000012</v>
      </c>
      <c r="P496" s="333"/>
      <c r="Q496" s="333">
        <v>0</v>
      </c>
      <c r="R496" s="329">
        <f t="shared" si="99"/>
        <v>117975000.00000012</v>
      </c>
      <c r="S496" s="333">
        <f t="shared" si="98"/>
        <v>39324999.999999881</v>
      </c>
    </row>
    <row r="497" spans="1:19" ht="15.75" customHeight="1">
      <c r="A497" s="266" t="s">
        <v>944</v>
      </c>
      <c r="D497" s="538"/>
      <c r="E497" s="539"/>
      <c r="F497" s="466"/>
      <c r="G497" s="540"/>
      <c r="H497" s="362" t="s">
        <v>635</v>
      </c>
      <c r="I497" s="363">
        <v>2010</v>
      </c>
      <c r="J497" s="430">
        <v>0.125</v>
      </c>
      <c r="K497" s="333">
        <v>952000000</v>
      </c>
      <c r="L497" s="333">
        <v>0</v>
      </c>
      <c r="M497" s="333">
        <v>0</v>
      </c>
      <c r="N497" s="329">
        <f t="shared" si="97"/>
        <v>952000000</v>
      </c>
      <c r="O497" s="329">
        <v>713999999.99999976</v>
      </c>
      <c r="P497" s="333"/>
      <c r="Q497" s="333">
        <v>0</v>
      </c>
      <c r="R497" s="329">
        <f t="shared" si="99"/>
        <v>713999999.99999976</v>
      </c>
      <c r="S497" s="333">
        <f t="shared" si="98"/>
        <v>238000000.00000024</v>
      </c>
    </row>
    <row r="498" spans="1:19" ht="15.75" customHeight="1">
      <c r="A498" s="266" t="s">
        <v>944</v>
      </c>
      <c r="D498" s="538"/>
      <c r="E498" s="539"/>
      <c r="F498" s="466"/>
      <c r="G498" s="540"/>
      <c r="H498" s="362" t="s">
        <v>636</v>
      </c>
      <c r="I498" s="363">
        <v>2010</v>
      </c>
      <c r="J498" s="430">
        <v>0.125</v>
      </c>
      <c r="K498" s="333">
        <v>11700000</v>
      </c>
      <c r="L498" s="333">
        <v>0</v>
      </c>
      <c r="M498" s="333">
        <v>0</v>
      </c>
      <c r="N498" s="329">
        <f t="shared" si="97"/>
        <v>11700000</v>
      </c>
      <c r="O498" s="329">
        <v>8775000</v>
      </c>
      <c r="P498" s="333"/>
      <c r="Q498" s="333">
        <v>0</v>
      </c>
      <c r="R498" s="329">
        <f t="shared" si="99"/>
        <v>8775000</v>
      </c>
      <c r="S498" s="333">
        <f t="shared" si="98"/>
        <v>2925000</v>
      </c>
    </row>
    <row r="499" spans="1:19" ht="15.75" customHeight="1">
      <c r="A499" s="266" t="s">
        <v>944</v>
      </c>
      <c r="D499" s="538"/>
      <c r="E499" s="539"/>
      <c r="F499" s="466"/>
      <c r="G499" s="540"/>
      <c r="H499" s="362" t="s">
        <v>637</v>
      </c>
      <c r="I499" s="363">
        <v>2010</v>
      </c>
      <c r="J499" s="430">
        <v>0.125</v>
      </c>
      <c r="K499" s="333">
        <v>93900000</v>
      </c>
      <c r="L499" s="333">
        <v>0</v>
      </c>
      <c r="M499" s="333">
        <v>0</v>
      </c>
      <c r="N499" s="329">
        <f t="shared" si="97"/>
        <v>93900000</v>
      </c>
      <c r="O499" s="329">
        <v>70425000</v>
      </c>
      <c r="P499" s="333"/>
      <c r="Q499" s="333">
        <v>0</v>
      </c>
      <c r="R499" s="329">
        <f t="shared" si="99"/>
        <v>70425000</v>
      </c>
      <c r="S499" s="333">
        <f t="shared" si="98"/>
        <v>23475000</v>
      </c>
    </row>
    <row r="500" spans="1:19" ht="15.75" customHeight="1">
      <c r="A500" s="266" t="s">
        <v>944</v>
      </c>
      <c r="D500" s="538"/>
      <c r="E500" s="539"/>
      <c r="F500" s="466"/>
      <c r="G500" s="540"/>
      <c r="H500" s="362" t="s">
        <v>638</v>
      </c>
      <c r="I500" s="363">
        <v>2010</v>
      </c>
      <c r="J500" s="430">
        <v>0.125</v>
      </c>
      <c r="K500" s="333">
        <v>5900000</v>
      </c>
      <c r="L500" s="333">
        <v>0</v>
      </c>
      <c r="M500" s="333">
        <v>0</v>
      </c>
      <c r="N500" s="329">
        <f t="shared" si="97"/>
        <v>5900000</v>
      </c>
      <c r="O500" s="329">
        <v>4425000.0000000028</v>
      </c>
      <c r="P500" s="333"/>
      <c r="Q500" s="333">
        <v>0</v>
      </c>
      <c r="R500" s="329">
        <f t="shared" si="99"/>
        <v>4425000.0000000028</v>
      </c>
      <c r="S500" s="333">
        <f t="shared" si="98"/>
        <v>1474999.9999999972</v>
      </c>
    </row>
    <row r="501" spans="1:19" ht="15.75" customHeight="1">
      <c r="A501" s="266" t="s">
        <v>944</v>
      </c>
      <c r="D501" s="538"/>
      <c r="E501" s="539"/>
      <c r="F501" s="466"/>
      <c r="G501" s="540"/>
      <c r="H501" s="362" t="s">
        <v>639</v>
      </c>
      <c r="I501" s="363">
        <v>2010</v>
      </c>
      <c r="J501" s="430">
        <v>0.125</v>
      </c>
      <c r="K501" s="333">
        <v>410000000</v>
      </c>
      <c r="L501" s="333">
        <v>0</v>
      </c>
      <c r="M501" s="333">
        <v>0</v>
      </c>
      <c r="N501" s="329">
        <f t="shared" si="97"/>
        <v>410000000</v>
      </c>
      <c r="O501" s="329">
        <v>307500000.00000006</v>
      </c>
      <c r="P501" s="333"/>
      <c r="Q501" s="333">
        <v>0</v>
      </c>
      <c r="R501" s="329">
        <f t="shared" si="99"/>
        <v>307500000.00000006</v>
      </c>
      <c r="S501" s="333">
        <f t="shared" si="98"/>
        <v>102499999.99999994</v>
      </c>
    </row>
    <row r="502" spans="1:19" ht="15.75" customHeight="1">
      <c r="A502" s="266" t="s">
        <v>944</v>
      </c>
      <c r="D502" s="538"/>
      <c r="E502" s="539"/>
      <c r="F502" s="466"/>
      <c r="G502" s="540"/>
      <c r="H502" s="362" t="s">
        <v>640</v>
      </c>
      <c r="I502" s="363">
        <v>2010</v>
      </c>
      <c r="J502" s="430">
        <v>0.125</v>
      </c>
      <c r="K502" s="333">
        <v>44300000</v>
      </c>
      <c r="L502" s="333">
        <v>0</v>
      </c>
      <c r="M502" s="333">
        <v>0</v>
      </c>
      <c r="N502" s="329">
        <f t="shared" si="97"/>
        <v>44300000</v>
      </c>
      <c r="O502" s="329">
        <v>33224999.999999966</v>
      </c>
      <c r="P502" s="333"/>
      <c r="Q502" s="333">
        <v>0</v>
      </c>
      <c r="R502" s="329">
        <f t="shared" si="99"/>
        <v>33224999.999999966</v>
      </c>
      <c r="S502" s="333">
        <f t="shared" si="98"/>
        <v>11075000.000000034</v>
      </c>
    </row>
    <row r="503" spans="1:19" ht="15.75" customHeight="1">
      <c r="A503" s="266" t="s">
        <v>944</v>
      </c>
      <c r="D503" s="538"/>
      <c r="E503" s="539"/>
      <c r="F503" s="466"/>
      <c r="G503" s="540"/>
      <c r="H503" s="362" t="s">
        <v>641</v>
      </c>
      <c r="I503" s="363">
        <v>2010</v>
      </c>
      <c r="J503" s="430">
        <v>0.125</v>
      </c>
      <c r="K503" s="333">
        <v>128200000</v>
      </c>
      <c r="L503" s="333">
        <v>0</v>
      </c>
      <c r="M503" s="333">
        <v>0</v>
      </c>
      <c r="N503" s="329">
        <f t="shared" si="97"/>
        <v>128200000</v>
      </c>
      <c r="O503" s="329">
        <v>96150000.00000006</v>
      </c>
      <c r="P503" s="333"/>
      <c r="Q503" s="333">
        <v>0</v>
      </c>
      <c r="R503" s="329">
        <f t="shared" si="99"/>
        <v>96150000.00000006</v>
      </c>
      <c r="S503" s="333">
        <f t="shared" si="98"/>
        <v>32049999.99999994</v>
      </c>
    </row>
    <row r="504" spans="1:19" ht="15.75" customHeight="1">
      <c r="A504" s="266" t="s">
        <v>944</v>
      </c>
      <c r="D504" s="538"/>
      <c r="E504" s="539"/>
      <c r="F504" s="466"/>
      <c r="G504" s="540"/>
      <c r="H504" s="362" t="s">
        <v>642</v>
      </c>
      <c r="I504" s="363">
        <v>2010</v>
      </c>
      <c r="J504" s="430">
        <v>0.125</v>
      </c>
      <c r="K504" s="333">
        <v>64900000</v>
      </c>
      <c r="L504" s="333">
        <v>0</v>
      </c>
      <c r="M504" s="333">
        <v>0</v>
      </c>
      <c r="N504" s="329">
        <f t="shared" si="97"/>
        <v>64900000</v>
      </c>
      <c r="O504" s="329">
        <v>48674999.99999997</v>
      </c>
      <c r="P504" s="333"/>
      <c r="Q504" s="333">
        <v>0</v>
      </c>
      <c r="R504" s="329">
        <f t="shared" si="99"/>
        <v>48674999.99999997</v>
      </c>
      <c r="S504" s="333">
        <f t="shared" si="98"/>
        <v>16225000.00000003</v>
      </c>
    </row>
    <row r="505" spans="1:19" ht="15.75" customHeight="1">
      <c r="A505" s="266" t="s">
        <v>944</v>
      </c>
      <c r="D505" s="538"/>
      <c r="E505" s="539"/>
      <c r="F505" s="466"/>
      <c r="G505" s="540"/>
      <c r="H505" s="362" t="s">
        <v>643</v>
      </c>
      <c r="I505" s="363">
        <v>2010</v>
      </c>
      <c r="J505" s="430">
        <v>0.125</v>
      </c>
      <c r="K505" s="333">
        <v>19200000</v>
      </c>
      <c r="L505" s="333">
        <v>0</v>
      </c>
      <c r="M505" s="333">
        <v>0</v>
      </c>
      <c r="N505" s="329">
        <f t="shared" si="97"/>
        <v>19200000</v>
      </c>
      <c r="O505" s="329">
        <v>14400000</v>
      </c>
      <c r="P505" s="333"/>
      <c r="Q505" s="333">
        <v>0</v>
      </c>
      <c r="R505" s="329">
        <f t="shared" si="99"/>
        <v>14400000</v>
      </c>
      <c r="S505" s="333">
        <f t="shared" si="98"/>
        <v>4800000</v>
      </c>
    </row>
    <row r="506" spans="1:19" ht="15.75" customHeight="1">
      <c r="A506" s="266" t="s">
        <v>944</v>
      </c>
      <c r="D506" s="538"/>
      <c r="E506" s="539"/>
      <c r="F506" s="466"/>
      <c r="G506" s="540"/>
      <c r="H506" s="362" t="s">
        <v>644</v>
      </c>
      <c r="I506" s="363">
        <v>2010</v>
      </c>
      <c r="J506" s="430">
        <v>0.125</v>
      </c>
      <c r="K506" s="333">
        <v>3300000</v>
      </c>
      <c r="L506" s="333">
        <v>0</v>
      </c>
      <c r="M506" s="333">
        <v>0</v>
      </c>
      <c r="N506" s="329">
        <f t="shared" si="97"/>
        <v>3300000</v>
      </c>
      <c r="O506" s="329">
        <v>2475000</v>
      </c>
      <c r="P506" s="333"/>
      <c r="Q506" s="333">
        <v>0</v>
      </c>
      <c r="R506" s="329">
        <f t="shared" si="99"/>
        <v>2475000</v>
      </c>
      <c r="S506" s="333">
        <f t="shared" si="98"/>
        <v>825000</v>
      </c>
    </row>
    <row r="507" spans="1:19" ht="15.75" customHeight="1">
      <c r="A507" s="266" t="s">
        <v>944</v>
      </c>
      <c r="D507" s="538"/>
      <c r="E507" s="539"/>
      <c r="F507" s="466"/>
      <c r="G507" s="540"/>
      <c r="H507" s="362" t="s">
        <v>645</v>
      </c>
      <c r="I507" s="363">
        <v>2010</v>
      </c>
      <c r="J507" s="430">
        <v>0.125</v>
      </c>
      <c r="K507" s="333">
        <v>310000000</v>
      </c>
      <c r="L507" s="333">
        <v>0</v>
      </c>
      <c r="M507" s="333">
        <v>0</v>
      </c>
      <c r="N507" s="329">
        <f t="shared" si="97"/>
        <v>310000000</v>
      </c>
      <c r="O507" s="329">
        <v>232499999.99999979</v>
      </c>
      <c r="P507" s="333"/>
      <c r="Q507" s="333">
        <v>0</v>
      </c>
      <c r="R507" s="329">
        <f t="shared" si="99"/>
        <v>232499999.99999979</v>
      </c>
      <c r="S507" s="333">
        <f t="shared" si="98"/>
        <v>77500000.000000209</v>
      </c>
    </row>
    <row r="508" spans="1:19" ht="15.75" customHeight="1">
      <c r="A508" s="266" t="s">
        <v>944</v>
      </c>
      <c r="D508" s="538"/>
      <c r="E508" s="539"/>
      <c r="F508" s="466"/>
      <c r="G508" s="540"/>
      <c r="H508" s="362" t="s">
        <v>412</v>
      </c>
      <c r="I508" s="363">
        <v>2010</v>
      </c>
      <c r="J508" s="430">
        <v>0.125</v>
      </c>
      <c r="K508" s="333">
        <v>9400000</v>
      </c>
      <c r="L508" s="333">
        <v>0</v>
      </c>
      <c r="M508" s="333">
        <v>0</v>
      </c>
      <c r="N508" s="329">
        <f t="shared" si="97"/>
        <v>9400000</v>
      </c>
      <c r="O508" s="329">
        <v>7050000.0000000065</v>
      </c>
      <c r="P508" s="333"/>
      <c r="Q508" s="333">
        <v>0</v>
      </c>
      <c r="R508" s="329">
        <f t="shared" si="99"/>
        <v>7050000.0000000065</v>
      </c>
      <c r="S508" s="333">
        <f t="shared" si="98"/>
        <v>2349999.9999999935</v>
      </c>
    </row>
    <row r="509" spans="1:19" ht="15.75" customHeight="1">
      <c r="A509" s="266" t="s">
        <v>944</v>
      </c>
      <c r="D509" s="538"/>
      <c r="E509" s="539"/>
      <c r="F509" s="466"/>
      <c r="G509" s="540"/>
      <c r="H509" s="362" t="s">
        <v>646</v>
      </c>
      <c r="I509" s="363">
        <v>2010</v>
      </c>
      <c r="J509" s="430">
        <v>0.125</v>
      </c>
      <c r="K509" s="333">
        <v>332800000</v>
      </c>
      <c r="L509" s="333">
        <v>0</v>
      </c>
      <c r="M509" s="333">
        <v>0</v>
      </c>
      <c r="N509" s="329">
        <f t="shared" si="97"/>
        <v>332800000</v>
      </c>
      <c r="O509" s="329">
        <v>249599999.99999973</v>
      </c>
      <c r="P509" s="333"/>
      <c r="Q509" s="333">
        <v>0</v>
      </c>
      <c r="R509" s="329">
        <f t="shared" si="99"/>
        <v>249599999.99999973</v>
      </c>
      <c r="S509" s="333">
        <f t="shared" si="98"/>
        <v>83200000.000000268</v>
      </c>
    </row>
    <row r="510" spans="1:19" ht="15.75" customHeight="1">
      <c r="A510" s="266" t="s">
        <v>944</v>
      </c>
      <c r="D510" s="538"/>
      <c r="E510" s="539"/>
      <c r="F510" s="466"/>
      <c r="G510" s="540"/>
      <c r="H510" s="362" t="s">
        <v>647</v>
      </c>
      <c r="I510" s="363">
        <v>2010</v>
      </c>
      <c r="J510" s="430">
        <v>0.125</v>
      </c>
      <c r="K510" s="333">
        <v>40000000</v>
      </c>
      <c r="L510" s="333">
        <v>0</v>
      </c>
      <c r="M510" s="333">
        <v>0</v>
      </c>
      <c r="N510" s="329">
        <f t="shared" si="97"/>
        <v>40000000</v>
      </c>
      <c r="O510" s="329">
        <v>30000000.00000003</v>
      </c>
      <c r="P510" s="333"/>
      <c r="Q510" s="333">
        <v>0</v>
      </c>
      <c r="R510" s="329">
        <f t="shared" si="99"/>
        <v>30000000.00000003</v>
      </c>
      <c r="S510" s="333">
        <f t="shared" si="98"/>
        <v>9999999.9999999702</v>
      </c>
    </row>
    <row r="511" spans="1:19" ht="15.75" customHeight="1">
      <c r="A511" s="266" t="s">
        <v>944</v>
      </c>
      <c r="D511" s="538"/>
      <c r="E511" s="539"/>
      <c r="F511" s="466"/>
      <c r="G511" s="540"/>
      <c r="H511" s="362" t="s">
        <v>648</v>
      </c>
      <c r="I511" s="363">
        <v>2011</v>
      </c>
      <c r="J511" s="430">
        <v>0.125</v>
      </c>
      <c r="K511" s="333">
        <v>14700000</v>
      </c>
      <c r="L511" s="333">
        <v>0</v>
      </c>
      <c r="M511" s="333">
        <v>0</v>
      </c>
      <c r="N511" s="329">
        <f t="shared" si="97"/>
        <v>14700000</v>
      </c>
      <c r="O511" s="329">
        <v>11025000</v>
      </c>
      <c r="P511" s="333"/>
      <c r="Q511" s="333">
        <v>0</v>
      </c>
      <c r="R511" s="329">
        <f t="shared" si="99"/>
        <v>11025000</v>
      </c>
      <c r="S511" s="333">
        <f t="shared" si="98"/>
        <v>3675000</v>
      </c>
    </row>
    <row r="512" spans="1:19" ht="15.75" customHeight="1">
      <c r="A512" s="266" t="s">
        <v>944</v>
      </c>
      <c r="D512" s="538"/>
      <c r="E512" s="539"/>
      <c r="F512" s="466"/>
      <c r="G512" s="540"/>
      <c r="H512" s="362" t="s">
        <v>649</v>
      </c>
      <c r="I512" s="363">
        <v>2011</v>
      </c>
      <c r="J512" s="430">
        <v>0.125</v>
      </c>
      <c r="K512" s="333">
        <v>77500000</v>
      </c>
      <c r="L512" s="333">
        <v>0</v>
      </c>
      <c r="M512" s="333">
        <v>0</v>
      </c>
      <c r="N512" s="329">
        <f t="shared" si="97"/>
        <v>77500000</v>
      </c>
      <c r="O512" s="329">
        <v>58124999.999999948</v>
      </c>
      <c r="P512" s="333"/>
      <c r="Q512" s="333">
        <v>0</v>
      </c>
      <c r="R512" s="329">
        <f t="shared" si="99"/>
        <v>58124999.999999948</v>
      </c>
      <c r="S512" s="333">
        <f t="shared" si="98"/>
        <v>19375000.000000052</v>
      </c>
    </row>
    <row r="513" spans="1:19" ht="15.75" customHeight="1">
      <c r="A513" s="266" t="s">
        <v>944</v>
      </c>
      <c r="D513" s="538"/>
      <c r="E513" s="539"/>
      <c r="F513" s="466"/>
      <c r="G513" s="540"/>
      <c r="H513" s="362" t="s">
        <v>650</v>
      </c>
      <c r="I513" s="363">
        <v>2011</v>
      </c>
      <c r="J513" s="430">
        <v>0.125</v>
      </c>
      <c r="K513" s="333">
        <v>13800000</v>
      </c>
      <c r="L513" s="333">
        <v>0</v>
      </c>
      <c r="M513" s="333">
        <v>0</v>
      </c>
      <c r="N513" s="329">
        <f t="shared" si="97"/>
        <v>13800000</v>
      </c>
      <c r="O513" s="329">
        <v>10350000</v>
      </c>
      <c r="P513" s="333"/>
      <c r="Q513" s="333">
        <v>0</v>
      </c>
      <c r="R513" s="329">
        <f t="shared" si="99"/>
        <v>10350000</v>
      </c>
      <c r="S513" s="333">
        <f t="shared" si="98"/>
        <v>3450000</v>
      </c>
    </row>
    <row r="514" spans="1:19" ht="15.75" customHeight="1">
      <c r="A514" s="266" t="s">
        <v>944</v>
      </c>
      <c r="D514" s="538"/>
      <c r="E514" s="539"/>
      <c r="F514" s="466"/>
      <c r="G514" s="540"/>
      <c r="H514" s="362" t="s">
        <v>651</v>
      </c>
      <c r="I514" s="363">
        <v>2012</v>
      </c>
      <c r="J514" s="430">
        <v>0.125</v>
      </c>
      <c r="K514" s="333">
        <v>6800000</v>
      </c>
      <c r="L514" s="333">
        <v>0</v>
      </c>
      <c r="M514" s="333">
        <v>0</v>
      </c>
      <c r="N514" s="329">
        <f t="shared" si="97"/>
        <v>6800000</v>
      </c>
      <c r="O514" s="329">
        <v>5100000</v>
      </c>
      <c r="P514" s="333"/>
      <c r="Q514" s="333">
        <v>0</v>
      </c>
      <c r="R514" s="329">
        <f t="shared" si="99"/>
        <v>5100000</v>
      </c>
      <c r="S514" s="333">
        <f t="shared" si="98"/>
        <v>1700000</v>
      </c>
    </row>
    <row r="515" spans="1:19" ht="15.75" customHeight="1">
      <c r="A515" s="266" t="s">
        <v>944</v>
      </c>
      <c r="D515" s="538"/>
      <c r="E515" s="539"/>
      <c r="F515" s="466"/>
      <c r="G515" s="540"/>
      <c r="H515" s="362" t="s">
        <v>652</v>
      </c>
      <c r="I515" s="363">
        <v>2012</v>
      </c>
      <c r="J515" s="430">
        <v>0.125</v>
      </c>
      <c r="K515" s="333">
        <v>12800000</v>
      </c>
      <c r="L515" s="333">
        <v>0</v>
      </c>
      <c r="M515" s="333">
        <v>0</v>
      </c>
      <c r="N515" s="329">
        <f t="shared" si="97"/>
        <v>12800000</v>
      </c>
      <c r="O515" s="329">
        <v>9599999.9999999981</v>
      </c>
      <c r="P515" s="333"/>
      <c r="Q515" s="333">
        <v>0</v>
      </c>
      <c r="R515" s="329">
        <f t="shared" si="99"/>
        <v>9599999.9999999981</v>
      </c>
      <c r="S515" s="333">
        <f t="shared" si="98"/>
        <v>3200000.0000000019</v>
      </c>
    </row>
    <row r="516" spans="1:19" ht="15.75" customHeight="1">
      <c r="A516" s="266" t="s">
        <v>944</v>
      </c>
      <c r="D516" s="538"/>
      <c r="E516" s="539"/>
      <c r="F516" s="466"/>
      <c r="G516" s="540"/>
      <c r="H516" s="362" t="s">
        <v>653</v>
      </c>
      <c r="I516" s="363">
        <v>2013</v>
      </c>
      <c r="J516" s="430">
        <v>0.125</v>
      </c>
      <c r="K516" s="333">
        <v>57400000</v>
      </c>
      <c r="L516" s="333">
        <v>0</v>
      </c>
      <c r="M516" s="333">
        <v>0</v>
      </c>
      <c r="N516" s="329">
        <f t="shared" si="97"/>
        <v>57400000</v>
      </c>
      <c r="O516" s="329">
        <v>43049999.999999993</v>
      </c>
      <c r="P516" s="333"/>
      <c r="Q516" s="333">
        <v>0</v>
      </c>
      <c r="R516" s="329">
        <f t="shared" si="99"/>
        <v>43049999.999999993</v>
      </c>
      <c r="S516" s="333">
        <f t="shared" si="98"/>
        <v>14350000.000000007</v>
      </c>
    </row>
    <row r="517" spans="1:19" ht="15.75" customHeight="1">
      <c r="A517" s="266" t="s">
        <v>944</v>
      </c>
      <c r="D517" s="538"/>
      <c r="E517" s="539"/>
      <c r="F517" s="466"/>
      <c r="G517" s="540"/>
      <c r="H517" s="362" t="s">
        <v>654</v>
      </c>
      <c r="I517" s="363">
        <v>2013</v>
      </c>
      <c r="J517" s="430">
        <v>0.125</v>
      </c>
      <c r="K517" s="333">
        <v>37000000</v>
      </c>
      <c r="L517" s="333">
        <v>0</v>
      </c>
      <c r="M517" s="333">
        <v>0</v>
      </c>
      <c r="N517" s="329">
        <f t="shared" si="97"/>
        <v>37000000</v>
      </c>
      <c r="O517" s="329">
        <v>27750000.000000026</v>
      </c>
      <c r="P517" s="333"/>
      <c r="Q517" s="333">
        <v>0</v>
      </c>
      <c r="R517" s="329">
        <f t="shared" si="99"/>
        <v>27750000.000000026</v>
      </c>
      <c r="S517" s="333">
        <f t="shared" si="98"/>
        <v>9249999.9999999739</v>
      </c>
    </row>
    <row r="518" spans="1:19" ht="15.75" customHeight="1">
      <c r="A518" s="266" t="s">
        <v>944</v>
      </c>
      <c r="D518" s="538"/>
      <c r="E518" s="539"/>
      <c r="F518" s="466"/>
      <c r="G518" s="540"/>
      <c r="H518" s="362" t="s">
        <v>655</v>
      </c>
      <c r="I518" s="363">
        <v>2013</v>
      </c>
      <c r="J518" s="430">
        <v>0.125</v>
      </c>
      <c r="K518" s="333">
        <v>905500000</v>
      </c>
      <c r="L518" s="333">
        <v>0</v>
      </c>
      <c r="M518" s="333">
        <v>0</v>
      </c>
      <c r="N518" s="329">
        <f t="shared" si="97"/>
        <v>905500000</v>
      </c>
      <c r="O518" s="329">
        <v>679124999.99999988</v>
      </c>
      <c r="P518" s="333"/>
      <c r="Q518" s="333">
        <v>0</v>
      </c>
      <c r="R518" s="329">
        <f t="shared" si="99"/>
        <v>679124999.99999988</v>
      </c>
      <c r="S518" s="333">
        <f t="shared" si="98"/>
        <v>226375000.00000012</v>
      </c>
    </row>
    <row r="519" spans="1:19" ht="15.75" customHeight="1">
      <c r="A519" s="266" t="s">
        <v>944</v>
      </c>
      <c r="D519" s="538"/>
      <c r="E519" s="539"/>
      <c r="F519" s="466"/>
      <c r="G519" s="540"/>
      <c r="H519" s="362" t="s">
        <v>656</v>
      </c>
      <c r="I519" s="363">
        <v>2013</v>
      </c>
      <c r="J519" s="430">
        <v>0.125</v>
      </c>
      <c r="K519" s="333">
        <v>14500000</v>
      </c>
      <c r="L519" s="333">
        <v>0</v>
      </c>
      <c r="M519" s="333">
        <v>0</v>
      </c>
      <c r="N519" s="329">
        <f t="shared" si="97"/>
        <v>14500000</v>
      </c>
      <c r="O519" s="329">
        <v>10874999.999999996</v>
      </c>
      <c r="P519" s="333"/>
      <c r="Q519" s="333">
        <v>0</v>
      </c>
      <c r="R519" s="329">
        <f t="shared" si="99"/>
        <v>10874999.999999996</v>
      </c>
      <c r="S519" s="333">
        <f t="shared" si="98"/>
        <v>3625000.0000000037</v>
      </c>
    </row>
    <row r="520" spans="1:19" ht="15.75" customHeight="1">
      <c r="A520" s="266" t="s">
        <v>944</v>
      </c>
      <c r="D520" s="538"/>
      <c r="E520" s="539"/>
      <c r="F520" s="466"/>
      <c r="G520" s="540"/>
      <c r="H520" s="362" t="s">
        <v>657</v>
      </c>
      <c r="I520" s="363">
        <v>2013</v>
      </c>
      <c r="J520" s="430">
        <v>0.125</v>
      </c>
      <c r="K520" s="333">
        <v>15200000</v>
      </c>
      <c r="L520" s="333">
        <v>0</v>
      </c>
      <c r="M520" s="333">
        <v>0</v>
      </c>
      <c r="N520" s="329">
        <f t="shared" si="97"/>
        <v>15200000</v>
      </c>
      <c r="O520" s="329">
        <v>11400000.000000006</v>
      </c>
      <c r="P520" s="333"/>
      <c r="Q520" s="333">
        <v>0</v>
      </c>
      <c r="R520" s="329">
        <f t="shared" si="99"/>
        <v>11400000.000000006</v>
      </c>
      <c r="S520" s="333">
        <f t="shared" si="98"/>
        <v>3799999.9999999944</v>
      </c>
    </row>
    <row r="521" spans="1:19" ht="15.75" customHeight="1">
      <c r="A521" s="266" t="s">
        <v>944</v>
      </c>
      <c r="D521" s="538"/>
      <c r="E521" s="539"/>
      <c r="F521" s="466"/>
      <c r="G521" s="540"/>
      <c r="H521" s="362" t="s">
        <v>658</v>
      </c>
      <c r="I521" s="363">
        <v>2013</v>
      </c>
      <c r="J521" s="430">
        <v>0.125</v>
      </c>
      <c r="K521" s="333">
        <v>50300000</v>
      </c>
      <c r="L521" s="333">
        <v>0</v>
      </c>
      <c r="M521" s="333">
        <v>0</v>
      </c>
      <c r="N521" s="329">
        <f t="shared" si="97"/>
        <v>50300000</v>
      </c>
      <c r="O521" s="329">
        <v>37724999.999999985</v>
      </c>
      <c r="P521" s="333"/>
      <c r="Q521" s="333">
        <v>0</v>
      </c>
      <c r="R521" s="329">
        <f t="shared" si="99"/>
        <v>37724999.999999985</v>
      </c>
      <c r="S521" s="333">
        <f t="shared" si="98"/>
        <v>12575000.000000015</v>
      </c>
    </row>
    <row r="522" spans="1:19" ht="15.75" customHeight="1">
      <c r="A522" s="266" t="s">
        <v>944</v>
      </c>
      <c r="D522" s="538"/>
      <c r="E522" s="539"/>
      <c r="F522" s="466"/>
      <c r="G522" s="540"/>
      <c r="H522" s="362" t="s">
        <v>176</v>
      </c>
      <c r="I522" s="363">
        <v>2013</v>
      </c>
      <c r="J522" s="430">
        <v>0.125</v>
      </c>
      <c r="K522" s="333">
        <v>16800000</v>
      </c>
      <c r="L522" s="333">
        <v>0</v>
      </c>
      <c r="M522" s="333">
        <v>0</v>
      </c>
      <c r="N522" s="329">
        <f t="shared" si="97"/>
        <v>16800000</v>
      </c>
      <c r="O522" s="329">
        <v>12600000</v>
      </c>
      <c r="P522" s="333"/>
      <c r="Q522" s="333">
        <v>0</v>
      </c>
      <c r="R522" s="329">
        <f t="shared" si="99"/>
        <v>12600000</v>
      </c>
      <c r="S522" s="333">
        <f t="shared" si="98"/>
        <v>4200000</v>
      </c>
    </row>
    <row r="523" spans="1:19" ht="15.75" customHeight="1">
      <c r="A523" s="266" t="s">
        <v>944</v>
      </c>
      <c r="D523" s="538"/>
      <c r="E523" s="539"/>
      <c r="F523" s="466"/>
      <c r="G523" s="540"/>
      <c r="H523" s="362" t="s">
        <v>659</v>
      </c>
      <c r="I523" s="363">
        <v>2014</v>
      </c>
      <c r="J523" s="430">
        <v>0.125</v>
      </c>
      <c r="K523" s="333">
        <v>21000000</v>
      </c>
      <c r="L523" s="333">
        <v>0</v>
      </c>
      <c r="M523" s="333">
        <v>0</v>
      </c>
      <c r="N523" s="329">
        <f t="shared" si="97"/>
        <v>21000000</v>
      </c>
      <c r="O523" s="329">
        <v>15750000</v>
      </c>
      <c r="P523" s="333"/>
      <c r="Q523" s="333">
        <v>0</v>
      </c>
      <c r="R523" s="329">
        <f t="shared" si="99"/>
        <v>15750000</v>
      </c>
      <c r="S523" s="333">
        <f t="shared" si="98"/>
        <v>5250000</v>
      </c>
    </row>
    <row r="524" spans="1:19" ht="15.75" customHeight="1">
      <c r="A524" s="266" t="s">
        <v>944</v>
      </c>
      <c r="D524" s="538"/>
      <c r="E524" s="539"/>
      <c r="F524" s="466"/>
      <c r="G524" s="540"/>
      <c r="H524" s="362" t="s">
        <v>660</v>
      </c>
      <c r="I524" s="363">
        <v>2014</v>
      </c>
      <c r="J524" s="430">
        <v>0.125</v>
      </c>
      <c r="K524" s="333">
        <v>24200000</v>
      </c>
      <c r="L524" s="333">
        <v>0</v>
      </c>
      <c r="M524" s="333">
        <v>0</v>
      </c>
      <c r="N524" s="329">
        <f t="shared" si="97"/>
        <v>24200000</v>
      </c>
      <c r="O524" s="329">
        <v>18150000.000000011</v>
      </c>
      <c r="P524" s="333"/>
      <c r="Q524" s="333">
        <v>0</v>
      </c>
      <c r="R524" s="329">
        <f t="shared" si="99"/>
        <v>18150000.000000011</v>
      </c>
      <c r="S524" s="333">
        <f t="shared" si="98"/>
        <v>6049999.9999999888</v>
      </c>
    </row>
    <row r="525" spans="1:19" ht="15.75" customHeight="1">
      <c r="A525" s="266" t="s">
        <v>944</v>
      </c>
      <c r="D525" s="538"/>
      <c r="E525" s="539"/>
      <c r="F525" s="466"/>
      <c r="G525" s="540"/>
      <c r="H525" s="362" t="s">
        <v>661</v>
      </c>
      <c r="I525" s="363">
        <v>2014</v>
      </c>
      <c r="J525" s="430">
        <v>0.125</v>
      </c>
      <c r="K525" s="333">
        <v>31600000</v>
      </c>
      <c r="L525" s="333">
        <v>0</v>
      </c>
      <c r="M525" s="333">
        <v>0</v>
      </c>
      <c r="N525" s="329">
        <f t="shared" si="97"/>
        <v>31600000</v>
      </c>
      <c r="O525" s="329">
        <v>23700000.000000015</v>
      </c>
      <c r="P525" s="333"/>
      <c r="Q525" s="333">
        <v>0</v>
      </c>
      <c r="R525" s="329">
        <f t="shared" si="99"/>
        <v>23700000.000000015</v>
      </c>
      <c r="S525" s="333">
        <f t="shared" si="98"/>
        <v>7899999.9999999851</v>
      </c>
    </row>
    <row r="526" spans="1:19" ht="15.75" customHeight="1">
      <c r="A526" s="266" t="s">
        <v>944</v>
      </c>
      <c r="D526" s="538"/>
      <c r="E526" s="539"/>
      <c r="F526" s="466"/>
      <c r="G526" s="540"/>
      <c r="H526" s="362" t="s">
        <v>662</v>
      </c>
      <c r="I526" s="363">
        <v>2014</v>
      </c>
      <c r="J526" s="430">
        <v>0.125</v>
      </c>
      <c r="K526" s="333">
        <v>12100000</v>
      </c>
      <c r="L526" s="333">
        <v>0</v>
      </c>
      <c r="M526" s="333">
        <v>0</v>
      </c>
      <c r="N526" s="329">
        <f t="shared" si="97"/>
        <v>12100000</v>
      </c>
      <c r="O526" s="329">
        <v>9075000.0000000056</v>
      </c>
      <c r="P526" s="333"/>
      <c r="Q526" s="333">
        <v>0</v>
      </c>
      <c r="R526" s="329">
        <f t="shared" si="99"/>
        <v>9075000.0000000056</v>
      </c>
      <c r="S526" s="333">
        <f t="shared" si="98"/>
        <v>3024999.9999999944</v>
      </c>
    </row>
    <row r="527" spans="1:19" ht="15.75" customHeight="1">
      <c r="A527" s="266" t="s">
        <v>944</v>
      </c>
      <c r="D527" s="538"/>
      <c r="E527" s="539"/>
      <c r="F527" s="466"/>
      <c r="G527" s="540"/>
      <c r="H527" s="362" t="s">
        <v>663</v>
      </c>
      <c r="I527" s="363">
        <v>2014</v>
      </c>
      <c r="J527" s="430">
        <v>0.125</v>
      </c>
      <c r="K527" s="333">
        <v>15400000</v>
      </c>
      <c r="L527" s="333">
        <v>0</v>
      </c>
      <c r="M527" s="333">
        <v>0</v>
      </c>
      <c r="N527" s="329">
        <f t="shared" si="97"/>
        <v>15400000</v>
      </c>
      <c r="O527" s="329">
        <v>11549999.999999994</v>
      </c>
      <c r="P527" s="333"/>
      <c r="Q527" s="333">
        <v>0</v>
      </c>
      <c r="R527" s="329">
        <f t="shared" si="99"/>
        <v>11549999.999999994</v>
      </c>
      <c r="S527" s="333">
        <f t="shared" si="98"/>
        <v>3850000.0000000056</v>
      </c>
    </row>
    <row r="528" spans="1:19" ht="15.75" customHeight="1">
      <c r="A528" s="266" t="s">
        <v>944</v>
      </c>
      <c r="D528" s="538"/>
      <c r="E528" s="539"/>
      <c r="F528" s="466"/>
      <c r="G528" s="540"/>
      <c r="H528" s="362" t="s">
        <v>664</v>
      </c>
      <c r="I528" s="363">
        <v>2014</v>
      </c>
      <c r="J528" s="430">
        <v>0.125</v>
      </c>
      <c r="K528" s="333">
        <v>60500000</v>
      </c>
      <c r="L528" s="333">
        <v>0</v>
      </c>
      <c r="M528" s="333">
        <v>0</v>
      </c>
      <c r="N528" s="329">
        <f t="shared" si="97"/>
        <v>60500000</v>
      </c>
      <c r="O528" s="329">
        <v>45375000.000000022</v>
      </c>
      <c r="P528" s="333"/>
      <c r="Q528" s="333">
        <v>0</v>
      </c>
      <c r="R528" s="329">
        <f t="shared" si="99"/>
        <v>45375000.000000022</v>
      </c>
      <c r="S528" s="333">
        <f t="shared" si="98"/>
        <v>15124999.999999978</v>
      </c>
    </row>
    <row r="529" spans="1:19" ht="15.75" customHeight="1">
      <c r="A529" s="266" t="s">
        <v>944</v>
      </c>
      <c r="D529" s="538"/>
      <c r="E529" s="539"/>
      <c r="F529" s="466"/>
      <c r="G529" s="540"/>
      <c r="H529" s="362" t="s">
        <v>665</v>
      </c>
      <c r="I529" s="363">
        <v>2014</v>
      </c>
      <c r="J529" s="430">
        <v>0.125</v>
      </c>
      <c r="K529" s="333">
        <v>14200000</v>
      </c>
      <c r="L529" s="333">
        <v>0</v>
      </c>
      <c r="M529" s="333">
        <v>0</v>
      </c>
      <c r="N529" s="329">
        <f t="shared" si="97"/>
        <v>14200000</v>
      </c>
      <c r="O529" s="329">
        <v>10649999.999999998</v>
      </c>
      <c r="P529" s="333"/>
      <c r="Q529" s="333">
        <v>0</v>
      </c>
      <c r="R529" s="329">
        <f t="shared" si="99"/>
        <v>10649999.999999998</v>
      </c>
      <c r="S529" s="333">
        <f t="shared" si="98"/>
        <v>3550000.0000000019</v>
      </c>
    </row>
    <row r="530" spans="1:19" ht="15.75" customHeight="1">
      <c r="A530" s="266" t="s">
        <v>944</v>
      </c>
      <c r="D530" s="538"/>
      <c r="E530" s="539"/>
      <c r="F530" s="466"/>
      <c r="G530" s="540"/>
      <c r="H530" s="362" t="s">
        <v>665</v>
      </c>
      <c r="I530" s="363">
        <v>2014</v>
      </c>
      <c r="J530" s="430">
        <v>0.125</v>
      </c>
      <c r="K530" s="333">
        <v>16400000</v>
      </c>
      <c r="L530" s="333">
        <v>0</v>
      </c>
      <c r="M530" s="333">
        <v>0</v>
      </c>
      <c r="N530" s="329">
        <f t="shared" si="97"/>
        <v>16400000</v>
      </c>
      <c r="O530" s="329">
        <v>12300000.000000007</v>
      </c>
      <c r="P530" s="333"/>
      <c r="Q530" s="333">
        <v>0</v>
      </c>
      <c r="R530" s="329">
        <f t="shared" si="99"/>
        <v>12300000.000000007</v>
      </c>
      <c r="S530" s="333">
        <f t="shared" si="98"/>
        <v>4099999.9999999925</v>
      </c>
    </row>
    <row r="531" spans="1:19" ht="15.75" customHeight="1">
      <c r="A531" s="266" t="s">
        <v>944</v>
      </c>
      <c r="D531" s="538"/>
      <c r="E531" s="539"/>
      <c r="F531" s="466"/>
      <c r="G531" s="540"/>
      <c r="H531" s="362" t="s">
        <v>666</v>
      </c>
      <c r="I531" s="363">
        <v>2014</v>
      </c>
      <c r="J531" s="430">
        <v>0.125</v>
      </c>
      <c r="K531" s="333">
        <v>113500000</v>
      </c>
      <c r="L531" s="333">
        <v>0</v>
      </c>
      <c r="M531" s="333">
        <v>0</v>
      </c>
      <c r="N531" s="329">
        <f t="shared" si="97"/>
        <v>113500000</v>
      </c>
      <c r="O531" s="329">
        <v>85125000.000000015</v>
      </c>
      <c r="P531" s="333"/>
      <c r="Q531" s="333">
        <v>0</v>
      </c>
      <c r="R531" s="329">
        <f t="shared" si="99"/>
        <v>85125000.000000015</v>
      </c>
      <c r="S531" s="333">
        <f t="shared" si="98"/>
        <v>28374999.999999985</v>
      </c>
    </row>
    <row r="532" spans="1:19" ht="15.75" customHeight="1">
      <c r="A532" s="266" t="s">
        <v>944</v>
      </c>
      <c r="D532" s="538"/>
      <c r="E532" s="539"/>
      <c r="F532" s="466"/>
      <c r="G532" s="540"/>
      <c r="H532" s="362" t="s">
        <v>667</v>
      </c>
      <c r="I532" s="363">
        <v>2014</v>
      </c>
      <c r="J532" s="430">
        <v>0.125</v>
      </c>
      <c r="K532" s="333">
        <v>8800000</v>
      </c>
      <c r="L532" s="333">
        <v>0</v>
      </c>
      <c r="M532" s="333">
        <v>0</v>
      </c>
      <c r="N532" s="329">
        <f t="shared" si="97"/>
        <v>8800000</v>
      </c>
      <c r="O532" s="329">
        <v>6600000.0000000056</v>
      </c>
      <c r="P532" s="333"/>
      <c r="Q532" s="333">
        <v>0</v>
      </c>
      <c r="R532" s="329">
        <f t="shared" si="99"/>
        <v>6600000.0000000056</v>
      </c>
      <c r="S532" s="333">
        <f t="shared" si="98"/>
        <v>2199999.9999999944</v>
      </c>
    </row>
    <row r="533" spans="1:19" ht="15.75" customHeight="1">
      <c r="A533" s="266" t="s">
        <v>944</v>
      </c>
      <c r="D533" s="538"/>
      <c r="E533" s="539"/>
      <c r="F533" s="466"/>
      <c r="G533" s="540"/>
      <c r="H533" s="362" t="s">
        <v>667</v>
      </c>
      <c r="I533" s="363">
        <v>2014</v>
      </c>
      <c r="J533" s="430">
        <v>0.125</v>
      </c>
      <c r="K533" s="333">
        <v>30300000</v>
      </c>
      <c r="L533" s="333">
        <v>0</v>
      </c>
      <c r="M533" s="333">
        <v>0</v>
      </c>
      <c r="N533" s="329">
        <f t="shared" si="97"/>
        <v>30300000</v>
      </c>
      <c r="O533" s="329">
        <v>22725000</v>
      </c>
      <c r="P533" s="333"/>
      <c r="Q533" s="333">
        <v>0</v>
      </c>
      <c r="R533" s="329">
        <f t="shared" si="99"/>
        <v>22725000</v>
      </c>
      <c r="S533" s="333">
        <f t="shared" si="98"/>
        <v>7575000</v>
      </c>
    </row>
    <row r="534" spans="1:19" ht="15.75" customHeight="1">
      <c r="A534" s="266" t="s">
        <v>944</v>
      </c>
      <c r="D534" s="538"/>
      <c r="E534" s="539"/>
      <c r="F534" s="466"/>
      <c r="G534" s="540"/>
      <c r="H534" s="362" t="s">
        <v>668</v>
      </c>
      <c r="I534" s="363">
        <v>2014</v>
      </c>
      <c r="J534" s="430">
        <v>0.125</v>
      </c>
      <c r="K534" s="333">
        <v>23100000</v>
      </c>
      <c r="L534" s="333">
        <v>0</v>
      </c>
      <c r="M534" s="333">
        <v>0</v>
      </c>
      <c r="N534" s="329">
        <f t="shared" si="97"/>
        <v>23100000</v>
      </c>
      <c r="O534" s="329">
        <v>17325000</v>
      </c>
      <c r="P534" s="333"/>
      <c r="Q534" s="333">
        <v>0</v>
      </c>
      <c r="R534" s="329">
        <f t="shared" si="99"/>
        <v>17325000</v>
      </c>
      <c r="S534" s="333">
        <f t="shared" si="98"/>
        <v>5775000</v>
      </c>
    </row>
    <row r="535" spans="1:19" ht="15.75" customHeight="1">
      <c r="A535" s="266" t="s">
        <v>944</v>
      </c>
      <c r="B535" s="266">
        <v>1</v>
      </c>
      <c r="C535" s="266">
        <v>1</v>
      </c>
      <c r="D535" s="538"/>
      <c r="E535" s="539"/>
      <c r="F535" s="466"/>
      <c r="G535" s="540"/>
      <c r="H535" s="362" t="s">
        <v>669</v>
      </c>
      <c r="I535" s="363">
        <v>2015</v>
      </c>
      <c r="J535" s="430">
        <v>0.125</v>
      </c>
      <c r="K535" s="333">
        <v>379688727</v>
      </c>
      <c r="L535" s="333">
        <v>0</v>
      </c>
      <c r="M535" s="333">
        <v>0</v>
      </c>
      <c r="N535" s="329">
        <f t="shared" si="97"/>
        <v>379688727</v>
      </c>
      <c r="O535" s="329">
        <v>322735417.94999999</v>
      </c>
      <c r="P535" s="333"/>
      <c r="Q535" s="333">
        <v>0</v>
      </c>
      <c r="R535" s="329">
        <f t="shared" si="99"/>
        <v>322735417.94999999</v>
      </c>
      <c r="S535" s="333">
        <f t="shared" si="98"/>
        <v>56953309.050000012</v>
      </c>
    </row>
    <row r="536" spans="1:19" ht="15.75" customHeight="1">
      <c r="A536" s="266" t="s">
        <v>944</v>
      </c>
      <c r="B536" s="266">
        <v>3</v>
      </c>
      <c r="C536" s="266">
        <v>3</v>
      </c>
      <c r="D536" s="538"/>
      <c r="E536" s="539"/>
      <c r="F536" s="466"/>
      <c r="G536" s="540"/>
      <c r="H536" s="362" t="s">
        <v>670</v>
      </c>
      <c r="I536" s="363">
        <v>2015</v>
      </c>
      <c r="J536" s="430">
        <v>0.125</v>
      </c>
      <c r="K536" s="333">
        <v>99297924</v>
      </c>
      <c r="L536" s="333">
        <v>0</v>
      </c>
      <c r="M536" s="333">
        <v>0</v>
      </c>
      <c r="N536" s="329">
        <f t="shared" si="97"/>
        <v>99297924</v>
      </c>
      <c r="O536" s="329">
        <v>82748270</v>
      </c>
      <c r="P536" s="333"/>
      <c r="Q536" s="333">
        <v>0</v>
      </c>
      <c r="R536" s="329">
        <f t="shared" si="99"/>
        <v>82748270</v>
      </c>
      <c r="S536" s="333">
        <f t="shared" si="98"/>
        <v>16549654</v>
      </c>
    </row>
    <row r="537" spans="1:19" ht="15.75" customHeight="1">
      <c r="A537" s="266" t="s">
        <v>944</v>
      </c>
      <c r="B537" s="266">
        <v>6</v>
      </c>
      <c r="C537" s="266">
        <v>6</v>
      </c>
      <c r="D537" s="538"/>
      <c r="E537" s="539"/>
      <c r="F537" s="466"/>
      <c r="G537" s="540"/>
      <c r="H537" s="362" t="s">
        <v>671</v>
      </c>
      <c r="I537" s="363">
        <v>2015</v>
      </c>
      <c r="J537" s="430">
        <v>0.125</v>
      </c>
      <c r="K537" s="333">
        <v>105000000</v>
      </c>
      <c r="L537" s="333">
        <v>0</v>
      </c>
      <c r="M537" s="333">
        <v>0</v>
      </c>
      <c r="N537" s="329">
        <f t="shared" si="97"/>
        <v>105000000</v>
      </c>
      <c r="O537" s="329">
        <v>84875000</v>
      </c>
      <c r="P537" s="333"/>
      <c r="Q537" s="333">
        <v>0</v>
      </c>
      <c r="R537" s="329">
        <f t="shared" si="99"/>
        <v>84875000</v>
      </c>
      <c r="S537" s="333">
        <f t="shared" si="98"/>
        <v>20125000</v>
      </c>
    </row>
    <row r="538" spans="1:19" ht="15.75" customHeight="1">
      <c r="A538" s="266" t="s">
        <v>944</v>
      </c>
      <c r="B538" s="266">
        <v>10</v>
      </c>
      <c r="C538" s="266">
        <v>10</v>
      </c>
      <c r="D538" s="538"/>
      <c r="E538" s="539"/>
      <c r="F538" s="466"/>
      <c r="G538" s="540"/>
      <c r="H538" s="362" t="s">
        <v>672</v>
      </c>
      <c r="I538" s="363">
        <v>2015</v>
      </c>
      <c r="J538" s="430">
        <v>0.125</v>
      </c>
      <c r="K538" s="333">
        <v>70500000</v>
      </c>
      <c r="L538" s="333">
        <v>0</v>
      </c>
      <c r="M538" s="333">
        <v>0</v>
      </c>
      <c r="N538" s="329">
        <f t="shared" si="97"/>
        <v>70500000</v>
      </c>
      <c r="O538" s="329">
        <v>54637500</v>
      </c>
      <c r="P538" s="333"/>
      <c r="Q538" s="333">
        <v>0</v>
      </c>
      <c r="R538" s="329">
        <f t="shared" si="99"/>
        <v>54637500</v>
      </c>
      <c r="S538" s="333">
        <f t="shared" si="98"/>
        <v>15862500</v>
      </c>
    </row>
    <row r="539" spans="1:19" ht="15.75" customHeight="1">
      <c r="A539" s="266" t="s">
        <v>944</v>
      </c>
      <c r="B539" s="266">
        <v>11</v>
      </c>
      <c r="C539" s="266">
        <v>11</v>
      </c>
      <c r="D539" s="538"/>
      <c r="E539" s="539"/>
      <c r="F539" s="466"/>
      <c r="G539" s="541"/>
      <c r="H539" s="372" t="s">
        <v>673</v>
      </c>
      <c r="I539" s="373">
        <v>2015</v>
      </c>
      <c r="J539" s="435">
        <v>0.125</v>
      </c>
      <c r="K539" s="329">
        <v>25275000</v>
      </c>
      <c r="L539" s="329">
        <v>0</v>
      </c>
      <c r="M539" s="329">
        <v>0</v>
      </c>
      <c r="N539" s="329">
        <f t="shared" si="97"/>
        <v>25275000</v>
      </c>
      <c r="O539" s="329">
        <v>19377500</v>
      </c>
      <c r="P539" s="333"/>
      <c r="Q539" s="329">
        <v>0</v>
      </c>
      <c r="R539" s="329">
        <f t="shared" si="99"/>
        <v>19377500</v>
      </c>
      <c r="S539" s="333">
        <f t="shared" si="98"/>
        <v>5897500</v>
      </c>
    </row>
    <row r="540" spans="1:19" s="317" customFormat="1" ht="15.75" customHeight="1">
      <c r="A540" s="266" t="s">
        <v>944</v>
      </c>
      <c r="B540" s="266">
        <v>11</v>
      </c>
      <c r="C540" s="266">
        <v>11</v>
      </c>
      <c r="D540" s="552"/>
      <c r="E540" s="553"/>
      <c r="F540" s="466"/>
      <c r="G540" s="543"/>
      <c r="H540" s="494" t="s">
        <v>674</v>
      </c>
      <c r="I540" s="363">
        <v>2015</v>
      </c>
      <c r="J540" s="430">
        <v>0.125</v>
      </c>
      <c r="K540" s="333">
        <v>3780000</v>
      </c>
      <c r="L540" s="333">
        <v>0</v>
      </c>
      <c r="M540" s="333">
        <v>0</v>
      </c>
      <c r="N540" s="329">
        <f t="shared" si="97"/>
        <v>3780000</v>
      </c>
      <c r="O540" s="333">
        <v>2898000</v>
      </c>
      <c r="P540" s="333"/>
      <c r="Q540" s="333">
        <v>0</v>
      </c>
      <c r="R540" s="329">
        <f t="shared" si="99"/>
        <v>2898000</v>
      </c>
      <c r="S540" s="333">
        <f t="shared" si="98"/>
        <v>882000</v>
      </c>
    </row>
    <row r="541" spans="1:19" s="317" customFormat="1" ht="15.75" customHeight="1">
      <c r="A541" s="266"/>
      <c r="B541" s="266"/>
      <c r="C541" s="266"/>
      <c r="D541" s="552"/>
      <c r="E541" s="553"/>
      <c r="F541" s="466"/>
      <c r="G541" s="543"/>
      <c r="H541" s="494" t="s">
        <v>675</v>
      </c>
      <c r="I541" s="363">
        <v>2016</v>
      </c>
      <c r="J541" s="430">
        <v>0.125</v>
      </c>
      <c r="K541" s="333">
        <v>24300000</v>
      </c>
      <c r="L541" s="333">
        <v>0</v>
      </c>
      <c r="M541" s="333">
        <v>0</v>
      </c>
      <c r="N541" s="329">
        <f t="shared" si="97"/>
        <v>24300000</v>
      </c>
      <c r="O541" s="333">
        <v>16959375</v>
      </c>
      <c r="P541" s="333"/>
      <c r="Q541" s="333">
        <v>0</v>
      </c>
      <c r="R541" s="329">
        <f t="shared" si="99"/>
        <v>16959375</v>
      </c>
      <c r="S541" s="333">
        <f t="shared" si="98"/>
        <v>7340625</v>
      </c>
    </row>
    <row r="542" spans="1:19" s="317" customFormat="1" ht="15.75" customHeight="1">
      <c r="A542" s="266"/>
      <c r="B542" s="266"/>
      <c r="C542" s="266"/>
      <c r="D542" s="552"/>
      <c r="E542" s="553"/>
      <c r="F542" s="466"/>
      <c r="G542" s="543"/>
      <c r="H542" s="494" t="s">
        <v>607</v>
      </c>
      <c r="I542" s="363">
        <v>2016</v>
      </c>
      <c r="J542" s="430">
        <v>0.125</v>
      </c>
      <c r="K542" s="333">
        <v>1270000000</v>
      </c>
      <c r="L542" s="333">
        <v>0</v>
      </c>
      <c r="M542" s="333">
        <v>0</v>
      </c>
      <c r="N542" s="329">
        <f t="shared" si="97"/>
        <v>1270000000</v>
      </c>
      <c r="O542" s="333">
        <v>793749999.99999952</v>
      </c>
      <c r="P542" s="333"/>
      <c r="Q542" s="333">
        <v>0</v>
      </c>
      <c r="R542" s="329">
        <f t="shared" si="99"/>
        <v>793749999.99999952</v>
      </c>
      <c r="S542" s="333">
        <f t="shared" si="98"/>
        <v>476250000.00000048</v>
      </c>
    </row>
    <row r="543" spans="1:19" s="317" customFormat="1" ht="15.75" customHeight="1">
      <c r="A543" s="266"/>
      <c r="B543" s="266"/>
      <c r="C543" s="266"/>
      <c r="D543" s="552"/>
      <c r="E543" s="553"/>
      <c r="F543" s="466"/>
      <c r="G543" s="543"/>
      <c r="H543" s="494" t="s">
        <v>676</v>
      </c>
      <c r="I543" s="409">
        <v>2017</v>
      </c>
      <c r="J543" s="430">
        <v>0.125</v>
      </c>
      <c r="K543" s="333">
        <v>72000000</v>
      </c>
      <c r="L543" s="333">
        <v>0</v>
      </c>
      <c r="M543" s="333">
        <v>0</v>
      </c>
      <c r="N543" s="329">
        <f t="shared" si="97"/>
        <v>72000000</v>
      </c>
      <c r="O543" s="333">
        <v>42750000</v>
      </c>
      <c r="P543" s="333"/>
      <c r="Q543" s="333">
        <v>0</v>
      </c>
      <c r="R543" s="329">
        <f t="shared" si="99"/>
        <v>42750000</v>
      </c>
      <c r="S543" s="333">
        <f t="shared" si="98"/>
        <v>29250000</v>
      </c>
    </row>
    <row r="544" spans="1:19" s="317" customFormat="1" ht="15.75" customHeight="1">
      <c r="A544" s="266"/>
      <c r="B544" s="266"/>
      <c r="C544" s="266"/>
      <c r="D544" s="538"/>
      <c r="E544" s="553"/>
      <c r="F544" s="466"/>
      <c r="G544" s="543"/>
      <c r="H544" s="494" t="s">
        <v>677</v>
      </c>
      <c r="I544" s="409">
        <v>2017</v>
      </c>
      <c r="J544" s="554">
        <v>0.125</v>
      </c>
      <c r="K544" s="333">
        <v>635000000</v>
      </c>
      <c r="L544" s="333">
        <v>0</v>
      </c>
      <c r="M544" s="333">
        <v>0</v>
      </c>
      <c r="N544" s="329">
        <f t="shared" si="97"/>
        <v>635000000</v>
      </c>
      <c r="O544" s="333">
        <v>357187499.99999988</v>
      </c>
      <c r="P544" s="333"/>
      <c r="Q544" s="333">
        <v>0</v>
      </c>
      <c r="R544" s="329">
        <f t="shared" si="99"/>
        <v>357187499.99999988</v>
      </c>
      <c r="S544" s="333">
        <f t="shared" si="98"/>
        <v>277812500.00000012</v>
      </c>
    </row>
    <row r="545" spans="1:19" s="317" customFormat="1" ht="15.75" customHeight="1">
      <c r="A545" s="266"/>
      <c r="B545" s="266"/>
      <c r="C545" s="266"/>
      <c r="D545" s="538"/>
      <c r="E545" s="553"/>
      <c r="F545" s="466"/>
      <c r="G545" s="543"/>
      <c r="H545" s="494" t="s">
        <v>174</v>
      </c>
      <c r="I545" s="409">
        <v>2018</v>
      </c>
      <c r="J545" s="554">
        <v>0.125</v>
      </c>
      <c r="K545" s="333">
        <v>777978111.81999993</v>
      </c>
      <c r="L545" s="333">
        <v>0</v>
      </c>
      <c r="M545" s="333">
        <v>0</v>
      </c>
      <c r="N545" s="329">
        <f t="shared" si="97"/>
        <v>777978111.81999993</v>
      </c>
      <c r="O545" s="333">
        <v>372781178.58041656</v>
      </c>
      <c r="P545" s="333"/>
      <c r="Q545" s="333">
        <v>0</v>
      </c>
      <c r="R545" s="329">
        <f t="shared" si="99"/>
        <v>372781178.58041656</v>
      </c>
      <c r="S545" s="333">
        <f t="shared" si="98"/>
        <v>405196933.23958337</v>
      </c>
    </row>
    <row r="546" spans="1:19" s="317" customFormat="1" ht="15.75" customHeight="1">
      <c r="A546" s="266"/>
      <c r="B546" s="266"/>
      <c r="C546" s="266"/>
      <c r="D546" s="538"/>
      <c r="E546" s="553"/>
      <c r="F546" s="466"/>
      <c r="G546" s="543"/>
      <c r="H546" s="494" t="s">
        <v>678</v>
      </c>
      <c r="I546" s="409">
        <v>2018</v>
      </c>
      <c r="J546" s="554">
        <v>0.125</v>
      </c>
      <c r="K546" s="333">
        <v>10500000</v>
      </c>
      <c r="L546" s="333">
        <v>0</v>
      </c>
      <c r="M546" s="333">
        <v>0</v>
      </c>
      <c r="N546" s="329">
        <f t="shared" si="97"/>
        <v>10500000</v>
      </c>
      <c r="O546" s="333">
        <v>4812500</v>
      </c>
      <c r="P546" s="333"/>
      <c r="Q546" s="333">
        <v>0</v>
      </c>
      <c r="R546" s="329">
        <f t="shared" si="99"/>
        <v>4812500</v>
      </c>
      <c r="S546" s="333">
        <f t="shared" si="98"/>
        <v>5687500</v>
      </c>
    </row>
    <row r="547" spans="1:19" s="317" customFormat="1" ht="15.75" customHeight="1">
      <c r="A547" s="266"/>
      <c r="B547" s="266"/>
      <c r="C547" s="266"/>
      <c r="D547" s="538"/>
      <c r="E547" s="553"/>
      <c r="F547" s="466"/>
      <c r="G547" s="543"/>
      <c r="H547" s="494" t="s">
        <v>583</v>
      </c>
      <c r="I547" s="409">
        <v>2018</v>
      </c>
      <c r="J547" s="554">
        <v>0.125</v>
      </c>
      <c r="K547" s="333">
        <v>18900000</v>
      </c>
      <c r="L547" s="333">
        <v>0</v>
      </c>
      <c r="M547" s="333">
        <v>0</v>
      </c>
      <c r="N547" s="329">
        <f t="shared" si="97"/>
        <v>18900000</v>
      </c>
      <c r="O547" s="333">
        <v>8465625</v>
      </c>
      <c r="P547" s="333"/>
      <c r="Q547" s="333">
        <v>0</v>
      </c>
      <c r="R547" s="329">
        <f t="shared" si="99"/>
        <v>8465625</v>
      </c>
      <c r="S547" s="333">
        <f t="shared" si="98"/>
        <v>10434375</v>
      </c>
    </row>
    <row r="548" spans="1:19" s="317" customFormat="1" ht="15.75" customHeight="1">
      <c r="A548" s="266"/>
      <c r="B548" s="266"/>
      <c r="C548" s="266"/>
      <c r="D548" s="538"/>
      <c r="E548" s="553"/>
      <c r="F548" s="466"/>
      <c r="G548" s="543"/>
      <c r="H548" s="494" t="s">
        <v>545</v>
      </c>
      <c r="I548" s="409">
        <v>2018</v>
      </c>
      <c r="J548" s="554">
        <v>0.125</v>
      </c>
      <c r="K548" s="333">
        <v>13958000</v>
      </c>
      <c r="L548" s="333">
        <v>0</v>
      </c>
      <c r="M548" s="333">
        <v>0</v>
      </c>
      <c r="N548" s="329">
        <f t="shared" si="97"/>
        <v>13958000</v>
      </c>
      <c r="O548" s="333">
        <v>6252020.8333333302</v>
      </c>
      <c r="P548" s="333"/>
      <c r="Q548" s="333">
        <v>0</v>
      </c>
      <c r="R548" s="329">
        <f t="shared" si="99"/>
        <v>6252020.8333333302</v>
      </c>
      <c r="S548" s="333">
        <f t="shared" si="98"/>
        <v>7705979.1666666698</v>
      </c>
    </row>
    <row r="549" spans="1:19" s="317" customFormat="1" ht="15.75" customHeight="1">
      <c r="A549" s="266"/>
      <c r="B549" s="266"/>
      <c r="C549" s="266"/>
      <c r="D549" s="538"/>
      <c r="E549" s="553"/>
      <c r="F549" s="466"/>
      <c r="G549" s="543"/>
      <c r="H549" s="494" t="s">
        <v>679</v>
      </c>
      <c r="I549" s="409">
        <v>2018</v>
      </c>
      <c r="J549" s="554">
        <v>0.125</v>
      </c>
      <c r="K549" s="333">
        <v>37260000</v>
      </c>
      <c r="L549" s="333">
        <v>0</v>
      </c>
      <c r="M549" s="333">
        <v>0</v>
      </c>
      <c r="N549" s="329">
        <f t="shared" si="97"/>
        <v>37260000</v>
      </c>
      <c r="O549" s="333">
        <v>16689375</v>
      </c>
      <c r="P549" s="333"/>
      <c r="Q549" s="333">
        <v>0</v>
      </c>
      <c r="R549" s="329">
        <f t="shared" si="99"/>
        <v>16689375</v>
      </c>
      <c r="S549" s="333">
        <f t="shared" si="98"/>
        <v>20570625</v>
      </c>
    </row>
    <row r="550" spans="1:19" s="317" customFormat="1" ht="15.75" customHeight="1">
      <c r="A550" s="266"/>
      <c r="B550" s="266"/>
      <c r="C550" s="266"/>
      <c r="D550" s="538"/>
      <c r="E550" s="553"/>
      <c r="F550" s="466"/>
      <c r="G550" s="543"/>
      <c r="H550" s="494" t="s">
        <v>680</v>
      </c>
      <c r="I550" s="409">
        <v>2018</v>
      </c>
      <c r="J550" s="554">
        <v>0.125</v>
      </c>
      <c r="K550" s="333">
        <v>646100000</v>
      </c>
      <c r="L550" s="333">
        <v>0</v>
      </c>
      <c r="M550" s="333">
        <v>0</v>
      </c>
      <c r="N550" s="329">
        <f t="shared" si="97"/>
        <v>646100000</v>
      </c>
      <c r="O550" s="333">
        <v>275938541.66666681</v>
      </c>
      <c r="P550" s="333"/>
      <c r="Q550" s="333">
        <v>0</v>
      </c>
      <c r="R550" s="329">
        <f t="shared" si="99"/>
        <v>275938541.66666681</v>
      </c>
      <c r="S550" s="333">
        <f t="shared" si="98"/>
        <v>370161458.33333319</v>
      </c>
    </row>
    <row r="551" spans="1:19" s="317" customFormat="1" ht="15.75" customHeight="1">
      <c r="A551" s="266"/>
      <c r="B551" s="266"/>
      <c r="C551" s="266"/>
      <c r="D551" s="538"/>
      <c r="E551" s="553"/>
      <c r="F551" s="466"/>
      <c r="G551" s="543"/>
      <c r="H551" s="494" t="s">
        <v>681</v>
      </c>
      <c r="I551" s="409">
        <v>2018</v>
      </c>
      <c r="J551" s="554">
        <v>0.125</v>
      </c>
      <c r="K551" s="333">
        <v>6850000</v>
      </c>
      <c r="L551" s="333">
        <v>0</v>
      </c>
      <c r="M551" s="333">
        <v>0</v>
      </c>
      <c r="N551" s="329">
        <f t="shared" si="97"/>
        <v>6850000</v>
      </c>
      <c r="O551" s="333">
        <v>2782812.4999999995</v>
      </c>
      <c r="P551" s="333"/>
      <c r="Q551" s="333">
        <v>0</v>
      </c>
      <c r="R551" s="329">
        <f t="shared" si="99"/>
        <v>2782812.4999999995</v>
      </c>
      <c r="S551" s="333">
        <f t="shared" si="98"/>
        <v>4067187.5000000005</v>
      </c>
    </row>
    <row r="552" spans="1:19" s="317" customFormat="1" ht="15.75" customHeight="1">
      <c r="A552" s="266"/>
      <c r="B552" s="266"/>
      <c r="C552" s="266"/>
      <c r="D552" s="538"/>
      <c r="E552" s="553"/>
      <c r="F552" s="466"/>
      <c r="G552" s="543"/>
      <c r="H552" s="494" t="s">
        <v>682</v>
      </c>
      <c r="I552" s="409">
        <v>2018</v>
      </c>
      <c r="J552" s="554">
        <v>0.125</v>
      </c>
      <c r="K552" s="333">
        <v>875139505</v>
      </c>
      <c r="L552" s="333">
        <v>0</v>
      </c>
      <c r="M552" s="333">
        <v>0</v>
      </c>
      <c r="N552" s="329">
        <f t="shared" si="97"/>
        <v>875139505</v>
      </c>
      <c r="O552" s="333">
        <v>337293350.88541669</v>
      </c>
      <c r="P552" s="333"/>
      <c r="Q552" s="333">
        <v>0</v>
      </c>
      <c r="R552" s="329">
        <f t="shared" si="99"/>
        <v>337293350.88541669</v>
      </c>
      <c r="S552" s="333">
        <f t="shared" si="98"/>
        <v>537846154.11458325</v>
      </c>
    </row>
    <row r="553" spans="1:19" s="317" customFormat="1" ht="15.75" customHeight="1">
      <c r="A553" s="266"/>
      <c r="B553" s="266"/>
      <c r="C553" s="266"/>
      <c r="D553" s="538"/>
      <c r="E553" s="553"/>
      <c r="F553" s="466"/>
      <c r="G553" s="543"/>
      <c r="H553" s="494" t="s">
        <v>683</v>
      </c>
      <c r="I553" s="409">
        <v>2018</v>
      </c>
      <c r="J553" s="554">
        <v>0.125</v>
      </c>
      <c r="K553" s="333">
        <v>1600000</v>
      </c>
      <c r="L553" s="333">
        <v>0</v>
      </c>
      <c r="M553" s="333">
        <v>0</v>
      </c>
      <c r="N553" s="329">
        <f t="shared" si="97"/>
        <v>1600000</v>
      </c>
      <c r="O553" s="333">
        <v>600000.00000000012</v>
      </c>
      <c r="P553" s="333"/>
      <c r="Q553" s="333">
        <v>0</v>
      </c>
      <c r="R553" s="329">
        <f t="shared" si="99"/>
        <v>600000.00000000012</v>
      </c>
      <c r="S553" s="333">
        <f t="shared" si="98"/>
        <v>999999.99999999988</v>
      </c>
    </row>
    <row r="554" spans="1:19" s="317" customFormat="1" ht="15.75" customHeight="1">
      <c r="A554" s="266"/>
      <c r="B554" s="266"/>
      <c r="C554" s="266"/>
      <c r="D554" s="538"/>
      <c r="E554" s="553"/>
      <c r="F554" s="466"/>
      <c r="G554" s="543"/>
      <c r="H554" s="410" t="s">
        <v>664</v>
      </c>
      <c r="I554" s="458">
        <v>43483</v>
      </c>
      <c r="J554" s="554">
        <v>0.125</v>
      </c>
      <c r="K554" s="333">
        <v>80000000</v>
      </c>
      <c r="L554" s="333"/>
      <c r="M554" s="333">
        <v>0</v>
      </c>
      <c r="N554" s="329">
        <f t="shared" si="97"/>
        <v>80000000</v>
      </c>
      <c r="O554" s="333">
        <v>29166666.666666653</v>
      </c>
      <c r="P554" s="333"/>
      <c r="Q554" s="333">
        <v>0</v>
      </c>
      <c r="R554" s="329">
        <f t="shared" si="99"/>
        <v>29166666.666666653</v>
      </c>
      <c r="S554" s="333">
        <f t="shared" si="98"/>
        <v>50833333.333333343</v>
      </c>
    </row>
    <row r="555" spans="1:19" s="317" customFormat="1" ht="15.75" customHeight="1">
      <c r="A555" s="266"/>
      <c r="B555" s="266"/>
      <c r="C555" s="266"/>
      <c r="D555" s="538"/>
      <c r="E555" s="555"/>
      <c r="F555" s="556"/>
      <c r="G555" s="544"/>
      <c r="H555" s="375" t="s">
        <v>684</v>
      </c>
      <c r="I555" s="376">
        <v>43524</v>
      </c>
      <c r="J555" s="557">
        <v>0.125</v>
      </c>
      <c r="K555" s="333">
        <v>1103407131</v>
      </c>
      <c r="L555" s="333"/>
      <c r="M555" s="333">
        <v>0</v>
      </c>
      <c r="N555" s="329">
        <f t="shared" si="97"/>
        <v>1103407131</v>
      </c>
      <c r="O555" s="329">
        <v>390790025.5625</v>
      </c>
      <c r="P555" s="333"/>
      <c r="Q555" s="329">
        <v>0</v>
      </c>
      <c r="R555" s="329">
        <f t="shared" si="99"/>
        <v>390790025.5625</v>
      </c>
      <c r="S555" s="333">
        <f t="shared" si="98"/>
        <v>712617105.4375</v>
      </c>
    </row>
    <row r="556" spans="1:19" s="317" customFormat="1" ht="15.75" customHeight="1">
      <c r="A556" s="266"/>
      <c r="B556" s="266"/>
      <c r="C556" s="266"/>
      <c r="D556" s="538"/>
      <c r="E556" s="555"/>
      <c r="F556" s="556"/>
      <c r="G556" s="543"/>
      <c r="H556" s="558" t="s">
        <v>670</v>
      </c>
      <c r="I556" s="443">
        <v>2020</v>
      </c>
      <c r="J556" s="444">
        <v>0.125</v>
      </c>
      <c r="K556" s="333">
        <v>21120000</v>
      </c>
      <c r="L556" s="415"/>
      <c r="M556" s="333"/>
      <c r="N556" s="329">
        <f>K556+L556-M556</f>
        <v>21120000</v>
      </c>
      <c r="O556" s="333">
        <v>5280000</v>
      </c>
      <c r="P556" s="333"/>
      <c r="Q556" s="333">
        <v>0</v>
      </c>
      <c r="R556" s="329">
        <f t="shared" si="99"/>
        <v>5280000</v>
      </c>
      <c r="S556" s="333">
        <f>N556-R556</f>
        <v>15840000</v>
      </c>
    </row>
    <row r="557" spans="1:19" s="317" customFormat="1" ht="15.75" customHeight="1">
      <c r="A557" s="266"/>
      <c r="B557" s="266"/>
      <c r="C557" s="266"/>
      <c r="D557" s="538"/>
      <c r="E557" s="555"/>
      <c r="F557" s="556"/>
      <c r="G557" s="543"/>
      <c r="H557" s="559" t="s">
        <v>685</v>
      </c>
      <c r="I557" s="460">
        <v>2020</v>
      </c>
      <c r="J557" s="444">
        <v>0.125</v>
      </c>
      <c r="K557" s="333">
        <v>1350000</v>
      </c>
      <c r="L557" s="415"/>
      <c r="M557" s="333"/>
      <c r="N557" s="329">
        <f>K557+L557-M557</f>
        <v>1350000</v>
      </c>
      <c r="O557" s="333">
        <v>323437.5</v>
      </c>
      <c r="P557" s="333"/>
      <c r="Q557" s="333">
        <v>0</v>
      </c>
      <c r="R557" s="329">
        <f>O557+P557-Q557</f>
        <v>323437.5</v>
      </c>
      <c r="S557" s="333">
        <f>N557-R557</f>
        <v>1026562.5</v>
      </c>
    </row>
    <row r="558" spans="1:19" s="317" customFormat="1" ht="15.75" customHeight="1">
      <c r="A558" s="266"/>
      <c r="B558" s="266"/>
      <c r="C558" s="266"/>
      <c r="D558" s="538"/>
      <c r="E558" s="555"/>
      <c r="F558" s="556"/>
      <c r="G558" s="543"/>
      <c r="H558" s="558" t="s">
        <v>685</v>
      </c>
      <c r="I558" s="443">
        <v>2020</v>
      </c>
      <c r="J558" s="444">
        <v>0.125</v>
      </c>
      <c r="K558" s="333">
        <v>1350000</v>
      </c>
      <c r="L558" s="415"/>
      <c r="M558" s="333"/>
      <c r="N558" s="329">
        <f>K558+L558-M558</f>
        <v>1350000</v>
      </c>
      <c r="O558" s="333">
        <v>323437.5</v>
      </c>
      <c r="P558" s="333"/>
      <c r="Q558" s="333">
        <v>0</v>
      </c>
      <c r="R558" s="329">
        <f>O558+P558-Q558</f>
        <v>323437.5</v>
      </c>
      <c r="S558" s="333">
        <f>N558-R558</f>
        <v>1026562.5</v>
      </c>
    </row>
    <row r="559" spans="1:19" s="317" customFormat="1" ht="15.75" customHeight="1">
      <c r="A559" s="266"/>
      <c r="B559" s="266"/>
      <c r="C559" s="266"/>
      <c r="D559" s="538"/>
      <c r="E559" s="555"/>
      <c r="F559" s="556"/>
      <c r="G559" s="543"/>
      <c r="H559" s="559" t="s">
        <v>686</v>
      </c>
      <c r="I559" s="460">
        <v>2020</v>
      </c>
      <c r="J559" s="444">
        <v>0.125</v>
      </c>
      <c r="K559" s="333">
        <v>1650000</v>
      </c>
      <c r="L559" s="415"/>
      <c r="M559" s="333"/>
      <c r="N559" s="329">
        <f>K559+L559-M559</f>
        <v>1650000</v>
      </c>
      <c r="O559" s="333">
        <v>395313</v>
      </c>
      <c r="P559" s="333"/>
      <c r="Q559" s="333">
        <v>0</v>
      </c>
      <c r="R559" s="329">
        <f>O559+P559-Q559</f>
        <v>395313</v>
      </c>
      <c r="S559" s="333">
        <f>N559-R559</f>
        <v>1254687</v>
      </c>
    </row>
    <row r="560" spans="1:19" s="317" customFormat="1" ht="15.75" customHeight="1">
      <c r="A560" s="266"/>
      <c r="B560" s="266"/>
      <c r="C560" s="266"/>
      <c r="D560" s="538"/>
      <c r="E560" s="555"/>
      <c r="F560" s="556"/>
      <c r="G560" s="548"/>
      <c r="H560" s="560" t="s">
        <v>687</v>
      </c>
      <c r="I560" s="460">
        <v>2020</v>
      </c>
      <c r="J560" s="444">
        <v>0.125</v>
      </c>
      <c r="K560" s="339">
        <v>1950000</v>
      </c>
      <c r="L560" s="532"/>
      <c r="M560" s="339"/>
      <c r="N560" s="329">
        <f>K560+L560-M560</f>
        <v>1950000</v>
      </c>
      <c r="O560" s="339">
        <v>467188</v>
      </c>
      <c r="P560" s="333"/>
      <c r="Q560" s="339">
        <v>0</v>
      </c>
      <c r="R560" s="329">
        <f>O560+P560-Q560</f>
        <v>467188</v>
      </c>
      <c r="S560" s="333">
        <f>N560-R560</f>
        <v>1482812</v>
      </c>
    </row>
    <row r="561" spans="1:19" ht="15.75" customHeight="1">
      <c r="A561" s="266" t="s">
        <v>944</v>
      </c>
      <c r="D561" s="309"/>
      <c r="E561" s="1235" t="s">
        <v>1014</v>
      </c>
      <c r="F561" s="1236"/>
      <c r="G561" s="1236"/>
      <c r="H561" s="1236"/>
      <c r="I561" s="1236"/>
      <c r="J561" s="1237"/>
      <c r="K561" s="342">
        <f>SUM(K492:K560)</f>
        <v>11276954398.82</v>
      </c>
      <c r="L561" s="342">
        <f t="shared" ref="L561:S561" si="100">SUM(L492:L560)</f>
        <v>0</v>
      </c>
      <c r="M561" s="342">
        <f t="shared" si="100"/>
        <v>0</v>
      </c>
      <c r="N561" s="342">
        <f t="shared" si="100"/>
        <v>11276954398.82</v>
      </c>
      <c r="O561" s="342">
        <f>SUM(O492:O560)</f>
        <v>6975030035.6449995</v>
      </c>
      <c r="P561" s="342">
        <f>SUM(P492:P560)</f>
        <v>0</v>
      </c>
      <c r="Q561" s="342">
        <f t="shared" si="100"/>
        <v>0</v>
      </c>
      <c r="R561" s="342">
        <f>SUM(R492:R560)</f>
        <v>6975030035.6449995</v>
      </c>
      <c r="S561" s="342">
        <f t="shared" si="100"/>
        <v>4301924363.1750011</v>
      </c>
    </row>
    <row r="562" spans="1:19" ht="15.75" customHeight="1">
      <c r="D562" s="538"/>
      <c r="E562" s="539"/>
      <c r="F562" s="466"/>
      <c r="G562" s="540"/>
      <c r="H562" s="362"/>
      <c r="I562" s="363"/>
      <c r="J562" s="393"/>
      <c r="K562" s="333"/>
      <c r="L562" s="333"/>
      <c r="M562" s="333"/>
      <c r="N562" s="333"/>
      <c r="O562" s="329"/>
      <c r="P562" s="333"/>
      <c r="Q562" s="333"/>
      <c r="R562" s="329"/>
      <c r="S562" s="333"/>
    </row>
    <row r="563" spans="1:19" ht="15.75" customHeight="1">
      <c r="A563" s="266" t="s">
        <v>946</v>
      </c>
      <c r="D563" s="309"/>
      <c r="E563" s="316" t="s">
        <v>1015</v>
      </c>
      <c r="F563" s="317" t="s">
        <v>696</v>
      </c>
      <c r="G563" s="311"/>
      <c r="H563" s="312"/>
      <c r="I563" s="537"/>
      <c r="J563" s="393"/>
      <c r="K563" s="358"/>
      <c r="L563" s="358"/>
      <c r="M563" s="358"/>
      <c r="N563" s="358"/>
      <c r="O563" s="358"/>
      <c r="P563" s="358"/>
      <c r="Q563" s="358"/>
      <c r="R563" s="358"/>
      <c r="S563" s="358"/>
    </row>
    <row r="564" spans="1:19" s="317" customFormat="1" ht="15.75" customHeight="1">
      <c r="A564" s="266"/>
      <c r="B564" s="266"/>
      <c r="C564" s="266"/>
      <c r="D564" s="538"/>
      <c r="E564" s="539"/>
      <c r="F564" s="466"/>
      <c r="G564" s="561"/>
      <c r="H564" s="410" t="s">
        <v>697</v>
      </c>
      <c r="I564" s="458">
        <v>43708</v>
      </c>
      <c r="J564" s="430">
        <v>0.125</v>
      </c>
      <c r="K564" s="333">
        <v>167045455</v>
      </c>
      <c r="L564" s="333"/>
      <c r="M564" s="562">
        <v>0</v>
      </c>
      <c r="N564" s="333">
        <f>K564+L564-M564</f>
        <v>167045455</v>
      </c>
      <c r="O564" s="333">
        <v>48721591.041666619</v>
      </c>
      <c r="P564" s="333">
        <v>20880681.874999978</v>
      </c>
      <c r="Q564" s="333"/>
      <c r="R564" s="333">
        <f>O564+P564-Q564</f>
        <v>69602272.916666597</v>
      </c>
      <c r="S564" s="333">
        <f>N564-R564</f>
        <v>97443182.083333403</v>
      </c>
    </row>
    <row r="565" spans="1:19" s="317" customFormat="1" ht="15.75" customHeight="1">
      <c r="A565" s="266"/>
      <c r="B565" s="266"/>
      <c r="C565" s="266"/>
      <c r="D565" s="538"/>
      <c r="E565" s="539"/>
      <c r="F565" s="556"/>
      <c r="G565" s="563"/>
      <c r="H565" s="394" t="s">
        <v>698</v>
      </c>
      <c r="I565" s="564">
        <v>2020</v>
      </c>
      <c r="J565" s="565">
        <v>0.125</v>
      </c>
      <c r="K565" s="566">
        <v>9625000</v>
      </c>
      <c r="L565" s="567"/>
      <c r="M565" s="568">
        <v>0</v>
      </c>
      <c r="N565" s="566">
        <f>K565+L565-M565</f>
        <v>9625000</v>
      </c>
      <c r="O565" s="566">
        <v>1704427.083333334</v>
      </c>
      <c r="P565" s="333">
        <v>1203124.9999999986</v>
      </c>
      <c r="Q565" s="566"/>
      <c r="R565" s="333">
        <f>O565+P565-Q565</f>
        <v>2907552.0833333326</v>
      </c>
      <c r="S565" s="566">
        <f>N565-R565</f>
        <v>6717447.9166666679</v>
      </c>
    </row>
    <row r="566" spans="1:19" ht="15.75" customHeight="1">
      <c r="A566" s="266" t="s">
        <v>946</v>
      </c>
      <c r="D566" s="309"/>
      <c r="E566" s="1235" t="s">
        <v>1016</v>
      </c>
      <c r="F566" s="1236"/>
      <c r="G566" s="1236"/>
      <c r="H566" s="1236"/>
      <c r="I566" s="1236"/>
      <c r="J566" s="1237"/>
      <c r="K566" s="342">
        <f t="shared" ref="K566:S566" si="101">SUM(K564:K565)</f>
        <v>176670455</v>
      </c>
      <c r="L566" s="342">
        <f t="shared" si="101"/>
        <v>0</v>
      </c>
      <c r="M566" s="342">
        <f t="shared" si="101"/>
        <v>0</v>
      </c>
      <c r="N566" s="342">
        <f t="shared" si="101"/>
        <v>176670455</v>
      </c>
      <c r="O566" s="342">
        <f t="shared" si="101"/>
        <v>50426018.124999955</v>
      </c>
      <c r="P566" s="342">
        <f t="shared" si="101"/>
        <v>22083806.874999978</v>
      </c>
      <c r="Q566" s="342">
        <f t="shared" si="101"/>
        <v>0</v>
      </c>
      <c r="R566" s="342">
        <f t="shared" si="101"/>
        <v>72509824.999999925</v>
      </c>
      <c r="S566" s="342">
        <f t="shared" si="101"/>
        <v>104160630.00000007</v>
      </c>
    </row>
    <row r="567" spans="1:19" s="425" customFormat="1" ht="25" customHeight="1">
      <c r="A567" s="266"/>
      <c r="B567" s="266"/>
      <c r="C567" s="266"/>
      <c r="D567" s="538"/>
      <c r="E567" s="539"/>
      <c r="F567" s="466"/>
      <c r="G567" s="540"/>
      <c r="H567" s="362"/>
      <c r="I567" s="363"/>
      <c r="J567" s="393"/>
      <c r="K567" s="333"/>
      <c r="L567" s="333"/>
      <c r="M567" s="333"/>
      <c r="N567" s="333"/>
      <c r="O567" s="329"/>
      <c r="P567" s="333"/>
      <c r="Q567" s="333"/>
      <c r="R567" s="329"/>
      <c r="S567" s="333"/>
    </row>
    <row r="568" spans="1:19" ht="15.5" customHeight="1">
      <c r="D568" s="1229" t="s">
        <v>1017</v>
      </c>
      <c r="E568" s="1230"/>
      <c r="F568" s="1230"/>
      <c r="G568" s="1230"/>
      <c r="H568" s="1230"/>
      <c r="I568" s="1230"/>
      <c r="J568" s="1231"/>
      <c r="K568" s="342">
        <f t="shared" ref="K568:S568" si="102">K338+K489+K561+K566</f>
        <v>51275277727.299995</v>
      </c>
      <c r="L568" s="342">
        <f t="shared" si="102"/>
        <v>16929730</v>
      </c>
      <c r="M568" s="342">
        <f t="shared" si="102"/>
        <v>0</v>
      </c>
      <c r="N568" s="342">
        <f t="shared" si="102"/>
        <v>51292207457.299995</v>
      </c>
      <c r="O568" s="342">
        <f t="shared" si="102"/>
        <v>18788316388.886253</v>
      </c>
      <c r="P568" s="342">
        <f t="shared" si="102"/>
        <v>3234565180.124999</v>
      </c>
      <c r="Q568" s="342">
        <f t="shared" si="102"/>
        <v>0</v>
      </c>
      <c r="R568" s="342">
        <f t="shared" si="102"/>
        <v>22022881569.01125</v>
      </c>
      <c r="S568" s="342">
        <f t="shared" si="102"/>
        <v>29269325888.288757</v>
      </c>
    </row>
    <row r="569" spans="1:19" ht="15.75" customHeight="1">
      <c r="D569" s="309"/>
      <c r="E569" s="353"/>
      <c r="F569" s="353"/>
      <c r="G569" s="311"/>
      <c r="H569" s="332"/>
      <c r="I569" s="537"/>
      <c r="J569" s="393"/>
      <c r="K569" s="358"/>
      <c r="L569" s="358"/>
      <c r="M569" s="358"/>
      <c r="N569" s="358"/>
      <c r="O569" s="358"/>
      <c r="P569" s="358"/>
      <c r="Q569" s="358"/>
      <c r="R569" s="358"/>
      <c r="S569" s="358"/>
    </row>
    <row r="570" spans="1:19" ht="15.75" customHeight="1">
      <c r="A570" s="266" t="s">
        <v>935</v>
      </c>
      <c r="B570" s="308" t="s">
        <v>1018</v>
      </c>
      <c r="C570" s="308" t="s">
        <v>1018</v>
      </c>
      <c r="D570" s="357">
        <v>6</v>
      </c>
      <c r="E570" s="569" t="s">
        <v>1018</v>
      </c>
      <c r="F570" s="275"/>
      <c r="G570" s="311"/>
      <c r="H570" s="312"/>
      <c r="I570" s="537"/>
      <c r="J570" s="393"/>
      <c r="K570" s="358"/>
      <c r="L570" s="358"/>
      <c r="M570" s="358"/>
      <c r="N570" s="358"/>
      <c r="O570" s="358"/>
      <c r="P570" s="358"/>
      <c r="Q570" s="358"/>
      <c r="R570" s="358"/>
      <c r="S570" s="358"/>
    </row>
    <row r="571" spans="1:19" ht="15.75" customHeight="1">
      <c r="A571" s="266" t="s">
        <v>935</v>
      </c>
      <c r="D571" s="357"/>
      <c r="E571" s="316" t="s">
        <v>1019</v>
      </c>
      <c r="F571" s="317" t="s">
        <v>699</v>
      </c>
      <c r="G571" s="311"/>
      <c r="H571" s="319"/>
      <c r="I571" s="537"/>
      <c r="J571" s="393"/>
      <c r="K571" s="358"/>
      <c r="L571" s="358"/>
      <c r="M571" s="358"/>
      <c r="N571" s="358"/>
      <c r="O571" s="358"/>
      <c r="P571" s="358"/>
      <c r="Q571" s="358"/>
      <c r="R571" s="358"/>
      <c r="S571" s="358"/>
    </row>
    <row r="572" spans="1:19" s="317" customFormat="1" ht="15.75" customHeight="1">
      <c r="A572" s="266" t="s">
        <v>935</v>
      </c>
      <c r="B572" s="266"/>
      <c r="C572" s="266"/>
      <c r="D572" s="357"/>
      <c r="E572" s="301"/>
      <c r="F572" s="316" t="s">
        <v>1020</v>
      </c>
      <c r="G572" s="311" t="s">
        <v>405</v>
      </c>
      <c r="H572" s="319"/>
      <c r="I572" s="258"/>
      <c r="J572" s="393"/>
      <c r="K572" s="315"/>
      <c r="L572" s="315"/>
      <c r="M572" s="315"/>
      <c r="N572" s="315"/>
      <c r="O572" s="315"/>
      <c r="P572" s="315"/>
      <c r="Q572" s="315"/>
      <c r="R572" s="315"/>
      <c r="S572" s="315"/>
    </row>
    <row r="573" spans="1:19" ht="15.75" customHeight="1">
      <c r="A573" s="266" t="s">
        <v>935</v>
      </c>
      <c r="D573" s="309"/>
      <c r="E573" s="316"/>
      <c r="F573" s="330"/>
      <c r="G573" s="331"/>
      <c r="H573" s="362" t="s">
        <v>700</v>
      </c>
      <c r="I573" s="363">
        <v>2002</v>
      </c>
      <c r="J573" s="393">
        <v>0.05</v>
      </c>
      <c r="K573" s="333">
        <v>2600000</v>
      </c>
      <c r="L573" s="333">
        <v>0</v>
      </c>
      <c r="M573" s="333">
        <v>0</v>
      </c>
      <c r="N573" s="329">
        <f t="shared" ref="N573:N579" si="103">K573+L573-M573</f>
        <v>2600000</v>
      </c>
      <c r="O573" s="329">
        <v>780000.00000000058</v>
      </c>
      <c r="P573" s="333">
        <v>130000.00000000047</v>
      </c>
      <c r="Q573" s="333">
        <v>0</v>
      </c>
      <c r="R573" s="329">
        <f>O573+P573-Q573</f>
        <v>910000.00000000105</v>
      </c>
      <c r="S573" s="333">
        <f t="shared" ref="S573:S579" si="104">N573-R573</f>
        <v>1689999.9999999991</v>
      </c>
    </row>
    <row r="574" spans="1:19" ht="15.75" customHeight="1">
      <c r="A574" s="266" t="s">
        <v>935</v>
      </c>
      <c r="D574" s="309"/>
      <c r="E574" s="316"/>
      <c r="F574" s="330"/>
      <c r="G574" s="331"/>
      <c r="H574" s="362" t="s">
        <v>700</v>
      </c>
      <c r="I574" s="363">
        <v>2005</v>
      </c>
      <c r="J574" s="393">
        <v>0.05</v>
      </c>
      <c r="K574" s="333">
        <v>126700000</v>
      </c>
      <c r="L574" s="333">
        <v>0</v>
      </c>
      <c r="M574" s="333">
        <v>0</v>
      </c>
      <c r="N574" s="329">
        <f t="shared" si="103"/>
        <v>126700000</v>
      </c>
      <c r="O574" s="329">
        <v>38010000.000000007</v>
      </c>
      <c r="P574" s="333">
        <v>6334999.9999999702</v>
      </c>
      <c r="Q574" s="333">
        <v>0</v>
      </c>
      <c r="R574" s="329">
        <f t="shared" ref="R574:R579" si="105">O574+P574-Q574</f>
        <v>44344999.999999978</v>
      </c>
      <c r="S574" s="333">
        <f t="shared" si="104"/>
        <v>82355000.00000003</v>
      </c>
    </row>
    <row r="575" spans="1:19" ht="15.75" customHeight="1">
      <c r="A575" s="266" t="s">
        <v>935</v>
      </c>
      <c r="D575" s="309"/>
      <c r="E575" s="316"/>
      <c r="F575" s="330"/>
      <c r="G575" s="331"/>
      <c r="H575" s="362" t="s">
        <v>701</v>
      </c>
      <c r="I575" s="363">
        <v>2002</v>
      </c>
      <c r="J575" s="393">
        <v>0.05</v>
      </c>
      <c r="K575" s="333">
        <v>263700000</v>
      </c>
      <c r="L575" s="333">
        <v>0</v>
      </c>
      <c r="M575" s="333">
        <v>0</v>
      </c>
      <c r="N575" s="329">
        <f t="shared" si="103"/>
        <v>263700000</v>
      </c>
      <c r="O575" s="329">
        <v>79110000</v>
      </c>
      <c r="P575" s="333">
        <v>13185000</v>
      </c>
      <c r="Q575" s="333">
        <v>0</v>
      </c>
      <c r="R575" s="329">
        <f t="shared" si="105"/>
        <v>92295000</v>
      </c>
      <c r="S575" s="333">
        <f t="shared" si="104"/>
        <v>171405000</v>
      </c>
    </row>
    <row r="576" spans="1:19" ht="15.75" customHeight="1">
      <c r="A576" s="266" t="s">
        <v>935</v>
      </c>
      <c r="D576" s="309"/>
      <c r="E576" s="316"/>
      <c r="F576" s="330"/>
      <c r="G576" s="331"/>
      <c r="H576" s="362" t="s">
        <v>701</v>
      </c>
      <c r="I576" s="363">
        <v>2005</v>
      </c>
      <c r="J576" s="393">
        <v>0.05</v>
      </c>
      <c r="K576" s="333">
        <v>11600000</v>
      </c>
      <c r="L576" s="333">
        <v>0</v>
      </c>
      <c r="M576" s="333">
        <v>0</v>
      </c>
      <c r="N576" s="329">
        <f t="shared" si="103"/>
        <v>11600000</v>
      </c>
      <c r="O576" s="329">
        <v>3480000.0000000033</v>
      </c>
      <c r="P576" s="333">
        <v>580000.00000000186</v>
      </c>
      <c r="Q576" s="333">
        <v>0</v>
      </c>
      <c r="R576" s="329">
        <f t="shared" si="105"/>
        <v>4060000.0000000051</v>
      </c>
      <c r="S576" s="333">
        <f t="shared" si="104"/>
        <v>7539999.9999999944</v>
      </c>
    </row>
    <row r="577" spans="1:19" ht="15.75" customHeight="1">
      <c r="A577" s="266" t="s">
        <v>935</v>
      </c>
      <c r="D577" s="387"/>
      <c r="E577" s="324"/>
      <c r="F577" s="330"/>
      <c r="G577" s="370"/>
      <c r="H577" s="362" t="s">
        <v>702</v>
      </c>
      <c r="I577" s="363">
        <v>2002</v>
      </c>
      <c r="J577" s="393">
        <v>0.05</v>
      </c>
      <c r="K577" s="329">
        <v>55200000</v>
      </c>
      <c r="L577" s="333">
        <v>0</v>
      </c>
      <c r="M577" s="333">
        <v>0</v>
      </c>
      <c r="N577" s="329">
        <f t="shared" si="103"/>
        <v>55200000</v>
      </c>
      <c r="O577" s="329">
        <v>16560000</v>
      </c>
      <c r="P577" s="333">
        <v>2760000</v>
      </c>
      <c r="Q577" s="329">
        <v>0</v>
      </c>
      <c r="R577" s="329">
        <f t="shared" si="105"/>
        <v>19320000</v>
      </c>
      <c r="S577" s="333">
        <f t="shared" si="104"/>
        <v>35880000</v>
      </c>
    </row>
    <row r="578" spans="1:19" ht="15.75" customHeight="1">
      <c r="A578" s="266" t="s">
        <v>935</v>
      </c>
      <c r="D578" s="387"/>
      <c r="E578" s="324"/>
      <c r="F578" s="330"/>
      <c r="G578" s="370"/>
      <c r="H578" s="362" t="s">
        <v>702</v>
      </c>
      <c r="I578" s="373">
        <v>2005</v>
      </c>
      <c r="J578" s="377">
        <v>0.05</v>
      </c>
      <c r="K578" s="329">
        <v>548000000</v>
      </c>
      <c r="L578" s="329">
        <v>0</v>
      </c>
      <c r="M578" s="329">
        <v>0</v>
      </c>
      <c r="N578" s="329">
        <f t="shared" si="103"/>
        <v>548000000</v>
      </c>
      <c r="O578" s="329">
        <v>164400000.00000003</v>
      </c>
      <c r="P578" s="333">
        <v>27400000.000000447</v>
      </c>
      <c r="Q578" s="329">
        <v>0</v>
      </c>
      <c r="R578" s="329">
        <f t="shared" si="105"/>
        <v>191800000.00000048</v>
      </c>
      <c r="S578" s="329">
        <f t="shared" si="104"/>
        <v>356199999.99999952</v>
      </c>
    </row>
    <row r="579" spans="1:19" ht="15.75" customHeight="1">
      <c r="D579" s="387"/>
      <c r="E579" s="324"/>
      <c r="F579" s="343"/>
      <c r="G579" s="380"/>
      <c r="H579" s="408" t="s">
        <v>703</v>
      </c>
      <c r="I579" s="373">
        <v>2021</v>
      </c>
      <c r="J579" s="377">
        <v>0.05</v>
      </c>
      <c r="K579" s="339">
        <v>444480000</v>
      </c>
      <c r="L579" s="339"/>
      <c r="M579" s="339"/>
      <c r="N579" s="329">
        <f t="shared" si="103"/>
        <v>444480000</v>
      </c>
      <c r="O579" s="339">
        <v>1852000</v>
      </c>
      <c r="P579" s="333">
        <v>22224000</v>
      </c>
      <c r="Q579" s="339"/>
      <c r="R579" s="329">
        <f t="shared" si="105"/>
        <v>24076000</v>
      </c>
      <c r="S579" s="329">
        <f t="shared" si="104"/>
        <v>420404000</v>
      </c>
    </row>
    <row r="580" spans="1:19" s="317" customFormat="1" ht="15.75" customHeight="1">
      <c r="A580" s="275" t="s">
        <v>935</v>
      </c>
      <c r="B580" s="266"/>
      <c r="C580" s="266"/>
      <c r="D580" s="570"/>
      <c r="E580" s="571"/>
      <c r="F580" s="1244" t="s">
        <v>1021</v>
      </c>
      <c r="G580" s="1245"/>
      <c r="H580" s="1245"/>
      <c r="I580" s="1245"/>
      <c r="J580" s="1246"/>
      <c r="K580" s="572">
        <f>SUM(K573:K579)</f>
        <v>1452280000</v>
      </c>
      <c r="L580" s="572">
        <f t="shared" ref="L580:S580" si="106">SUM(L573:L579)</f>
        <v>0</v>
      </c>
      <c r="M580" s="572">
        <f t="shared" si="106"/>
        <v>0</v>
      </c>
      <c r="N580" s="572">
        <f t="shared" si="106"/>
        <v>1452280000</v>
      </c>
      <c r="O580" s="572">
        <f t="shared" si="106"/>
        <v>304192000</v>
      </c>
      <c r="P580" s="572">
        <f>SUM(P573:P579)</f>
        <v>72614000.000000417</v>
      </c>
      <c r="Q580" s="572">
        <f t="shared" si="106"/>
        <v>0</v>
      </c>
      <c r="R580" s="572">
        <f t="shared" si="106"/>
        <v>376806000.00000048</v>
      </c>
      <c r="S580" s="572">
        <f t="shared" si="106"/>
        <v>1075473999.9999995</v>
      </c>
    </row>
    <row r="581" spans="1:19" ht="15.75" customHeight="1">
      <c r="A581" s="266" t="s">
        <v>935</v>
      </c>
      <c r="D581" s="309"/>
      <c r="E581" s="1235" t="s">
        <v>1022</v>
      </c>
      <c r="F581" s="1236"/>
      <c r="G581" s="1236"/>
      <c r="H581" s="1236"/>
      <c r="I581" s="1236"/>
      <c r="J581" s="1237"/>
      <c r="K581" s="342">
        <f>K580</f>
        <v>1452280000</v>
      </c>
      <c r="L581" s="342">
        <f t="shared" ref="L581:S581" si="107">L580</f>
        <v>0</v>
      </c>
      <c r="M581" s="342">
        <f t="shared" si="107"/>
        <v>0</v>
      </c>
      <c r="N581" s="342">
        <f t="shared" si="107"/>
        <v>1452280000</v>
      </c>
      <c r="O581" s="342">
        <f t="shared" si="107"/>
        <v>304192000</v>
      </c>
      <c r="P581" s="342">
        <f t="shared" si="107"/>
        <v>72614000.000000417</v>
      </c>
      <c r="Q581" s="342">
        <f t="shared" si="107"/>
        <v>0</v>
      </c>
      <c r="R581" s="342">
        <f t="shared" si="107"/>
        <v>376806000.00000048</v>
      </c>
      <c r="S581" s="342">
        <f t="shared" si="107"/>
        <v>1075473999.9999995</v>
      </c>
    </row>
    <row r="582" spans="1:19" ht="15.75" customHeight="1">
      <c r="D582" s="387"/>
      <c r="E582" s="324"/>
      <c r="F582" s="330"/>
      <c r="G582" s="370"/>
      <c r="H582" s="362"/>
      <c r="I582" s="363"/>
      <c r="J582" s="393"/>
      <c r="K582" s="562"/>
      <c r="L582" s="562"/>
      <c r="M582" s="562"/>
      <c r="N582" s="562"/>
      <c r="O582" s="562"/>
      <c r="P582" s="562"/>
      <c r="Q582" s="562"/>
      <c r="R582" s="562"/>
      <c r="S582" s="562"/>
    </row>
    <row r="583" spans="1:19" ht="15.75" customHeight="1">
      <c r="A583" s="266" t="s">
        <v>944</v>
      </c>
      <c r="D583" s="357"/>
      <c r="E583" s="316" t="s">
        <v>1023</v>
      </c>
      <c r="F583" s="317" t="s">
        <v>704</v>
      </c>
      <c r="G583" s="311"/>
      <c r="H583" s="319"/>
      <c r="I583" s="537"/>
      <c r="J583" s="393"/>
      <c r="K583" s="358"/>
      <c r="L583" s="358"/>
      <c r="M583" s="358"/>
      <c r="N583" s="358"/>
      <c r="O583" s="358"/>
      <c r="P583" s="358"/>
      <c r="Q583" s="358"/>
      <c r="R583" s="358"/>
      <c r="S583" s="358"/>
    </row>
    <row r="584" spans="1:19" ht="15.75" customHeight="1">
      <c r="A584" s="266" t="s">
        <v>944</v>
      </c>
      <c r="D584" s="309"/>
      <c r="E584" s="316"/>
      <c r="F584" s="330"/>
      <c r="G584" s="331"/>
      <c r="H584" s="362" t="s">
        <v>705</v>
      </c>
      <c r="I584" s="363">
        <v>2011</v>
      </c>
      <c r="J584" s="393">
        <v>0.05</v>
      </c>
      <c r="K584" s="333">
        <v>1374200000</v>
      </c>
      <c r="L584" s="333">
        <v>0</v>
      </c>
      <c r="M584" s="333">
        <v>0</v>
      </c>
      <c r="N584" s="329">
        <f t="shared" ref="N584:N611" si="108">K584+L584-M584</f>
        <v>1374200000</v>
      </c>
      <c r="O584" s="329">
        <v>412260000</v>
      </c>
      <c r="P584" s="333"/>
      <c r="Q584" s="333">
        <v>0</v>
      </c>
      <c r="R584" s="329">
        <f>O584+P584-Q584</f>
        <v>412260000</v>
      </c>
      <c r="S584" s="333">
        <f t="shared" ref="S584:S611" si="109">N584-R584</f>
        <v>961940000</v>
      </c>
    </row>
    <row r="585" spans="1:19" ht="15.75" customHeight="1">
      <c r="A585" s="266" t="s">
        <v>944</v>
      </c>
      <c r="D585" s="309"/>
      <c r="E585" s="316"/>
      <c r="F585" s="330"/>
      <c r="G585" s="331"/>
      <c r="H585" s="362" t="s">
        <v>706</v>
      </c>
      <c r="I585" s="363">
        <v>2011</v>
      </c>
      <c r="J585" s="393">
        <v>0.05</v>
      </c>
      <c r="K585" s="333">
        <v>75200000</v>
      </c>
      <c r="L585" s="333">
        <v>0</v>
      </c>
      <c r="M585" s="333">
        <v>0</v>
      </c>
      <c r="N585" s="329">
        <f t="shared" si="108"/>
        <v>75200000</v>
      </c>
      <c r="O585" s="329">
        <v>22559999.999999989</v>
      </c>
      <c r="P585" s="333"/>
      <c r="Q585" s="333">
        <v>0</v>
      </c>
      <c r="R585" s="329">
        <f t="shared" ref="R585:R611" si="110">O585+P585-Q585</f>
        <v>22559999.999999989</v>
      </c>
      <c r="S585" s="333">
        <f t="shared" si="109"/>
        <v>52640000.000000015</v>
      </c>
    </row>
    <row r="586" spans="1:19" ht="15.75" customHeight="1">
      <c r="A586" s="266" t="s">
        <v>944</v>
      </c>
      <c r="D586" s="309"/>
      <c r="E586" s="316"/>
      <c r="F586" s="330"/>
      <c r="G586" s="331"/>
      <c r="H586" s="362" t="s">
        <v>707</v>
      </c>
      <c r="I586" s="363">
        <v>2011</v>
      </c>
      <c r="J586" s="393">
        <v>0.05</v>
      </c>
      <c r="K586" s="333">
        <v>87000000</v>
      </c>
      <c r="L586" s="333">
        <v>0</v>
      </c>
      <c r="M586" s="333">
        <v>0</v>
      </c>
      <c r="N586" s="329">
        <f t="shared" si="108"/>
        <v>87000000</v>
      </c>
      <c r="O586" s="329">
        <v>26100000</v>
      </c>
      <c r="P586" s="333"/>
      <c r="Q586" s="333">
        <v>0</v>
      </c>
      <c r="R586" s="329">
        <f t="shared" si="110"/>
        <v>26100000</v>
      </c>
      <c r="S586" s="333">
        <f t="shared" si="109"/>
        <v>60900000</v>
      </c>
    </row>
    <row r="587" spans="1:19" ht="15.75" customHeight="1">
      <c r="A587" s="266" t="s">
        <v>944</v>
      </c>
      <c r="D587" s="309"/>
      <c r="E587" s="316"/>
      <c r="F587" s="330"/>
      <c r="G587" s="331"/>
      <c r="H587" s="362" t="s">
        <v>708</v>
      </c>
      <c r="I587" s="363">
        <v>2012</v>
      </c>
      <c r="J587" s="393">
        <v>0.05</v>
      </c>
      <c r="K587" s="333">
        <v>8200000</v>
      </c>
      <c r="L587" s="333">
        <v>0</v>
      </c>
      <c r="M587" s="333">
        <v>0</v>
      </c>
      <c r="N587" s="329">
        <f t="shared" si="108"/>
        <v>8200000</v>
      </c>
      <c r="O587" s="329">
        <v>2460000.0000000005</v>
      </c>
      <c r="P587" s="333"/>
      <c r="Q587" s="333">
        <v>0</v>
      </c>
      <c r="R587" s="329">
        <f t="shared" si="110"/>
        <v>2460000.0000000005</v>
      </c>
      <c r="S587" s="333">
        <f t="shared" si="109"/>
        <v>5740000</v>
      </c>
    </row>
    <row r="588" spans="1:19" ht="15.75" customHeight="1">
      <c r="A588" s="266" t="s">
        <v>944</v>
      </c>
      <c r="D588" s="309"/>
      <c r="E588" s="316"/>
      <c r="F588" s="330"/>
      <c r="G588" s="331"/>
      <c r="H588" s="362" t="s">
        <v>709</v>
      </c>
      <c r="I588" s="363">
        <v>2012</v>
      </c>
      <c r="J588" s="393">
        <v>0.05</v>
      </c>
      <c r="K588" s="333">
        <v>52800000</v>
      </c>
      <c r="L588" s="333">
        <v>0</v>
      </c>
      <c r="M588" s="333">
        <v>0</v>
      </c>
      <c r="N588" s="329">
        <f t="shared" si="108"/>
        <v>52800000</v>
      </c>
      <c r="O588" s="329">
        <v>15840000</v>
      </c>
      <c r="P588" s="333"/>
      <c r="Q588" s="333">
        <v>0</v>
      </c>
      <c r="R588" s="329">
        <f t="shared" si="110"/>
        <v>15840000</v>
      </c>
      <c r="S588" s="333">
        <f t="shared" si="109"/>
        <v>36960000</v>
      </c>
    </row>
    <row r="589" spans="1:19" ht="15.75" customHeight="1">
      <c r="A589" s="266" t="s">
        <v>944</v>
      </c>
      <c r="D589" s="309"/>
      <c r="E589" s="316"/>
      <c r="F589" s="330"/>
      <c r="G589" s="331"/>
      <c r="H589" s="362" t="s">
        <v>710</v>
      </c>
      <c r="I589" s="363">
        <v>2012</v>
      </c>
      <c r="J589" s="393">
        <v>0.05</v>
      </c>
      <c r="K589" s="333">
        <v>8100000</v>
      </c>
      <c r="L589" s="333">
        <v>0</v>
      </c>
      <c r="M589" s="333">
        <v>0</v>
      </c>
      <c r="N589" s="329">
        <f t="shared" si="108"/>
        <v>8100000</v>
      </c>
      <c r="O589" s="329">
        <v>2430000</v>
      </c>
      <c r="P589" s="333"/>
      <c r="Q589" s="333">
        <v>0</v>
      </c>
      <c r="R589" s="329">
        <f t="shared" si="110"/>
        <v>2430000</v>
      </c>
      <c r="S589" s="333">
        <f t="shared" si="109"/>
        <v>5670000</v>
      </c>
    </row>
    <row r="590" spans="1:19" ht="15.75" customHeight="1">
      <c r="A590" s="266" t="s">
        <v>944</v>
      </c>
      <c r="D590" s="309"/>
      <c r="E590" s="316"/>
      <c r="F590" s="330"/>
      <c r="G590" s="331"/>
      <c r="H590" s="362" t="s">
        <v>711</v>
      </c>
      <c r="I590" s="363">
        <v>2012</v>
      </c>
      <c r="J590" s="393">
        <v>0.05</v>
      </c>
      <c r="K590" s="333">
        <v>5100000</v>
      </c>
      <c r="L590" s="333">
        <v>0</v>
      </c>
      <c r="M590" s="333">
        <v>0</v>
      </c>
      <c r="N590" s="329">
        <f t="shared" si="108"/>
        <v>5100000</v>
      </c>
      <c r="O590" s="329">
        <v>1530000</v>
      </c>
      <c r="P590" s="333"/>
      <c r="Q590" s="333">
        <v>0</v>
      </c>
      <c r="R590" s="329">
        <f t="shared" si="110"/>
        <v>1530000</v>
      </c>
      <c r="S590" s="333">
        <f t="shared" si="109"/>
        <v>3570000</v>
      </c>
    </row>
    <row r="591" spans="1:19" ht="15.75" customHeight="1">
      <c r="A591" s="266" t="s">
        <v>944</v>
      </c>
      <c r="D591" s="309"/>
      <c r="E591" s="316"/>
      <c r="F591" s="330"/>
      <c r="G591" s="331"/>
      <c r="H591" s="362" t="s">
        <v>712</v>
      </c>
      <c r="I591" s="363">
        <v>2012</v>
      </c>
      <c r="J591" s="393">
        <v>0.05</v>
      </c>
      <c r="K591" s="333">
        <v>21800000</v>
      </c>
      <c r="L591" s="333">
        <v>0</v>
      </c>
      <c r="M591" s="333">
        <v>0</v>
      </c>
      <c r="N591" s="329">
        <f t="shared" si="108"/>
        <v>21800000</v>
      </c>
      <c r="O591" s="329">
        <v>6539999.9999999953</v>
      </c>
      <c r="P591" s="333"/>
      <c r="Q591" s="333">
        <v>0</v>
      </c>
      <c r="R591" s="329">
        <f t="shared" si="110"/>
        <v>6539999.9999999953</v>
      </c>
      <c r="S591" s="333">
        <f t="shared" si="109"/>
        <v>15260000.000000004</v>
      </c>
    </row>
    <row r="592" spans="1:19" ht="15.75" customHeight="1">
      <c r="A592" s="266" t="s">
        <v>944</v>
      </c>
      <c r="D592" s="309"/>
      <c r="E592" s="316"/>
      <c r="F592" s="330"/>
      <c r="G592" s="331"/>
      <c r="H592" s="362" t="s">
        <v>713</v>
      </c>
      <c r="I592" s="363">
        <v>2013</v>
      </c>
      <c r="J592" s="393">
        <v>0.05</v>
      </c>
      <c r="K592" s="333">
        <v>10900000</v>
      </c>
      <c r="L592" s="333">
        <v>0</v>
      </c>
      <c r="M592" s="333">
        <v>0</v>
      </c>
      <c r="N592" s="329">
        <f t="shared" si="108"/>
        <v>10900000</v>
      </c>
      <c r="O592" s="329">
        <v>3269999.9999999977</v>
      </c>
      <c r="P592" s="333"/>
      <c r="Q592" s="333">
        <v>0</v>
      </c>
      <c r="R592" s="329">
        <f t="shared" si="110"/>
        <v>3269999.9999999977</v>
      </c>
      <c r="S592" s="333">
        <f t="shared" si="109"/>
        <v>7630000.0000000019</v>
      </c>
    </row>
    <row r="593" spans="1:19" ht="15.75" customHeight="1">
      <c r="A593" s="266" t="s">
        <v>944</v>
      </c>
      <c r="D593" s="309"/>
      <c r="E593" s="316"/>
      <c r="F593" s="330"/>
      <c r="G593" s="331"/>
      <c r="H593" s="362" t="s">
        <v>714</v>
      </c>
      <c r="I593" s="363">
        <v>2013</v>
      </c>
      <c r="J593" s="393">
        <v>0.05</v>
      </c>
      <c r="K593" s="333">
        <v>225800000</v>
      </c>
      <c r="L593" s="333">
        <v>0</v>
      </c>
      <c r="M593" s="333">
        <v>0</v>
      </c>
      <c r="N593" s="329">
        <f t="shared" si="108"/>
        <v>225800000</v>
      </c>
      <c r="O593" s="329">
        <v>67740000.000000075</v>
      </c>
      <c r="P593" s="333"/>
      <c r="Q593" s="333">
        <v>0</v>
      </c>
      <c r="R593" s="329">
        <f t="shared" si="110"/>
        <v>67740000.000000075</v>
      </c>
      <c r="S593" s="333">
        <f t="shared" si="109"/>
        <v>158059999.99999994</v>
      </c>
    </row>
    <row r="594" spans="1:19" ht="15.75" customHeight="1">
      <c r="A594" s="266" t="s">
        <v>944</v>
      </c>
      <c r="D594" s="309"/>
      <c r="E594" s="316"/>
      <c r="F594" s="330"/>
      <c r="G594" s="331"/>
      <c r="H594" s="362" t="s">
        <v>715</v>
      </c>
      <c r="I594" s="363">
        <v>2013</v>
      </c>
      <c r="J594" s="393">
        <v>0.05</v>
      </c>
      <c r="K594" s="333">
        <v>7200000</v>
      </c>
      <c r="L594" s="333">
        <v>0</v>
      </c>
      <c r="M594" s="333">
        <v>0</v>
      </c>
      <c r="N594" s="329">
        <f t="shared" si="108"/>
        <v>7200000</v>
      </c>
      <c r="O594" s="329">
        <v>2160000</v>
      </c>
      <c r="P594" s="333"/>
      <c r="Q594" s="333">
        <v>0</v>
      </c>
      <c r="R594" s="329">
        <f t="shared" si="110"/>
        <v>2160000</v>
      </c>
      <c r="S594" s="333">
        <f t="shared" si="109"/>
        <v>5040000</v>
      </c>
    </row>
    <row r="595" spans="1:19" ht="15.75" customHeight="1">
      <c r="A595" s="266" t="s">
        <v>944</v>
      </c>
      <c r="D595" s="309"/>
      <c r="E595" s="316"/>
      <c r="F595" s="330"/>
      <c r="G595" s="331"/>
      <c r="H595" s="362" t="s">
        <v>716</v>
      </c>
      <c r="I595" s="363">
        <v>2013</v>
      </c>
      <c r="J595" s="393">
        <v>0.05</v>
      </c>
      <c r="K595" s="333">
        <v>33500000</v>
      </c>
      <c r="L595" s="333">
        <v>0</v>
      </c>
      <c r="M595" s="333">
        <v>0</v>
      </c>
      <c r="N595" s="329">
        <f t="shared" si="108"/>
        <v>33500000</v>
      </c>
      <c r="O595" s="329">
        <v>10050000</v>
      </c>
      <c r="P595" s="333"/>
      <c r="Q595" s="333">
        <v>0</v>
      </c>
      <c r="R595" s="329">
        <f t="shared" si="110"/>
        <v>10050000</v>
      </c>
      <c r="S595" s="333">
        <f t="shared" si="109"/>
        <v>23450000</v>
      </c>
    </row>
    <row r="596" spans="1:19" ht="15.75" customHeight="1">
      <c r="A596" s="266" t="s">
        <v>944</v>
      </c>
      <c r="D596" s="309"/>
      <c r="E596" s="316"/>
      <c r="F596" s="330"/>
      <c r="G596" s="331"/>
      <c r="H596" s="362" t="s">
        <v>717</v>
      </c>
      <c r="I596" s="363">
        <v>2013</v>
      </c>
      <c r="J596" s="393">
        <v>0.05</v>
      </c>
      <c r="K596" s="333">
        <v>6700000</v>
      </c>
      <c r="L596" s="333">
        <v>0</v>
      </c>
      <c r="M596" s="333">
        <v>0</v>
      </c>
      <c r="N596" s="329">
        <f t="shared" si="108"/>
        <v>6700000</v>
      </c>
      <c r="O596" s="329">
        <v>2010000.0000000021</v>
      </c>
      <c r="P596" s="333"/>
      <c r="Q596" s="333">
        <v>0</v>
      </c>
      <c r="R596" s="329">
        <f t="shared" si="110"/>
        <v>2010000.0000000021</v>
      </c>
      <c r="S596" s="333">
        <f t="shared" si="109"/>
        <v>4689999.9999999981</v>
      </c>
    </row>
    <row r="597" spans="1:19" ht="15.75" customHeight="1">
      <c r="A597" s="266" t="s">
        <v>944</v>
      </c>
      <c r="D597" s="309"/>
      <c r="E597" s="316"/>
      <c r="F597" s="330"/>
      <c r="G597" s="331"/>
      <c r="H597" s="362" t="s">
        <v>718</v>
      </c>
      <c r="I597" s="363">
        <v>2013</v>
      </c>
      <c r="J597" s="393">
        <v>0.05</v>
      </c>
      <c r="K597" s="333">
        <v>78100000</v>
      </c>
      <c r="L597" s="333">
        <v>0</v>
      </c>
      <c r="M597" s="333">
        <v>0</v>
      </c>
      <c r="N597" s="329">
        <f t="shared" si="108"/>
        <v>78100000</v>
      </c>
      <c r="O597" s="329">
        <v>23430000.000000011</v>
      </c>
      <c r="P597" s="333"/>
      <c r="Q597" s="333">
        <v>0</v>
      </c>
      <c r="R597" s="329">
        <f t="shared" si="110"/>
        <v>23430000.000000011</v>
      </c>
      <c r="S597" s="333">
        <f t="shared" si="109"/>
        <v>54669999.999999985</v>
      </c>
    </row>
    <row r="598" spans="1:19" ht="15.75" customHeight="1">
      <c r="A598" s="266" t="s">
        <v>944</v>
      </c>
      <c r="D598" s="309"/>
      <c r="E598" s="316"/>
      <c r="F598" s="330"/>
      <c r="G598" s="331"/>
      <c r="H598" s="362" t="s">
        <v>719</v>
      </c>
      <c r="I598" s="363">
        <v>2013</v>
      </c>
      <c r="J598" s="393">
        <v>0.05</v>
      </c>
      <c r="K598" s="333">
        <v>4300000</v>
      </c>
      <c r="L598" s="333">
        <v>0</v>
      </c>
      <c r="M598" s="333">
        <v>0</v>
      </c>
      <c r="N598" s="329">
        <f t="shared" si="108"/>
        <v>4300000</v>
      </c>
      <c r="O598" s="329">
        <v>1290000.0000000002</v>
      </c>
      <c r="P598" s="333"/>
      <c r="Q598" s="333">
        <v>0</v>
      </c>
      <c r="R598" s="329">
        <f t="shared" si="110"/>
        <v>1290000.0000000002</v>
      </c>
      <c r="S598" s="333">
        <f t="shared" si="109"/>
        <v>3010000</v>
      </c>
    </row>
    <row r="599" spans="1:19" ht="15.75" customHeight="1">
      <c r="A599" s="266" t="s">
        <v>944</v>
      </c>
      <c r="D599" s="309"/>
      <c r="E599" s="316"/>
      <c r="F599" s="330"/>
      <c r="G599" s="331"/>
      <c r="H599" s="362" t="s">
        <v>705</v>
      </c>
      <c r="I599" s="363">
        <v>2013</v>
      </c>
      <c r="J599" s="393">
        <v>0.05</v>
      </c>
      <c r="K599" s="333">
        <v>381400000</v>
      </c>
      <c r="L599" s="333">
        <v>0</v>
      </c>
      <c r="M599" s="333">
        <v>0</v>
      </c>
      <c r="N599" s="329">
        <f t="shared" si="108"/>
        <v>381400000</v>
      </c>
      <c r="O599" s="329">
        <v>114420000.0000001</v>
      </c>
      <c r="P599" s="333"/>
      <c r="Q599" s="333">
        <v>0</v>
      </c>
      <c r="R599" s="329">
        <f t="shared" si="110"/>
        <v>114420000.0000001</v>
      </c>
      <c r="S599" s="333">
        <f t="shared" si="109"/>
        <v>266979999.99999988</v>
      </c>
    </row>
    <row r="600" spans="1:19" ht="15.75" customHeight="1">
      <c r="A600" s="266" t="s">
        <v>944</v>
      </c>
      <c r="D600" s="309"/>
      <c r="E600" s="316"/>
      <c r="F600" s="330"/>
      <c r="G600" s="331"/>
      <c r="H600" s="362" t="s">
        <v>720</v>
      </c>
      <c r="I600" s="363">
        <v>2013</v>
      </c>
      <c r="J600" s="393">
        <v>0.05</v>
      </c>
      <c r="K600" s="333">
        <v>34000000</v>
      </c>
      <c r="L600" s="333">
        <v>0</v>
      </c>
      <c r="M600" s="333">
        <v>0</v>
      </c>
      <c r="N600" s="329">
        <f t="shared" si="108"/>
        <v>34000000</v>
      </c>
      <c r="O600" s="329">
        <v>10200000</v>
      </c>
      <c r="P600" s="333"/>
      <c r="Q600" s="333">
        <v>0</v>
      </c>
      <c r="R600" s="329">
        <f t="shared" si="110"/>
        <v>10200000</v>
      </c>
      <c r="S600" s="333">
        <f t="shared" si="109"/>
        <v>23800000</v>
      </c>
    </row>
    <row r="601" spans="1:19" ht="15.75" customHeight="1">
      <c r="A601" s="266" t="s">
        <v>944</v>
      </c>
      <c r="D601" s="309"/>
      <c r="E601" s="316"/>
      <c r="F601" s="330"/>
      <c r="G601" s="331"/>
      <c r="H601" s="362" t="s">
        <v>721</v>
      </c>
      <c r="I601" s="363">
        <v>2013</v>
      </c>
      <c r="J601" s="393">
        <v>0.05</v>
      </c>
      <c r="K601" s="333">
        <v>5000000</v>
      </c>
      <c r="L601" s="333">
        <v>0</v>
      </c>
      <c r="M601" s="333">
        <v>0</v>
      </c>
      <c r="N601" s="329">
        <f t="shared" si="108"/>
        <v>5000000</v>
      </c>
      <c r="O601" s="329">
        <v>1499999.9999999991</v>
      </c>
      <c r="P601" s="333"/>
      <c r="Q601" s="333">
        <v>0</v>
      </c>
      <c r="R601" s="329">
        <f t="shared" si="110"/>
        <v>1499999.9999999991</v>
      </c>
      <c r="S601" s="333">
        <f t="shared" si="109"/>
        <v>3500000.0000000009</v>
      </c>
    </row>
    <row r="602" spans="1:19" ht="15.75" customHeight="1">
      <c r="A602" s="266" t="s">
        <v>944</v>
      </c>
      <c r="D602" s="309"/>
      <c r="E602" s="316"/>
      <c r="F602" s="330"/>
      <c r="G602" s="331"/>
      <c r="H602" s="362" t="s">
        <v>722</v>
      </c>
      <c r="I602" s="363">
        <v>2014</v>
      </c>
      <c r="J602" s="393">
        <v>0.05</v>
      </c>
      <c r="K602" s="333">
        <v>42300000</v>
      </c>
      <c r="L602" s="333">
        <v>0</v>
      </c>
      <c r="M602" s="333">
        <v>0</v>
      </c>
      <c r="N602" s="329">
        <f t="shared" si="108"/>
        <v>42300000</v>
      </c>
      <c r="O602" s="329">
        <v>12690000</v>
      </c>
      <c r="P602" s="333"/>
      <c r="Q602" s="333">
        <v>0</v>
      </c>
      <c r="R602" s="329">
        <f t="shared" si="110"/>
        <v>12690000</v>
      </c>
      <c r="S602" s="333">
        <f t="shared" si="109"/>
        <v>29610000</v>
      </c>
    </row>
    <row r="603" spans="1:19" ht="15.75" customHeight="1">
      <c r="A603" s="266" t="s">
        <v>944</v>
      </c>
      <c r="D603" s="309"/>
      <c r="E603" s="316"/>
      <c r="F603" s="330"/>
      <c r="G603" s="331"/>
      <c r="H603" s="362" t="s">
        <v>720</v>
      </c>
      <c r="I603" s="363">
        <v>2014</v>
      </c>
      <c r="J603" s="393">
        <v>0.05</v>
      </c>
      <c r="K603" s="333">
        <v>15600000</v>
      </c>
      <c r="L603" s="333">
        <v>0</v>
      </c>
      <c r="M603" s="333">
        <v>0</v>
      </c>
      <c r="N603" s="329">
        <f t="shared" si="108"/>
        <v>15600000</v>
      </c>
      <c r="O603" s="329">
        <v>4680000</v>
      </c>
      <c r="P603" s="333"/>
      <c r="Q603" s="333">
        <v>0</v>
      </c>
      <c r="R603" s="329">
        <f t="shared" si="110"/>
        <v>4680000</v>
      </c>
      <c r="S603" s="333">
        <f t="shared" si="109"/>
        <v>10920000</v>
      </c>
    </row>
    <row r="604" spans="1:19" ht="15.75" customHeight="1">
      <c r="A604" s="266" t="s">
        <v>944</v>
      </c>
      <c r="D604" s="309"/>
      <c r="E604" s="316"/>
      <c r="F604" s="330"/>
      <c r="G604" s="331"/>
      <c r="H604" s="362" t="s">
        <v>720</v>
      </c>
      <c r="I604" s="363">
        <v>2014</v>
      </c>
      <c r="J604" s="393">
        <v>0.05</v>
      </c>
      <c r="K604" s="333">
        <v>11700000</v>
      </c>
      <c r="L604" s="333">
        <v>0</v>
      </c>
      <c r="M604" s="333">
        <v>0</v>
      </c>
      <c r="N604" s="329">
        <f t="shared" si="108"/>
        <v>11700000</v>
      </c>
      <c r="O604" s="329">
        <v>3510000</v>
      </c>
      <c r="P604" s="333"/>
      <c r="Q604" s="333">
        <v>0</v>
      </c>
      <c r="R604" s="329">
        <f t="shared" si="110"/>
        <v>3510000</v>
      </c>
      <c r="S604" s="333">
        <f t="shared" si="109"/>
        <v>8190000</v>
      </c>
    </row>
    <row r="605" spans="1:19" ht="15.75" customHeight="1">
      <c r="A605" s="266" t="s">
        <v>944</v>
      </c>
      <c r="D605" s="309"/>
      <c r="E605" s="316"/>
      <c r="F605" s="330"/>
      <c r="G605" s="331"/>
      <c r="H605" s="362" t="s">
        <v>720</v>
      </c>
      <c r="I605" s="363">
        <v>2014</v>
      </c>
      <c r="J605" s="393">
        <v>0.05</v>
      </c>
      <c r="K605" s="333">
        <v>11700000</v>
      </c>
      <c r="L605" s="333">
        <v>0</v>
      </c>
      <c r="M605" s="333">
        <v>0</v>
      </c>
      <c r="N605" s="329">
        <f t="shared" si="108"/>
        <v>11700000</v>
      </c>
      <c r="O605" s="329">
        <v>3510000</v>
      </c>
      <c r="P605" s="333"/>
      <c r="Q605" s="333">
        <v>0</v>
      </c>
      <c r="R605" s="329">
        <f t="shared" si="110"/>
        <v>3510000</v>
      </c>
      <c r="S605" s="333">
        <f t="shared" si="109"/>
        <v>8190000</v>
      </c>
    </row>
    <row r="606" spans="1:19" ht="15.75" customHeight="1">
      <c r="A606" s="266" t="s">
        <v>944</v>
      </c>
      <c r="D606" s="309"/>
      <c r="E606" s="316"/>
      <c r="F606" s="330"/>
      <c r="G606" s="331"/>
      <c r="H606" s="362" t="s">
        <v>720</v>
      </c>
      <c r="I606" s="363">
        <v>2014</v>
      </c>
      <c r="J606" s="393">
        <v>0.05</v>
      </c>
      <c r="K606" s="333">
        <v>11700000</v>
      </c>
      <c r="L606" s="333">
        <v>0</v>
      </c>
      <c r="M606" s="333">
        <v>0</v>
      </c>
      <c r="N606" s="329">
        <f t="shared" si="108"/>
        <v>11700000</v>
      </c>
      <c r="O606" s="329">
        <v>3510000</v>
      </c>
      <c r="P606" s="333"/>
      <c r="Q606" s="333">
        <v>0</v>
      </c>
      <c r="R606" s="329">
        <f t="shared" si="110"/>
        <v>3510000</v>
      </c>
      <c r="S606" s="333">
        <f t="shared" si="109"/>
        <v>8190000</v>
      </c>
    </row>
    <row r="607" spans="1:19" ht="15.75" customHeight="1">
      <c r="A607" s="266" t="s">
        <v>944</v>
      </c>
      <c r="D607" s="309"/>
      <c r="E607" s="316"/>
      <c r="F607" s="330"/>
      <c r="G607" s="331"/>
      <c r="H607" s="362" t="s">
        <v>720</v>
      </c>
      <c r="I607" s="363">
        <v>2014</v>
      </c>
      <c r="J607" s="393">
        <v>0.05</v>
      </c>
      <c r="K607" s="333">
        <v>11700000</v>
      </c>
      <c r="L607" s="333">
        <v>0</v>
      </c>
      <c r="M607" s="333">
        <v>0</v>
      </c>
      <c r="N607" s="329">
        <f t="shared" si="108"/>
        <v>11700000</v>
      </c>
      <c r="O607" s="329">
        <v>3510000</v>
      </c>
      <c r="P607" s="333"/>
      <c r="Q607" s="333">
        <v>0</v>
      </c>
      <c r="R607" s="329">
        <f t="shared" si="110"/>
        <v>3510000</v>
      </c>
      <c r="S607" s="333">
        <f t="shared" si="109"/>
        <v>8190000</v>
      </c>
    </row>
    <row r="608" spans="1:19" ht="15.75" customHeight="1">
      <c r="A608" s="266" t="s">
        <v>944</v>
      </c>
      <c r="D608" s="309"/>
      <c r="E608" s="316"/>
      <c r="F608" s="330"/>
      <c r="G608" s="331"/>
      <c r="H608" s="362" t="s">
        <v>720</v>
      </c>
      <c r="I608" s="363">
        <v>2014</v>
      </c>
      <c r="J608" s="393">
        <v>0.05</v>
      </c>
      <c r="K608" s="333">
        <v>3900000</v>
      </c>
      <c r="L608" s="333">
        <v>0</v>
      </c>
      <c r="M608" s="333">
        <v>0</v>
      </c>
      <c r="N608" s="329">
        <f t="shared" si="108"/>
        <v>3900000</v>
      </c>
      <c r="O608" s="329">
        <v>1170000</v>
      </c>
      <c r="P608" s="333"/>
      <c r="Q608" s="333">
        <v>0</v>
      </c>
      <c r="R608" s="329">
        <f t="shared" si="110"/>
        <v>1170000</v>
      </c>
      <c r="S608" s="333">
        <f t="shared" si="109"/>
        <v>2730000</v>
      </c>
    </row>
    <row r="609" spans="1:19" ht="15.75" customHeight="1">
      <c r="A609" s="266" t="s">
        <v>944</v>
      </c>
      <c r="D609" s="309"/>
      <c r="E609" s="316"/>
      <c r="F609" s="330"/>
      <c r="G609" s="331"/>
      <c r="H609" s="362" t="s">
        <v>723</v>
      </c>
      <c r="I609" s="363">
        <v>2014</v>
      </c>
      <c r="J609" s="393">
        <v>0.05</v>
      </c>
      <c r="K609" s="333">
        <v>20300000</v>
      </c>
      <c r="L609" s="333">
        <v>0</v>
      </c>
      <c r="M609" s="333">
        <v>0</v>
      </c>
      <c r="N609" s="329">
        <f t="shared" si="108"/>
        <v>20300000</v>
      </c>
      <c r="O609" s="329">
        <v>6089999.9999999963</v>
      </c>
      <c r="P609" s="333"/>
      <c r="Q609" s="333">
        <v>0</v>
      </c>
      <c r="R609" s="329">
        <f t="shared" si="110"/>
        <v>6089999.9999999963</v>
      </c>
      <c r="S609" s="333">
        <f t="shared" si="109"/>
        <v>14210000.000000004</v>
      </c>
    </row>
    <row r="610" spans="1:19" ht="15.75" customHeight="1">
      <c r="A610" s="266" t="s">
        <v>944</v>
      </c>
      <c r="B610" s="266">
        <v>5</v>
      </c>
      <c r="C610" s="266">
        <v>5</v>
      </c>
      <c r="D610" s="309"/>
      <c r="E610" s="316"/>
      <c r="F610" s="330"/>
      <c r="G610" s="331"/>
      <c r="H610" s="362" t="s">
        <v>724</v>
      </c>
      <c r="I610" s="363">
        <v>2015</v>
      </c>
      <c r="J610" s="393">
        <v>0.05</v>
      </c>
      <c r="K610" s="333">
        <v>61622000</v>
      </c>
      <c r="L610" s="333">
        <v>0</v>
      </c>
      <c r="M610" s="333">
        <v>0</v>
      </c>
      <c r="N610" s="329">
        <f t="shared" si="108"/>
        <v>61622000</v>
      </c>
      <c r="O610" s="329">
        <v>20540666.5</v>
      </c>
      <c r="P610" s="333"/>
      <c r="Q610" s="333">
        <v>0</v>
      </c>
      <c r="R610" s="329">
        <f t="shared" si="110"/>
        <v>20540666.5</v>
      </c>
      <c r="S610" s="333">
        <f t="shared" si="109"/>
        <v>41081333.5</v>
      </c>
    </row>
    <row r="611" spans="1:19" s="317" customFormat="1" ht="15.75" customHeight="1">
      <c r="A611" s="266" t="s">
        <v>944</v>
      </c>
      <c r="B611" s="266">
        <v>6</v>
      </c>
      <c r="C611" s="266">
        <v>6</v>
      </c>
      <c r="D611" s="309"/>
      <c r="E611" s="316"/>
      <c r="F611" s="330"/>
      <c r="G611" s="331"/>
      <c r="H611" s="362" t="s">
        <v>725</v>
      </c>
      <c r="I611" s="363">
        <v>2015</v>
      </c>
      <c r="J611" s="393">
        <v>0.05</v>
      </c>
      <c r="K611" s="333">
        <v>11829000</v>
      </c>
      <c r="L611" s="333">
        <v>0</v>
      </c>
      <c r="M611" s="333">
        <v>0</v>
      </c>
      <c r="N611" s="329">
        <f t="shared" si="108"/>
        <v>11829000</v>
      </c>
      <c r="O611" s="329">
        <v>3893712.5</v>
      </c>
      <c r="P611" s="333"/>
      <c r="Q611" s="333">
        <v>0</v>
      </c>
      <c r="R611" s="329">
        <f t="shared" si="110"/>
        <v>3893712.5</v>
      </c>
      <c r="S611" s="333">
        <f t="shared" si="109"/>
        <v>7935287.5</v>
      </c>
    </row>
    <row r="612" spans="1:19" ht="15.75" customHeight="1">
      <c r="A612" s="266" t="s">
        <v>944</v>
      </c>
      <c r="D612" s="309"/>
      <c r="E612" s="1235" t="s">
        <v>1024</v>
      </c>
      <c r="F612" s="1236"/>
      <c r="G612" s="1236"/>
      <c r="H612" s="1236"/>
      <c r="I612" s="1236"/>
      <c r="J612" s="1237"/>
      <c r="K612" s="342">
        <f>SUM(K584:K611)</f>
        <v>2621651000</v>
      </c>
      <c r="L612" s="342">
        <f t="shared" ref="L612:S612" si="111">SUM(L584:L611)</f>
        <v>0</v>
      </c>
      <c r="M612" s="342">
        <f t="shared" si="111"/>
        <v>0</v>
      </c>
      <c r="N612" s="342">
        <f t="shared" si="111"/>
        <v>2621651000</v>
      </c>
      <c r="O612" s="342">
        <f t="shared" si="111"/>
        <v>788894379.00000024</v>
      </c>
      <c r="P612" s="342">
        <f t="shared" si="111"/>
        <v>0</v>
      </c>
      <c r="Q612" s="342">
        <f t="shared" si="111"/>
        <v>0</v>
      </c>
      <c r="R612" s="342">
        <f t="shared" si="111"/>
        <v>788894379.00000024</v>
      </c>
      <c r="S612" s="342">
        <f t="shared" si="111"/>
        <v>1832756621</v>
      </c>
    </row>
    <row r="613" spans="1:19" s="425" customFormat="1" ht="25" customHeight="1">
      <c r="A613" s="266"/>
      <c r="B613" s="266"/>
      <c r="C613" s="266"/>
      <c r="D613" s="387"/>
      <c r="E613" s="324"/>
      <c r="F613" s="330"/>
      <c r="G613" s="370"/>
      <c r="H613" s="362"/>
      <c r="I613" s="363"/>
      <c r="J613" s="393"/>
      <c r="K613" s="562"/>
      <c r="L613" s="562"/>
      <c r="M613" s="562"/>
      <c r="N613" s="562"/>
      <c r="O613" s="562"/>
      <c r="P613" s="562"/>
      <c r="Q613" s="562"/>
      <c r="R613" s="562"/>
      <c r="S613" s="562"/>
    </row>
    <row r="614" spans="1:19" s="317" customFormat="1" ht="15.75" customHeight="1">
      <c r="A614" s="266"/>
      <c r="B614" s="266"/>
      <c r="C614" s="266"/>
      <c r="D614" s="1229" t="s">
        <v>1025</v>
      </c>
      <c r="E614" s="1230"/>
      <c r="F614" s="1230"/>
      <c r="G614" s="1230"/>
      <c r="H614" s="1230"/>
      <c r="I614" s="1230"/>
      <c r="J614" s="1231"/>
      <c r="K614" s="342">
        <f>K581+K612</f>
        <v>4073931000</v>
      </c>
      <c r="L614" s="342">
        <f t="shared" ref="L614:S614" si="112">L581+L612</f>
        <v>0</v>
      </c>
      <c r="M614" s="342">
        <f t="shared" si="112"/>
        <v>0</v>
      </c>
      <c r="N614" s="342">
        <f t="shared" si="112"/>
        <v>4073931000</v>
      </c>
      <c r="O614" s="342">
        <f t="shared" si="112"/>
        <v>1093086379.0000002</v>
      </c>
      <c r="P614" s="342">
        <f t="shared" si="112"/>
        <v>72614000.000000417</v>
      </c>
      <c r="Q614" s="342">
        <f t="shared" si="112"/>
        <v>0</v>
      </c>
      <c r="R614" s="342">
        <f t="shared" si="112"/>
        <v>1165700379.0000007</v>
      </c>
      <c r="S614" s="342">
        <f t="shared" si="112"/>
        <v>2908230620.9999995</v>
      </c>
    </row>
    <row r="615" spans="1:19" s="317" customFormat="1" ht="15.75" customHeight="1">
      <c r="A615" s="266"/>
      <c r="B615" s="266"/>
      <c r="C615" s="266"/>
      <c r="D615" s="309"/>
      <c r="E615" s="316"/>
      <c r="F615" s="353"/>
      <c r="G615" s="311"/>
      <c r="H615" s="312"/>
      <c r="I615" s="573"/>
      <c r="J615" s="396"/>
      <c r="K615" s="356"/>
      <c r="L615" s="356"/>
      <c r="M615" s="356"/>
      <c r="N615" s="356"/>
      <c r="O615" s="356"/>
      <c r="P615" s="356"/>
      <c r="Q615" s="356"/>
      <c r="R615" s="356"/>
      <c r="S615" s="356"/>
    </row>
    <row r="616" spans="1:19" s="317" customFormat="1" ht="15.75" customHeight="1">
      <c r="A616" s="266" t="s">
        <v>935</v>
      </c>
      <c r="B616" s="308" t="s">
        <v>1026</v>
      </c>
      <c r="C616" s="308" t="s">
        <v>1026</v>
      </c>
      <c r="D616" s="357">
        <v>7</v>
      </c>
      <c r="E616" s="316" t="s">
        <v>1026</v>
      </c>
      <c r="G616" s="311"/>
      <c r="H616" s="312"/>
      <c r="I616" s="537"/>
      <c r="J616" s="393"/>
      <c r="K616" s="358"/>
      <c r="L616" s="358"/>
      <c r="M616" s="358"/>
      <c r="N616" s="358"/>
      <c r="O616" s="358"/>
      <c r="P616" s="358"/>
      <c r="Q616" s="358"/>
      <c r="R616" s="358"/>
      <c r="S616" s="358"/>
    </row>
    <row r="617" spans="1:19" s="317" customFormat="1" ht="15.75" customHeight="1">
      <c r="A617" s="266" t="s">
        <v>935</v>
      </c>
      <c r="B617" s="266"/>
      <c r="C617" s="266"/>
      <c r="D617" s="357"/>
      <c r="E617" s="449" t="s">
        <v>1027</v>
      </c>
      <c r="F617" s="317" t="s">
        <v>726</v>
      </c>
      <c r="G617" s="311"/>
      <c r="H617" s="319"/>
      <c r="I617" s="574"/>
      <c r="J617" s="393"/>
      <c r="K617" s="358"/>
      <c r="L617" s="358"/>
      <c r="M617" s="358"/>
      <c r="N617" s="358"/>
      <c r="O617" s="358"/>
      <c r="P617" s="358"/>
      <c r="Q617" s="358"/>
      <c r="R617" s="358"/>
      <c r="S617" s="358"/>
    </row>
    <row r="618" spans="1:19" ht="15.75" customHeight="1">
      <c r="A618" s="266" t="s">
        <v>935</v>
      </c>
      <c r="D618" s="357"/>
      <c r="E618" s="301"/>
      <c r="F618" s="449" t="s">
        <v>1028</v>
      </c>
      <c r="G618" s="311" t="s">
        <v>405</v>
      </c>
      <c r="H618" s="319"/>
      <c r="I618" s="574"/>
      <c r="J618" s="393"/>
      <c r="K618" s="358"/>
      <c r="L618" s="358"/>
      <c r="M618" s="358"/>
      <c r="N618" s="358"/>
      <c r="O618" s="358"/>
      <c r="P618" s="358"/>
      <c r="Q618" s="358"/>
      <c r="R618" s="358"/>
      <c r="S618" s="358"/>
    </row>
    <row r="619" spans="1:19" ht="15.75" customHeight="1">
      <c r="A619" s="266" t="s">
        <v>935</v>
      </c>
      <c r="D619" s="309"/>
      <c r="E619" s="316"/>
      <c r="F619" s="353"/>
      <c r="G619" s="311"/>
      <c r="H619" s="362" t="s">
        <v>727</v>
      </c>
      <c r="I619" s="373">
        <v>2011</v>
      </c>
      <c r="J619" s="430">
        <v>0.125</v>
      </c>
      <c r="K619" s="333">
        <v>108000000</v>
      </c>
      <c r="L619" s="333">
        <v>0</v>
      </c>
      <c r="M619" s="333">
        <v>0</v>
      </c>
      <c r="N619" s="329">
        <f t="shared" ref="N619:N650" si="113">K619+L619-M619</f>
        <v>108000000</v>
      </c>
      <c r="O619" s="329">
        <v>81000000</v>
      </c>
      <c r="P619" s="333">
        <v>13500000</v>
      </c>
      <c r="Q619" s="333">
        <v>0</v>
      </c>
      <c r="R619" s="329">
        <f>O619+P619-Q619</f>
        <v>94500000</v>
      </c>
      <c r="S619" s="333">
        <f t="shared" ref="S619:S650" si="114">N619-R619</f>
        <v>13500000</v>
      </c>
    </row>
    <row r="620" spans="1:19" ht="15.75" customHeight="1">
      <c r="A620" s="266" t="s">
        <v>935</v>
      </c>
      <c r="D620" s="309"/>
      <c r="E620" s="316"/>
      <c r="F620" s="353"/>
      <c r="G620" s="311"/>
      <c r="H620" s="408" t="s">
        <v>727</v>
      </c>
      <c r="I620" s="363">
        <v>2011</v>
      </c>
      <c r="J620" s="430">
        <v>0.125</v>
      </c>
      <c r="K620" s="333">
        <v>108000000</v>
      </c>
      <c r="L620" s="333">
        <v>0</v>
      </c>
      <c r="M620" s="333">
        <v>0</v>
      </c>
      <c r="N620" s="329">
        <f t="shared" si="113"/>
        <v>108000000</v>
      </c>
      <c r="O620" s="329">
        <v>81000000</v>
      </c>
      <c r="P620" s="333">
        <v>13500000</v>
      </c>
      <c r="Q620" s="333">
        <v>0</v>
      </c>
      <c r="R620" s="329">
        <f t="shared" ref="R620:R650" si="115">O620+P620-Q620</f>
        <v>94500000</v>
      </c>
      <c r="S620" s="333">
        <f t="shared" si="114"/>
        <v>13500000</v>
      </c>
    </row>
    <row r="621" spans="1:19" ht="15.75" customHeight="1">
      <c r="A621" s="266" t="s">
        <v>935</v>
      </c>
      <c r="D621" s="309"/>
      <c r="E621" s="316"/>
      <c r="F621" s="353"/>
      <c r="G621" s="311"/>
      <c r="H621" s="372" t="s">
        <v>729</v>
      </c>
      <c r="I621" s="431">
        <v>2004</v>
      </c>
      <c r="J621" s="430">
        <v>0.125</v>
      </c>
      <c r="K621" s="333">
        <v>84000000</v>
      </c>
      <c r="L621" s="333">
        <v>0</v>
      </c>
      <c r="M621" s="333">
        <v>0</v>
      </c>
      <c r="N621" s="329">
        <f t="shared" si="113"/>
        <v>84000000</v>
      </c>
      <c r="O621" s="329">
        <v>63000000</v>
      </c>
      <c r="P621" s="333">
        <v>10500000</v>
      </c>
      <c r="Q621" s="333">
        <v>0</v>
      </c>
      <c r="R621" s="329">
        <f t="shared" si="115"/>
        <v>73500000</v>
      </c>
      <c r="S621" s="333">
        <f t="shared" si="114"/>
        <v>10500000</v>
      </c>
    </row>
    <row r="622" spans="1:19" ht="15.75" customHeight="1">
      <c r="A622" s="266" t="s">
        <v>935</v>
      </c>
      <c r="D622" s="309"/>
      <c r="E622" s="316"/>
      <c r="F622" s="353"/>
      <c r="G622" s="311"/>
      <c r="H622" s="362" t="s">
        <v>738</v>
      </c>
      <c r="I622" s="373">
        <v>2013</v>
      </c>
      <c r="J622" s="430">
        <v>0.125</v>
      </c>
      <c r="K622" s="333">
        <v>216000000</v>
      </c>
      <c r="L622" s="333">
        <v>0</v>
      </c>
      <c r="M622" s="333">
        <v>0</v>
      </c>
      <c r="N622" s="329">
        <f t="shared" si="113"/>
        <v>216000000</v>
      </c>
      <c r="O622" s="329">
        <v>162000000</v>
      </c>
      <c r="P622" s="333">
        <v>27000000</v>
      </c>
      <c r="Q622" s="333">
        <v>0</v>
      </c>
      <c r="R622" s="329">
        <f t="shared" si="115"/>
        <v>189000000</v>
      </c>
      <c r="S622" s="333">
        <f t="shared" si="114"/>
        <v>27000000</v>
      </c>
    </row>
    <row r="623" spans="1:19" ht="15.75" customHeight="1">
      <c r="A623" s="266" t="s">
        <v>935</v>
      </c>
      <c r="D623" s="309"/>
      <c r="E623" s="316"/>
      <c r="F623" s="330"/>
      <c r="G623" s="331"/>
      <c r="H623" s="408" t="s">
        <v>733</v>
      </c>
      <c r="I623" s="373">
        <v>2013</v>
      </c>
      <c r="J623" s="430">
        <v>0.125</v>
      </c>
      <c r="K623" s="333">
        <v>394000000</v>
      </c>
      <c r="L623" s="333">
        <v>0</v>
      </c>
      <c r="M623" s="333">
        <v>0</v>
      </c>
      <c r="N623" s="329">
        <f t="shared" si="113"/>
        <v>394000000</v>
      </c>
      <c r="O623" s="329">
        <v>295499999.99999988</v>
      </c>
      <c r="P623" s="333">
        <v>49250000.000000238</v>
      </c>
      <c r="Q623" s="333">
        <v>0</v>
      </c>
      <c r="R623" s="329">
        <f t="shared" si="115"/>
        <v>344750000.00000012</v>
      </c>
      <c r="S623" s="333">
        <f t="shared" si="114"/>
        <v>49249999.999999881</v>
      </c>
    </row>
    <row r="624" spans="1:19" ht="15.75" customHeight="1">
      <c r="A624" s="266" t="s">
        <v>935</v>
      </c>
      <c r="D624" s="309"/>
      <c r="E624" s="316"/>
      <c r="F624" s="330"/>
      <c r="G624" s="331"/>
      <c r="H624" s="362" t="s">
        <v>732</v>
      </c>
      <c r="I624" s="363">
        <v>2008</v>
      </c>
      <c r="J624" s="430">
        <v>0.125</v>
      </c>
      <c r="K624" s="333">
        <v>165000000</v>
      </c>
      <c r="L624" s="333">
        <v>0</v>
      </c>
      <c r="M624" s="333">
        <v>0</v>
      </c>
      <c r="N624" s="329">
        <f t="shared" si="113"/>
        <v>165000000</v>
      </c>
      <c r="O624" s="329">
        <v>123750000</v>
      </c>
      <c r="P624" s="333">
        <v>20625000</v>
      </c>
      <c r="Q624" s="333"/>
      <c r="R624" s="329">
        <f t="shared" si="115"/>
        <v>144375000</v>
      </c>
      <c r="S624" s="333">
        <f t="shared" si="114"/>
        <v>20625000</v>
      </c>
    </row>
    <row r="625" spans="1:19" ht="15.75" customHeight="1">
      <c r="A625" s="266" t="s">
        <v>935</v>
      </c>
      <c r="D625" s="309"/>
      <c r="E625" s="316"/>
      <c r="F625" s="330"/>
      <c r="G625" s="331"/>
      <c r="H625" s="362" t="s">
        <v>731</v>
      </c>
      <c r="I625" s="431">
        <v>2005</v>
      </c>
      <c r="J625" s="430">
        <v>0.125</v>
      </c>
      <c r="K625" s="333">
        <v>77000000</v>
      </c>
      <c r="L625" s="333">
        <v>0</v>
      </c>
      <c r="M625" s="333">
        <v>0</v>
      </c>
      <c r="N625" s="329">
        <f t="shared" si="113"/>
        <v>77000000</v>
      </c>
      <c r="O625" s="329">
        <v>57750000.000000052</v>
      </c>
      <c r="P625" s="333">
        <v>9625000.0000000224</v>
      </c>
      <c r="Q625" s="333">
        <v>0</v>
      </c>
      <c r="R625" s="329">
        <f t="shared" si="115"/>
        <v>67375000.000000075</v>
      </c>
      <c r="S625" s="333">
        <f t="shared" si="114"/>
        <v>9624999.9999999255</v>
      </c>
    </row>
    <row r="626" spans="1:19" ht="15.75" customHeight="1">
      <c r="A626" s="266" t="s">
        <v>935</v>
      </c>
      <c r="D626" s="309"/>
      <c r="E626" s="316"/>
      <c r="F626" s="330"/>
      <c r="G626" s="331"/>
      <c r="H626" s="408" t="s">
        <v>731</v>
      </c>
      <c r="I626" s="363">
        <v>2005</v>
      </c>
      <c r="J626" s="430">
        <v>0.125</v>
      </c>
      <c r="K626" s="333">
        <v>77000000</v>
      </c>
      <c r="L626" s="333">
        <v>0</v>
      </c>
      <c r="M626" s="333">
        <v>0</v>
      </c>
      <c r="N626" s="329">
        <f t="shared" si="113"/>
        <v>77000000</v>
      </c>
      <c r="O626" s="329">
        <v>57750000.000000052</v>
      </c>
      <c r="P626" s="333">
        <v>9625000.0000000224</v>
      </c>
      <c r="Q626" s="333">
        <v>0</v>
      </c>
      <c r="R626" s="329">
        <f t="shared" si="115"/>
        <v>67375000.000000075</v>
      </c>
      <c r="S626" s="333">
        <f t="shared" si="114"/>
        <v>9624999.9999999255</v>
      </c>
    </row>
    <row r="627" spans="1:19" ht="15.75" customHeight="1">
      <c r="A627" s="266" t="s">
        <v>935</v>
      </c>
      <c r="D627" s="309"/>
      <c r="E627" s="316"/>
      <c r="F627" s="330"/>
      <c r="G627" s="331"/>
      <c r="H627" s="372" t="s">
        <v>733</v>
      </c>
      <c r="I627" s="431">
        <v>2008</v>
      </c>
      <c r="J627" s="430">
        <v>0.125</v>
      </c>
      <c r="K627" s="333">
        <v>264000000</v>
      </c>
      <c r="L627" s="333">
        <v>0</v>
      </c>
      <c r="M627" s="333">
        <v>0</v>
      </c>
      <c r="N627" s="329">
        <f t="shared" si="113"/>
        <v>264000000</v>
      </c>
      <c r="O627" s="329">
        <v>198000000</v>
      </c>
      <c r="P627" s="333">
        <v>33000000</v>
      </c>
      <c r="Q627" s="333">
        <v>0</v>
      </c>
      <c r="R627" s="329">
        <f t="shared" si="115"/>
        <v>231000000</v>
      </c>
      <c r="S627" s="333">
        <f t="shared" si="114"/>
        <v>33000000</v>
      </c>
    </row>
    <row r="628" spans="1:19" ht="15.75" customHeight="1">
      <c r="A628" s="266" t="s">
        <v>935</v>
      </c>
      <c r="D628" s="309"/>
      <c r="E628" s="316"/>
      <c r="F628" s="330"/>
      <c r="G628" s="331"/>
      <c r="H628" s="362" t="s">
        <v>739</v>
      </c>
      <c r="I628" s="363">
        <v>2013</v>
      </c>
      <c r="J628" s="430">
        <v>0.125</v>
      </c>
      <c r="K628" s="333">
        <v>271000000</v>
      </c>
      <c r="L628" s="333">
        <v>0</v>
      </c>
      <c r="M628" s="333">
        <v>0</v>
      </c>
      <c r="N628" s="329">
        <f t="shared" si="113"/>
        <v>271000000</v>
      </c>
      <c r="O628" s="329">
        <v>203249999.99999985</v>
      </c>
      <c r="P628" s="333">
        <v>33874999.999999881</v>
      </c>
      <c r="Q628" s="333">
        <v>0</v>
      </c>
      <c r="R628" s="329">
        <f t="shared" si="115"/>
        <v>237124999.99999973</v>
      </c>
      <c r="S628" s="333">
        <f t="shared" si="114"/>
        <v>33875000.000000268</v>
      </c>
    </row>
    <row r="629" spans="1:19" ht="15.75" customHeight="1">
      <c r="A629" s="266" t="s">
        <v>935</v>
      </c>
      <c r="D629" s="309"/>
      <c r="E629" s="316"/>
      <c r="F629" s="330"/>
      <c r="G629" s="331"/>
      <c r="H629" s="362" t="s">
        <v>728</v>
      </c>
      <c r="I629" s="363">
        <v>2002</v>
      </c>
      <c r="J629" s="430">
        <v>0.125</v>
      </c>
      <c r="K629" s="333">
        <v>108000000</v>
      </c>
      <c r="L629" s="333">
        <v>0</v>
      </c>
      <c r="M629" s="333">
        <v>0</v>
      </c>
      <c r="N629" s="329">
        <f t="shared" si="113"/>
        <v>108000000</v>
      </c>
      <c r="O629" s="329">
        <v>81000000</v>
      </c>
      <c r="P629" s="333">
        <v>13500000</v>
      </c>
      <c r="Q629" s="333">
        <v>0</v>
      </c>
      <c r="R629" s="329">
        <f t="shared" si="115"/>
        <v>94500000</v>
      </c>
      <c r="S629" s="333">
        <f t="shared" si="114"/>
        <v>13500000</v>
      </c>
    </row>
    <row r="630" spans="1:19" ht="15.75" customHeight="1">
      <c r="A630" s="266" t="s">
        <v>935</v>
      </c>
      <c r="D630" s="309"/>
      <c r="E630" s="316"/>
      <c r="F630" s="330"/>
      <c r="G630" s="331"/>
      <c r="H630" s="408" t="s">
        <v>728</v>
      </c>
      <c r="I630" s="363">
        <v>2002</v>
      </c>
      <c r="J630" s="430">
        <v>0.125</v>
      </c>
      <c r="K630" s="333">
        <v>108000000</v>
      </c>
      <c r="L630" s="333">
        <v>0</v>
      </c>
      <c r="M630" s="333">
        <v>0</v>
      </c>
      <c r="N630" s="329">
        <f t="shared" si="113"/>
        <v>108000000</v>
      </c>
      <c r="O630" s="329">
        <v>81000000</v>
      </c>
      <c r="P630" s="333">
        <v>13500000</v>
      </c>
      <c r="Q630" s="333">
        <v>0</v>
      </c>
      <c r="R630" s="329">
        <f t="shared" si="115"/>
        <v>94500000</v>
      </c>
      <c r="S630" s="333">
        <f t="shared" si="114"/>
        <v>13500000</v>
      </c>
    </row>
    <row r="631" spans="1:19" ht="15.75" customHeight="1">
      <c r="A631" s="266" t="s">
        <v>935</v>
      </c>
      <c r="D631" s="309"/>
      <c r="E631" s="316"/>
      <c r="F631" s="330"/>
      <c r="G631" s="331"/>
      <c r="H631" s="362" t="s">
        <v>735</v>
      </c>
      <c r="I631" s="363">
        <v>2011</v>
      </c>
      <c r="J631" s="430">
        <v>0.125</v>
      </c>
      <c r="K631" s="333">
        <v>190000000</v>
      </c>
      <c r="L631" s="333">
        <v>0</v>
      </c>
      <c r="M631" s="333">
        <v>0</v>
      </c>
      <c r="N631" s="329">
        <f t="shared" si="113"/>
        <v>190000000</v>
      </c>
      <c r="O631" s="329">
        <v>142500000.00000009</v>
      </c>
      <c r="P631" s="333">
        <v>23749999.999999881</v>
      </c>
      <c r="Q631" s="333">
        <v>0</v>
      </c>
      <c r="R631" s="329">
        <f t="shared" si="115"/>
        <v>166249999.99999997</v>
      </c>
      <c r="S631" s="333">
        <f t="shared" si="114"/>
        <v>23750000.00000003</v>
      </c>
    </row>
    <row r="632" spans="1:19" ht="15.75" customHeight="1">
      <c r="A632" s="266" t="s">
        <v>935</v>
      </c>
      <c r="D632" s="309"/>
      <c r="E632" s="316"/>
      <c r="F632" s="330"/>
      <c r="G632" s="331"/>
      <c r="H632" s="408" t="s">
        <v>735</v>
      </c>
      <c r="I632" s="363">
        <v>2013</v>
      </c>
      <c r="J632" s="430">
        <v>0.125</v>
      </c>
      <c r="K632" s="333">
        <v>203000000</v>
      </c>
      <c r="L632" s="333">
        <v>0</v>
      </c>
      <c r="M632" s="333">
        <v>0</v>
      </c>
      <c r="N632" s="329">
        <f t="shared" si="113"/>
        <v>203000000</v>
      </c>
      <c r="O632" s="329">
        <v>152249999.99999997</v>
      </c>
      <c r="P632" s="333">
        <v>25375000.000000119</v>
      </c>
      <c r="Q632" s="333">
        <v>0</v>
      </c>
      <c r="R632" s="329">
        <f t="shared" si="115"/>
        <v>177625000.00000009</v>
      </c>
      <c r="S632" s="333">
        <f t="shared" si="114"/>
        <v>25374999.999999911</v>
      </c>
    </row>
    <row r="633" spans="1:19" ht="15.75" customHeight="1">
      <c r="A633" s="266" t="s">
        <v>935</v>
      </c>
      <c r="D633" s="309"/>
      <c r="E633" s="316"/>
      <c r="F633" s="330"/>
      <c r="G633" s="331"/>
      <c r="H633" s="372" t="s">
        <v>735</v>
      </c>
      <c r="I633" s="431">
        <v>2011</v>
      </c>
      <c r="J633" s="430">
        <v>0.125</v>
      </c>
      <c r="K633" s="333">
        <v>197000000</v>
      </c>
      <c r="L633" s="333">
        <v>0</v>
      </c>
      <c r="M633" s="333">
        <v>0</v>
      </c>
      <c r="N633" s="329">
        <f t="shared" si="113"/>
        <v>197000000</v>
      </c>
      <c r="O633" s="329">
        <v>147749999.99999994</v>
      </c>
      <c r="P633" s="333">
        <v>24625000.000000119</v>
      </c>
      <c r="Q633" s="333">
        <v>0</v>
      </c>
      <c r="R633" s="329">
        <f t="shared" si="115"/>
        <v>172375000.00000006</v>
      </c>
      <c r="S633" s="333">
        <f t="shared" si="114"/>
        <v>24624999.99999994</v>
      </c>
    </row>
    <row r="634" spans="1:19" ht="15.75" customHeight="1">
      <c r="A634" s="266" t="s">
        <v>935</v>
      </c>
      <c r="D634" s="309"/>
      <c r="E634" s="316"/>
      <c r="F634" s="330"/>
      <c r="G634" s="331"/>
      <c r="H634" s="362" t="s">
        <v>734</v>
      </c>
      <c r="I634" s="373">
        <v>2010</v>
      </c>
      <c r="J634" s="430">
        <v>0.125</v>
      </c>
      <c r="K634" s="333">
        <v>171000000</v>
      </c>
      <c r="L634" s="333">
        <v>0</v>
      </c>
      <c r="M634" s="333">
        <v>0</v>
      </c>
      <c r="N634" s="329">
        <f t="shared" si="113"/>
        <v>171000000</v>
      </c>
      <c r="O634" s="329">
        <v>128250000</v>
      </c>
      <c r="P634" s="333">
        <v>21375000</v>
      </c>
      <c r="Q634" s="333">
        <v>0</v>
      </c>
      <c r="R634" s="329">
        <f t="shared" si="115"/>
        <v>149625000</v>
      </c>
      <c r="S634" s="333">
        <f t="shared" si="114"/>
        <v>21375000</v>
      </c>
    </row>
    <row r="635" spans="1:19" ht="15.75" customHeight="1">
      <c r="A635" s="266" t="s">
        <v>935</v>
      </c>
      <c r="D635" s="309"/>
      <c r="E635" s="316"/>
      <c r="F635" s="330"/>
      <c r="G635" s="331"/>
      <c r="H635" s="362" t="s">
        <v>736</v>
      </c>
      <c r="I635" s="363">
        <v>2011</v>
      </c>
      <c r="J635" s="430">
        <v>0.125</v>
      </c>
      <c r="K635" s="333">
        <v>141000000</v>
      </c>
      <c r="L635" s="333">
        <v>0</v>
      </c>
      <c r="M635" s="333">
        <v>0</v>
      </c>
      <c r="N635" s="329">
        <f t="shared" si="113"/>
        <v>141000000</v>
      </c>
      <c r="O635" s="329">
        <v>105750000</v>
      </c>
      <c r="P635" s="333">
        <v>17625000</v>
      </c>
      <c r="Q635" s="333">
        <v>0</v>
      </c>
      <c r="R635" s="329">
        <f t="shared" si="115"/>
        <v>123375000</v>
      </c>
      <c r="S635" s="333">
        <f t="shared" si="114"/>
        <v>17625000</v>
      </c>
    </row>
    <row r="636" spans="1:19" ht="15.75" customHeight="1">
      <c r="A636" s="266" t="s">
        <v>935</v>
      </c>
      <c r="D636" s="309"/>
      <c r="E636" s="316"/>
      <c r="F636" s="330"/>
      <c r="G636" s="331"/>
      <c r="H636" s="362" t="s">
        <v>742</v>
      </c>
      <c r="I636" s="431">
        <v>2014</v>
      </c>
      <c r="J636" s="430">
        <v>0.125</v>
      </c>
      <c r="K636" s="333">
        <v>93000000</v>
      </c>
      <c r="L636" s="333">
        <v>0</v>
      </c>
      <c r="M636" s="333">
        <v>0</v>
      </c>
      <c r="N636" s="329">
        <f t="shared" si="113"/>
        <v>93000000</v>
      </c>
      <c r="O636" s="329">
        <v>69750000</v>
      </c>
      <c r="P636" s="333">
        <v>11625000</v>
      </c>
      <c r="Q636" s="333">
        <v>0</v>
      </c>
      <c r="R636" s="329">
        <f t="shared" si="115"/>
        <v>81375000</v>
      </c>
      <c r="S636" s="333">
        <f t="shared" si="114"/>
        <v>11625000</v>
      </c>
    </row>
    <row r="637" spans="1:19" ht="15.75" customHeight="1">
      <c r="A637" s="266" t="s">
        <v>935</v>
      </c>
      <c r="D637" s="309"/>
      <c r="E637" s="316"/>
      <c r="F637" s="330"/>
      <c r="G637" s="331"/>
      <c r="H637" s="408" t="s">
        <v>735</v>
      </c>
      <c r="I637" s="373">
        <v>2011</v>
      </c>
      <c r="J637" s="430">
        <v>0.125</v>
      </c>
      <c r="K637" s="333">
        <v>190000000</v>
      </c>
      <c r="L637" s="333">
        <v>0</v>
      </c>
      <c r="M637" s="333">
        <v>0</v>
      </c>
      <c r="N637" s="329">
        <f t="shared" si="113"/>
        <v>190000000</v>
      </c>
      <c r="O637" s="329">
        <v>142500000.00000009</v>
      </c>
      <c r="P637" s="333">
        <v>23749999.999999881</v>
      </c>
      <c r="Q637" s="333">
        <v>0</v>
      </c>
      <c r="R637" s="329">
        <f t="shared" si="115"/>
        <v>166249999.99999997</v>
      </c>
      <c r="S637" s="333">
        <f t="shared" si="114"/>
        <v>23750000.00000003</v>
      </c>
    </row>
    <row r="638" spans="1:19" ht="15.75" customHeight="1">
      <c r="A638" s="266" t="s">
        <v>935</v>
      </c>
      <c r="D638" s="309"/>
      <c r="E638" s="316"/>
      <c r="F638" s="330"/>
      <c r="G638" s="331"/>
      <c r="H638" s="372" t="s">
        <v>740</v>
      </c>
      <c r="I638" s="373">
        <v>2013</v>
      </c>
      <c r="J638" s="430">
        <v>0.125</v>
      </c>
      <c r="K638" s="333">
        <v>155000000</v>
      </c>
      <c r="L638" s="333">
        <v>0</v>
      </c>
      <c r="M638" s="333">
        <v>0</v>
      </c>
      <c r="N638" s="329">
        <f t="shared" si="113"/>
        <v>155000000</v>
      </c>
      <c r="O638" s="329">
        <v>116249999.9999999</v>
      </c>
      <c r="P638" s="333">
        <v>19374999.999999955</v>
      </c>
      <c r="Q638" s="333">
        <v>0</v>
      </c>
      <c r="R638" s="329">
        <f t="shared" si="115"/>
        <v>135624999.99999985</v>
      </c>
      <c r="S638" s="333">
        <f t="shared" si="114"/>
        <v>19375000.000000149</v>
      </c>
    </row>
    <row r="639" spans="1:19" ht="15.75" customHeight="1">
      <c r="A639" s="266" t="s">
        <v>935</v>
      </c>
      <c r="D639" s="309"/>
      <c r="E639" s="316"/>
      <c r="F639" s="330"/>
      <c r="G639" s="331"/>
      <c r="H639" s="372" t="s">
        <v>737</v>
      </c>
      <c r="I639" s="363">
        <v>2012</v>
      </c>
      <c r="J639" s="430">
        <v>0.125</v>
      </c>
      <c r="K639" s="333">
        <v>151000000</v>
      </c>
      <c r="L639" s="333">
        <v>0</v>
      </c>
      <c r="M639" s="333">
        <v>0</v>
      </c>
      <c r="N639" s="329">
        <f t="shared" si="113"/>
        <v>151000000</v>
      </c>
      <c r="O639" s="329">
        <v>113250000.0000001</v>
      </c>
      <c r="P639" s="333">
        <v>18875000.00000006</v>
      </c>
      <c r="Q639" s="333">
        <v>0</v>
      </c>
      <c r="R639" s="329">
        <f t="shared" si="115"/>
        <v>132125000.00000016</v>
      </c>
      <c r="S639" s="333">
        <f t="shared" si="114"/>
        <v>18874999.999999836</v>
      </c>
    </row>
    <row r="640" spans="1:19" ht="15.75" customHeight="1">
      <c r="A640" s="266" t="s">
        <v>935</v>
      </c>
      <c r="D640" s="309"/>
      <c r="E640" s="316"/>
      <c r="F640" s="330"/>
      <c r="G640" s="331"/>
      <c r="H640" s="362" t="s">
        <v>737</v>
      </c>
      <c r="I640" s="363">
        <v>2012</v>
      </c>
      <c r="J640" s="430">
        <v>0.125</v>
      </c>
      <c r="K640" s="333">
        <v>151000000</v>
      </c>
      <c r="L640" s="333">
        <v>0</v>
      </c>
      <c r="M640" s="333">
        <v>0</v>
      </c>
      <c r="N640" s="329">
        <f t="shared" si="113"/>
        <v>151000000</v>
      </c>
      <c r="O640" s="329">
        <v>113250000.0000001</v>
      </c>
      <c r="P640" s="333">
        <v>18875000.00000006</v>
      </c>
      <c r="Q640" s="333">
        <v>0</v>
      </c>
      <c r="R640" s="329">
        <f t="shared" si="115"/>
        <v>132125000.00000016</v>
      </c>
      <c r="S640" s="333">
        <f t="shared" si="114"/>
        <v>18874999.999999836</v>
      </c>
    </row>
    <row r="641" spans="1:19" ht="15.75" customHeight="1">
      <c r="A641" s="266" t="s">
        <v>935</v>
      </c>
      <c r="D641" s="309"/>
      <c r="E641" s="316"/>
      <c r="F641" s="330"/>
      <c r="G641" s="331"/>
      <c r="H641" s="362" t="s">
        <v>735</v>
      </c>
      <c r="I641" s="431">
        <v>2011</v>
      </c>
      <c r="J641" s="430">
        <v>0.125</v>
      </c>
      <c r="K641" s="333">
        <v>190000000</v>
      </c>
      <c r="L641" s="333">
        <v>0</v>
      </c>
      <c r="M641" s="333">
        <v>0</v>
      </c>
      <c r="N641" s="329">
        <f t="shared" si="113"/>
        <v>190000000</v>
      </c>
      <c r="O641" s="329">
        <v>142500000.00000009</v>
      </c>
      <c r="P641" s="333">
        <v>23749999.999999881</v>
      </c>
      <c r="Q641" s="333">
        <v>0</v>
      </c>
      <c r="R641" s="329">
        <f t="shared" si="115"/>
        <v>166249999.99999997</v>
      </c>
      <c r="S641" s="333">
        <f t="shared" si="114"/>
        <v>23750000.00000003</v>
      </c>
    </row>
    <row r="642" spans="1:19" ht="15.75" customHeight="1">
      <c r="A642" s="266" t="s">
        <v>935</v>
      </c>
      <c r="D642" s="309"/>
      <c r="E642" s="316"/>
      <c r="F642" s="330"/>
      <c r="G642" s="331"/>
      <c r="H642" s="362" t="s">
        <v>743</v>
      </c>
      <c r="I642" s="363">
        <v>2014</v>
      </c>
      <c r="J642" s="430">
        <v>0.125</v>
      </c>
      <c r="K642" s="333">
        <v>214000000</v>
      </c>
      <c r="L642" s="333">
        <v>0</v>
      </c>
      <c r="M642" s="333">
        <v>0</v>
      </c>
      <c r="N642" s="329">
        <f t="shared" si="113"/>
        <v>214000000</v>
      </c>
      <c r="O642" s="329">
        <v>160500000</v>
      </c>
      <c r="P642" s="333">
        <v>26749999.999999881</v>
      </c>
      <c r="Q642" s="333">
        <v>0</v>
      </c>
      <c r="R642" s="329">
        <f t="shared" si="115"/>
        <v>187249999.99999988</v>
      </c>
      <c r="S642" s="333">
        <f t="shared" si="114"/>
        <v>26750000.000000119</v>
      </c>
    </row>
    <row r="643" spans="1:19" ht="15.75" customHeight="1">
      <c r="A643" s="266" t="s">
        <v>935</v>
      </c>
      <c r="D643" s="309"/>
      <c r="E643" s="316"/>
      <c r="F643" s="330"/>
      <c r="G643" s="331"/>
      <c r="H643" s="408" t="s">
        <v>737</v>
      </c>
      <c r="I643" s="431">
        <v>2013</v>
      </c>
      <c r="J643" s="430">
        <v>0.125</v>
      </c>
      <c r="K643" s="333">
        <v>163000000</v>
      </c>
      <c r="L643" s="333">
        <v>0</v>
      </c>
      <c r="M643" s="333">
        <v>0</v>
      </c>
      <c r="N643" s="329">
        <f t="shared" si="113"/>
        <v>163000000</v>
      </c>
      <c r="O643" s="329">
        <v>122250000.00000012</v>
      </c>
      <c r="P643" s="333">
        <v>20375000</v>
      </c>
      <c r="Q643" s="333">
        <v>0</v>
      </c>
      <c r="R643" s="329">
        <f t="shared" si="115"/>
        <v>142625000.00000012</v>
      </c>
      <c r="S643" s="333">
        <f t="shared" si="114"/>
        <v>20374999.999999881</v>
      </c>
    </row>
    <row r="644" spans="1:19" ht="15.75" customHeight="1">
      <c r="A644" s="266" t="s">
        <v>935</v>
      </c>
      <c r="D644" s="309"/>
      <c r="E644" s="316"/>
      <c r="F644" s="330"/>
      <c r="G644" s="331"/>
      <c r="H644" s="372" t="s">
        <v>741</v>
      </c>
      <c r="I644" s="363">
        <v>2013</v>
      </c>
      <c r="J644" s="430">
        <v>0.125</v>
      </c>
      <c r="K644" s="333">
        <v>323000000</v>
      </c>
      <c r="L644" s="333">
        <v>0</v>
      </c>
      <c r="M644" s="333">
        <v>0</v>
      </c>
      <c r="N644" s="329">
        <f t="shared" si="113"/>
        <v>323000000</v>
      </c>
      <c r="O644" s="329">
        <v>242250000.00000024</v>
      </c>
      <c r="P644" s="333">
        <v>40375000</v>
      </c>
      <c r="Q644" s="333">
        <v>0</v>
      </c>
      <c r="R644" s="329">
        <f t="shared" si="115"/>
        <v>282625000.00000024</v>
      </c>
      <c r="S644" s="333">
        <f t="shared" si="114"/>
        <v>40374999.999999762</v>
      </c>
    </row>
    <row r="645" spans="1:19" ht="15.75" customHeight="1">
      <c r="A645" s="266" t="s">
        <v>935</v>
      </c>
      <c r="D645" s="309"/>
      <c r="E645" s="316"/>
      <c r="F645" s="417"/>
      <c r="G645" s="331"/>
      <c r="H645" s="362" t="s">
        <v>727</v>
      </c>
      <c r="I645" s="431">
        <v>2004</v>
      </c>
      <c r="J645" s="430">
        <v>0.125</v>
      </c>
      <c r="K645" s="333">
        <v>69000000</v>
      </c>
      <c r="L645" s="333">
        <v>0</v>
      </c>
      <c r="M645" s="333">
        <v>0</v>
      </c>
      <c r="N645" s="329">
        <f t="shared" si="113"/>
        <v>69000000</v>
      </c>
      <c r="O645" s="329">
        <v>51750000</v>
      </c>
      <c r="P645" s="333">
        <v>8625000</v>
      </c>
      <c r="Q645" s="333">
        <v>0</v>
      </c>
      <c r="R645" s="329">
        <f t="shared" si="115"/>
        <v>60375000</v>
      </c>
      <c r="S645" s="333">
        <f t="shared" si="114"/>
        <v>8625000</v>
      </c>
    </row>
    <row r="646" spans="1:19" ht="15.75" customHeight="1">
      <c r="A646" s="266" t="s">
        <v>935</v>
      </c>
      <c r="D646" s="309"/>
      <c r="E646" s="316"/>
      <c r="F646" s="417"/>
      <c r="G646" s="331"/>
      <c r="H646" s="362" t="s">
        <v>730</v>
      </c>
      <c r="I646" s="373">
        <v>2004</v>
      </c>
      <c r="J646" s="430">
        <v>0.125</v>
      </c>
      <c r="K646" s="333">
        <v>94000000</v>
      </c>
      <c r="L646" s="333">
        <v>0</v>
      </c>
      <c r="M646" s="333">
        <v>0</v>
      </c>
      <c r="N646" s="329">
        <f t="shared" si="113"/>
        <v>94000000</v>
      </c>
      <c r="O646" s="329">
        <v>70499999.999999955</v>
      </c>
      <c r="P646" s="333">
        <v>11750000.00000006</v>
      </c>
      <c r="Q646" s="333">
        <v>0</v>
      </c>
      <c r="R646" s="329">
        <f t="shared" si="115"/>
        <v>82250000.000000015</v>
      </c>
      <c r="S646" s="333">
        <f t="shared" si="114"/>
        <v>11749999.999999985</v>
      </c>
    </row>
    <row r="647" spans="1:19" ht="15.75" customHeight="1">
      <c r="A647" s="266" t="s">
        <v>935</v>
      </c>
      <c r="B647" s="266">
        <v>7</v>
      </c>
      <c r="C647" s="266">
        <v>7</v>
      </c>
      <c r="D647" s="309"/>
      <c r="E647" s="316"/>
      <c r="F647" s="417"/>
      <c r="G647" s="331"/>
      <c r="H647" s="332" t="s">
        <v>744</v>
      </c>
      <c r="I647" s="257">
        <v>2015</v>
      </c>
      <c r="J647" s="430">
        <v>0.125</v>
      </c>
      <c r="K647" s="329">
        <v>562000000</v>
      </c>
      <c r="L647" s="333">
        <v>0</v>
      </c>
      <c r="M647" s="333">
        <v>0</v>
      </c>
      <c r="N647" s="329">
        <f t="shared" si="113"/>
        <v>562000000</v>
      </c>
      <c r="O647" s="329">
        <v>458411802.00000048</v>
      </c>
      <c r="P647" s="333">
        <v>70250000.000000238</v>
      </c>
      <c r="Q647" s="333">
        <v>0</v>
      </c>
      <c r="R647" s="329">
        <f t="shared" si="115"/>
        <v>528661802.00000072</v>
      </c>
      <c r="S647" s="333">
        <f t="shared" si="114"/>
        <v>33338197.999999285</v>
      </c>
    </row>
    <row r="648" spans="1:19" ht="15.75" customHeight="1">
      <c r="A648" s="266" t="s">
        <v>935</v>
      </c>
      <c r="B648" s="266">
        <v>7</v>
      </c>
      <c r="C648" s="266">
        <v>7</v>
      </c>
      <c r="D648" s="309"/>
      <c r="E648" s="316"/>
      <c r="F648" s="417"/>
      <c r="G648" s="331"/>
      <c r="H648" s="332" t="s">
        <v>745</v>
      </c>
      <c r="I648" s="257">
        <v>2016</v>
      </c>
      <c r="J648" s="430">
        <v>0.125</v>
      </c>
      <c r="K648" s="329">
        <v>500000000</v>
      </c>
      <c r="L648" s="333">
        <v>0</v>
      </c>
      <c r="M648" s="333">
        <v>0</v>
      </c>
      <c r="N648" s="329">
        <f t="shared" si="113"/>
        <v>500000000</v>
      </c>
      <c r="O648" s="329">
        <v>354166666.66666657</v>
      </c>
      <c r="P648" s="333">
        <v>62499999.999999762</v>
      </c>
      <c r="Q648" s="333">
        <v>0</v>
      </c>
      <c r="R648" s="329">
        <f t="shared" si="115"/>
        <v>416666666.66666633</v>
      </c>
      <c r="S648" s="333">
        <f t="shared" si="114"/>
        <v>83333333.333333671</v>
      </c>
    </row>
    <row r="649" spans="1:19" s="317" customFormat="1" ht="15.75" customHeight="1">
      <c r="A649" s="266" t="s">
        <v>935</v>
      </c>
      <c r="B649" s="266">
        <v>7</v>
      </c>
      <c r="C649" s="266">
        <v>7</v>
      </c>
      <c r="D649" s="309"/>
      <c r="E649" s="316"/>
      <c r="F649" s="417"/>
      <c r="G649" s="331"/>
      <c r="H649" s="332" t="s">
        <v>746</v>
      </c>
      <c r="I649" s="257">
        <v>2016</v>
      </c>
      <c r="J649" s="430">
        <v>0.125</v>
      </c>
      <c r="K649" s="329">
        <v>500000000</v>
      </c>
      <c r="L649" s="333">
        <v>0</v>
      </c>
      <c r="M649" s="333">
        <v>0</v>
      </c>
      <c r="N649" s="329">
        <f t="shared" si="113"/>
        <v>500000000</v>
      </c>
      <c r="O649" s="329">
        <v>354166666.66666657</v>
      </c>
      <c r="P649" s="333">
        <v>62499999.999999762</v>
      </c>
      <c r="Q649" s="333">
        <v>0</v>
      </c>
      <c r="R649" s="329">
        <f t="shared" si="115"/>
        <v>416666666.66666633</v>
      </c>
      <c r="S649" s="333">
        <f t="shared" si="114"/>
        <v>83333333.333333671</v>
      </c>
    </row>
    <row r="650" spans="1:19" s="317" customFormat="1" ht="15.75" customHeight="1">
      <c r="A650" s="266"/>
      <c r="B650" s="266"/>
      <c r="C650" s="266"/>
      <c r="D650" s="309"/>
      <c r="E650" s="316"/>
      <c r="F650" s="334"/>
      <c r="G650" s="335"/>
      <c r="H650" s="269" t="s">
        <v>747</v>
      </c>
      <c r="I650" s="575">
        <v>2017</v>
      </c>
      <c r="J650" s="430">
        <v>0.125</v>
      </c>
      <c r="K650" s="329">
        <v>230000000</v>
      </c>
      <c r="L650" s="348">
        <v>0</v>
      </c>
      <c r="M650" s="333">
        <v>0</v>
      </c>
      <c r="N650" s="329">
        <f t="shared" si="113"/>
        <v>230000000</v>
      </c>
      <c r="O650" s="329">
        <v>138958333.33333322</v>
      </c>
      <c r="P650" s="333">
        <v>28750000.000000119</v>
      </c>
      <c r="Q650" s="348">
        <v>0</v>
      </c>
      <c r="R650" s="329">
        <f t="shared" si="115"/>
        <v>167708333.33333334</v>
      </c>
      <c r="S650" s="333">
        <f t="shared" si="114"/>
        <v>62291666.666666657</v>
      </c>
    </row>
    <row r="651" spans="1:19" ht="15.75" customHeight="1">
      <c r="A651" s="266" t="s">
        <v>935</v>
      </c>
      <c r="D651" s="309"/>
      <c r="E651" s="1235" t="s">
        <v>1029</v>
      </c>
      <c r="F651" s="1236"/>
      <c r="G651" s="1236"/>
      <c r="H651" s="1236"/>
      <c r="I651" s="1236"/>
      <c r="J651" s="1237"/>
      <c r="K651" s="342">
        <f>SUM(K619:K650)</f>
        <v>6467000000</v>
      </c>
      <c r="L651" s="342">
        <f t="shared" ref="L651:S651" si="116">SUM(L619:L650)</f>
        <v>0</v>
      </c>
      <c r="M651" s="342">
        <f t="shared" si="116"/>
        <v>0</v>
      </c>
      <c r="N651" s="342">
        <f t="shared" si="116"/>
        <v>6467000000</v>
      </c>
      <c r="O651" s="342">
        <f t="shared" si="116"/>
        <v>4811953468.666667</v>
      </c>
      <c r="P651" s="342">
        <f t="shared" si="116"/>
        <v>808374999.99999988</v>
      </c>
      <c r="Q651" s="342">
        <f t="shared" si="116"/>
        <v>0</v>
      </c>
      <c r="R651" s="342">
        <f t="shared" si="116"/>
        <v>5620328468.666666</v>
      </c>
      <c r="S651" s="342">
        <f t="shared" si="116"/>
        <v>846671531.3333329</v>
      </c>
    </row>
    <row r="652" spans="1:19" s="317" customFormat="1" ht="15.75" customHeight="1">
      <c r="A652" s="266"/>
      <c r="B652" s="266"/>
      <c r="C652" s="266"/>
      <c r="D652" s="387"/>
      <c r="E652" s="324"/>
      <c r="F652" s="330"/>
      <c r="G652" s="370"/>
      <c r="H652" s="362"/>
      <c r="I652" s="363"/>
      <c r="J652" s="393"/>
      <c r="K652" s="562"/>
      <c r="L652" s="562"/>
      <c r="M652" s="562"/>
      <c r="N652" s="562"/>
      <c r="O652" s="562"/>
      <c r="P652" s="562"/>
      <c r="Q652" s="562"/>
      <c r="R652" s="562"/>
      <c r="S652" s="562"/>
    </row>
    <row r="653" spans="1:19" ht="15.75" customHeight="1">
      <c r="A653" s="266" t="s">
        <v>938</v>
      </c>
      <c r="D653" s="357"/>
      <c r="E653" s="316" t="s">
        <v>1030</v>
      </c>
      <c r="F653" s="317" t="s">
        <v>748</v>
      </c>
      <c r="G653" s="311"/>
      <c r="H653" s="319"/>
      <c r="I653" s="259"/>
      <c r="J653" s="393"/>
      <c r="K653" s="358"/>
      <c r="L653" s="358"/>
      <c r="M653" s="358"/>
      <c r="N653" s="358"/>
      <c r="O653" s="358"/>
      <c r="P653" s="358"/>
      <c r="Q653" s="358"/>
      <c r="R653" s="358"/>
      <c r="S653" s="358"/>
    </row>
    <row r="654" spans="1:19" ht="15.75" customHeight="1">
      <c r="A654" s="266" t="s">
        <v>938</v>
      </c>
      <c r="D654" s="309"/>
      <c r="E654" s="316"/>
      <c r="F654" s="417"/>
      <c r="G654" s="331"/>
      <c r="H654" s="362" t="s">
        <v>736</v>
      </c>
      <c r="I654" s="363">
        <v>2011</v>
      </c>
      <c r="J654" s="430">
        <v>0.125</v>
      </c>
      <c r="K654" s="333">
        <v>141000000</v>
      </c>
      <c r="L654" s="333">
        <v>0</v>
      </c>
      <c r="M654" s="333">
        <v>0</v>
      </c>
      <c r="N654" s="329">
        <f>K654+L654-M654</f>
        <v>141000000</v>
      </c>
      <c r="O654" s="329">
        <v>52875000</v>
      </c>
      <c r="P654" s="333">
        <v>0</v>
      </c>
      <c r="Q654" s="333">
        <v>0</v>
      </c>
      <c r="R654" s="329">
        <f>O654+P654-Q654</f>
        <v>52875000</v>
      </c>
      <c r="S654" s="333">
        <f>N654-R654</f>
        <v>88125000</v>
      </c>
    </row>
    <row r="655" spans="1:19" ht="15.75" customHeight="1">
      <c r="A655" s="266" t="s">
        <v>938</v>
      </c>
      <c r="D655" s="309"/>
      <c r="E655" s="316"/>
      <c r="F655" s="417"/>
      <c r="G655" s="331"/>
      <c r="H655" s="362" t="s">
        <v>749</v>
      </c>
      <c r="I655" s="363">
        <v>2014</v>
      </c>
      <c r="J655" s="430">
        <v>0.125</v>
      </c>
      <c r="K655" s="333">
        <v>71000000</v>
      </c>
      <c r="L655" s="333">
        <v>0</v>
      </c>
      <c r="M655" s="333">
        <v>0</v>
      </c>
      <c r="N655" s="329">
        <f>K655+L655-M655</f>
        <v>71000000</v>
      </c>
      <c r="O655" s="329">
        <v>26625000</v>
      </c>
      <c r="P655" s="333">
        <v>0</v>
      </c>
      <c r="Q655" s="333">
        <v>0</v>
      </c>
      <c r="R655" s="329">
        <f>O655+P655-Q655</f>
        <v>26625000</v>
      </c>
      <c r="S655" s="333">
        <f>N655-R655</f>
        <v>44375000</v>
      </c>
    </row>
    <row r="656" spans="1:19" s="317" customFormat="1" ht="15.75" customHeight="1">
      <c r="A656" s="266" t="s">
        <v>938</v>
      </c>
      <c r="B656" s="266">
        <v>5</v>
      </c>
      <c r="C656" s="266">
        <v>5</v>
      </c>
      <c r="D656" s="309"/>
      <c r="E656" s="316"/>
      <c r="F656" s="325"/>
      <c r="G656" s="326"/>
      <c r="H656" s="372" t="s">
        <v>750</v>
      </c>
      <c r="I656" s="373">
        <v>2015</v>
      </c>
      <c r="J656" s="435">
        <v>0.125</v>
      </c>
      <c r="K656" s="329">
        <v>33060000</v>
      </c>
      <c r="L656" s="329">
        <v>0</v>
      </c>
      <c r="M656" s="329">
        <v>0</v>
      </c>
      <c r="N656" s="329">
        <f>K656+L656-M656</f>
        <v>33060000</v>
      </c>
      <c r="O656" s="329">
        <v>14601500</v>
      </c>
      <c r="P656" s="329">
        <v>0</v>
      </c>
      <c r="Q656" s="329">
        <v>0</v>
      </c>
      <c r="R656" s="329">
        <f>O656+P656-Q656</f>
        <v>14601500</v>
      </c>
      <c r="S656" s="333">
        <f>N656-R656</f>
        <v>18458500</v>
      </c>
    </row>
    <row r="657" spans="1:19" s="317" customFormat="1" ht="15.75" customHeight="1">
      <c r="A657" s="266"/>
      <c r="B657" s="266"/>
      <c r="C657" s="266"/>
      <c r="D657" s="309"/>
      <c r="E657" s="316"/>
      <c r="F657" s="330"/>
      <c r="G657" s="576"/>
      <c r="H657" s="410" t="s">
        <v>751</v>
      </c>
      <c r="I657" s="577">
        <v>42767</v>
      </c>
      <c r="J657" s="430">
        <v>0.125</v>
      </c>
      <c r="K657" s="333">
        <v>7800000</v>
      </c>
      <c r="L657" s="333">
        <v>0</v>
      </c>
      <c r="M657" s="333">
        <v>0</v>
      </c>
      <c r="N657" s="329">
        <f>K657+L657-M657</f>
        <v>7800000</v>
      </c>
      <c r="O657" s="333">
        <v>1787500</v>
      </c>
      <c r="P657" s="333">
        <v>0</v>
      </c>
      <c r="Q657" s="333">
        <v>0</v>
      </c>
      <c r="R657" s="329">
        <f>O657+P657-Q657</f>
        <v>1787500</v>
      </c>
      <c r="S657" s="333">
        <f>N657-R657</f>
        <v>6012500</v>
      </c>
    </row>
    <row r="658" spans="1:19" s="317" customFormat="1" ht="15.75" customHeight="1">
      <c r="A658" s="266"/>
      <c r="B658" s="266"/>
      <c r="C658" s="266"/>
      <c r="D658" s="309"/>
      <c r="E658" s="316"/>
      <c r="F658" s="379"/>
      <c r="G658" s="578"/>
      <c r="H658" s="381" t="s">
        <v>752</v>
      </c>
      <c r="I658" s="579">
        <v>42818</v>
      </c>
      <c r="J658" s="440">
        <v>0.125</v>
      </c>
      <c r="K658" s="339">
        <v>44500000</v>
      </c>
      <c r="L658" s="339">
        <v>0</v>
      </c>
      <c r="M658" s="339">
        <v>0</v>
      </c>
      <c r="N658" s="329">
        <f>K658+L658-M658</f>
        <v>44500000</v>
      </c>
      <c r="O658" s="339">
        <v>9734375</v>
      </c>
      <c r="P658" s="339">
        <v>0</v>
      </c>
      <c r="Q658" s="339">
        <v>0</v>
      </c>
      <c r="R658" s="329">
        <f>O658+P658-Q658</f>
        <v>9734375</v>
      </c>
      <c r="S658" s="333">
        <f>N658-R658</f>
        <v>34765625</v>
      </c>
    </row>
    <row r="659" spans="1:19" ht="15.75" customHeight="1">
      <c r="A659" s="266" t="s">
        <v>938</v>
      </c>
      <c r="D659" s="309"/>
      <c r="E659" s="1235" t="s">
        <v>1031</v>
      </c>
      <c r="F659" s="1236"/>
      <c r="G659" s="1236"/>
      <c r="H659" s="1236"/>
      <c r="I659" s="1236"/>
      <c r="J659" s="1237"/>
      <c r="K659" s="342">
        <f>SUM(K654:K658)</f>
        <v>297360000</v>
      </c>
      <c r="L659" s="342">
        <f t="shared" ref="L659:S659" si="117">SUM(L654:L658)</f>
        <v>0</v>
      </c>
      <c r="M659" s="342">
        <f t="shared" si="117"/>
        <v>0</v>
      </c>
      <c r="N659" s="342">
        <f t="shared" si="117"/>
        <v>297360000</v>
      </c>
      <c r="O659" s="342">
        <f t="shared" si="117"/>
        <v>105623375</v>
      </c>
      <c r="P659" s="342">
        <f t="shared" si="117"/>
        <v>0</v>
      </c>
      <c r="Q659" s="342">
        <f t="shared" si="117"/>
        <v>0</v>
      </c>
      <c r="R659" s="342">
        <f t="shared" si="117"/>
        <v>105623375</v>
      </c>
      <c r="S659" s="342">
        <f t="shared" si="117"/>
        <v>191736625</v>
      </c>
    </row>
    <row r="660" spans="1:19" s="317" customFormat="1" ht="15.75" customHeight="1">
      <c r="A660" s="266"/>
      <c r="B660" s="266"/>
      <c r="C660" s="266"/>
      <c r="D660" s="387"/>
      <c r="E660" s="324"/>
      <c r="F660" s="330"/>
      <c r="G660" s="370"/>
      <c r="H660" s="362"/>
      <c r="I660" s="363"/>
      <c r="J660" s="393"/>
      <c r="K660" s="562"/>
      <c r="L660" s="562"/>
      <c r="M660" s="562"/>
      <c r="N660" s="562"/>
      <c r="O660" s="562"/>
      <c r="P660" s="562"/>
      <c r="Q660" s="562"/>
      <c r="R660" s="562"/>
      <c r="S660" s="562"/>
    </row>
    <row r="661" spans="1:19" ht="15.75" customHeight="1">
      <c r="A661" s="266" t="s">
        <v>944</v>
      </c>
      <c r="D661" s="357"/>
      <c r="E661" s="316" t="s">
        <v>1032</v>
      </c>
      <c r="F661" s="317" t="s">
        <v>753</v>
      </c>
      <c r="G661" s="311"/>
      <c r="H661" s="319"/>
      <c r="I661" s="574"/>
      <c r="J661" s="393"/>
      <c r="K661" s="358"/>
      <c r="L661" s="358"/>
      <c r="M661" s="358"/>
      <c r="N661" s="358"/>
      <c r="O661" s="358"/>
      <c r="P661" s="358"/>
      <c r="Q661" s="358"/>
      <c r="R661" s="358"/>
      <c r="S661" s="358"/>
    </row>
    <row r="662" spans="1:19" ht="15.75" customHeight="1">
      <c r="A662" s="266" t="s">
        <v>944</v>
      </c>
      <c r="D662" s="309"/>
      <c r="E662" s="316"/>
      <c r="F662" s="417"/>
      <c r="G662" s="331"/>
      <c r="H662" s="362" t="s">
        <v>736</v>
      </c>
      <c r="I662" s="363">
        <v>2011</v>
      </c>
      <c r="J662" s="430">
        <v>0.125</v>
      </c>
      <c r="K662" s="333">
        <v>141000000</v>
      </c>
      <c r="L662" s="333">
        <v>0</v>
      </c>
      <c r="M662" s="333">
        <v>0</v>
      </c>
      <c r="N662" s="329">
        <f t="shared" ref="N662:N673" si="118">K662+L662-M662</f>
        <v>141000000</v>
      </c>
      <c r="O662" s="329">
        <v>105750000</v>
      </c>
      <c r="P662" s="333"/>
      <c r="Q662" s="333">
        <v>0</v>
      </c>
      <c r="R662" s="329">
        <f>O662+P662-Q662</f>
        <v>105750000</v>
      </c>
      <c r="S662" s="333">
        <f t="shared" ref="S662:S673" si="119">N662-R662</f>
        <v>35250000</v>
      </c>
    </row>
    <row r="663" spans="1:19" ht="15.75" customHeight="1">
      <c r="A663" s="266" t="s">
        <v>944</v>
      </c>
      <c r="D663" s="309"/>
      <c r="E663" s="316"/>
      <c r="F663" s="417"/>
      <c r="G663" s="331"/>
      <c r="H663" s="362" t="s">
        <v>736</v>
      </c>
      <c r="I663" s="363">
        <v>2010</v>
      </c>
      <c r="J663" s="430">
        <v>0.125</v>
      </c>
      <c r="K663" s="333">
        <v>137000000</v>
      </c>
      <c r="L663" s="333">
        <v>0</v>
      </c>
      <c r="M663" s="333">
        <v>0</v>
      </c>
      <c r="N663" s="329">
        <f t="shared" si="118"/>
        <v>137000000</v>
      </c>
      <c r="O663" s="329">
        <v>102749999.99999993</v>
      </c>
      <c r="P663" s="333"/>
      <c r="Q663" s="333">
        <v>0</v>
      </c>
      <c r="R663" s="329">
        <f t="shared" ref="R663:R673" si="120">O663+P663-Q663</f>
        <v>102749999.99999993</v>
      </c>
      <c r="S663" s="333">
        <f t="shared" si="119"/>
        <v>34250000.000000075</v>
      </c>
    </row>
    <row r="664" spans="1:19" ht="15.75" customHeight="1">
      <c r="A664" s="266" t="s">
        <v>944</v>
      </c>
      <c r="D664" s="309"/>
      <c r="E664" s="316"/>
      <c r="F664" s="417"/>
      <c r="G664" s="331"/>
      <c r="H664" s="362" t="s">
        <v>737</v>
      </c>
      <c r="I664" s="363">
        <v>2014</v>
      </c>
      <c r="J664" s="430">
        <v>0.125</v>
      </c>
      <c r="K664" s="333">
        <v>166000000</v>
      </c>
      <c r="L664" s="333">
        <v>0</v>
      </c>
      <c r="M664" s="333">
        <v>0</v>
      </c>
      <c r="N664" s="329">
        <f t="shared" si="118"/>
        <v>166000000</v>
      </c>
      <c r="O664" s="329">
        <v>124500000.00000013</v>
      </c>
      <c r="P664" s="333"/>
      <c r="Q664" s="333">
        <v>0</v>
      </c>
      <c r="R664" s="329">
        <f t="shared" si="120"/>
        <v>124500000.00000013</v>
      </c>
      <c r="S664" s="333">
        <f t="shared" si="119"/>
        <v>41499999.999999866</v>
      </c>
    </row>
    <row r="665" spans="1:19" ht="15.75" customHeight="1">
      <c r="A665" s="266" t="s">
        <v>944</v>
      </c>
      <c r="D665" s="309"/>
      <c r="E665" s="316"/>
      <c r="F665" s="417"/>
      <c r="G665" s="331"/>
      <c r="H665" s="362" t="s">
        <v>737</v>
      </c>
      <c r="I665" s="363">
        <v>2014</v>
      </c>
      <c r="J665" s="430">
        <v>0.125</v>
      </c>
      <c r="K665" s="333">
        <v>166000000</v>
      </c>
      <c r="L665" s="333">
        <v>0</v>
      </c>
      <c r="M665" s="333">
        <v>0</v>
      </c>
      <c r="N665" s="329">
        <f t="shared" si="118"/>
        <v>166000000</v>
      </c>
      <c r="O665" s="329">
        <v>124500000.00000013</v>
      </c>
      <c r="P665" s="333"/>
      <c r="Q665" s="333">
        <v>0</v>
      </c>
      <c r="R665" s="329">
        <f t="shared" si="120"/>
        <v>124500000.00000013</v>
      </c>
      <c r="S665" s="333">
        <f t="shared" si="119"/>
        <v>41499999.999999866</v>
      </c>
    </row>
    <row r="666" spans="1:19" ht="15.75" customHeight="1">
      <c r="A666" s="266" t="s">
        <v>944</v>
      </c>
      <c r="D666" s="309"/>
      <c r="E666" s="316"/>
      <c r="F666" s="417"/>
      <c r="G666" s="331"/>
      <c r="H666" s="362" t="s">
        <v>754</v>
      </c>
      <c r="I666" s="363">
        <v>2005</v>
      </c>
      <c r="J666" s="430">
        <v>0.125</v>
      </c>
      <c r="K666" s="333">
        <v>125000000</v>
      </c>
      <c r="L666" s="333">
        <v>0</v>
      </c>
      <c r="M666" s="333">
        <v>0</v>
      </c>
      <c r="N666" s="329">
        <f t="shared" si="118"/>
        <v>125000000</v>
      </c>
      <c r="O666" s="329">
        <v>93749999.999999955</v>
      </c>
      <c r="P666" s="333"/>
      <c r="Q666" s="333">
        <v>0</v>
      </c>
      <c r="R666" s="329">
        <f t="shared" si="120"/>
        <v>93749999.999999955</v>
      </c>
      <c r="S666" s="333">
        <f t="shared" si="119"/>
        <v>31250000.000000045</v>
      </c>
    </row>
    <row r="667" spans="1:19" ht="15.75" customHeight="1">
      <c r="A667" s="266" t="s">
        <v>944</v>
      </c>
      <c r="D667" s="309"/>
      <c r="E667" s="316"/>
      <c r="F667" s="417"/>
      <c r="G667" s="331"/>
      <c r="H667" s="362" t="s">
        <v>737</v>
      </c>
      <c r="I667" s="363">
        <v>2012</v>
      </c>
      <c r="J667" s="430">
        <v>0.125</v>
      </c>
      <c r="K667" s="333">
        <v>151000000</v>
      </c>
      <c r="L667" s="333">
        <v>0</v>
      </c>
      <c r="M667" s="333">
        <v>0</v>
      </c>
      <c r="N667" s="329">
        <f t="shared" si="118"/>
        <v>151000000</v>
      </c>
      <c r="O667" s="329">
        <v>113250000.0000001</v>
      </c>
      <c r="P667" s="333"/>
      <c r="Q667" s="333">
        <v>0</v>
      </c>
      <c r="R667" s="329">
        <f t="shared" si="120"/>
        <v>113250000.0000001</v>
      </c>
      <c r="S667" s="333">
        <f t="shared" si="119"/>
        <v>37749999.999999896</v>
      </c>
    </row>
    <row r="668" spans="1:19" ht="15.75" customHeight="1">
      <c r="A668" s="266" t="s">
        <v>944</v>
      </c>
      <c r="D668" s="309"/>
      <c r="E668" s="316"/>
      <c r="F668" s="417"/>
      <c r="G668" s="331"/>
      <c r="H668" s="362" t="s">
        <v>755</v>
      </c>
      <c r="I668" s="363">
        <v>2010</v>
      </c>
      <c r="J668" s="430">
        <v>0.125</v>
      </c>
      <c r="K668" s="333">
        <v>111000000</v>
      </c>
      <c r="L668" s="333">
        <v>0</v>
      </c>
      <c r="M668" s="333">
        <v>0</v>
      </c>
      <c r="N668" s="329">
        <f t="shared" si="118"/>
        <v>111000000</v>
      </c>
      <c r="O668" s="329">
        <v>83250000</v>
      </c>
      <c r="P668" s="333"/>
      <c r="Q668" s="333">
        <v>0</v>
      </c>
      <c r="R668" s="329">
        <f t="shared" si="120"/>
        <v>83250000</v>
      </c>
      <c r="S668" s="333">
        <f t="shared" si="119"/>
        <v>27750000</v>
      </c>
    </row>
    <row r="669" spans="1:19" ht="15.75" customHeight="1">
      <c r="A669" s="266" t="s">
        <v>944</v>
      </c>
      <c r="D669" s="309"/>
      <c r="E669" s="316"/>
      <c r="F669" s="417"/>
      <c r="G669" s="331"/>
      <c r="H669" s="362" t="s">
        <v>749</v>
      </c>
      <c r="I669" s="363">
        <v>2014</v>
      </c>
      <c r="J669" s="430">
        <v>0.125</v>
      </c>
      <c r="K669" s="333">
        <v>71000000</v>
      </c>
      <c r="L669" s="333">
        <v>0</v>
      </c>
      <c r="M669" s="333">
        <v>0</v>
      </c>
      <c r="N669" s="329">
        <f t="shared" si="118"/>
        <v>71000000</v>
      </c>
      <c r="O669" s="329">
        <v>53250000.000000045</v>
      </c>
      <c r="P669" s="333"/>
      <c r="Q669" s="333">
        <v>0</v>
      </c>
      <c r="R669" s="329">
        <f t="shared" si="120"/>
        <v>53250000.000000045</v>
      </c>
      <c r="S669" s="333">
        <f t="shared" si="119"/>
        <v>17749999.999999955</v>
      </c>
    </row>
    <row r="670" spans="1:19" ht="15.75" customHeight="1">
      <c r="A670" s="266" t="s">
        <v>944</v>
      </c>
      <c r="B670" s="266">
        <v>6</v>
      </c>
      <c r="C670" s="266">
        <v>6</v>
      </c>
      <c r="D670" s="309"/>
      <c r="E670" s="316"/>
      <c r="F670" s="417"/>
      <c r="G670" s="331"/>
      <c r="H670" s="362" t="s">
        <v>756</v>
      </c>
      <c r="I670" s="363">
        <v>2015</v>
      </c>
      <c r="J670" s="430">
        <v>0.125</v>
      </c>
      <c r="K670" s="333">
        <v>9500000</v>
      </c>
      <c r="L670" s="333">
        <v>0</v>
      </c>
      <c r="M670" s="333">
        <v>0</v>
      </c>
      <c r="N670" s="329">
        <f t="shared" si="118"/>
        <v>9500000</v>
      </c>
      <c r="O670" s="329">
        <v>7679166.9999999916</v>
      </c>
      <c r="P670" s="333"/>
      <c r="Q670" s="333">
        <v>0</v>
      </c>
      <c r="R670" s="329">
        <f t="shared" si="120"/>
        <v>7679166.9999999916</v>
      </c>
      <c r="S670" s="333">
        <f t="shared" si="119"/>
        <v>1820833.0000000084</v>
      </c>
    </row>
    <row r="671" spans="1:19" s="317" customFormat="1" ht="15.75" customHeight="1">
      <c r="A671" s="266" t="s">
        <v>944</v>
      </c>
      <c r="B671" s="266">
        <v>6</v>
      </c>
      <c r="C671" s="266">
        <v>6</v>
      </c>
      <c r="D671" s="309"/>
      <c r="E671" s="316"/>
      <c r="F671" s="417"/>
      <c r="G671" s="331"/>
      <c r="H671" s="362" t="s">
        <v>757</v>
      </c>
      <c r="I671" s="363">
        <v>2016</v>
      </c>
      <c r="J671" s="430">
        <v>0.125</v>
      </c>
      <c r="K671" s="333">
        <v>6000000</v>
      </c>
      <c r="L671" s="333">
        <v>0</v>
      </c>
      <c r="M671" s="333">
        <v>0</v>
      </c>
      <c r="N671" s="329">
        <f t="shared" si="118"/>
        <v>6000000</v>
      </c>
      <c r="O671" s="329">
        <v>4250000</v>
      </c>
      <c r="P671" s="333"/>
      <c r="Q671" s="333">
        <v>0</v>
      </c>
      <c r="R671" s="329">
        <f t="shared" si="120"/>
        <v>4250000</v>
      </c>
      <c r="S671" s="333">
        <f t="shared" si="119"/>
        <v>1750000</v>
      </c>
    </row>
    <row r="672" spans="1:19" s="317" customFormat="1" ht="15.75" customHeight="1">
      <c r="A672" s="266"/>
      <c r="B672" s="266"/>
      <c r="C672" s="266"/>
      <c r="D672" s="309"/>
      <c r="E672" s="316"/>
      <c r="F672" s="580"/>
      <c r="G672" s="331"/>
      <c r="H672" s="581" t="s">
        <v>758</v>
      </c>
      <c r="I672" s="409">
        <v>2017</v>
      </c>
      <c r="J672" s="430">
        <v>0.125</v>
      </c>
      <c r="K672" s="333">
        <v>25300000</v>
      </c>
      <c r="L672" s="400">
        <v>0</v>
      </c>
      <c r="M672" s="400">
        <v>0</v>
      </c>
      <c r="N672" s="329">
        <f t="shared" si="118"/>
        <v>25300000</v>
      </c>
      <c r="O672" s="400">
        <v>14231249.999999991</v>
      </c>
      <c r="P672" s="333"/>
      <c r="Q672" s="400">
        <v>0</v>
      </c>
      <c r="R672" s="329">
        <f t="shared" si="120"/>
        <v>14231249.999999991</v>
      </c>
      <c r="S672" s="333">
        <f t="shared" si="119"/>
        <v>11068750.000000009</v>
      </c>
    </row>
    <row r="673" spans="1:19" s="317" customFormat="1" ht="15.75" customHeight="1">
      <c r="A673" s="266"/>
      <c r="B673" s="266"/>
      <c r="C673" s="266"/>
      <c r="D673" s="309"/>
      <c r="E673" s="316"/>
      <c r="F673" s="379"/>
      <c r="G673" s="335"/>
      <c r="H673" s="381" t="s">
        <v>757</v>
      </c>
      <c r="I673" s="582">
        <v>43160</v>
      </c>
      <c r="J673" s="440">
        <v>0.125</v>
      </c>
      <c r="K673" s="339">
        <v>33900000</v>
      </c>
      <c r="L673" s="400">
        <v>0</v>
      </c>
      <c r="M673" s="339">
        <v>0</v>
      </c>
      <c r="N673" s="329">
        <f t="shared" si="118"/>
        <v>33900000</v>
      </c>
      <c r="O673" s="339">
        <v>16243750</v>
      </c>
      <c r="P673" s="333"/>
      <c r="Q673" s="339">
        <v>0</v>
      </c>
      <c r="R673" s="329">
        <f t="shared" si="120"/>
        <v>16243750</v>
      </c>
      <c r="S673" s="333">
        <f t="shared" si="119"/>
        <v>17656250</v>
      </c>
    </row>
    <row r="674" spans="1:19" ht="15.75" customHeight="1">
      <c r="A674" s="266" t="s">
        <v>944</v>
      </c>
      <c r="D674" s="309"/>
      <c r="E674" s="1235" t="s">
        <v>1033</v>
      </c>
      <c r="F674" s="1236"/>
      <c r="G674" s="1236"/>
      <c r="H674" s="1236"/>
      <c r="I674" s="1236"/>
      <c r="J674" s="1237"/>
      <c r="K674" s="342">
        <f>SUM(K662:K673)</f>
        <v>1142700000</v>
      </c>
      <c r="L674" s="342">
        <f t="shared" ref="L674:S674" si="121">SUM(L662:L673)</f>
        <v>0</v>
      </c>
      <c r="M674" s="342">
        <f t="shared" si="121"/>
        <v>0</v>
      </c>
      <c r="N674" s="342">
        <f t="shared" si="121"/>
        <v>1142700000</v>
      </c>
      <c r="O674" s="342">
        <f t="shared" si="121"/>
        <v>843404167.00000024</v>
      </c>
      <c r="P674" s="342">
        <f t="shared" si="121"/>
        <v>0</v>
      </c>
      <c r="Q674" s="342">
        <f t="shared" si="121"/>
        <v>0</v>
      </c>
      <c r="R674" s="342">
        <f t="shared" si="121"/>
        <v>843404167.00000024</v>
      </c>
      <c r="S674" s="342">
        <f t="shared" si="121"/>
        <v>299295832.9999997</v>
      </c>
    </row>
    <row r="675" spans="1:19" s="425" customFormat="1" ht="25" customHeight="1">
      <c r="A675" s="266"/>
      <c r="B675" s="266"/>
      <c r="C675" s="266"/>
      <c r="D675" s="387"/>
      <c r="E675" s="324"/>
      <c r="F675" s="330"/>
      <c r="G675" s="370"/>
      <c r="H675" s="362"/>
      <c r="I675" s="363"/>
      <c r="J675" s="393"/>
      <c r="K675" s="562"/>
      <c r="L675" s="562"/>
      <c r="M675" s="562"/>
      <c r="N675" s="562"/>
      <c r="O675" s="562"/>
      <c r="P675" s="562"/>
      <c r="Q675" s="562"/>
      <c r="R675" s="562"/>
      <c r="S675" s="562"/>
    </row>
    <row r="676" spans="1:19" s="317" customFormat="1" ht="15.75" customHeight="1">
      <c r="A676" s="266"/>
      <c r="B676" s="266"/>
      <c r="C676" s="266"/>
      <c r="D676" s="1229" t="s">
        <v>1034</v>
      </c>
      <c r="E676" s="1230"/>
      <c r="F676" s="1230"/>
      <c r="G676" s="1230"/>
      <c r="H676" s="1230"/>
      <c r="I676" s="1230"/>
      <c r="J676" s="1231"/>
      <c r="K676" s="342">
        <f>K651+K659+K674</f>
        <v>7907060000</v>
      </c>
      <c r="L676" s="342">
        <f t="shared" ref="L676:S676" si="122">L651+L659+L674</f>
        <v>0</v>
      </c>
      <c r="M676" s="342">
        <f t="shared" si="122"/>
        <v>0</v>
      </c>
      <c r="N676" s="342">
        <f t="shared" si="122"/>
        <v>7907060000</v>
      </c>
      <c r="O676" s="342">
        <f t="shared" si="122"/>
        <v>5760981010.666667</v>
      </c>
      <c r="P676" s="342">
        <f t="shared" si="122"/>
        <v>808374999.99999988</v>
      </c>
      <c r="Q676" s="342">
        <f t="shared" si="122"/>
        <v>0</v>
      </c>
      <c r="R676" s="342">
        <f t="shared" si="122"/>
        <v>6569356010.666666</v>
      </c>
      <c r="S676" s="342">
        <f t="shared" si="122"/>
        <v>1337703989.3333325</v>
      </c>
    </row>
    <row r="677" spans="1:19" s="317" customFormat="1" ht="15.75" customHeight="1">
      <c r="A677" s="266"/>
      <c r="B677" s="266"/>
      <c r="C677" s="266"/>
      <c r="D677" s="309"/>
      <c r="E677" s="316"/>
      <c r="F677" s="353"/>
      <c r="G677" s="311"/>
      <c r="H677" s="312"/>
      <c r="I677" s="573"/>
      <c r="J677" s="396"/>
      <c r="K677" s="356"/>
      <c r="L677" s="356"/>
      <c r="M677" s="356"/>
      <c r="N677" s="356"/>
      <c r="O677" s="356"/>
      <c r="P677" s="356"/>
      <c r="Q677" s="356"/>
      <c r="R677" s="356"/>
      <c r="S677" s="356"/>
    </row>
    <row r="678" spans="1:19" s="317" customFormat="1" ht="15.75" customHeight="1">
      <c r="A678" s="266" t="s">
        <v>935</v>
      </c>
      <c r="B678" s="308" t="s">
        <v>1035</v>
      </c>
      <c r="C678" s="308" t="s">
        <v>1035</v>
      </c>
      <c r="D678" s="357">
        <v>8</v>
      </c>
      <c r="E678" s="353" t="s">
        <v>1035</v>
      </c>
      <c r="G678" s="583"/>
      <c r="H678" s="312"/>
      <c r="I678" s="537"/>
      <c r="J678" s="393"/>
      <c r="K678" s="358"/>
      <c r="L678" s="358"/>
      <c r="M678" s="358"/>
      <c r="N678" s="358"/>
      <c r="O678" s="358"/>
      <c r="P678" s="358"/>
      <c r="Q678" s="358"/>
      <c r="R678" s="358"/>
      <c r="S678" s="358"/>
    </row>
    <row r="679" spans="1:19" s="317" customFormat="1" ht="15.75" customHeight="1">
      <c r="A679" s="266" t="s">
        <v>935</v>
      </c>
      <c r="B679" s="266"/>
      <c r="C679" s="266"/>
      <c r="D679" s="357"/>
      <c r="E679" s="449" t="s">
        <v>1036</v>
      </c>
      <c r="F679" s="317" t="s">
        <v>759</v>
      </c>
      <c r="G679" s="261"/>
      <c r="H679" s="312"/>
      <c r="I679" s="537"/>
      <c r="J679" s="393"/>
      <c r="K679" s="358"/>
      <c r="L679" s="358"/>
      <c r="M679" s="358"/>
      <c r="N679" s="358"/>
      <c r="O679" s="358"/>
      <c r="P679" s="358"/>
      <c r="Q679" s="358"/>
      <c r="R679" s="358"/>
      <c r="S679" s="358"/>
    </row>
    <row r="680" spans="1:19" s="317" customFormat="1" ht="15.75" customHeight="1">
      <c r="A680" s="266" t="s">
        <v>935</v>
      </c>
      <c r="B680" s="266"/>
      <c r="C680" s="266"/>
      <c r="D680" s="357"/>
      <c r="E680" s="301"/>
      <c r="F680" s="466" t="s">
        <v>1037</v>
      </c>
      <c r="G680" s="261" t="s">
        <v>236</v>
      </c>
      <c r="H680" s="312"/>
      <c r="I680" s="537"/>
      <c r="J680" s="393"/>
      <c r="K680" s="358"/>
      <c r="L680" s="358"/>
      <c r="M680" s="358"/>
      <c r="N680" s="358"/>
      <c r="O680" s="358"/>
      <c r="P680" s="358"/>
      <c r="Q680" s="358"/>
      <c r="R680" s="358"/>
      <c r="S680" s="358"/>
    </row>
    <row r="681" spans="1:19" ht="15.75" customHeight="1">
      <c r="A681" s="266" t="s">
        <v>935</v>
      </c>
      <c r="D681" s="357"/>
      <c r="E681" s="301"/>
      <c r="F681" s="466"/>
      <c r="G681" s="583" t="s">
        <v>405</v>
      </c>
      <c r="H681" s="312"/>
      <c r="I681" s="537"/>
      <c r="J681" s="393"/>
      <c r="K681" s="358"/>
      <c r="L681" s="358"/>
      <c r="M681" s="358"/>
      <c r="N681" s="358"/>
      <c r="O681" s="358"/>
      <c r="P681" s="358"/>
      <c r="Q681" s="358"/>
      <c r="R681" s="358"/>
      <c r="S681" s="358"/>
    </row>
    <row r="682" spans="1:19" ht="15.75" customHeight="1">
      <c r="A682" s="266" t="s">
        <v>935</v>
      </c>
      <c r="B682" s="266">
        <v>1</v>
      </c>
      <c r="C682" s="266">
        <v>1</v>
      </c>
      <c r="D682" s="309"/>
      <c r="E682" s="316"/>
      <c r="F682" s="466"/>
      <c r="G682" s="583"/>
      <c r="H682" s="584" t="s">
        <v>760</v>
      </c>
      <c r="I682" s="363">
        <v>2015</v>
      </c>
      <c r="J682" s="393">
        <v>0.25</v>
      </c>
      <c r="K682" s="333">
        <v>5700000</v>
      </c>
      <c r="L682" s="333">
        <v>0</v>
      </c>
      <c r="M682" s="333">
        <v>0</v>
      </c>
      <c r="N682" s="329">
        <f t="shared" ref="N682:N731" si="123">K682+L682-M682</f>
        <v>5700000</v>
      </c>
      <c r="O682" s="329">
        <v>5700000</v>
      </c>
      <c r="P682" s="333">
        <v>0</v>
      </c>
      <c r="Q682" s="333"/>
      <c r="R682" s="329">
        <f>O682+P682-Q682</f>
        <v>5700000</v>
      </c>
      <c r="S682" s="333">
        <f t="shared" ref="S682:S731" si="124">N682-R682</f>
        <v>0</v>
      </c>
    </row>
    <row r="683" spans="1:19" ht="15.75" customHeight="1">
      <c r="A683" s="266" t="s">
        <v>935</v>
      </c>
      <c r="B683" s="266">
        <v>1</v>
      </c>
      <c r="C683" s="266">
        <v>1</v>
      </c>
      <c r="D683" s="309"/>
      <c r="E683" s="316"/>
      <c r="F683" s="466"/>
      <c r="G683" s="583"/>
      <c r="H683" s="584" t="s">
        <v>761</v>
      </c>
      <c r="I683" s="363">
        <v>2015</v>
      </c>
      <c r="J683" s="393">
        <v>0.25</v>
      </c>
      <c r="K683" s="333">
        <v>2260000</v>
      </c>
      <c r="L683" s="333">
        <v>0</v>
      </c>
      <c r="M683" s="333">
        <v>0</v>
      </c>
      <c r="N683" s="329">
        <f t="shared" si="123"/>
        <v>2260000</v>
      </c>
      <c r="O683" s="329">
        <v>2259999.666666666</v>
      </c>
      <c r="P683" s="333">
        <v>0</v>
      </c>
      <c r="Q683" s="333">
        <v>0</v>
      </c>
      <c r="R683" s="329">
        <f t="shared" ref="R683:R731" si="125">O683+P683-Q683</f>
        <v>2259999.666666666</v>
      </c>
      <c r="S683" s="333">
        <f t="shared" si="124"/>
        <v>0.33333333395421505</v>
      </c>
    </row>
    <row r="684" spans="1:19" ht="15.75" customHeight="1">
      <c r="A684" s="266" t="s">
        <v>935</v>
      </c>
      <c r="B684" s="266">
        <v>1</v>
      </c>
      <c r="C684" s="266">
        <v>1</v>
      </c>
      <c r="D684" s="309"/>
      <c r="E684" s="316"/>
      <c r="F684" s="466"/>
      <c r="G684" s="583"/>
      <c r="H684" s="584" t="s">
        <v>762</v>
      </c>
      <c r="I684" s="363">
        <v>2015</v>
      </c>
      <c r="J684" s="393">
        <v>0.25</v>
      </c>
      <c r="K684" s="333">
        <v>560000</v>
      </c>
      <c r="L684" s="333">
        <v>0</v>
      </c>
      <c r="M684" s="333">
        <v>0</v>
      </c>
      <c r="N684" s="329">
        <f t="shared" si="123"/>
        <v>560000</v>
      </c>
      <c r="O684" s="329">
        <v>560000.3333333336</v>
      </c>
      <c r="P684" s="333">
        <v>0</v>
      </c>
      <c r="Q684" s="333">
        <v>0</v>
      </c>
      <c r="R684" s="329">
        <f t="shared" si="125"/>
        <v>560000.3333333336</v>
      </c>
      <c r="S684" s="333">
        <f t="shared" si="124"/>
        <v>-0.33333333360496908</v>
      </c>
    </row>
    <row r="685" spans="1:19" ht="15.75" customHeight="1">
      <c r="A685" s="266" t="s">
        <v>935</v>
      </c>
      <c r="B685" s="266">
        <v>1</v>
      </c>
      <c r="C685" s="266">
        <v>1</v>
      </c>
      <c r="D685" s="309"/>
      <c r="E685" s="316"/>
      <c r="F685" s="466"/>
      <c r="G685" s="585"/>
      <c r="H685" s="270" t="s">
        <v>763</v>
      </c>
      <c r="I685" s="363">
        <v>2015</v>
      </c>
      <c r="J685" s="393">
        <v>0.25</v>
      </c>
      <c r="K685" s="329">
        <v>5750000</v>
      </c>
      <c r="L685" s="333">
        <v>0</v>
      </c>
      <c r="M685" s="329">
        <v>0</v>
      </c>
      <c r="N685" s="329">
        <f t="shared" si="123"/>
        <v>5750000</v>
      </c>
      <c r="O685" s="329">
        <v>5750000.3333333349</v>
      </c>
      <c r="P685" s="333">
        <v>0</v>
      </c>
      <c r="Q685" s="348">
        <v>0</v>
      </c>
      <c r="R685" s="329">
        <f t="shared" si="125"/>
        <v>5750000.3333333349</v>
      </c>
      <c r="S685" s="333">
        <f t="shared" si="124"/>
        <v>-0.33333333488553762</v>
      </c>
    </row>
    <row r="686" spans="1:19" ht="15.75" customHeight="1">
      <c r="A686" s="266" t="s">
        <v>935</v>
      </c>
      <c r="B686" s="266">
        <v>2</v>
      </c>
      <c r="C686" s="266">
        <v>2</v>
      </c>
      <c r="D686" s="309"/>
      <c r="E686" s="316"/>
      <c r="F686" s="466"/>
      <c r="G686" s="583"/>
      <c r="H686" s="586" t="s">
        <v>764</v>
      </c>
      <c r="I686" s="363">
        <v>2015</v>
      </c>
      <c r="J686" s="393">
        <v>0.25</v>
      </c>
      <c r="K686" s="333">
        <v>945000</v>
      </c>
      <c r="L686" s="333">
        <v>0</v>
      </c>
      <c r="M686" s="333">
        <v>0</v>
      </c>
      <c r="N686" s="329">
        <f t="shared" si="123"/>
        <v>945000</v>
      </c>
      <c r="O686" s="329">
        <v>945000</v>
      </c>
      <c r="P686" s="333">
        <v>0</v>
      </c>
      <c r="Q686" s="333">
        <v>0</v>
      </c>
      <c r="R686" s="329">
        <f t="shared" si="125"/>
        <v>945000</v>
      </c>
      <c r="S686" s="333">
        <f t="shared" si="124"/>
        <v>0</v>
      </c>
    </row>
    <row r="687" spans="1:19" ht="15.75" customHeight="1">
      <c r="A687" s="266" t="s">
        <v>935</v>
      </c>
      <c r="B687" s="266">
        <v>2</v>
      </c>
      <c r="C687" s="266">
        <v>2</v>
      </c>
      <c r="D687" s="309"/>
      <c r="E687" s="316"/>
      <c r="F687" s="466"/>
      <c r="G687" s="583"/>
      <c r="H687" s="586" t="s">
        <v>765</v>
      </c>
      <c r="I687" s="363">
        <v>2015</v>
      </c>
      <c r="J687" s="393">
        <v>0.25</v>
      </c>
      <c r="K687" s="333">
        <v>2200000</v>
      </c>
      <c r="L687" s="333">
        <v>0</v>
      </c>
      <c r="M687" s="333">
        <v>0</v>
      </c>
      <c r="N687" s="329">
        <f t="shared" si="123"/>
        <v>2200000</v>
      </c>
      <c r="O687" s="329">
        <v>2200000.3333333326</v>
      </c>
      <c r="P687" s="333">
        <v>0</v>
      </c>
      <c r="Q687" s="333">
        <v>0</v>
      </c>
      <c r="R687" s="329">
        <f t="shared" si="125"/>
        <v>2200000.3333333326</v>
      </c>
      <c r="S687" s="333">
        <f t="shared" si="124"/>
        <v>-0.33333333255723119</v>
      </c>
    </row>
    <row r="688" spans="1:19" ht="15.75" customHeight="1">
      <c r="A688" s="266" t="s">
        <v>935</v>
      </c>
      <c r="B688" s="266">
        <v>2</v>
      </c>
      <c r="C688" s="266">
        <v>2</v>
      </c>
      <c r="D688" s="309"/>
      <c r="E688" s="316"/>
      <c r="F688" s="466"/>
      <c r="G688" s="583"/>
      <c r="H688" s="586" t="s">
        <v>766</v>
      </c>
      <c r="I688" s="363">
        <v>2015</v>
      </c>
      <c r="J688" s="393">
        <v>0.25</v>
      </c>
      <c r="K688" s="333">
        <v>2395000</v>
      </c>
      <c r="L688" s="333">
        <v>0</v>
      </c>
      <c r="M688" s="333">
        <v>0</v>
      </c>
      <c r="N688" s="329">
        <f t="shared" si="123"/>
        <v>2395000</v>
      </c>
      <c r="O688" s="329">
        <v>2394999.833333333</v>
      </c>
      <c r="P688" s="333">
        <v>0</v>
      </c>
      <c r="Q688" s="333">
        <v>0</v>
      </c>
      <c r="R688" s="329">
        <f t="shared" si="125"/>
        <v>2394999.833333333</v>
      </c>
      <c r="S688" s="333">
        <f t="shared" si="124"/>
        <v>0.16666666697710752</v>
      </c>
    </row>
    <row r="689" spans="1:19" ht="15.75" customHeight="1">
      <c r="A689" s="266" t="s">
        <v>935</v>
      </c>
      <c r="B689" s="266">
        <v>4</v>
      </c>
      <c r="C689" s="266">
        <v>4</v>
      </c>
      <c r="D689" s="309"/>
      <c r="E689" s="316"/>
      <c r="F689" s="466"/>
      <c r="G689" s="351"/>
      <c r="H689" s="270" t="s">
        <v>767</v>
      </c>
      <c r="I689" s="363">
        <v>2015</v>
      </c>
      <c r="J689" s="393">
        <v>0.25</v>
      </c>
      <c r="K689" s="329">
        <v>820000</v>
      </c>
      <c r="L689" s="333">
        <v>0</v>
      </c>
      <c r="M689" s="333">
        <v>0</v>
      </c>
      <c r="N689" s="329">
        <f t="shared" si="123"/>
        <v>820000</v>
      </c>
      <c r="O689" s="329">
        <v>820000.33333333372</v>
      </c>
      <c r="P689" s="333">
        <v>0</v>
      </c>
      <c r="Q689" s="333">
        <v>0</v>
      </c>
      <c r="R689" s="329">
        <f t="shared" si="125"/>
        <v>820000.33333333372</v>
      </c>
      <c r="S689" s="333">
        <f t="shared" si="124"/>
        <v>-0.33333333372138441</v>
      </c>
    </row>
    <row r="690" spans="1:19" ht="15.75" customHeight="1">
      <c r="A690" s="266" t="s">
        <v>935</v>
      </c>
      <c r="B690" s="266">
        <v>5</v>
      </c>
      <c r="C690" s="266">
        <v>5</v>
      </c>
      <c r="D690" s="309"/>
      <c r="E690" s="316"/>
      <c r="F690" s="466"/>
      <c r="G690" s="583"/>
      <c r="H690" s="587" t="s">
        <v>768</v>
      </c>
      <c r="I690" s="363">
        <v>2015</v>
      </c>
      <c r="J690" s="393">
        <v>0.25</v>
      </c>
      <c r="K690" s="329">
        <v>3990000</v>
      </c>
      <c r="L690" s="333">
        <v>0</v>
      </c>
      <c r="M690" s="333">
        <v>0</v>
      </c>
      <c r="N690" s="329">
        <f t="shared" si="123"/>
        <v>3990000</v>
      </c>
      <c r="O690" s="329">
        <v>3990000</v>
      </c>
      <c r="P690" s="333">
        <v>0</v>
      </c>
      <c r="Q690" s="333">
        <v>0</v>
      </c>
      <c r="R690" s="329">
        <f t="shared" si="125"/>
        <v>3990000</v>
      </c>
      <c r="S690" s="333">
        <f t="shared" si="124"/>
        <v>0</v>
      </c>
    </row>
    <row r="691" spans="1:19" ht="15.75" customHeight="1">
      <c r="A691" s="266" t="s">
        <v>935</v>
      </c>
      <c r="B691" s="266">
        <v>5</v>
      </c>
      <c r="C691" s="266">
        <v>5</v>
      </c>
      <c r="D691" s="309"/>
      <c r="E691" s="316"/>
      <c r="F691" s="466"/>
      <c r="G691" s="583"/>
      <c r="H691" s="587" t="s">
        <v>769</v>
      </c>
      <c r="I691" s="363">
        <v>2015</v>
      </c>
      <c r="J691" s="393">
        <v>0.25</v>
      </c>
      <c r="K691" s="329">
        <v>900000</v>
      </c>
      <c r="L691" s="333">
        <v>0</v>
      </c>
      <c r="M691" s="333">
        <v>0</v>
      </c>
      <c r="N691" s="329">
        <f t="shared" si="123"/>
        <v>900000</v>
      </c>
      <c r="O691" s="329">
        <v>900000</v>
      </c>
      <c r="P691" s="333">
        <v>0</v>
      </c>
      <c r="Q691" s="333">
        <v>0</v>
      </c>
      <c r="R691" s="329">
        <f t="shared" si="125"/>
        <v>900000</v>
      </c>
      <c r="S691" s="333">
        <f t="shared" si="124"/>
        <v>0</v>
      </c>
    </row>
    <row r="692" spans="1:19" ht="15.75" customHeight="1">
      <c r="A692" s="266" t="s">
        <v>935</v>
      </c>
      <c r="B692" s="266">
        <v>5</v>
      </c>
      <c r="C692" s="266">
        <v>5</v>
      </c>
      <c r="D692" s="309"/>
      <c r="E692" s="316"/>
      <c r="F692" s="466"/>
      <c r="G692" s="583"/>
      <c r="H692" s="587" t="s">
        <v>770</v>
      </c>
      <c r="I692" s="363">
        <v>2015</v>
      </c>
      <c r="J692" s="393">
        <v>0.25</v>
      </c>
      <c r="K692" s="329">
        <v>1250000</v>
      </c>
      <c r="L692" s="333">
        <v>0</v>
      </c>
      <c r="M692" s="333">
        <v>0</v>
      </c>
      <c r="N692" s="329">
        <f t="shared" si="123"/>
        <v>1250000</v>
      </c>
      <c r="O692" s="329">
        <v>1250000</v>
      </c>
      <c r="P692" s="333">
        <v>0</v>
      </c>
      <c r="Q692" s="333">
        <v>0</v>
      </c>
      <c r="R692" s="329">
        <f t="shared" si="125"/>
        <v>1250000</v>
      </c>
      <c r="S692" s="333">
        <f t="shared" si="124"/>
        <v>0</v>
      </c>
    </row>
    <row r="693" spans="1:19" ht="15.75" customHeight="1">
      <c r="A693" s="266" t="s">
        <v>935</v>
      </c>
      <c r="B693" s="266">
        <v>5</v>
      </c>
      <c r="C693" s="266">
        <v>5</v>
      </c>
      <c r="D693" s="309"/>
      <c r="E693" s="316"/>
      <c r="F693" s="466"/>
      <c r="G693" s="583"/>
      <c r="H693" s="587" t="s">
        <v>771</v>
      </c>
      <c r="I693" s="363">
        <v>2015</v>
      </c>
      <c r="J693" s="393">
        <v>0.25</v>
      </c>
      <c r="K693" s="329">
        <v>175000</v>
      </c>
      <c r="L693" s="333">
        <v>0</v>
      </c>
      <c r="M693" s="329">
        <v>0</v>
      </c>
      <c r="N693" s="329">
        <f t="shared" si="123"/>
        <v>175000</v>
      </c>
      <c r="O693" s="329">
        <v>174999.50000000003</v>
      </c>
      <c r="P693" s="333">
        <v>0</v>
      </c>
      <c r="Q693" s="329">
        <v>0</v>
      </c>
      <c r="R693" s="329">
        <f t="shared" si="125"/>
        <v>174999.50000000003</v>
      </c>
      <c r="S693" s="333">
        <f t="shared" si="124"/>
        <v>0.49999999997089617</v>
      </c>
    </row>
    <row r="694" spans="1:19" ht="15.75" customHeight="1">
      <c r="A694" s="266" t="s">
        <v>935</v>
      </c>
      <c r="B694" s="266">
        <v>6</v>
      </c>
      <c r="C694" s="266">
        <v>6</v>
      </c>
      <c r="D694" s="309"/>
      <c r="E694" s="316"/>
      <c r="F694" s="466"/>
      <c r="G694" s="583"/>
      <c r="H694" s="587" t="s">
        <v>772</v>
      </c>
      <c r="I694" s="363">
        <v>2015</v>
      </c>
      <c r="J694" s="393">
        <v>0.25</v>
      </c>
      <c r="K694" s="329">
        <v>2350000</v>
      </c>
      <c r="L694" s="333">
        <v>0</v>
      </c>
      <c r="M694" s="333">
        <v>0</v>
      </c>
      <c r="N694" s="329">
        <f t="shared" si="123"/>
        <v>2350000</v>
      </c>
      <c r="O694" s="329">
        <v>2349999.666666666</v>
      </c>
      <c r="P694" s="333">
        <v>0</v>
      </c>
      <c r="Q694" s="333">
        <v>0</v>
      </c>
      <c r="R694" s="329">
        <f t="shared" si="125"/>
        <v>2349999.666666666</v>
      </c>
      <c r="S694" s="333">
        <f t="shared" si="124"/>
        <v>0.33333333395421505</v>
      </c>
    </row>
    <row r="695" spans="1:19" ht="15.75" customHeight="1">
      <c r="A695" s="266" t="s">
        <v>935</v>
      </c>
      <c r="B695" s="266">
        <v>6</v>
      </c>
      <c r="C695" s="266">
        <v>6</v>
      </c>
      <c r="D695" s="309"/>
      <c r="E695" s="316"/>
      <c r="F695" s="466"/>
      <c r="G695" s="583"/>
      <c r="H695" s="587" t="s">
        <v>773</v>
      </c>
      <c r="I695" s="363">
        <v>2015</v>
      </c>
      <c r="J695" s="393">
        <v>0.25</v>
      </c>
      <c r="K695" s="329">
        <v>980000</v>
      </c>
      <c r="L695" s="333">
        <v>0</v>
      </c>
      <c r="M695" s="333">
        <v>0</v>
      </c>
      <c r="N695" s="329">
        <f t="shared" si="123"/>
        <v>980000</v>
      </c>
      <c r="O695" s="329">
        <v>980000.33333333267</v>
      </c>
      <c r="P695" s="333">
        <v>0</v>
      </c>
      <c r="Q695" s="333">
        <v>0</v>
      </c>
      <c r="R695" s="329">
        <f t="shared" si="125"/>
        <v>980000.33333333267</v>
      </c>
      <c r="S695" s="333">
        <f t="shared" si="124"/>
        <v>-0.33333333267364651</v>
      </c>
    </row>
    <row r="696" spans="1:19" ht="15.75" customHeight="1">
      <c r="A696" s="266" t="s">
        <v>935</v>
      </c>
      <c r="B696" s="266">
        <v>6</v>
      </c>
      <c r="C696" s="266">
        <v>6</v>
      </c>
      <c r="D696" s="309"/>
      <c r="E696" s="316"/>
      <c r="F696" s="466"/>
      <c r="G696" s="583"/>
      <c r="H696" s="587" t="s">
        <v>774</v>
      </c>
      <c r="I696" s="363">
        <v>2015</v>
      </c>
      <c r="J696" s="393">
        <v>0.25</v>
      </c>
      <c r="K696" s="329">
        <v>595000</v>
      </c>
      <c r="L696" s="333">
        <v>0</v>
      </c>
      <c r="M696" s="333">
        <v>0</v>
      </c>
      <c r="N696" s="329">
        <f t="shared" si="123"/>
        <v>595000</v>
      </c>
      <c r="O696" s="329">
        <v>594999.66666666651</v>
      </c>
      <c r="P696" s="333">
        <v>0</v>
      </c>
      <c r="Q696" s="333">
        <v>0</v>
      </c>
      <c r="R696" s="329">
        <f t="shared" si="125"/>
        <v>594999.66666666651</v>
      </c>
      <c r="S696" s="333">
        <f t="shared" si="124"/>
        <v>0.33333333348855376</v>
      </c>
    </row>
    <row r="697" spans="1:19" ht="15.75" customHeight="1">
      <c r="A697" s="266" t="s">
        <v>935</v>
      </c>
      <c r="B697" s="266">
        <v>7</v>
      </c>
      <c r="C697" s="266">
        <v>7</v>
      </c>
      <c r="D697" s="309"/>
      <c r="E697" s="316"/>
      <c r="F697" s="466"/>
      <c r="G697" s="583"/>
      <c r="H697" s="587" t="s">
        <v>775</v>
      </c>
      <c r="I697" s="363">
        <v>2015</v>
      </c>
      <c r="J697" s="393">
        <v>0.25</v>
      </c>
      <c r="K697" s="329">
        <v>5733000</v>
      </c>
      <c r="L697" s="333">
        <v>0</v>
      </c>
      <c r="M697" s="333">
        <v>0</v>
      </c>
      <c r="N697" s="329">
        <f t="shared" si="123"/>
        <v>5733000</v>
      </c>
      <c r="O697" s="329">
        <v>5733000</v>
      </c>
      <c r="P697" s="333">
        <v>0</v>
      </c>
      <c r="Q697" s="333">
        <v>0</v>
      </c>
      <c r="R697" s="329">
        <f t="shared" si="125"/>
        <v>5733000</v>
      </c>
      <c r="S697" s="333">
        <f t="shared" si="124"/>
        <v>0</v>
      </c>
    </row>
    <row r="698" spans="1:19" ht="15.75" customHeight="1">
      <c r="A698" s="266" t="s">
        <v>935</v>
      </c>
      <c r="B698" s="266">
        <v>7</v>
      </c>
      <c r="C698" s="266">
        <v>7</v>
      </c>
      <c r="D698" s="309"/>
      <c r="E698" s="316"/>
      <c r="F698" s="466"/>
      <c r="G698" s="583"/>
      <c r="H698" s="587" t="s">
        <v>776</v>
      </c>
      <c r="I698" s="363">
        <v>2015</v>
      </c>
      <c r="J698" s="393">
        <v>0.25</v>
      </c>
      <c r="K698" s="329">
        <v>2760000</v>
      </c>
      <c r="L698" s="333">
        <v>0</v>
      </c>
      <c r="M698" s="333">
        <v>0</v>
      </c>
      <c r="N698" s="329">
        <f t="shared" si="123"/>
        <v>2760000</v>
      </c>
      <c r="O698" s="329">
        <v>2760000</v>
      </c>
      <c r="P698" s="333">
        <v>0</v>
      </c>
      <c r="Q698" s="333">
        <v>0</v>
      </c>
      <c r="R698" s="329">
        <f t="shared" si="125"/>
        <v>2760000</v>
      </c>
      <c r="S698" s="333">
        <f t="shared" si="124"/>
        <v>0</v>
      </c>
    </row>
    <row r="699" spans="1:19" ht="15.75" customHeight="1">
      <c r="A699" s="266" t="s">
        <v>935</v>
      </c>
      <c r="B699" s="266">
        <v>7</v>
      </c>
      <c r="C699" s="266">
        <v>7</v>
      </c>
      <c r="D699" s="309"/>
      <c r="E699" s="316"/>
      <c r="F699" s="466"/>
      <c r="G699" s="583"/>
      <c r="H699" s="587" t="s">
        <v>777</v>
      </c>
      <c r="I699" s="363">
        <v>2015</v>
      </c>
      <c r="J699" s="393">
        <v>0.25</v>
      </c>
      <c r="K699" s="329">
        <v>650000</v>
      </c>
      <c r="L699" s="333">
        <v>0</v>
      </c>
      <c r="M699" s="333">
        <v>0</v>
      </c>
      <c r="N699" s="329">
        <f t="shared" si="123"/>
        <v>650000</v>
      </c>
      <c r="O699" s="329">
        <v>649999.66666666663</v>
      </c>
      <c r="P699" s="333">
        <v>0</v>
      </c>
      <c r="Q699" s="333">
        <v>0</v>
      </c>
      <c r="R699" s="329">
        <f t="shared" si="125"/>
        <v>649999.66666666663</v>
      </c>
      <c r="S699" s="333">
        <f t="shared" si="124"/>
        <v>0.33333333337213844</v>
      </c>
    </row>
    <row r="700" spans="1:19" ht="15.75" customHeight="1">
      <c r="A700" s="266" t="s">
        <v>935</v>
      </c>
      <c r="B700" s="266">
        <v>9</v>
      </c>
      <c r="C700" s="266">
        <v>9</v>
      </c>
      <c r="D700" s="309"/>
      <c r="E700" s="316"/>
      <c r="F700" s="466"/>
      <c r="G700" s="588"/>
      <c r="H700" s="587" t="s">
        <v>778</v>
      </c>
      <c r="I700" s="373">
        <v>2015</v>
      </c>
      <c r="J700" s="377">
        <v>0.25</v>
      </c>
      <c r="K700" s="329">
        <v>2600000</v>
      </c>
      <c r="L700" s="329">
        <v>0</v>
      </c>
      <c r="M700" s="329">
        <v>0</v>
      </c>
      <c r="N700" s="329">
        <f t="shared" si="123"/>
        <v>2600000</v>
      </c>
      <c r="O700" s="329">
        <v>2599999.6666666665</v>
      </c>
      <c r="P700" s="333">
        <v>0</v>
      </c>
      <c r="Q700" s="329">
        <v>0</v>
      </c>
      <c r="R700" s="329">
        <f t="shared" si="125"/>
        <v>2599999.6666666665</v>
      </c>
      <c r="S700" s="333">
        <f t="shared" si="124"/>
        <v>0.33333333348855376</v>
      </c>
    </row>
    <row r="701" spans="1:19" ht="15.75" customHeight="1">
      <c r="D701" s="309"/>
      <c r="E701" s="316"/>
      <c r="F701" s="449"/>
      <c r="G701" s="454"/>
      <c r="H701" s="584" t="s">
        <v>779</v>
      </c>
      <c r="I701" s="458">
        <v>43679</v>
      </c>
      <c r="J701" s="393">
        <v>0.25</v>
      </c>
      <c r="K701" s="333">
        <v>111700000</v>
      </c>
      <c r="L701" s="333"/>
      <c r="M701" s="333">
        <v>0</v>
      </c>
      <c r="N701" s="329">
        <f t="shared" si="123"/>
        <v>111700000</v>
      </c>
      <c r="O701" s="333">
        <v>67485416.666666627</v>
      </c>
      <c r="P701" s="333">
        <v>27924999.99999994</v>
      </c>
      <c r="Q701" s="329">
        <v>0</v>
      </c>
      <c r="R701" s="329">
        <f t="shared" si="125"/>
        <v>95410416.666666567</v>
      </c>
      <c r="S701" s="333">
        <f t="shared" si="124"/>
        <v>16289583.333333433</v>
      </c>
    </row>
    <row r="702" spans="1:19" ht="15.75" customHeight="1">
      <c r="D702" s="309"/>
      <c r="E702" s="316"/>
      <c r="F702" s="449"/>
      <c r="G702" s="454"/>
      <c r="H702" s="584" t="s">
        <v>780</v>
      </c>
      <c r="I702" s="458">
        <v>43752</v>
      </c>
      <c r="J702" s="393">
        <v>0.25</v>
      </c>
      <c r="K702" s="333">
        <v>5600000</v>
      </c>
      <c r="L702" s="333"/>
      <c r="M702" s="333">
        <v>0</v>
      </c>
      <c r="N702" s="329">
        <f t="shared" si="123"/>
        <v>5600000</v>
      </c>
      <c r="O702" s="333">
        <v>3150000.0000000047</v>
      </c>
      <c r="P702" s="333">
        <v>1400000</v>
      </c>
      <c r="Q702" s="329">
        <v>0</v>
      </c>
      <c r="R702" s="329">
        <f t="shared" si="125"/>
        <v>4550000.0000000047</v>
      </c>
      <c r="S702" s="333">
        <f t="shared" si="124"/>
        <v>1049999.9999999953</v>
      </c>
    </row>
    <row r="703" spans="1:19" ht="15.75" customHeight="1">
      <c r="D703" s="309"/>
      <c r="E703" s="316"/>
      <c r="F703" s="449"/>
      <c r="G703" s="454"/>
      <c r="H703" s="584" t="s">
        <v>781</v>
      </c>
      <c r="I703" s="458">
        <v>43748</v>
      </c>
      <c r="J703" s="393">
        <v>0.25</v>
      </c>
      <c r="K703" s="333">
        <v>7095000</v>
      </c>
      <c r="L703" s="333"/>
      <c r="M703" s="333">
        <v>0</v>
      </c>
      <c r="N703" s="329">
        <f t="shared" si="123"/>
        <v>7095000</v>
      </c>
      <c r="O703" s="333">
        <v>3990937.5</v>
      </c>
      <c r="P703" s="333">
        <v>1773750</v>
      </c>
      <c r="Q703" s="329">
        <v>0</v>
      </c>
      <c r="R703" s="329">
        <f t="shared" si="125"/>
        <v>5764687.5</v>
      </c>
      <c r="S703" s="333">
        <f t="shared" si="124"/>
        <v>1330312.5</v>
      </c>
    </row>
    <row r="704" spans="1:19" ht="15.75" customHeight="1">
      <c r="D704" s="309"/>
      <c r="E704" s="316"/>
      <c r="F704" s="449"/>
      <c r="G704" s="454"/>
      <c r="H704" s="584" t="s">
        <v>782</v>
      </c>
      <c r="I704" s="458">
        <v>43773</v>
      </c>
      <c r="J704" s="393">
        <v>0.25</v>
      </c>
      <c r="K704" s="333">
        <v>11990000</v>
      </c>
      <c r="L704" s="333"/>
      <c r="M704" s="333">
        <v>0</v>
      </c>
      <c r="N704" s="329">
        <f t="shared" si="123"/>
        <v>11990000</v>
      </c>
      <c r="O704" s="333">
        <v>6494583.3333333367</v>
      </c>
      <c r="P704" s="333">
        <v>2997499.9999999991</v>
      </c>
      <c r="Q704" s="329">
        <v>0</v>
      </c>
      <c r="R704" s="329">
        <f t="shared" si="125"/>
        <v>9492083.3333333358</v>
      </c>
      <c r="S704" s="333">
        <f t="shared" si="124"/>
        <v>2497916.6666666642</v>
      </c>
    </row>
    <row r="705" spans="4:19" ht="15.75" customHeight="1">
      <c r="D705" s="309"/>
      <c r="E705" s="316"/>
      <c r="F705" s="449"/>
      <c r="G705" s="454"/>
      <c r="H705" s="584" t="s">
        <v>783</v>
      </c>
      <c r="I705" s="458">
        <v>43771</v>
      </c>
      <c r="J705" s="393">
        <v>0.25</v>
      </c>
      <c r="K705" s="333">
        <v>500000</v>
      </c>
      <c r="L705" s="333"/>
      <c r="M705" s="333">
        <v>0</v>
      </c>
      <c r="N705" s="329">
        <f t="shared" si="123"/>
        <v>500000</v>
      </c>
      <c r="O705" s="333">
        <v>270833.33333333372</v>
      </c>
      <c r="P705" s="333">
        <v>125000.00000000023</v>
      </c>
      <c r="Q705" s="329">
        <v>0</v>
      </c>
      <c r="R705" s="329">
        <f t="shared" si="125"/>
        <v>395833.33333333395</v>
      </c>
      <c r="S705" s="333">
        <f t="shared" si="124"/>
        <v>104166.66666666605</v>
      </c>
    </row>
    <row r="706" spans="4:19" ht="15.75" customHeight="1">
      <c r="D706" s="309"/>
      <c r="E706" s="316"/>
      <c r="F706" s="449"/>
      <c r="G706" s="454"/>
      <c r="H706" s="584" t="s">
        <v>784</v>
      </c>
      <c r="I706" s="458">
        <v>43770</v>
      </c>
      <c r="J706" s="393">
        <v>0.25</v>
      </c>
      <c r="K706" s="333">
        <v>1450000</v>
      </c>
      <c r="L706" s="333"/>
      <c r="M706" s="333">
        <v>0</v>
      </c>
      <c r="N706" s="329">
        <f t="shared" si="123"/>
        <v>1450000</v>
      </c>
      <c r="O706" s="333">
        <v>785416.66666666616</v>
      </c>
      <c r="P706" s="333">
        <v>362500.00000000012</v>
      </c>
      <c r="Q706" s="329">
        <v>0</v>
      </c>
      <c r="R706" s="329">
        <f t="shared" si="125"/>
        <v>1147916.6666666663</v>
      </c>
      <c r="S706" s="333">
        <f t="shared" si="124"/>
        <v>302083.33333333372</v>
      </c>
    </row>
    <row r="707" spans="4:19" ht="15.75" customHeight="1">
      <c r="D707" s="309"/>
      <c r="E707" s="316"/>
      <c r="F707" s="449"/>
      <c r="G707" s="454"/>
      <c r="H707" s="584" t="s">
        <v>785</v>
      </c>
      <c r="I707" s="458">
        <v>43810</v>
      </c>
      <c r="J707" s="393">
        <v>0.25</v>
      </c>
      <c r="K707" s="333">
        <v>2500000</v>
      </c>
      <c r="L707" s="333"/>
      <c r="M707" s="333">
        <v>0</v>
      </c>
      <c r="N707" s="329">
        <f t="shared" si="123"/>
        <v>2500000</v>
      </c>
      <c r="O707" s="333">
        <v>1302083.333333333</v>
      </c>
      <c r="P707" s="333">
        <v>624999.99999999907</v>
      </c>
      <c r="Q707" s="329">
        <v>0</v>
      </c>
      <c r="R707" s="329">
        <f t="shared" si="125"/>
        <v>1927083.3333333321</v>
      </c>
      <c r="S707" s="333">
        <f t="shared" si="124"/>
        <v>572916.66666666791</v>
      </c>
    </row>
    <row r="708" spans="4:19" ht="15.75" customHeight="1">
      <c r="D708" s="309"/>
      <c r="E708" s="316"/>
      <c r="F708" s="449"/>
      <c r="G708" s="589"/>
      <c r="H708" s="590" t="s">
        <v>784</v>
      </c>
      <c r="I708" s="376">
        <v>43820</v>
      </c>
      <c r="J708" s="377">
        <v>0.25</v>
      </c>
      <c r="K708" s="329">
        <v>1450000</v>
      </c>
      <c r="L708" s="329"/>
      <c r="M708" s="329">
        <v>0</v>
      </c>
      <c r="N708" s="329">
        <f t="shared" si="123"/>
        <v>1450000</v>
      </c>
      <c r="O708" s="329">
        <v>724999.99999999953</v>
      </c>
      <c r="P708" s="333">
        <v>362500.00000000035</v>
      </c>
      <c r="Q708" s="329">
        <v>0</v>
      </c>
      <c r="R708" s="329">
        <f t="shared" si="125"/>
        <v>1087500</v>
      </c>
      <c r="S708" s="329">
        <f t="shared" si="124"/>
        <v>362500</v>
      </c>
    </row>
    <row r="709" spans="4:19" ht="15.75" customHeight="1">
      <c r="D709" s="309"/>
      <c r="E709" s="316"/>
      <c r="F709" s="449"/>
      <c r="G709" s="467"/>
      <c r="H709" s="481" t="s">
        <v>786</v>
      </c>
      <c r="I709" s="247">
        <v>43858</v>
      </c>
      <c r="J709" s="483">
        <v>0.25</v>
      </c>
      <c r="K709" s="333">
        <v>1000000</v>
      </c>
      <c r="L709" s="484"/>
      <c r="M709" s="333">
        <v>0</v>
      </c>
      <c r="N709" s="333">
        <f t="shared" si="123"/>
        <v>1000000</v>
      </c>
      <c r="O709" s="333">
        <v>479166.66666666628</v>
      </c>
      <c r="P709" s="333">
        <v>250000.00000000035</v>
      </c>
      <c r="Q709" s="333">
        <v>0</v>
      </c>
      <c r="R709" s="329">
        <f t="shared" si="125"/>
        <v>729166.66666666663</v>
      </c>
      <c r="S709" s="333">
        <f t="shared" si="124"/>
        <v>270833.33333333337</v>
      </c>
    </row>
    <row r="710" spans="4:19" ht="15.75" customHeight="1">
      <c r="D710" s="309"/>
      <c r="E710" s="316"/>
      <c r="F710" s="449"/>
      <c r="G710" s="467"/>
      <c r="H710" s="481" t="s">
        <v>787</v>
      </c>
      <c r="I710" s="247">
        <v>43896</v>
      </c>
      <c r="J710" s="483">
        <v>0.25</v>
      </c>
      <c r="K710" s="333">
        <v>600000</v>
      </c>
      <c r="L710" s="484"/>
      <c r="M710" s="333">
        <v>0</v>
      </c>
      <c r="N710" s="333">
        <f t="shared" si="123"/>
        <v>600000</v>
      </c>
      <c r="O710" s="333">
        <v>275000</v>
      </c>
      <c r="P710" s="333">
        <v>150000</v>
      </c>
      <c r="Q710" s="333">
        <v>0</v>
      </c>
      <c r="R710" s="329">
        <f t="shared" si="125"/>
        <v>425000</v>
      </c>
      <c r="S710" s="333">
        <f t="shared" si="124"/>
        <v>175000</v>
      </c>
    </row>
    <row r="711" spans="4:19" ht="15.75" customHeight="1">
      <c r="D711" s="309"/>
      <c r="E711" s="316"/>
      <c r="F711" s="449"/>
      <c r="G711" s="467"/>
      <c r="H711" s="481" t="s">
        <v>788</v>
      </c>
      <c r="I711" s="247">
        <v>44049</v>
      </c>
      <c r="J711" s="483">
        <v>0.25</v>
      </c>
      <c r="K711" s="333">
        <v>1900000</v>
      </c>
      <c r="L711" s="484"/>
      <c r="M711" s="333">
        <v>0</v>
      </c>
      <c r="N711" s="333">
        <f t="shared" si="123"/>
        <v>1900000</v>
      </c>
      <c r="O711" s="333">
        <v>672916.66666666628</v>
      </c>
      <c r="P711" s="333">
        <v>475000.00000000023</v>
      </c>
      <c r="Q711" s="333">
        <v>0</v>
      </c>
      <c r="R711" s="329">
        <f t="shared" si="125"/>
        <v>1147916.6666666665</v>
      </c>
      <c r="S711" s="333">
        <f t="shared" si="124"/>
        <v>752083.33333333349</v>
      </c>
    </row>
    <row r="712" spans="4:19" ht="15.75" customHeight="1">
      <c r="D712" s="309"/>
      <c r="E712" s="316"/>
      <c r="F712" s="449"/>
      <c r="G712" s="467"/>
      <c r="H712" s="481" t="s">
        <v>789</v>
      </c>
      <c r="I712" s="247">
        <v>44049</v>
      </c>
      <c r="J712" s="483">
        <v>0.25</v>
      </c>
      <c r="K712" s="333">
        <v>180000</v>
      </c>
      <c r="L712" s="484"/>
      <c r="M712" s="333">
        <v>0</v>
      </c>
      <c r="N712" s="333">
        <f t="shared" si="123"/>
        <v>180000</v>
      </c>
      <c r="O712" s="333">
        <v>63750</v>
      </c>
      <c r="P712" s="333">
        <v>45000</v>
      </c>
      <c r="Q712" s="333">
        <v>0</v>
      </c>
      <c r="R712" s="329">
        <f t="shared" si="125"/>
        <v>108750</v>
      </c>
      <c r="S712" s="333">
        <f t="shared" si="124"/>
        <v>71250</v>
      </c>
    </row>
    <row r="713" spans="4:19" ht="15.75" customHeight="1">
      <c r="D713" s="309"/>
      <c r="E713" s="316"/>
      <c r="F713" s="449"/>
      <c r="G713" s="467"/>
      <c r="H713" s="481" t="s">
        <v>788</v>
      </c>
      <c r="I713" s="247">
        <v>44097</v>
      </c>
      <c r="J713" s="483">
        <v>0.25</v>
      </c>
      <c r="K713" s="333">
        <v>1900000</v>
      </c>
      <c r="L713" s="484"/>
      <c r="M713" s="333">
        <v>0</v>
      </c>
      <c r="N713" s="333">
        <f t="shared" si="123"/>
        <v>1900000</v>
      </c>
      <c r="O713" s="333">
        <v>593749.99999999953</v>
      </c>
      <c r="P713" s="333">
        <v>475000.00000000035</v>
      </c>
      <c r="Q713" s="333">
        <v>0</v>
      </c>
      <c r="R713" s="329">
        <f t="shared" si="125"/>
        <v>1068750</v>
      </c>
      <c r="S713" s="333">
        <f t="shared" si="124"/>
        <v>831250</v>
      </c>
    </row>
    <row r="714" spans="4:19" ht="15.75" customHeight="1">
      <c r="D714" s="309"/>
      <c r="E714" s="316"/>
      <c r="F714" s="449"/>
      <c r="G714" s="467"/>
      <c r="H714" s="481" t="s">
        <v>790</v>
      </c>
      <c r="I714" s="247">
        <v>44084</v>
      </c>
      <c r="J714" s="483">
        <v>0.25</v>
      </c>
      <c r="K714" s="333">
        <v>275000</v>
      </c>
      <c r="L714" s="484"/>
      <c r="M714" s="333">
        <v>0</v>
      </c>
      <c r="N714" s="333">
        <f t="shared" si="123"/>
        <v>275000</v>
      </c>
      <c r="O714" s="333">
        <v>91666.666666666701</v>
      </c>
      <c r="P714" s="333">
        <v>68749.999999999985</v>
      </c>
      <c r="Q714" s="333">
        <v>0</v>
      </c>
      <c r="R714" s="329">
        <f t="shared" si="125"/>
        <v>160416.66666666669</v>
      </c>
      <c r="S714" s="333">
        <f t="shared" si="124"/>
        <v>114583.33333333331</v>
      </c>
    </row>
    <row r="715" spans="4:19" ht="15.75" customHeight="1">
      <c r="D715" s="309"/>
      <c r="E715" s="316"/>
      <c r="F715" s="449"/>
      <c r="G715" s="467"/>
      <c r="H715" s="481" t="s">
        <v>788</v>
      </c>
      <c r="I715" s="247">
        <v>44162</v>
      </c>
      <c r="J715" s="483">
        <v>0.25</v>
      </c>
      <c r="K715" s="333">
        <v>1785000</v>
      </c>
      <c r="L715" s="484"/>
      <c r="M715" s="333">
        <v>0</v>
      </c>
      <c r="N715" s="333">
        <f t="shared" si="123"/>
        <v>1785000</v>
      </c>
      <c r="O715" s="333">
        <v>483437.5</v>
      </c>
      <c r="P715" s="333">
        <v>446250</v>
      </c>
      <c r="Q715" s="333">
        <v>0</v>
      </c>
      <c r="R715" s="329">
        <f t="shared" si="125"/>
        <v>929687.5</v>
      </c>
      <c r="S715" s="333">
        <f t="shared" si="124"/>
        <v>855312.5</v>
      </c>
    </row>
    <row r="716" spans="4:19" ht="15.75" customHeight="1">
      <c r="D716" s="309"/>
      <c r="E716" s="316"/>
      <c r="F716" s="449"/>
      <c r="G716" s="467"/>
      <c r="H716" s="481" t="s">
        <v>791</v>
      </c>
      <c r="I716" s="247">
        <v>44323</v>
      </c>
      <c r="J716" s="483">
        <v>0.25</v>
      </c>
      <c r="K716" s="591">
        <v>2652000</v>
      </c>
      <c r="L716" s="591"/>
      <c r="M716" s="333"/>
      <c r="N716" s="333">
        <f t="shared" si="123"/>
        <v>2652000</v>
      </c>
      <c r="O716" s="333">
        <v>442000</v>
      </c>
      <c r="P716" s="333">
        <v>663000</v>
      </c>
      <c r="Q716" s="333"/>
      <c r="R716" s="329">
        <f t="shared" si="125"/>
        <v>1105000</v>
      </c>
      <c r="S716" s="333">
        <f t="shared" si="124"/>
        <v>1547000</v>
      </c>
    </row>
    <row r="717" spans="4:19" ht="15.75" customHeight="1">
      <c r="D717" s="309"/>
      <c r="E717" s="316"/>
      <c r="F717" s="449"/>
      <c r="G717" s="467"/>
      <c r="H717" s="559" t="s">
        <v>792</v>
      </c>
      <c r="I717" s="247">
        <v>44405</v>
      </c>
      <c r="J717" s="483">
        <v>0.25</v>
      </c>
      <c r="K717" s="591">
        <v>1150000</v>
      </c>
      <c r="L717" s="591"/>
      <c r="M717" s="333"/>
      <c r="N717" s="333">
        <f t="shared" si="123"/>
        <v>1150000</v>
      </c>
      <c r="O717" s="333">
        <v>119791.66666666666</v>
      </c>
      <c r="P717" s="333">
        <v>287499.99999999988</v>
      </c>
      <c r="Q717" s="333"/>
      <c r="R717" s="329">
        <f t="shared" si="125"/>
        <v>407291.66666666651</v>
      </c>
      <c r="S717" s="333">
        <f>N717-R717</f>
        <v>742708.33333333349</v>
      </c>
    </row>
    <row r="718" spans="4:19" ht="15.75" customHeight="1">
      <c r="D718" s="309"/>
      <c r="E718" s="316"/>
      <c r="F718" s="449"/>
      <c r="G718" s="467"/>
      <c r="H718" s="559" t="s">
        <v>793</v>
      </c>
      <c r="I718" s="248">
        <v>44587</v>
      </c>
      <c r="J718" s="483">
        <v>0.25</v>
      </c>
      <c r="K718" s="591"/>
      <c r="L718" s="591">
        <v>1150000</v>
      </c>
      <c r="M718" s="333"/>
      <c r="N718" s="333">
        <f t="shared" si="123"/>
        <v>1150000</v>
      </c>
      <c r="O718" s="333"/>
      <c r="P718" s="333">
        <v>287500</v>
      </c>
      <c r="Q718" s="333"/>
      <c r="R718" s="329">
        <f t="shared" si="125"/>
        <v>287500</v>
      </c>
      <c r="S718" s="333">
        <f t="shared" si="124"/>
        <v>862500</v>
      </c>
    </row>
    <row r="719" spans="4:19" ht="15.75" customHeight="1">
      <c r="D719" s="309"/>
      <c r="E719" s="316"/>
      <c r="F719" s="449"/>
      <c r="G719" s="467"/>
      <c r="H719" s="559" t="s">
        <v>794</v>
      </c>
      <c r="I719" s="248">
        <v>44637</v>
      </c>
      <c r="J719" s="483">
        <v>0.25</v>
      </c>
      <c r="K719" s="591"/>
      <c r="L719" s="591">
        <v>2050000</v>
      </c>
      <c r="M719" s="333"/>
      <c r="N719" s="333">
        <f t="shared" si="123"/>
        <v>2050000</v>
      </c>
      <c r="O719" s="333"/>
      <c r="P719" s="333">
        <v>427083.33333333331</v>
      </c>
      <c r="Q719" s="333"/>
      <c r="R719" s="329">
        <f t="shared" si="125"/>
        <v>427083.33333333331</v>
      </c>
      <c r="S719" s="333">
        <f t="shared" si="124"/>
        <v>1622916.6666666667</v>
      </c>
    </row>
    <row r="720" spans="4:19" ht="15.75" customHeight="1">
      <c r="D720" s="309"/>
      <c r="E720" s="316"/>
      <c r="F720" s="449"/>
      <c r="G720" s="467"/>
      <c r="H720" s="559" t="s">
        <v>793</v>
      </c>
      <c r="I720" s="248">
        <v>44652</v>
      </c>
      <c r="J720" s="483">
        <v>0.25</v>
      </c>
      <c r="K720" s="591"/>
      <c r="L720" s="591">
        <v>1120000</v>
      </c>
      <c r="M720" s="333"/>
      <c r="N720" s="333">
        <f t="shared" si="123"/>
        <v>1120000</v>
      </c>
      <c r="O720" s="333"/>
      <c r="P720" s="333">
        <v>210000.00000000003</v>
      </c>
      <c r="Q720" s="333"/>
      <c r="R720" s="329">
        <f t="shared" si="125"/>
        <v>210000.00000000003</v>
      </c>
      <c r="S720" s="333">
        <f t="shared" si="124"/>
        <v>910000</v>
      </c>
    </row>
    <row r="721" spans="1:19" ht="15.75" customHeight="1">
      <c r="D721" s="309"/>
      <c r="E721" s="316"/>
      <c r="F721" s="449"/>
      <c r="G721" s="467"/>
      <c r="H721" s="559" t="s">
        <v>794</v>
      </c>
      <c r="I721" s="248">
        <v>44704</v>
      </c>
      <c r="J721" s="483">
        <v>0.25</v>
      </c>
      <c r="K721" s="591"/>
      <c r="L721" s="591">
        <v>4960000</v>
      </c>
      <c r="M721" s="333"/>
      <c r="N721" s="333">
        <f t="shared" si="123"/>
        <v>4960000</v>
      </c>
      <c r="O721" s="333"/>
      <c r="P721" s="333">
        <v>826666.66666666674</v>
      </c>
      <c r="Q721" s="333"/>
      <c r="R721" s="329">
        <f t="shared" si="125"/>
        <v>826666.66666666674</v>
      </c>
      <c r="S721" s="333">
        <f t="shared" si="124"/>
        <v>4133333.333333333</v>
      </c>
    </row>
    <row r="722" spans="1:19" ht="15.75" customHeight="1">
      <c r="D722" s="309"/>
      <c r="E722" s="316"/>
      <c r="F722" s="449"/>
      <c r="G722" s="467"/>
      <c r="H722" s="558" t="s">
        <v>795</v>
      </c>
      <c r="I722" s="248">
        <v>44706</v>
      </c>
      <c r="J722" s="483">
        <v>0.25</v>
      </c>
      <c r="K722" s="591"/>
      <c r="L722" s="591">
        <v>1800000</v>
      </c>
      <c r="M722" s="333"/>
      <c r="N722" s="333">
        <f t="shared" si="123"/>
        <v>1800000</v>
      </c>
      <c r="O722" s="333"/>
      <c r="P722" s="333">
        <v>300000</v>
      </c>
      <c r="Q722" s="333"/>
      <c r="R722" s="329">
        <f t="shared" si="125"/>
        <v>300000</v>
      </c>
      <c r="S722" s="333">
        <f t="shared" si="124"/>
        <v>1500000</v>
      </c>
    </row>
    <row r="723" spans="1:19" ht="15.75" customHeight="1">
      <c r="D723" s="309"/>
      <c r="E723" s="316"/>
      <c r="F723" s="449"/>
      <c r="G723" s="467"/>
      <c r="H723" s="559" t="s">
        <v>794</v>
      </c>
      <c r="I723" s="248">
        <v>44711</v>
      </c>
      <c r="J723" s="483">
        <v>0.25</v>
      </c>
      <c r="K723" s="591"/>
      <c r="L723" s="591">
        <v>2050000</v>
      </c>
      <c r="M723" s="333"/>
      <c r="N723" s="333">
        <f t="shared" si="123"/>
        <v>2050000</v>
      </c>
      <c r="O723" s="333"/>
      <c r="P723" s="333">
        <v>341666.66666666669</v>
      </c>
      <c r="Q723" s="333"/>
      <c r="R723" s="329">
        <f t="shared" si="125"/>
        <v>341666.66666666669</v>
      </c>
      <c r="S723" s="333">
        <f t="shared" si="124"/>
        <v>1708333.3333333333</v>
      </c>
    </row>
    <row r="724" spans="1:19" ht="15.75" customHeight="1">
      <c r="D724" s="309"/>
      <c r="E724" s="316"/>
      <c r="F724" s="449"/>
      <c r="G724" s="467"/>
      <c r="H724" s="559" t="s">
        <v>796</v>
      </c>
      <c r="I724" s="248">
        <v>44749</v>
      </c>
      <c r="J724" s="483">
        <v>0.25</v>
      </c>
      <c r="K724" s="591"/>
      <c r="L724" s="591">
        <v>1150000</v>
      </c>
      <c r="M724" s="333"/>
      <c r="N724" s="333">
        <f t="shared" si="123"/>
        <v>1150000</v>
      </c>
      <c r="O724" s="333"/>
      <c r="P724" s="333">
        <v>143750</v>
      </c>
      <c r="Q724" s="333"/>
      <c r="R724" s="329">
        <f t="shared" si="125"/>
        <v>143750</v>
      </c>
      <c r="S724" s="333">
        <f t="shared" si="124"/>
        <v>1006250</v>
      </c>
    </row>
    <row r="725" spans="1:19" ht="15.75" customHeight="1">
      <c r="D725" s="309"/>
      <c r="E725" s="316"/>
      <c r="F725" s="449"/>
      <c r="G725" s="467"/>
      <c r="H725" s="559" t="s">
        <v>793</v>
      </c>
      <c r="I725" s="248">
        <v>44817</v>
      </c>
      <c r="J725" s="483">
        <v>0.25</v>
      </c>
      <c r="K725" s="591"/>
      <c r="L725" s="591">
        <v>1050000</v>
      </c>
      <c r="M725" s="333"/>
      <c r="N725" s="333">
        <f t="shared" si="123"/>
        <v>1050000</v>
      </c>
      <c r="O725" s="333"/>
      <c r="P725" s="333">
        <v>87500</v>
      </c>
      <c r="Q725" s="333"/>
      <c r="R725" s="329">
        <f t="shared" si="125"/>
        <v>87500</v>
      </c>
      <c r="S725" s="333">
        <f t="shared" si="124"/>
        <v>962500</v>
      </c>
    </row>
    <row r="726" spans="1:19" ht="15.75" customHeight="1">
      <c r="D726" s="309"/>
      <c r="E726" s="316"/>
      <c r="F726" s="449"/>
      <c r="G726" s="467"/>
      <c r="H726" s="559" t="s">
        <v>794</v>
      </c>
      <c r="I726" s="248">
        <v>44869</v>
      </c>
      <c r="J726" s="483">
        <v>0.25</v>
      </c>
      <c r="K726" s="591"/>
      <c r="L726" s="591">
        <v>1925000</v>
      </c>
      <c r="M726" s="333"/>
      <c r="N726" s="333">
        <f t="shared" si="123"/>
        <v>1925000</v>
      </c>
      <c r="O726" s="333"/>
      <c r="P726" s="333">
        <v>80208.333333333328</v>
      </c>
      <c r="Q726" s="333"/>
      <c r="R726" s="329">
        <f t="shared" si="125"/>
        <v>80208.333333333328</v>
      </c>
      <c r="S726" s="333">
        <f t="shared" si="124"/>
        <v>1844791.6666666667</v>
      </c>
    </row>
    <row r="727" spans="1:19" ht="15.75" customHeight="1">
      <c r="D727" s="309"/>
      <c r="E727" s="316"/>
      <c r="F727" s="449"/>
      <c r="G727" s="467"/>
      <c r="H727" s="559" t="s">
        <v>797</v>
      </c>
      <c r="I727" s="248">
        <v>44874</v>
      </c>
      <c r="J727" s="483">
        <v>0.25</v>
      </c>
      <c r="K727" s="591"/>
      <c r="L727" s="591">
        <v>3680000</v>
      </c>
      <c r="M727" s="333"/>
      <c r="N727" s="333">
        <f t="shared" si="123"/>
        <v>3680000</v>
      </c>
      <c r="O727" s="333"/>
      <c r="P727" s="333">
        <v>153333.33333333334</v>
      </c>
      <c r="Q727" s="333"/>
      <c r="R727" s="329">
        <f t="shared" si="125"/>
        <v>153333.33333333334</v>
      </c>
      <c r="S727" s="333">
        <f t="shared" si="124"/>
        <v>3526666.6666666665</v>
      </c>
    </row>
    <row r="728" spans="1:19" ht="15.75" customHeight="1">
      <c r="D728" s="309"/>
      <c r="E728" s="316"/>
      <c r="F728" s="449"/>
      <c r="G728" s="467"/>
      <c r="H728" s="559" t="s">
        <v>798</v>
      </c>
      <c r="I728" s="248">
        <v>44888</v>
      </c>
      <c r="J728" s="483">
        <v>0.25</v>
      </c>
      <c r="K728" s="591"/>
      <c r="L728" s="591">
        <v>5850000</v>
      </c>
      <c r="M728" s="333"/>
      <c r="N728" s="333">
        <f t="shared" si="123"/>
        <v>5850000</v>
      </c>
      <c r="O728" s="333"/>
      <c r="P728" s="333">
        <v>243750</v>
      </c>
      <c r="Q728" s="333"/>
      <c r="R728" s="329">
        <f t="shared" si="125"/>
        <v>243750</v>
      </c>
      <c r="S728" s="333">
        <f t="shared" si="124"/>
        <v>5606250</v>
      </c>
    </row>
    <row r="729" spans="1:19" ht="15.75" customHeight="1">
      <c r="D729" s="309"/>
      <c r="E729" s="316"/>
      <c r="F729" s="449"/>
      <c r="G729" s="467"/>
      <c r="H729" s="559" t="s">
        <v>799</v>
      </c>
      <c r="I729" s="248">
        <v>44891</v>
      </c>
      <c r="J729" s="483">
        <v>0.25</v>
      </c>
      <c r="K729" s="591"/>
      <c r="L729" s="591">
        <v>4300000</v>
      </c>
      <c r="M729" s="333"/>
      <c r="N729" s="333">
        <f t="shared" si="123"/>
        <v>4300000</v>
      </c>
      <c r="O729" s="333"/>
      <c r="P729" s="333">
        <v>179166.66666666666</v>
      </c>
      <c r="Q729" s="333"/>
      <c r="R729" s="329">
        <f t="shared" si="125"/>
        <v>179166.66666666666</v>
      </c>
      <c r="S729" s="333">
        <f t="shared" si="124"/>
        <v>4120833.3333333335</v>
      </c>
    </row>
    <row r="730" spans="1:19" ht="15.75" customHeight="1">
      <c r="D730" s="309"/>
      <c r="E730" s="316"/>
      <c r="F730" s="449"/>
      <c r="G730" s="467"/>
      <c r="H730" s="559" t="s">
        <v>800</v>
      </c>
      <c r="I730" s="248">
        <v>44897</v>
      </c>
      <c r="J730" s="483">
        <v>0.25</v>
      </c>
      <c r="K730" s="591"/>
      <c r="L730" s="591">
        <v>2985000</v>
      </c>
      <c r="M730" s="333"/>
      <c r="N730" s="333">
        <f t="shared" si="123"/>
        <v>2985000</v>
      </c>
      <c r="O730" s="333"/>
      <c r="P730" s="333">
        <v>62187.5</v>
      </c>
      <c r="Q730" s="333"/>
      <c r="R730" s="329">
        <f t="shared" si="125"/>
        <v>62187.5</v>
      </c>
      <c r="S730" s="333">
        <f t="shared" si="124"/>
        <v>2922812.5</v>
      </c>
    </row>
    <row r="731" spans="1:19" ht="15.75" customHeight="1">
      <c r="D731" s="309"/>
      <c r="E731" s="316"/>
      <c r="F731" s="449"/>
      <c r="G731" s="467"/>
      <c r="H731" s="559" t="s">
        <v>801</v>
      </c>
      <c r="I731" s="249">
        <v>44924</v>
      </c>
      <c r="J731" s="483">
        <v>0.25</v>
      </c>
      <c r="K731" s="591"/>
      <c r="L731" s="591">
        <v>6300000</v>
      </c>
      <c r="M731" s="333"/>
      <c r="N731" s="333">
        <f t="shared" si="123"/>
        <v>6300000</v>
      </c>
      <c r="O731" s="333"/>
      <c r="P731" s="333">
        <v>131250</v>
      </c>
      <c r="Q731" s="333"/>
      <c r="R731" s="329">
        <f t="shared" si="125"/>
        <v>131250</v>
      </c>
      <c r="S731" s="333">
        <f t="shared" si="124"/>
        <v>6168750</v>
      </c>
    </row>
    <row r="732" spans="1:19" ht="15.75" customHeight="1">
      <c r="D732" s="309"/>
      <c r="E732" s="316"/>
      <c r="F732" s="449"/>
      <c r="G732" s="547"/>
      <c r="H732" s="592"/>
      <c r="I732" s="564"/>
      <c r="J732" s="593"/>
      <c r="K732" s="339"/>
      <c r="L732" s="339"/>
      <c r="M732" s="339"/>
      <c r="N732" s="339"/>
      <c r="O732" s="339"/>
      <c r="P732" s="339"/>
      <c r="Q732" s="339"/>
      <c r="R732" s="339"/>
      <c r="S732" s="400"/>
    </row>
    <row r="733" spans="1:19" s="317" customFormat="1" ht="15.75" customHeight="1">
      <c r="A733" s="266" t="s">
        <v>935</v>
      </c>
      <c r="B733" s="266"/>
      <c r="C733" s="266"/>
      <c r="D733" s="309"/>
      <c r="E733" s="316"/>
      <c r="F733" s="1235" t="s">
        <v>1038</v>
      </c>
      <c r="G733" s="1236"/>
      <c r="H733" s="1236"/>
      <c r="I733" s="594"/>
      <c r="J733" s="595"/>
      <c r="K733" s="342">
        <f>SUM(K682:K732)</f>
        <v>196340000</v>
      </c>
      <c r="L733" s="342">
        <f t="shared" ref="L733:S733" si="126">SUM(L682:L732)</f>
        <v>40370000</v>
      </c>
      <c r="M733" s="342">
        <f t="shared" si="126"/>
        <v>0</v>
      </c>
      <c r="N733" s="342">
        <f>SUM(N682:N732)</f>
        <v>236710000</v>
      </c>
      <c r="O733" s="342">
        <f t="shared" si="126"/>
        <v>130038749.33333331</v>
      </c>
      <c r="P733" s="342">
        <f t="shared" si="126"/>
        <v>41905812.49999994</v>
      </c>
      <c r="Q733" s="342">
        <f t="shared" si="126"/>
        <v>0</v>
      </c>
      <c r="R733" s="342">
        <f t="shared" si="126"/>
        <v>171944561.83333319</v>
      </c>
      <c r="S733" s="342">
        <f t="shared" si="126"/>
        <v>64765438.166666754</v>
      </c>
    </row>
    <row r="734" spans="1:19" s="317" customFormat="1" ht="15.75" customHeight="1">
      <c r="A734" s="266" t="s">
        <v>935</v>
      </c>
      <c r="B734" s="266"/>
      <c r="C734" s="266"/>
      <c r="D734" s="357"/>
      <c r="E734" s="301"/>
      <c r="F734" s="596" t="s">
        <v>1039</v>
      </c>
      <c r="G734" s="302" t="s">
        <v>238</v>
      </c>
      <c r="H734" s="597"/>
      <c r="I734" s="573"/>
      <c r="J734" s="396"/>
      <c r="K734" s="356"/>
      <c r="L734" s="356"/>
      <c r="M734" s="356"/>
      <c r="N734" s="356"/>
      <c r="O734" s="356"/>
      <c r="P734" s="356"/>
      <c r="Q734" s="356"/>
      <c r="R734" s="356"/>
      <c r="S734" s="356"/>
    </row>
    <row r="735" spans="1:19" ht="15.75" customHeight="1">
      <c r="A735" s="266" t="s">
        <v>935</v>
      </c>
      <c r="D735" s="357"/>
      <c r="E735" s="301"/>
      <c r="F735" s="466"/>
      <c r="G735" s="583" t="s">
        <v>405</v>
      </c>
      <c r="H735" s="312"/>
      <c r="I735" s="537"/>
      <c r="J735" s="393"/>
      <c r="K735" s="358"/>
      <c r="L735" s="358"/>
      <c r="M735" s="358"/>
      <c r="N735" s="358"/>
      <c r="O735" s="358"/>
      <c r="P735" s="358"/>
      <c r="Q735" s="358"/>
      <c r="R735" s="358"/>
      <c r="S735" s="358"/>
    </row>
    <row r="736" spans="1:19" ht="15.75" customHeight="1">
      <c r="A736" s="266" t="s">
        <v>935</v>
      </c>
      <c r="B736" s="266">
        <v>2</v>
      </c>
      <c r="C736" s="266">
        <v>2</v>
      </c>
      <c r="D736" s="309"/>
      <c r="E736" s="316"/>
      <c r="F736" s="466"/>
      <c r="G736" s="583"/>
      <c r="H736" s="584" t="s">
        <v>802</v>
      </c>
      <c r="I736" s="363">
        <v>2015</v>
      </c>
      <c r="J736" s="393">
        <v>0.25</v>
      </c>
      <c r="K736" s="333">
        <v>9450000</v>
      </c>
      <c r="L736" s="333">
        <v>0</v>
      </c>
      <c r="M736" s="333">
        <v>0</v>
      </c>
      <c r="N736" s="329">
        <f t="shared" ref="N736:N754" si="127">K736+L736-M736</f>
        <v>9450000</v>
      </c>
      <c r="O736" s="329">
        <v>9450000</v>
      </c>
      <c r="P736" s="333">
        <v>0</v>
      </c>
      <c r="Q736" s="333">
        <v>0</v>
      </c>
      <c r="R736" s="329">
        <f>O736+P736-Q736</f>
        <v>9450000</v>
      </c>
      <c r="S736" s="333">
        <f t="shared" ref="S736:S754" si="128">N736-R736</f>
        <v>0</v>
      </c>
    </row>
    <row r="737" spans="1:19" ht="15.75" customHeight="1">
      <c r="A737" s="266" t="s">
        <v>935</v>
      </c>
      <c r="B737" s="266">
        <v>3</v>
      </c>
      <c r="C737" s="266">
        <v>3</v>
      </c>
      <c r="D737" s="309"/>
      <c r="E737" s="316"/>
      <c r="F737" s="466"/>
      <c r="G737" s="583"/>
      <c r="H737" s="586" t="s">
        <v>803</v>
      </c>
      <c r="I737" s="363">
        <v>2015</v>
      </c>
      <c r="J737" s="393">
        <v>0.25</v>
      </c>
      <c r="K737" s="333">
        <v>1300000</v>
      </c>
      <c r="L737" s="333">
        <v>0</v>
      </c>
      <c r="M737" s="333">
        <v>0</v>
      </c>
      <c r="N737" s="329">
        <f t="shared" si="127"/>
        <v>1300000</v>
      </c>
      <c r="O737" s="329">
        <v>1300000</v>
      </c>
      <c r="P737" s="333">
        <v>0</v>
      </c>
      <c r="Q737" s="333">
        <v>0</v>
      </c>
      <c r="R737" s="329">
        <f t="shared" ref="R737:R754" si="129">O737+P737-Q737</f>
        <v>1300000</v>
      </c>
      <c r="S737" s="333">
        <f t="shared" si="128"/>
        <v>0</v>
      </c>
    </row>
    <row r="738" spans="1:19" ht="15.75" customHeight="1">
      <c r="A738" s="266" t="s">
        <v>935</v>
      </c>
      <c r="B738" s="266">
        <v>6</v>
      </c>
      <c r="C738" s="266">
        <v>6</v>
      </c>
      <c r="D738" s="309"/>
      <c r="E738" s="316"/>
      <c r="F738" s="466"/>
      <c r="G738" s="598"/>
      <c r="H738" s="599" t="s">
        <v>804</v>
      </c>
      <c r="I738" s="363">
        <v>2015</v>
      </c>
      <c r="J738" s="393">
        <v>0.25</v>
      </c>
      <c r="K738" s="348">
        <v>2517500</v>
      </c>
      <c r="L738" s="333">
        <v>0</v>
      </c>
      <c r="M738" s="348">
        <v>0</v>
      </c>
      <c r="N738" s="329">
        <f t="shared" si="127"/>
        <v>2517500</v>
      </c>
      <c r="O738" s="329">
        <v>2517499.8333333335</v>
      </c>
      <c r="P738" s="333">
        <v>0</v>
      </c>
      <c r="Q738" s="348">
        <v>0</v>
      </c>
      <c r="R738" s="329">
        <f t="shared" si="129"/>
        <v>2517499.8333333335</v>
      </c>
      <c r="S738" s="333">
        <f t="shared" si="128"/>
        <v>0.16666666651144624</v>
      </c>
    </row>
    <row r="739" spans="1:19" ht="15.75" customHeight="1">
      <c r="A739" s="266" t="s">
        <v>935</v>
      </c>
      <c r="B739" s="266">
        <v>6</v>
      </c>
      <c r="C739" s="266">
        <v>6</v>
      </c>
      <c r="D739" s="309"/>
      <c r="E739" s="316"/>
      <c r="F739" s="466"/>
      <c r="G739" s="588"/>
      <c r="H739" s="590" t="s">
        <v>805</v>
      </c>
      <c r="I739" s="363">
        <v>2015</v>
      </c>
      <c r="J739" s="393">
        <v>0.25</v>
      </c>
      <c r="K739" s="329">
        <v>250000</v>
      </c>
      <c r="L739" s="333">
        <v>0</v>
      </c>
      <c r="M739" s="329">
        <v>0</v>
      </c>
      <c r="N739" s="329">
        <f t="shared" si="127"/>
        <v>250000</v>
      </c>
      <c r="O739" s="329">
        <v>249999.66666666683</v>
      </c>
      <c r="P739" s="333">
        <v>0</v>
      </c>
      <c r="Q739" s="329">
        <v>0</v>
      </c>
      <c r="R739" s="329">
        <f t="shared" si="129"/>
        <v>249999.66666666683</v>
      </c>
      <c r="S739" s="333">
        <f t="shared" si="128"/>
        <v>0.33333333316841163</v>
      </c>
    </row>
    <row r="740" spans="1:19" ht="15.75" customHeight="1">
      <c r="A740" s="266" t="s">
        <v>935</v>
      </c>
      <c r="B740" s="266">
        <v>6</v>
      </c>
      <c r="C740" s="266">
        <v>6</v>
      </c>
      <c r="D740" s="309"/>
      <c r="E740" s="316"/>
      <c r="F740" s="466"/>
      <c r="G740" s="588"/>
      <c r="H740" s="590" t="s">
        <v>806</v>
      </c>
      <c r="I740" s="363">
        <v>2015</v>
      </c>
      <c r="J740" s="393">
        <v>0.25</v>
      </c>
      <c r="K740" s="329">
        <v>1650000</v>
      </c>
      <c r="L740" s="333">
        <v>0</v>
      </c>
      <c r="M740" s="329">
        <v>0</v>
      </c>
      <c r="N740" s="329">
        <f t="shared" si="127"/>
        <v>1650000</v>
      </c>
      <c r="O740" s="329">
        <v>1650000</v>
      </c>
      <c r="P740" s="333">
        <v>0</v>
      </c>
      <c r="Q740" s="329">
        <v>0</v>
      </c>
      <c r="R740" s="329">
        <f t="shared" si="129"/>
        <v>1650000</v>
      </c>
      <c r="S740" s="333">
        <f t="shared" si="128"/>
        <v>0</v>
      </c>
    </row>
    <row r="741" spans="1:19" ht="15.75" customHeight="1">
      <c r="A741" s="266" t="s">
        <v>935</v>
      </c>
      <c r="B741" s="266">
        <v>7</v>
      </c>
      <c r="C741" s="266">
        <v>7</v>
      </c>
      <c r="D741" s="309"/>
      <c r="E741" s="316"/>
      <c r="F741" s="466"/>
      <c r="G741" s="588"/>
      <c r="H741" s="590" t="s">
        <v>807</v>
      </c>
      <c r="I741" s="363">
        <v>2015</v>
      </c>
      <c r="J741" s="393">
        <v>0.25</v>
      </c>
      <c r="K741" s="329">
        <v>2625000</v>
      </c>
      <c r="L741" s="333">
        <v>0</v>
      </c>
      <c r="M741" s="329">
        <v>0</v>
      </c>
      <c r="N741" s="329">
        <f t="shared" si="127"/>
        <v>2625000</v>
      </c>
      <c r="O741" s="329">
        <v>2625000</v>
      </c>
      <c r="P741" s="333">
        <v>0</v>
      </c>
      <c r="Q741" s="329">
        <v>0</v>
      </c>
      <c r="R741" s="329">
        <f t="shared" si="129"/>
        <v>2625000</v>
      </c>
      <c r="S741" s="333">
        <f t="shared" si="128"/>
        <v>0</v>
      </c>
    </row>
    <row r="742" spans="1:19" ht="15.75" customHeight="1">
      <c r="A742" s="266" t="s">
        <v>935</v>
      </c>
      <c r="D742" s="309"/>
      <c r="E742" s="316"/>
      <c r="F742" s="473"/>
      <c r="G742" s="467"/>
      <c r="H742" s="584" t="s">
        <v>808</v>
      </c>
      <c r="I742" s="363">
        <v>2016</v>
      </c>
      <c r="J742" s="393">
        <v>0.25</v>
      </c>
      <c r="K742" s="333">
        <v>24049545</v>
      </c>
      <c r="L742" s="333">
        <v>0</v>
      </c>
      <c r="M742" s="333">
        <v>0</v>
      </c>
      <c r="N742" s="329">
        <f t="shared" si="127"/>
        <v>24049545</v>
      </c>
      <c r="O742" s="333">
        <v>40654545.450000003</v>
      </c>
      <c r="P742" s="333">
        <v>0</v>
      </c>
      <c r="Q742" s="333">
        <v>0</v>
      </c>
      <c r="R742" s="329">
        <f t="shared" si="129"/>
        <v>40654545.450000003</v>
      </c>
      <c r="S742" s="333">
        <f t="shared" si="128"/>
        <v>-16605000.450000003</v>
      </c>
    </row>
    <row r="743" spans="1:19" ht="15.75" customHeight="1">
      <c r="A743" s="266" t="s">
        <v>935</v>
      </c>
      <c r="D743" s="309"/>
      <c r="E743" s="316"/>
      <c r="F743" s="466"/>
      <c r="G743" s="467"/>
      <c r="H743" s="584" t="s">
        <v>809</v>
      </c>
      <c r="I743" s="363">
        <v>2016</v>
      </c>
      <c r="J743" s="393">
        <v>0.25</v>
      </c>
      <c r="K743" s="333">
        <v>210000000</v>
      </c>
      <c r="L743" s="333">
        <v>0</v>
      </c>
      <c r="M743" s="333">
        <v>0</v>
      </c>
      <c r="N743" s="329">
        <f t="shared" si="127"/>
        <v>210000000</v>
      </c>
      <c r="O743" s="333">
        <v>210000000</v>
      </c>
      <c r="P743" s="333">
        <v>0</v>
      </c>
      <c r="Q743" s="333">
        <v>0</v>
      </c>
      <c r="R743" s="329">
        <f t="shared" si="129"/>
        <v>210000000</v>
      </c>
      <c r="S743" s="333">
        <f t="shared" si="128"/>
        <v>0</v>
      </c>
    </row>
    <row r="744" spans="1:19" ht="15.75" customHeight="1">
      <c r="A744" s="266" t="s">
        <v>935</v>
      </c>
      <c r="D744" s="309"/>
      <c r="E744" s="316"/>
      <c r="F744" s="466"/>
      <c r="G744" s="467"/>
      <c r="H744" s="584" t="s">
        <v>810</v>
      </c>
      <c r="I744" s="363">
        <v>2016</v>
      </c>
      <c r="J744" s="393">
        <v>0.25</v>
      </c>
      <c r="K744" s="333">
        <v>112000000</v>
      </c>
      <c r="L744" s="333">
        <v>0</v>
      </c>
      <c r="M744" s="333">
        <v>0</v>
      </c>
      <c r="N744" s="329">
        <f t="shared" si="127"/>
        <v>112000000</v>
      </c>
      <c r="O744" s="333">
        <v>112000000</v>
      </c>
      <c r="P744" s="333">
        <v>0</v>
      </c>
      <c r="Q744" s="333">
        <v>0</v>
      </c>
      <c r="R744" s="329">
        <f t="shared" si="129"/>
        <v>112000000</v>
      </c>
      <c r="S744" s="333">
        <f t="shared" si="128"/>
        <v>0</v>
      </c>
    </row>
    <row r="745" spans="1:19" ht="15.75" customHeight="1">
      <c r="D745" s="309"/>
      <c r="E745" s="316"/>
      <c r="F745" s="466"/>
      <c r="G745" s="467"/>
      <c r="H745" s="584" t="s">
        <v>811</v>
      </c>
      <c r="I745" s="250">
        <v>2017</v>
      </c>
      <c r="J745" s="393">
        <v>0.25</v>
      </c>
      <c r="K745" s="333">
        <v>301700000</v>
      </c>
      <c r="L745" s="333">
        <v>0</v>
      </c>
      <c r="M745" s="333">
        <v>0</v>
      </c>
      <c r="N745" s="329">
        <f t="shared" si="127"/>
        <v>301700000</v>
      </c>
      <c r="O745" s="333">
        <v>301700000</v>
      </c>
      <c r="P745" s="333">
        <v>0</v>
      </c>
      <c r="Q745" s="333">
        <v>0</v>
      </c>
      <c r="R745" s="329">
        <f t="shared" si="129"/>
        <v>301700000</v>
      </c>
      <c r="S745" s="333">
        <f t="shared" si="128"/>
        <v>0</v>
      </c>
    </row>
    <row r="746" spans="1:19" ht="15.75" customHeight="1">
      <c r="D746" s="309"/>
      <c r="E746" s="316"/>
      <c r="F746" s="466"/>
      <c r="G746" s="467"/>
      <c r="H746" s="584" t="s">
        <v>812</v>
      </c>
      <c r="I746" s="250">
        <v>2017</v>
      </c>
      <c r="J746" s="393">
        <v>0.25</v>
      </c>
      <c r="K746" s="333">
        <v>30000000</v>
      </c>
      <c r="L746" s="333">
        <v>0</v>
      </c>
      <c r="M746" s="333">
        <v>0</v>
      </c>
      <c r="N746" s="329">
        <f t="shared" si="127"/>
        <v>30000000</v>
      </c>
      <c r="O746" s="333">
        <v>30000000</v>
      </c>
      <c r="P746" s="333">
        <v>0</v>
      </c>
      <c r="Q746" s="333">
        <v>0</v>
      </c>
      <c r="R746" s="329">
        <f t="shared" si="129"/>
        <v>30000000</v>
      </c>
      <c r="S746" s="333">
        <f t="shared" si="128"/>
        <v>0</v>
      </c>
    </row>
    <row r="747" spans="1:19" ht="15.75" customHeight="1">
      <c r="D747" s="309"/>
      <c r="E747" s="316"/>
      <c r="F747" s="466"/>
      <c r="G747" s="467"/>
      <c r="H747" s="584" t="s">
        <v>813</v>
      </c>
      <c r="I747" s="250">
        <v>2017</v>
      </c>
      <c r="J747" s="393">
        <v>0.25</v>
      </c>
      <c r="K747" s="333">
        <v>17750000</v>
      </c>
      <c r="L747" s="333">
        <v>0</v>
      </c>
      <c r="M747" s="333">
        <v>0</v>
      </c>
      <c r="N747" s="329">
        <f t="shared" si="127"/>
        <v>17750000</v>
      </c>
      <c r="O747" s="333">
        <v>17749999.999999993</v>
      </c>
      <c r="P747" s="333">
        <v>0</v>
      </c>
      <c r="Q747" s="333">
        <v>0</v>
      </c>
      <c r="R747" s="329">
        <f t="shared" si="129"/>
        <v>17749999.999999993</v>
      </c>
      <c r="S747" s="333">
        <f t="shared" si="128"/>
        <v>0</v>
      </c>
    </row>
    <row r="748" spans="1:19" ht="15.75" customHeight="1">
      <c r="D748" s="309"/>
      <c r="E748" s="316"/>
      <c r="F748" s="466"/>
      <c r="G748" s="467"/>
      <c r="H748" s="584" t="s">
        <v>814</v>
      </c>
      <c r="I748" s="250">
        <v>2017</v>
      </c>
      <c r="J748" s="393">
        <v>0.25</v>
      </c>
      <c r="K748" s="333">
        <v>15105000</v>
      </c>
      <c r="L748" s="333">
        <v>0</v>
      </c>
      <c r="M748" s="333">
        <v>0</v>
      </c>
      <c r="N748" s="329">
        <f t="shared" si="127"/>
        <v>15105000</v>
      </c>
      <c r="O748" s="333">
        <v>15105000</v>
      </c>
      <c r="P748" s="333">
        <v>0</v>
      </c>
      <c r="Q748" s="333">
        <v>0</v>
      </c>
      <c r="R748" s="329">
        <f t="shared" si="129"/>
        <v>15105000</v>
      </c>
      <c r="S748" s="333">
        <f t="shared" si="128"/>
        <v>0</v>
      </c>
    </row>
    <row r="749" spans="1:19" ht="15.75" customHeight="1">
      <c r="D749" s="309"/>
      <c r="E749" s="316"/>
      <c r="F749" s="449"/>
      <c r="G749" s="467"/>
      <c r="H749" s="584" t="s">
        <v>815</v>
      </c>
      <c r="I749" s="250">
        <v>2017</v>
      </c>
      <c r="J749" s="393">
        <v>0.25</v>
      </c>
      <c r="K749" s="333">
        <v>11700000</v>
      </c>
      <c r="L749" s="333">
        <v>0</v>
      </c>
      <c r="M749" s="333">
        <v>0</v>
      </c>
      <c r="N749" s="329">
        <f t="shared" si="127"/>
        <v>11700000</v>
      </c>
      <c r="O749" s="333">
        <v>11700000</v>
      </c>
      <c r="P749" s="333">
        <v>0</v>
      </c>
      <c r="Q749" s="333">
        <v>0</v>
      </c>
      <c r="R749" s="329">
        <f t="shared" si="129"/>
        <v>11700000</v>
      </c>
      <c r="S749" s="333">
        <f t="shared" si="128"/>
        <v>0</v>
      </c>
    </row>
    <row r="750" spans="1:19" ht="15.75" customHeight="1">
      <c r="D750" s="309"/>
      <c r="E750" s="316"/>
      <c r="F750" s="449"/>
      <c r="G750" s="467"/>
      <c r="H750" s="584" t="s">
        <v>816</v>
      </c>
      <c r="I750" s="251">
        <v>43495</v>
      </c>
      <c r="J750" s="393">
        <v>0.25</v>
      </c>
      <c r="K750" s="333">
        <v>32470000</v>
      </c>
      <c r="L750" s="333"/>
      <c r="M750" s="333">
        <v>0</v>
      </c>
      <c r="N750" s="329">
        <f t="shared" si="127"/>
        <v>32470000</v>
      </c>
      <c r="O750" s="333">
        <v>23676041.66666666</v>
      </c>
      <c r="P750" s="333">
        <v>8117499.9999999851</v>
      </c>
      <c r="Q750" s="333">
        <v>0</v>
      </c>
      <c r="R750" s="329">
        <f t="shared" si="129"/>
        <v>31793541.666666646</v>
      </c>
      <c r="S750" s="333">
        <f t="shared" si="128"/>
        <v>676458.33333335444</v>
      </c>
    </row>
    <row r="751" spans="1:19" ht="15.75" customHeight="1">
      <c r="D751" s="309"/>
      <c r="E751" s="316"/>
      <c r="F751" s="449"/>
      <c r="G751" s="467"/>
      <c r="H751" s="584" t="s">
        <v>146</v>
      </c>
      <c r="I751" s="251">
        <v>43663</v>
      </c>
      <c r="J751" s="393">
        <v>0.25</v>
      </c>
      <c r="K751" s="333">
        <v>114349251</v>
      </c>
      <c r="L751" s="333"/>
      <c r="M751" s="333">
        <v>0</v>
      </c>
      <c r="N751" s="329">
        <f t="shared" si="127"/>
        <v>114349251</v>
      </c>
      <c r="O751" s="333">
        <v>69086005.8125</v>
      </c>
      <c r="P751" s="333">
        <v>28587312.75</v>
      </c>
      <c r="Q751" s="333">
        <v>0</v>
      </c>
      <c r="R751" s="329">
        <f t="shared" si="129"/>
        <v>97673318.5625</v>
      </c>
      <c r="S751" s="333">
        <f t="shared" si="128"/>
        <v>16675932.4375</v>
      </c>
    </row>
    <row r="752" spans="1:19" ht="15.75" customHeight="1">
      <c r="D752" s="309"/>
      <c r="E752" s="316"/>
      <c r="F752" s="449"/>
      <c r="G752" s="473"/>
      <c r="H752" s="590" t="s">
        <v>817</v>
      </c>
      <c r="I752" s="252">
        <v>43801</v>
      </c>
      <c r="J752" s="377">
        <v>0.25</v>
      </c>
      <c r="K752" s="329">
        <v>3700000</v>
      </c>
      <c r="L752" s="329"/>
      <c r="M752" s="329">
        <v>0</v>
      </c>
      <c r="N752" s="329">
        <f t="shared" si="127"/>
        <v>3700000</v>
      </c>
      <c r="O752" s="329">
        <v>1927083.3333333326</v>
      </c>
      <c r="P752" s="333">
        <v>925000.0000000014</v>
      </c>
      <c r="Q752" s="333">
        <v>0</v>
      </c>
      <c r="R752" s="329">
        <f t="shared" si="129"/>
        <v>2852083.333333334</v>
      </c>
      <c r="S752" s="333">
        <f t="shared" si="128"/>
        <v>847916.66666666605</v>
      </c>
    </row>
    <row r="753" spans="1:19" ht="15.75" customHeight="1">
      <c r="D753" s="309"/>
      <c r="E753" s="316"/>
      <c r="F753" s="462"/>
      <c r="G753" s="473"/>
      <c r="H753" s="558" t="s">
        <v>818</v>
      </c>
      <c r="I753" s="253">
        <v>44631</v>
      </c>
      <c r="J753" s="515">
        <v>0.25</v>
      </c>
      <c r="K753" s="329"/>
      <c r="L753" s="472">
        <v>3485000</v>
      </c>
      <c r="M753" s="329"/>
      <c r="N753" s="329">
        <f t="shared" si="127"/>
        <v>3485000</v>
      </c>
      <c r="O753" s="329"/>
      <c r="P753" s="333">
        <v>726041.66666666663</v>
      </c>
      <c r="Q753" s="348"/>
      <c r="R753" s="329">
        <f t="shared" si="129"/>
        <v>726041.66666666663</v>
      </c>
      <c r="S753" s="333">
        <f t="shared" si="128"/>
        <v>2758958.3333333335</v>
      </c>
    </row>
    <row r="754" spans="1:19" ht="15.75" customHeight="1">
      <c r="D754" s="309"/>
      <c r="E754" s="316"/>
      <c r="F754" s="600"/>
      <c r="G754" s="467"/>
      <c r="H754" s="559" t="s">
        <v>819</v>
      </c>
      <c r="I754" s="248">
        <v>44739</v>
      </c>
      <c r="J754" s="483">
        <v>0.25</v>
      </c>
      <c r="K754" s="333"/>
      <c r="L754" s="484">
        <v>17500000</v>
      </c>
      <c r="M754" s="333"/>
      <c r="N754" s="329">
        <f t="shared" si="127"/>
        <v>17500000</v>
      </c>
      <c r="O754" s="333"/>
      <c r="P754" s="333">
        <v>2552081.666666667</v>
      </c>
      <c r="Q754" s="348"/>
      <c r="R754" s="329">
        <f t="shared" si="129"/>
        <v>2552081.666666667</v>
      </c>
      <c r="S754" s="333">
        <f t="shared" si="128"/>
        <v>14947918.333333332</v>
      </c>
    </row>
    <row r="755" spans="1:19" ht="15.75" customHeight="1">
      <c r="D755" s="309"/>
      <c r="E755" s="316"/>
      <c r="F755" s="600"/>
      <c r="G755" s="547"/>
      <c r="H755" s="601"/>
      <c r="I755" s="602"/>
      <c r="J755" s="383"/>
      <c r="K755" s="339"/>
      <c r="L755" s="339"/>
      <c r="M755" s="339"/>
      <c r="N755" s="339"/>
      <c r="O755" s="339"/>
      <c r="P755" s="348"/>
      <c r="Q755" s="348"/>
      <c r="R755" s="348"/>
      <c r="S755" s="348"/>
    </row>
    <row r="756" spans="1:19" s="317" customFormat="1" ht="15.75" customHeight="1">
      <c r="A756" s="266" t="s">
        <v>935</v>
      </c>
      <c r="B756" s="266"/>
      <c r="C756" s="266"/>
      <c r="D756" s="309"/>
      <c r="E756" s="316"/>
      <c r="F756" s="1235" t="s">
        <v>1040</v>
      </c>
      <c r="G756" s="1236"/>
      <c r="H756" s="1236"/>
      <c r="I756" s="603"/>
      <c r="J756" s="595"/>
      <c r="K756" s="342">
        <f>SUM(K736:K755)</f>
        <v>890616296</v>
      </c>
      <c r="L756" s="342">
        <f t="shared" ref="L756:S756" si="130">SUM(L736:L755)</f>
        <v>20985000</v>
      </c>
      <c r="M756" s="342">
        <f t="shared" si="130"/>
        <v>0</v>
      </c>
      <c r="N756" s="342">
        <f t="shared" si="130"/>
        <v>911601296</v>
      </c>
      <c r="O756" s="342">
        <f t="shared" si="130"/>
        <v>851391175.76250005</v>
      </c>
      <c r="P756" s="342">
        <f t="shared" si="130"/>
        <v>40907936.083333313</v>
      </c>
      <c r="Q756" s="342">
        <f t="shared" si="130"/>
        <v>0</v>
      </c>
      <c r="R756" s="342">
        <f>SUM(R736:R755)</f>
        <v>892299111.8458333</v>
      </c>
      <c r="S756" s="342">
        <f t="shared" si="130"/>
        <v>19302184.154166684</v>
      </c>
    </row>
    <row r="757" spans="1:19" ht="15.75" customHeight="1">
      <c r="A757" s="266" t="s">
        <v>935</v>
      </c>
      <c r="D757" s="309"/>
      <c r="E757" s="1235" t="s">
        <v>1041</v>
      </c>
      <c r="F757" s="1236"/>
      <c r="G757" s="1236"/>
      <c r="H757" s="1236"/>
      <c r="I757" s="1236"/>
      <c r="J757" s="1237"/>
      <c r="K757" s="342">
        <f>K733+K756</f>
        <v>1086956296</v>
      </c>
      <c r="L757" s="342">
        <f t="shared" ref="L757:S757" si="131">L733+L756</f>
        <v>61355000</v>
      </c>
      <c r="M757" s="342">
        <f t="shared" si="131"/>
        <v>0</v>
      </c>
      <c r="N757" s="342">
        <f t="shared" si="131"/>
        <v>1148311296</v>
      </c>
      <c r="O757" s="342">
        <f t="shared" si="131"/>
        <v>981429925.0958333</v>
      </c>
      <c r="P757" s="342">
        <f t="shared" si="131"/>
        <v>82813748.583333254</v>
      </c>
      <c r="Q757" s="342">
        <f t="shared" si="131"/>
        <v>0</v>
      </c>
      <c r="R757" s="342">
        <f t="shared" si="131"/>
        <v>1064243673.6791666</v>
      </c>
      <c r="S757" s="342">
        <f t="shared" si="131"/>
        <v>84067622.320833445</v>
      </c>
    </row>
    <row r="758" spans="1:19" ht="15.75" customHeight="1">
      <c r="D758" s="387"/>
      <c r="E758" s="324"/>
      <c r="F758" s="330"/>
      <c r="G758" s="370"/>
      <c r="H758" s="362"/>
      <c r="I758" s="363"/>
      <c r="J758" s="393"/>
      <c r="K758" s="562"/>
      <c r="L758" s="562"/>
      <c r="M758" s="562"/>
      <c r="N758" s="562"/>
      <c r="O758" s="562"/>
      <c r="P758" s="562"/>
      <c r="Q758" s="562"/>
      <c r="R758" s="562"/>
      <c r="S758" s="562"/>
    </row>
    <row r="759" spans="1:19" s="317" customFormat="1" ht="15.75" customHeight="1">
      <c r="A759" s="266" t="s">
        <v>938</v>
      </c>
      <c r="B759" s="266"/>
      <c r="C759" s="266"/>
      <c r="D759" s="387"/>
      <c r="E759" s="316" t="s">
        <v>1042</v>
      </c>
      <c r="F759" s="317" t="s">
        <v>820</v>
      </c>
      <c r="G759" s="604"/>
      <c r="H759" s="375"/>
      <c r="I759" s="373"/>
      <c r="J759" s="377"/>
      <c r="K759" s="605"/>
      <c r="L759" s="605"/>
      <c r="M759" s="605"/>
      <c r="N759" s="605"/>
      <c r="O759" s="605"/>
      <c r="P759" s="605"/>
      <c r="Q759" s="605"/>
      <c r="R759" s="605"/>
      <c r="S759" s="605"/>
    </row>
    <row r="760" spans="1:19" ht="15.75" customHeight="1">
      <c r="A760" s="266" t="s">
        <v>938</v>
      </c>
      <c r="D760" s="357"/>
      <c r="E760" s="301"/>
      <c r="F760" s="606" t="s">
        <v>1043</v>
      </c>
      <c r="G760" s="261" t="s">
        <v>236</v>
      </c>
      <c r="H760" s="312"/>
      <c r="I760" s="537"/>
      <c r="J760" s="393"/>
      <c r="K760" s="358"/>
      <c r="L760" s="358"/>
      <c r="M760" s="358"/>
      <c r="N760" s="358"/>
      <c r="O760" s="358"/>
      <c r="P760" s="358"/>
      <c r="Q760" s="358"/>
      <c r="R760" s="358"/>
      <c r="S760" s="358"/>
    </row>
    <row r="761" spans="1:19" ht="15.75" customHeight="1">
      <c r="A761" s="266" t="s">
        <v>938</v>
      </c>
      <c r="D761" s="309"/>
      <c r="E761" s="316"/>
      <c r="F761" s="606"/>
      <c r="G761" s="588"/>
      <c r="H761" s="590" t="s">
        <v>821</v>
      </c>
      <c r="I761" s="363">
        <v>2006</v>
      </c>
      <c r="J761" s="393">
        <v>0.25</v>
      </c>
      <c r="K761" s="329">
        <v>11300000</v>
      </c>
      <c r="L761" s="329">
        <v>0</v>
      </c>
      <c r="M761" s="329">
        <v>0</v>
      </c>
      <c r="N761" s="329">
        <f t="shared" ref="N761:N783" si="132">K761+L761-M761</f>
        <v>11300000</v>
      </c>
      <c r="O761" s="329">
        <v>8475000</v>
      </c>
      <c r="P761" s="333">
        <v>0</v>
      </c>
      <c r="Q761" s="329">
        <v>0</v>
      </c>
      <c r="R761" s="329">
        <f t="shared" ref="R761:R783" si="133">O761+P761-Q761</f>
        <v>8475000</v>
      </c>
      <c r="S761" s="333">
        <f t="shared" ref="S761:S783" si="134">N761-R761</f>
        <v>2825000</v>
      </c>
    </row>
    <row r="762" spans="1:19" ht="15.75" customHeight="1">
      <c r="A762" s="266" t="s">
        <v>938</v>
      </c>
      <c r="D762" s="309"/>
      <c r="E762" s="316"/>
      <c r="F762" s="606"/>
      <c r="G762" s="588"/>
      <c r="H762" s="590" t="s">
        <v>822</v>
      </c>
      <c r="I762" s="363">
        <v>2006</v>
      </c>
      <c r="J762" s="393">
        <v>0.25</v>
      </c>
      <c r="K762" s="329">
        <v>8000000</v>
      </c>
      <c r="L762" s="329">
        <v>0</v>
      </c>
      <c r="M762" s="329">
        <v>0</v>
      </c>
      <c r="N762" s="329">
        <f t="shared" si="132"/>
        <v>8000000</v>
      </c>
      <c r="O762" s="329">
        <v>6000000</v>
      </c>
      <c r="P762" s="333">
        <v>0</v>
      </c>
      <c r="Q762" s="329">
        <v>0</v>
      </c>
      <c r="R762" s="329">
        <f t="shared" si="133"/>
        <v>6000000</v>
      </c>
      <c r="S762" s="333">
        <f t="shared" si="134"/>
        <v>2000000</v>
      </c>
    </row>
    <row r="763" spans="1:19" ht="15.75" customHeight="1">
      <c r="A763" s="266" t="s">
        <v>938</v>
      </c>
      <c r="D763" s="309"/>
      <c r="E763" s="316"/>
      <c r="F763" s="606"/>
      <c r="G763" s="588"/>
      <c r="H763" s="590" t="s">
        <v>823</v>
      </c>
      <c r="I763" s="363">
        <v>2012</v>
      </c>
      <c r="J763" s="393">
        <v>0.25</v>
      </c>
      <c r="K763" s="329">
        <v>4700000</v>
      </c>
      <c r="L763" s="329">
        <v>0</v>
      </c>
      <c r="M763" s="329">
        <v>0</v>
      </c>
      <c r="N763" s="329">
        <f t="shared" si="132"/>
        <v>4700000</v>
      </c>
      <c r="O763" s="329">
        <v>3525000</v>
      </c>
      <c r="P763" s="333">
        <v>0</v>
      </c>
      <c r="Q763" s="329">
        <v>0</v>
      </c>
      <c r="R763" s="329">
        <f t="shared" si="133"/>
        <v>3525000</v>
      </c>
      <c r="S763" s="333">
        <f t="shared" si="134"/>
        <v>1175000</v>
      </c>
    </row>
    <row r="764" spans="1:19" ht="15.75" customHeight="1">
      <c r="A764" s="266" t="s">
        <v>938</v>
      </c>
      <c r="D764" s="309"/>
      <c r="E764" s="316"/>
      <c r="F764" s="606"/>
      <c r="G764" s="588"/>
      <c r="H764" s="590" t="s">
        <v>824</v>
      </c>
      <c r="I764" s="363">
        <v>2013</v>
      </c>
      <c r="J764" s="393">
        <v>0.25</v>
      </c>
      <c r="K764" s="329">
        <v>4700000</v>
      </c>
      <c r="L764" s="329">
        <v>0</v>
      </c>
      <c r="M764" s="329">
        <v>0</v>
      </c>
      <c r="N764" s="329">
        <f t="shared" si="132"/>
        <v>4700000</v>
      </c>
      <c r="O764" s="329">
        <v>3525000</v>
      </c>
      <c r="P764" s="333">
        <v>0</v>
      </c>
      <c r="Q764" s="329">
        <v>0</v>
      </c>
      <c r="R764" s="329">
        <f t="shared" si="133"/>
        <v>3525000</v>
      </c>
      <c r="S764" s="333">
        <f t="shared" si="134"/>
        <v>1175000</v>
      </c>
    </row>
    <row r="765" spans="1:19" ht="15.75" customHeight="1">
      <c r="A765" s="266" t="s">
        <v>938</v>
      </c>
      <c r="D765" s="309"/>
      <c r="E765" s="316"/>
      <c r="F765" s="606"/>
      <c r="G765" s="588"/>
      <c r="H765" s="590" t="s">
        <v>825</v>
      </c>
      <c r="I765" s="363">
        <v>2014</v>
      </c>
      <c r="J765" s="393">
        <v>0.25</v>
      </c>
      <c r="K765" s="329">
        <v>4200000</v>
      </c>
      <c r="L765" s="329">
        <v>0</v>
      </c>
      <c r="M765" s="329">
        <v>0</v>
      </c>
      <c r="N765" s="329">
        <f t="shared" si="132"/>
        <v>4200000</v>
      </c>
      <c r="O765" s="329">
        <v>3150000</v>
      </c>
      <c r="P765" s="333">
        <v>0</v>
      </c>
      <c r="Q765" s="329">
        <v>0</v>
      </c>
      <c r="R765" s="329">
        <f t="shared" si="133"/>
        <v>3150000</v>
      </c>
      <c r="S765" s="333">
        <f t="shared" si="134"/>
        <v>1050000</v>
      </c>
    </row>
    <row r="766" spans="1:19" ht="15.75" customHeight="1">
      <c r="A766" s="266" t="s">
        <v>938</v>
      </c>
      <c r="B766" s="266">
        <v>1</v>
      </c>
      <c r="C766" s="266">
        <v>1</v>
      </c>
      <c r="D766" s="309"/>
      <c r="E766" s="316"/>
      <c r="F766" s="606"/>
      <c r="G766" s="588"/>
      <c r="H766" s="590" t="s">
        <v>826</v>
      </c>
      <c r="I766" s="363">
        <v>2015</v>
      </c>
      <c r="J766" s="393">
        <v>0.25</v>
      </c>
      <c r="K766" s="329">
        <v>5100000</v>
      </c>
      <c r="L766" s="329">
        <v>0</v>
      </c>
      <c r="M766" s="329">
        <v>0</v>
      </c>
      <c r="N766" s="329">
        <f t="shared" si="132"/>
        <v>5100000</v>
      </c>
      <c r="O766" s="329">
        <v>5098125</v>
      </c>
      <c r="P766" s="333">
        <v>0</v>
      </c>
      <c r="Q766" s="329">
        <v>0</v>
      </c>
      <c r="R766" s="329">
        <f t="shared" si="133"/>
        <v>5098125</v>
      </c>
      <c r="S766" s="333">
        <f t="shared" si="134"/>
        <v>1875</v>
      </c>
    </row>
    <row r="767" spans="1:19" ht="15.75" customHeight="1">
      <c r="A767" s="266" t="s">
        <v>938</v>
      </c>
      <c r="B767" s="266">
        <v>2</v>
      </c>
      <c r="C767" s="266">
        <v>2</v>
      </c>
      <c r="D767" s="309"/>
      <c r="E767" s="316"/>
      <c r="F767" s="606"/>
      <c r="G767" s="588"/>
      <c r="H767" s="590" t="s">
        <v>827</v>
      </c>
      <c r="I767" s="363">
        <v>2015</v>
      </c>
      <c r="J767" s="393">
        <v>0.25</v>
      </c>
      <c r="K767" s="329">
        <v>3713000</v>
      </c>
      <c r="L767" s="329">
        <v>0</v>
      </c>
      <c r="M767" s="329">
        <v>0</v>
      </c>
      <c r="N767" s="329">
        <f t="shared" si="132"/>
        <v>3713000</v>
      </c>
      <c r="O767" s="329">
        <v>3465466.666666667</v>
      </c>
      <c r="P767" s="333">
        <v>0</v>
      </c>
      <c r="Q767" s="329">
        <v>0</v>
      </c>
      <c r="R767" s="329">
        <f t="shared" si="133"/>
        <v>3465466.666666667</v>
      </c>
      <c r="S767" s="333">
        <f t="shared" si="134"/>
        <v>247533.33333333302</v>
      </c>
    </row>
    <row r="768" spans="1:19" ht="15.75" customHeight="1">
      <c r="D768" s="309"/>
      <c r="E768" s="316"/>
      <c r="F768" s="606"/>
      <c r="G768" s="588"/>
      <c r="H768" s="590" t="s">
        <v>828</v>
      </c>
      <c r="I768" s="363">
        <v>2015</v>
      </c>
      <c r="J768" s="393">
        <v>0.25</v>
      </c>
      <c r="K768" s="329">
        <v>530000</v>
      </c>
      <c r="L768" s="329">
        <v>0</v>
      </c>
      <c r="M768" s="329">
        <v>0</v>
      </c>
      <c r="N768" s="329">
        <f t="shared" si="132"/>
        <v>530000</v>
      </c>
      <c r="O768" s="329">
        <v>494666.66666666674</v>
      </c>
      <c r="P768" s="333">
        <v>0</v>
      </c>
      <c r="Q768" s="329">
        <v>0</v>
      </c>
      <c r="R768" s="329">
        <f t="shared" si="133"/>
        <v>494666.66666666674</v>
      </c>
      <c r="S768" s="333">
        <f t="shared" si="134"/>
        <v>35333.333333333256</v>
      </c>
    </row>
    <row r="769" spans="1:19" ht="15.75" customHeight="1">
      <c r="A769" s="266" t="s">
        <v>938</v>
      </c>
      <c r="B769" s="266">
        <v>3</v>
      </c>
      <c r="C769" s="266">
        <v>3</v>
      </c>
      <c r="D769" s="309"/>
      <c r="E769" s="316"/>
      <c r="F769" s="606"/>
      <c r="G769" s="588"/>
      <c r="H769" s="590" t="s">
        <v>829</v>
      </c>
      <c r="I769" s="363">
        <v>2015</v>
      </c>
      <c r="J769" s="393">
        <v>0.25</v>
      </c>
      <c r="K769" s="329">
        <v>525000</v>
      </c>
      <c r="L769" s="329">
        <v>0</v>
      </c>
      <c r="M769" s="329">
        <v>0</v>
      </c>
      <c r="N769" s="329">
        <f t="shared" si="132"/>
        <v>525000</v>
      </c>
      <c r="O769" s="329">
        <v>481250</v>
      </c>
      <c r="P769" s="333">
        <v>0</v>
      </c>
      <c r="Q769" s="329">
        <v>0</v>
      </c>
      <c r="R769" s="329">
        <f t="shared" si="133"/>
        <v>481250</v>
      </c>
      <c r="S769" s="333">
        <f t="shared" si="134"/>
        <v>43750</v>
      </c>
    </row>
    <row r="770" spans="1:19" ht="15.75" customHeight="1">
      <c r="A770" s="266" t="s">
        <v>938</v>
      </c>
      <c r="B770" s="266">
        <v>4</v>
      </c>
      <c r="C770" s="266">
        <v>4</v>
      </c>
      <c r="D770" s="309"/>
      <c r="E770" s="316"/>
      <c r="F770" s="606"/>
      <c r="G770" s="588"/>
      <c r="H770" s="590" t="s">
        <v>830</v>
      </c>
      <c r="I770" s="363">
        <v>2015</v>
      </c>
      <c r="J770" s="393">
        <v>0.25</v>
      </c>
      <c r="K770" s="329">
        <v>2970000</v>
      </c>
      <c r="L770" s="329">
        <v>0</v>
      </c>
      <c r="M770" s="329">
        <v>0</v>
      </c>
      <c r="N770" s="329">
        <f t="shared" si="132"/>
        <v>2970000</v>
      </c>
      <c r="O770" s="329">
        <v>2673000</v>
      </c>
      <c r="P770" s="333">
        <v>0</v>
      </c>
      <c r="Q770" s="329">
        <v>0</v>
      </c>
      <c r="R770" s="329">
        <f t="shared" si="133"/>
        <v>2673000</v>
      </c>
      <c r="S770" s="333">
        <f t="shared" si="134"/>
        <v>297000</v>
      </c>
    </row>
    <row r="771" spans="1:19" ht="15.75" customHeight="1">
      <c r="A771" s="266" t="s">
        <v>938</v>
      </c>
      <c r="B771" s="266">
        <v>4</v>
      </c>
      <c r="C771" s="266">
        <v>4</v>
      </c>
      <c r="D771" s="309"/>
      <c r="E771" s="316"/>
      <c r="F771" s="606"/>
      <c r="G771" s="588"/>
      <c r="H771" s="590" t="s">
        <v>831</v>
      </c>
      <c r="I771" s="363">
        <v>2015</v>
      </c>
      <c r="J771" s="393">
        <v>0.25</v>
      </c>
      <c r="K771" s="329">
        <v>565000</v>
      </c>
      <c r="L771" s="329">
        <v>0</v>
      </c>
      <c r="M771" s="329">
        <v>0</v>
      </c>
      <c r="N771" s="329">
        <f t="shared" si="132"/>
        <v>565000</v>
      </c>
      <c r="O771" s="329">
        <v>508500</v>
      </c>
      <c r="P771" s="333">
        <v>0</v>
      </c>
      <c r="Q771" s="329">
        <v>0</v>
      </c>
      <c r="R771" s="329">
        <f t="shared" si="133"/>
        <v>508500</v>
      </c>
      <c r="S771" s="333">
        <f t="shared" si="134"/>
        <v>56500</v>
      </c>
    </row>
    <row r="772" spans="1:19" ht="15.75" customHeight="1">
      <c r="A772" s="266" t="s">
        <v>938</v>
      </c>
      <c r="B772" s="266">
        <v>4</v>
      </c>
      <c r="C772" s="266">
        <v>4</v>
      </c>
      <c r="D772" s="309"/>
      <c r="E772" s="316"/>
      <c r="F772" s="606"/>
      <c r="G772" s="588"/>
      <c r="H772" s="590" t="s">
        <v>826</v>
      </c>
      <c r="I772" s="363">
        <v>2016</v>
      </c>
      <c r="J772" s="393">
        <v>0.25</v>
      </c>
      <c r="K772" s="329">
        <v>3350000</v>
      </c>
      <c r="L772" s="329">
        <v>0</v>
      </c>
      <c r="M772" s="329">
        <v>0</v>
      </c>
      <c r="N772" s="329">
        <f t="shared" si="132"/>
        <v>3350000</v>
      </c>
      <c r="O772" s="329">
        <v>2093750</v>
      </c>
      <c r="P772" s="333">
        <v>0</v>
      </c>
      <c r="Q772" s="329">
        <v>0</v>
      </c>
      <c r="R772" s="329">
        <f t="shared" si="133"/>
        <v>2093750</v>
      </c>
      <c r="S772" s="333">
        <f t="shared" si="134"/>
        <v>1256250</v>
      </c>
    </row>
    <row r="773" spans="1:19" ht="15.75" customHeight="1">
      <c r="A773" s="266" t="s">
        <v>938</v>
      </c>
      <c r="B773" s="266">
        <v>4</v>
      </c>
      <c r="C773" s="266">
        <v>4</v>
      </c>
      <c r="D773" s="309"/>
      <c r="E773" s="316"/>
      <c r="F773" s="606"/>
      <c r="G773" s="454"/>
      <c r="H773" s="584" t="s">
        <v>832</v>
      </c>
      <c r="I773" s="363">
        <v>2016</v>
      </c>
      <c r="J773" s="393">
        <v>0.25</v>
      </c>
      <c r="K773" s="333">
        <v>5900000</v>
      </c>
      <c r="L773" s="333">
        <v>0</v>
      </c>
      <c r="M773" s="333">
        <v>0</v>
      </c>
      <c r="N773" s="329">
        <f t="shared" si="132"/>
        <v>5900000</v>
      </c>
      <c r="O773" s="333">
        <v>3441666.666666667</v>
      </c>
      <c r="P773" s="333">
        <v>0</v>
      </c>
      <c r="Q773" s="333">
        <v>0</v>
      </c>
      <c r="R773" s="329">
        <f t="shared" si="133"/>
        <v>3441666.666666667</v>
      </c>
      <c r="S773" s="333">
        <f t="shared" si="134"/>
        <v>2458333.333333333</v>
      </c>
    </row>
    <row r="774" spans="1:19" ht="15.75" customHeight="1">
      <c r="A774" s="266" t="s">
        <v>938</v>
      </c>
      <c r="B774" s="266">
        <v>4</v>
      </c>
      <c r="C774" s="266">
        <v>4</v>
      </c>
      <c r="D774" s="309"/>
      <c r="E774" s="316"/>
      <c r="F774" s="316"/>
      <c r="G774" s="454"/>
      <c r="H774" s="607" t="s">
        <v>833</v>
      </c>
      <c r="I774" s="363">
        <v>2016</v>
      </c>
      <c r="J774" s="393">
        <v>0.25</v>
      </c>
      <c r="K774" s="333">
        <v>5400000</v>
      </c>
      <c r="L774" s="333">
        <v>0</v>
      </c>
      <c r="M774" s="333">
        <v>0</v>
      </c>
      <c r="N774" s="329">
        <f t="shared" si="132"/>
        <v>5400000</v>
      </c>
      <c r="O774" s="333">
        <v>3037500</v>
      </c>
      <c r="P774" s="333">
        <v>0</v>
      </c>
      <c r="Q774" s="333">
        <v>0</v>
      </c>
      <c r="R774" s="329">
        <f t="shared" si="133"/>
        <v>3037500</v>
      </c>
      <c r="S774" s="333">
        <f t="shared" si="134"/>
        <v>2362500</v>
      </c>
    </row>
    <row r="775" spans="1:19" ht="15.75" customHeight="1">
      <c r="D775" s="309"/>
      <c r="E775" s="316"/>
      <c r="F775" s="316"/>
      <c r="G775" s="454"/>
      <c r="H775" s="607" t="s">
        <v>834</v>
      </c>
      <c r="I775" s="257">
        <v>2017</v>
      </c>
      <c r="J775" s="393">
        <v>0.25</v>
      </c>
      <c r="K775" s="333">
        <v>5510000</v>
      </c>
      <c r="L775" s="333">
        <v>0</v>
      </c>
      <c r="M775" s="333">
        <v>0</v>
      </c>
      <c r="N775" s="329">
        <f t="shared" si="132"/>
        <v>5510000</v>
      </c>
      <c r="O775" s="333">
        <v>2410625</v>
      </c>
      <c r="P775" s="333">
        <v>0</v>
      </c>
      <c r="Q775" s="333">
        <v>0</v>
      </c>
      <c r="R775" s="329">
        <f t="shared" si="133"/>
        <v>2410625</v>
      </c>
      <c r="S775" s="333">
        <f t="shared" si="134"/>
        <v>3099375</v>
      </c>
    </row>
    <row r="776" spans="1:19" ht="15.75" customHeight="1">
      <c r="D776" s="309"/>
      <c r="E776" s="316"/>
      <c r="F776" s="316"/>
      <c r="G776" s="454"/>
      <c r="H776" s="607" t="s">
        <v>835</v>
      </c>
      <c r="I776" s="257">
        <v>2017</v>
      </c>
      <c r="J776" s="393">
        <v>0.25</v>
      </c>
      <c r="K776" s="333">
        <v>34963500</v>
      </c>
      <c r="L776" s="333">
        <v>0</v>
      </c>
      <c r="M776" s="333">
        <v>0</v>
      </c>
      <c r="N776" s="329">
        <f t="shared" si="132"/>
        <v>34963500</v>
      </c>
      <c r="O776" s="333">
        <v>10197687.5</v>
      </c>
      <c r="P776" s="333">
        <v>0</v>
      </c>
      <c r="Q776" s="333">
        <v>0</v>
      </c>
      <c r="R776" s="329">
        <f t="shared" si="133"/>
        <v>10197687.5</v>
      </c>
      <c r="S776" s="333">
        <f t="shared" si="134"/>
        <v>24765812.5</v>
      </c>
    </row>
    <row r="777" spans="1:19" ht="15.75" customHeight="1">
      <c r="D777" s="309"/>
      <c r="E777" s="316"/>
      <c r="F777" s="316"/>
      <c r="G777" s="454"/>
      <c r="H777" s="607" t="s">
        <v>836</v>
      </c>
      <c r="I777" s="258" t="s">
        <v>690</v>
      </c>
      <c r="J777" s="393">
        <v>0.25</v>
      </c>
      <c r="K777" s="333">
        <v>14500000</v>
      </c>
      <c r="L777" s="333">
        <v>0</v>
      </c>
      <c r="M777" s="333">
        <v>0</v>
      </c>
      <c r="N777" s="329">
        <f t="shared" si="132"/>
        <v>14500000</v>
      </c>
      <c r="O777" s="333">
        <v>2718750</v>
      </c>
      <c r="P777" s="333">
        <v>0</v>
      </c>
      <c r="Q777" s="333">
        <v>0</v>
      </c>
      <c r="R777" s="329">
        <f t="shared" si="133"/>
        <v>2718750</v>
      </c>
      <c r="S777" s="333">
        <f t="shared" si="134"/>
        <v>11781250</v>
      </c>
    </row>
    <row r="778" spans="1:19" ht="15.75" customHeight="1">
      <c r="D778" s="309"/>
      <c r="E778" s="316"/>
      <c r="F778" s="316"/>
      <c r="G778" s="454"/>
      <c r="H778" s="607" t="s">
        <v>837</v>
      </c>
      <c r="I778" s="258" t="s">
        <v>690</v>
      </c>
      <c r="J778" s="393">
        <v>0.25</v>
      </c>
      <c r="K778" s="333">
        <v>7425000</v>
      </c>
      <c r="L778" s="333">
        <v>0</v>
      </c>
      <c r="M778" s="333">
        <v>0</v>
      </c>
      <c r="N778" s="329">
        <f t="shared" si="132"/>
        <v>7425000</v>
      </c>
      <c r="O778" s="333">
        <v>1392187.5</v>
      </c>
      <c r="P778" s="333">
        <v>0</v>
      </c>
      <c r="Q778" s="333">
        <v>0</v>
      </c>
      <c r="R778" s="329">
        <f t="shared" si="133"/>
        <v>1392187.5</v>
      </c>
      <c r="S778" s="333">
        <f t="shared" si="134"/>
        <v>6032812.5</v>
      </c>
    </row>
    <row r="779" spans="1:19" ht="15.75" customHeight="1">
      <c r="D779" s="309"/>
      <c r="E779" s="316"/>
      <c r="F779" s="316"/>
      <c r="G779" s="454"/>
      <c r="H779" s="607" t="s">
        <v>838</v>
      </c>
      <c r="I779" s="258" t="s">
        <v>690</v>
      </c>
      <c r="J779" s="393">
        <v>0.25</v>
      </c>
      <c r="K779" s="333">
        <v>2930000</v>
      </c>
      <c r="L779" s="333">
        <v>0</v>
      </c>
      <c r="M779" s="333">
        <v>0</v>
      </c>
      <c r="N779" s="329">
        <f t="shared" si="132"/>
        <v>2930000</v>
      </c>
      <c r="O779" s="333">
        <v>549375</v>
      </c>
      <c r="P779" s="333">
        <v>0</v>
      </c>
      <c r="Q779" s="333">
        <v>0</v>
      </c>
      <c r="R779" s="329">
        <f t="shared" si="133"/>
        <v>549375</v>
      </c>
      <c r="S779" s="333">
        <f t="shared" si="134"/>
        <v>2380625</v>
      </c>
    </row>
    <row r="780" spans="1:19" ht="15.75" customHeight="1">
      <c r="D780" s="309"/>
      <c r="E780" s="316"/>
      <c r="F780" s="316"/>
      <c r="G780" s="454"/>
      <c r="H780" s="607" t="s">
        <v>837</v>
      </c>
      <c r="I780" s="258" t="s">
        <v>691</v>
      </c>
      <c r="J780" s="393">
        <v>0.25</v>
      </c>
      <c r="K780" s="333">
        <v>6125000</v>
      </c>
      <c r="L780" s="333">
        <v>0</v>
      </c>
      <c r="M780" s="333">
        <v>0</v>
      </c>
      <c r="N780" s="329">
        <f t="shared" si="132"/>
        <v>6125000</v>
      </c>
      <c r="O780" s="333">
        <v>1020833.3333333333</v>
      </c>
      <c r="P780" s="333">
        <v>0</v>
      </c>
      <c r="Q780" s="333">
        <v>0</v>
      </c>
      <c r="R780" s="329">
        <f t="shared" si="133"/>
        <v>1020833.3333333333</v>
      </c>
      <c r="S780" s="333">
        <f t="shared" si="134"/>
        <v>5104166.666666667</v>
      </c>
    </row>
    <row r="781" spans="1:19" ht="15.75" customHeight="1">
      <c r="D781" s="309"/>
      <c r="E781" s="316"/>
      <c r="F781" s="316"/>
      <c r="G781" s="454"/>
      <c r="H781" s="607" t="s">
        <v>826</v>
      </c>
      <c r="I781" s="258" t="s">
        <v>840</v>
      </c>
      <c r="J781" s="393">
        <v>0.25</v>
      </c>
      <c r="K781" s="333">
        <v>3200000</v>
      </c>
      <c r="L781" s="333">
        <v>0</v>
      </c>
      <c r="M781" s="333">
        <v>0</v>
      </c>
      <c r="N781" s="329">
        <f t="shared" si="132"/>
        <v>3200000</v>
      </c>
      <c r="O781" s="333">
        <v>466666.66666666674</v>
      </c>
      <c r="P781" s="333">
        <v>0</v>
      </c>
      <c r="Q781" s="333">
        <v>0</v>
      </c>
      <c r="R781" s="329">
        <f t="shared" si="133"/>
        <v>466666.66666666674</v>
      </c>
      <c r="S781" s="333">
        <f t="shared" si="134"/>
        <v>2733333.333333333</v>
      </c>
    </row>
    <row r="782" spans="1:19" ht="15.75" customHeight="1">
      <c r="D782" s="309"/>
      <c r="E782" s="316"/>
      <c r="F782" s="316"/>
      <c r="G782" s="589"/>
      <c r="H782" s="608" t="s">
        <v>839</v>
      </c>
      <c r="I782" s="259" t="s">
        <v>694</v>
      </c>
      <c r="J782" s="377">
        <v>0.25</v>
      </c>
      <c r="K782" s="329">
        <v>7030000</v>
      </c>
      <c r="L782" s="329">
        <v>0</v>
      </c>
      <c r="M782" s="329">
        <v>0</v>
      </c>
      <c r="N782" s="329">
        <f t="shared" si="132"/>
        <v>7030000</v>
      </c>
      <c r="O782" s="329">
        <v>585833.33333333337</v>
      </c>
      <c r="P782" s="329">
        <v>0</v>
      </c>
      <c r="Q782" s="329">
        <v>0</v>
      </c>
      <c r="R782" s="329">
        <f t="shared" si="133"/>
        <v>585833.33333333337</v>
      </c>
      <c r="S782" s="329">
        <f t="shared" si="134"/>
        <v>6444166.666666667</v>
      </c>
    </row>
    <row r="783" spans="1:19" ht="15.75" customHeight="1">
      <c r="D783" s="309"/>
      <c r="E783" s="316"/>
      <c r="F783" s="316"/>
      <c r="G783" s="455"/>
      <c r="H783" s="608" t="s">
        <v>835</v>
      </c>
      <c r="I783" s="260" t="s">
        <v>841</v>
      </c>
      <c r="J783" s="609">
        <v>0.25</v>
      </c>
      <c r="K783" s="339">
        <v>4000000</v>
      </c>
      <c r="L783" s="339"/>
      <c r="M783" s="339">
        <v>0</v>
      </c>
      <c r="N783" s="339">
        <f t="shared" si="132"/>
        <v>4000000</v>
      </c>
      <c r="O783" s="339">
        <v>0</v>
      </c>
      <c r="P783" s="339">
        <v>0</v>
      </c>
      <c r="Q783" s="339">
        <v>0</v>
      </c>
      <c r="R783" s="339">
        <f t="shared" si="133"/>
        <v>0</v>
      </c>
      <c r="S783" s="339">
        <f t="shared" si="134"/>
        <v>4000000</v>
      </c>
    </row>
    <row r="784" spans="1:19" ht="15.75" customHeight="1">
      <c r="A784" s="266" t="s">
        <v>938</v>
      </c>
      <c r="D784" s="309"/>
      <c r="E784" s="316"/>
      <c r="F784" s="1235" t="s">
        <v>1038</v>
      </c>
      <c r="G784" s="1236"/>
      <c r="H784" s="1237"/>
      <c r="I784" s="594"/>
      <c r="J784" s="595"/>
      <c r="K784" s="342">
        <f>SUM(K761:K783)</f>
        <v>146636500</v>
      </c>
      <c r="L784" s="342">
        <f t="shared" ref="L784:S784" si="135">SUM(L761:L783)</f>
        <v>0</v>
      </c>
      <c r="M784" s="342">
        <f t="shared" si="135"/>
        <v>0</v>
      </c>
      <c r="N784" s="342">
        <f t="shared" si="135"/>
        <v>146636500</v>
      </c>
      <c r="O784" s="342">
        <f t="shared" si="135"/>
        <v>65310883.333333336</v>
      </c>
      <c r="P784" s="342">
        <f t="shared" si="135"/>
        <v>0</v>
      </c>
      <c r="Q784" s="342">
        <f t="shared" si="135"/>
        <v>0</v>
      </c>
      <c r="R784" s="342">
        <f t="shared" si="135"/>
        <v>65310883.333333336</v>
      </c>
      <c r="S784" s="342">
        <f t="shared" si="135"/>
        <v>81325616.666666672</v>
      </c>
    </row>
    <row r="785" spans="1:19" s="317" customFormat="1" ht="15.75" customHeight="1">
      <c r="A785" s="266" t="s">
        <v>938</v>
      </c>
      <c r="B785" s="266"/>
      <c r="C785" s="266"/>
      <c r="D785" s="387"/>
      <c r="E785" s="324"/>
      <c r="F785" s="610"/>
      <c r="G785" s="371"/>
      <c r="H785" s="372"/>
      <c r="I785" s="611"/>
      <c r="J785" s="377"/>
      <c r="K785" s="605"/>
      <c r="L785" s="605"/>
      <c r="M785" s="605"/>
      <c r="N785" s="605"/>
      <c r="O785" s="605"/>
      <c r="P785" s="605"/>
      <c r="Q785" s="605"/>
      <c r="R785" s="605"/>
      <c r="S785" s="605"/>
    </row>
    <row r="786" spans="1:19" ht="15.75" customHeight="1">
      <c r="A786" s="266" t="s">
        <v>938</v>
      </c>
      <c r="D786" s="357"/>
      <c r="E786" s="301"/>
      <c r="F786" s="612" t="s">
        <v>1044</v>
      </c>
      <c r="G786" s="341" t="s">
        <v>842</v>
      </c>
      <c r="H786" s="613"/>
      <c r="I786" s="614"/>
      <c r="J786" s="595"/>
      <c r="K786" s="342"/>
      <c r="L786" s="342"/>
      <c r="M786" s="342"/>
      <c r="N786" s="342"/>
      <c r="O786" s="342"/>
      <c r="P786" s="342"/>
      <c r="Q786" s="342"/>
      <c r="R786" s="342"/>
      <c r="S786" s="342"/>
    </row>
    <row r="787" spans="1:19" ht="15.75" customHeight="1">
      <c r="A787" s="266" t="s">
        <v>938</v>
      </c>
      <c r="B787" s="266">
        <v>4</v>
      </c>
      <c r="C787" s="266">
        <v>4</v>
      </c>
      <c r="D787" s="309"/>
      <c r="E787" s="316"/>
      <c r="F787" s="606"/>
      <c r="G787" s="585"/>
      <c r="H787" s="270" t="s">
        <v>843</v>
      </c>
      <c r="I787" s="615">
        <v>2015</v>
      </c>
      <c r="J787" s="396">
        <v>0.25</v>
      </c>
      <c r="K787" s="348">
        <v>257000</v>
      </c>
      <c r="L787" s="348">
        <v>0</v>
      </c>
      <c r="M787" s="348">
        <v>0</v>
      </c>
      <c r="N787" s="329">
        <f>K787+L787-M787</f>
        <v>257000</v>
      </c>
      <c r="O787" s="348">
        <v>231300</v>
      </c>
      <c r="P787" s="333">
        <v>0</v>
      </c>
      <c r="Q787" s="348">
        <v>0</v>
      </c>
      <c r="R787" s="329">
        <f>O787+P787-Q787</f>
        <v>231300</v>
      </c>
      <c r="S787" s="333">
        <f>N787-R787</f>
        <v>25700</v>
      </c>
    </row>
    <row r="788" spans="1:19" ht="15.75" customHeight="1">
      <c r="A788" s="266" t="s">
        <v>938</v>
      </c>
      <c r="B788" s="266">
        <v>12</v>
      </c>
      <c r="C788" s="266">
        <v>12</v>
      </c>
      <c r="D788" s="309"/>
      <c r="E788" s="316"/>
      <c r="F788" s="606"/>
      <c r="G788" s="588"/>
      <c r="H788" s="590" t="s">
        <v>844</v>
      </c>
      <c r="I788" s="363">
        <v>2015</v>
      </c>
      <c r="J788" s="393">
        <v>0.25</v>
      </c>
      <c r="K788" s="329">
        <v>3700000</v>
      </c>
      <c r="L788" s="329">
        <v>0</v>
      </c>
      <c r="M788" s="329">
        <v>0</v>
      </c>
      <c r="N788" s="329">
        <f>K788+L788-M788</f>
        <v>3700000</v>
      </c>
      <c r="O788" s="329">
        <v>2836666.6666666665</v>
      </c>
      <c r="P788" s="333">
        <v>0</v>
      </c>
      <c r="Q788" s="329">
        <v>0</v>
      </c>
      <c r="R788" s="329">
        <f>O788+P788-Q788</f>
        <v>2836666.6666666665</v>
      </c>
      <c r="S788" s="333">
        <f>N788-R788</f>
        <v>863333.33333333349</v>
      </c>
    </row>
    <row r="789" spans="1:19" s="317" customFormat="1" ht="15.75" customHeight="1">
      <c r="A789" s="266" t="s">
        <v>938</v>
      </c>
      <c r="B789" s="266"/>
      <c r="C789" s="266"/>
      <c r="D789" s="309"/>
      <c r="E789" s="316"/>
      <c r="F789" s="1235" t="s">
        <v>1045</v>
      </c>
      <c r="G789" s="1236"/>
      <c r="H789" s="1237"/>
      <c r="I789" s="594"/>
      <c r="J789" s="595"/>
      <c r="K789" s="342">
        <f>SUM(K787:K788)</f>
        <v>3957000</v>
      </c>
      <c r="L789" s="342">
        <f t="shared" ref="L789:S789" si="136">SUM(L787:L788)</f>
        <v>0</v>
      </c>
      <c r="M789" s="342">
        <f t="shared" si="136"/>
        <v>0</v>
      </c>
      <c r="N789" s="342">
        <f t="shared" si="136"/>
        <v>3957000</v>
      </c>
      <c r="O789" s="342">
        <f t="shared" si="136"/>
        <v>3067966.6666666665</v>
      </c>
      <c r="P789" s="342">
        <f t="shared" si="136"/>
        <v>0</v>
      </c>
      <c r="Q789" s="342">
        <f t="shared" si="136"/>
        <v>0</v>
      </c>
      <c r="R789" s="342">
        <f t="shared" si="136"/>
        <v>3067966.6666666665</v>
      </c>
      <c r="S789" s="342">
        <f t="shared" si="136"/>
        <v>889033.33333333349</v>
      </c>
    </row>
    <row r="790" spans="1:19" s="317" customFormat="1" ht="15.75" customHeight="1">
      <c r="A790" s="266"/>
      <c r="B790" s="266"/>
      <c r="C790" s="266"/>
      <c r="D790" s="309"/>
      <c r="E790" s="316"/>
      <c r="F790" s="616" t="s">
        <v>1046</v>
      </c>
      <c r="G790" s="341" t="s">
        <v>845</v>
      </c>
      <c r="H790" s="341"/>
      <c r="I790" s="594"/>
      <c r="J790" s="617"/>
      <c r="K790" s="342"/>
      <c r="L790" s="342"/>
      <c r="M790" s="342"/>
      <c r="N790" s="342"/>
      <c r="O790" s="342"/>
      <c r="P790" s="342"/>
      <c r="Q790" s="342"/>
      <c r="R790" s="342"/>
      <c r="S790" s="342"/>
    </row>
    <row r="791" spans="1:19" s="317" customFormat="1" ht="15.75" customHeight="1">
      <c r="A791" s="266"/>
      <c r="B791" s="266"/>
      <c r="C791" s="266"/>
      <c r="D791" s="309"/>
      <c r="E791" s="316"/>
      <c r="F791" s="340"/>
      <c r="G791" s="341"/>
      <c r="H791" s="618" t="s">
        <v>411</v>
      </c>
      <c r="I791" s="594" t="s">
        <v>846</v>
      </c>
      <c r="J791" s="617">
        <v>0.25</v>
      </c>
      <c r="K791" s="619">
        <v>10200000</v>
      </c>
      <c r="L791" s="619">
        <v>0</v>
      </c>
      <c r="M791" s="619">
        <v>0</v>
      </c>
      <c r="N791" s="329">
        <f>K791+L791-M791</f>
        <v>10200000</v>
      </c>
      <c r="O791" s="329">
        <v>1062500</v>
      </c>
      <c r="P791" s="333">
        <v>0</v>
      </c>
      <c r="Q791" s="619">
        <v>0</v>
      </c>
      <c r="R791" s="329">
        <f>O791+P791-Q791</f>
        <v>1062500</v>
      </c>
      <c r="S791" s="333">
        <f>N791-R791</f>
        <v>9137500</v>
      </c>
    </row>
    <row r="792" spans="1:19" s="317" customFormat="1" ht="15.75" customHeight="1">
      <c r="A792" s="266"/>
      <c r="B792" s="266"/>
      <c r="C792" s="266"/>
      <c r="D792" s="309"/>
      <c r="E792" s="316"/>
      <c r="F792" s="341" t="s">
        <v>1047</v>
      </c>
      <c r="G792" s="341"/>
      <c r="H792" s="341"/>
      <c r="I792" s="594"/>
      <c r="J792" s="617"/>
      <c r="K792" s="342">
        <f>SUM(K791)</f>
        <v>10200000</v>
      </c>
      <c r="L792" s="342">
        <f t="shared" ref="L792:S792" si="137">SUM(L791)</f>
        <v>0</v>
      </c>
      <c r="M792" s="342">
        <f t="shared" si="137"/>
        <v>0</v>
      </c>
      <c r="N792" s="342">
        <f t="shared" si="137"/>
        <v>10200000</v>
      </c>
      <c r="O792" s="342">
        <f t="shared" si="137"/>
        <v>1062500</v>
      </c>
      <c r="P792" s="342">
        <f t="shared" si="137"/>
        <v>0</v>
      </c>
      <c r="Q792" s="342">
        <f t="shared" si="137"/>
        <v>0</v>
      </c>
      <c r="R792" s="342">
        <f t="shared" si="137"/>
        <v>1062500</v>
      </c>
      <c r="S792" s="342">
        <f t="shared" si="137"/>
        <v>9137500</v>
      </c>
    </row>
    <row r="793" spans="1:19" ht="15.75" customHeight="1">
      <c r="A793" s="266" t="s">
        <v>938</v>
      </c>
      <c r="D793" s="309"/>
      <c r="E793" s="1235" t="s">
        <v>1048</v>
      </c>
      <c r="F793" s="1236"/>
      <c r="G793" s="1236"/>
      <c r="H793" s="1236"/>
      <c r="I793" s="1236"/>
      <c r="J793" s="1237"/>
      <c r="K793" s="342">
        <f>K784+K789+K792</f>
        <v>160793500</v>
      </c>
      <c r="L793" s="342">
        <f t="shared" ref="L793:S793" si="138">L784+L789+L792</f>
        <v>0</v>
      </c>
      <c r="M793" s="342">
        <f t="shared" si="138"/>
        <v>0</v>
      </c>
      <c r="N793" s="342">
        <f t="shared" si="138"/>
        <v>160793500</v>
      </c>
      <c r="O793" s="342">
        <f t="shared" si="138"/>
        <v>69441350</v>
      </c>
      <c r="P793" s="342">
        <f t="shared" si="138"/>
        <v>0</v>
      </c>
      <c r="Q793" s="342">
        <f t="shared" si="138"/>
        <v>0</v>
      </c>
      <c r="R793" s="342">
        <f t="shared" si="138"/>
        <v>69441350</v>
      </c>
      <c r="S793" s="342">
        <f t="shared" si="138"/>
        <v>91352150</v>
      </c>
    </row>
    <row r="794" spans="1:19" ht="15.75" customHeight="1">
      <c r="D794" s="387"/>
      <c r="E794" s="324"/>
      <c r="F794" s="620"/>
      <c r="G794" s="370"/>
      <c r="H794" s="362"/>
      <c r="I794" s="363"/>
      <c r="J794" s="393"/>
      <c r="K794" s="562"/>
      <c r="L794" s="562"/>
      <c r="M794" s="562"/>
      <c r="N794" s="562"/>
      <c r="O794" s="562"/>
      <c r="P794" s="562"/>
      <c r="Q794" s="562"/>
      <c r="R794" s="562"/>
      <c r="S794" s="562"/>
    </row>
    <row r="795" spans="1:19" s="317" customFormat="1" ht="15.75" customHeight="1">
      <c r="A795" s="266" t="s">
        <v>941</v>
      </c>
      <c r="B795" s="266"/>
      <c r="C795" s="266"/>
      <c r="D795" s="387"/>
      <c r="E795" s="316" t="s">
        <v>1049</v>
      </c>
      <c r="F795" s="317" t="s">
        <v>847</v>
      </c>
      <c r="G795" s="604"/>
      <c r="H795" s="375"/>
      <c r="I795" s="373"/>
      <c r="J795" s="377"/>
      <c r="K795" s="605"/>
      <c r="L795" s="605"/>
      <c r="M795" s="605"/>
      <c r="N795" s="605"/>
      <c r="O795" s="605"/>
      <c r="P795" s="605"/>
      <c r="Q795" s="605"/>
      <c r="R795" s="605"/>
      <c r="S795" s="605"/>
    </row>
    <row r="796" spans="1:19" ht="15.75" customHeight="1">
      <c r="A796" s="266" t="s">
        <v>941</v>
      </c>
      <c r="D796" s="357"/>
      <c r="E796" s="301"/>
      <c r="F796" s="606" t="s">
        <v>1050</v>
      </c>
      <c r="G796" s="261" t="s">
        <v>236</v>
      </c>
      <c r="H796" s="312"/>
      <c r="I796" s="537"/>
      <c r="J796" s="393"/>
      <c r="K796" s="358"/>
      <c r="L796" s="358"/>
      <c r="M796" s="358"/>
      <c r="N796" s="358"/>
      <c r="O796" s="358"/>
      <c r="P796" s="358"/>
      <c r="Q796" s="358"/>
      <c r="R796" s="358"/>
      <c r="S796" s="358"/>
    </row>
    <row r="797" spans="1:19" ht="15.75" customHeight="1">
      <c r="A797" s="266" t="s">
        <v>941</v>
      </c>
      <c r="D797" s="309"/>
      <c r="E797" s="316"/>
      <c r="F797" s="606"/>
      <c r="G797" s="588"/>
      <c r="H797" s="590" t="s">
        <v>849</v>
      </c>
      <c r="I797" s="621">
        <v>2013</v>
      </c>
      <c r="J797" s="393">
        <v>0.25</v>
      </c>
      <c r="K797" s="329">
        <v>15700000</v>
      </c>
      <c r="L797" s="329">
        <v>0</v>
      </c>
      <c r="M797" s="329">
        <v>0</v>
      </c>
      <c r="N797" s="329">
        <f>K797+L797-M797</f>
        <v>15700000</v>
      </c>
      <c r="O797" s="329">
        <v>15700000</v>
      </c>
      <c r="P797" s="333">
        <v>0</v>
      </c>
      <c r="Q797" s="329">
        <v>0</v>
      </c>
      <c r="R797" s="329">
        <f>O797+P797-Q797</f>
        <v>15700000</v>
      </c>
      <c r="S797" s="333">
        <f>N797-R797</f>
        <v>0</v>
      </c>
    </row>
    <row r="798" spans="1:19" ht="15.75" customHeight="1">
      <c r="A798" s="266" t="s">
        <v>941</v>
      </c>
      <c r="D798" s="309"/>
      <c r="E798" s="316"/>
      <c r="F798" s="606"/>
      <c r="G798" s="588"/>
      <c r="H798" s="590" t="s">
        <v>850</v>
      </c>
      <c r="I798" s="621">
        <v>2014</v>
      </c>
      <c r="J798" s="393">
        <v>0.25</v>
      </c>
      <c r="K798" s="329">
        <v>6600000</v>
      </c>
      <c r="L798" s="329">
        <v>0</v>
      </c>
      <c r="M798" s="329">
        <v>0</v>
      </c>
      <c r="N798" s="329">
        <f>K798+L798-M798</f>
        <v>6600000</v>
      </c>
      <c r="O798" s="329">
        <v>6600000</v>
      </c>
      <c r="P798" s="333">
        <v>0</v>
      </c>
      <c r="Q798" s="329">
        <v>0</v>
      </c>
      <c r="R798" s="329">
        <f>O798+P798-Q798</f>
        <v>6600000</v>
      </c>
      <c r="S798" s="333">
        <f>N798-R798</f>
        <v>0</v>
      </c>
    </row>
    <row r="799" spans="1:19" s="317" customFormat="1" ht="15.75" customHeight="1">
      <c r="A799" s="266" t="s">
        <v>941</v>
      </c>
      <c r="B799" s="266"/>
      <c r="C799" s="266"/>
      <c r="D799" s="309"/>
      <c r="E799" s="316"/>
      <c r="F799" s="1235" t="s">
        <v>1038</v>
      </c>
      <c r="G799" s="1236"/>
      <c r="H799" s="1237"/>
      <c r="I799" s="594"/>
      <c r="J799" s="595"/>
      <c r="K799" s="342">
        <f>SUM(K797:K798)</f>
        <v>22300000</v>
      </c>
      <c r="L799" s="342">
        <f t="shared" ref="L799:S799" si="139">SUM(L797:L798)</f>
        <v>0</v>
      </c>
      <c r="M799" s="342">
        <f t="shared" si="139"/>
        <v>0</v>
      </c>
      <c r="N799" s="342">
        <f t="shared" si="139"/>
        <v>22300000</v>
      </c>
      <c r="O799" s="342">
        <f t="shared" si="139"/>
        <v>22300000</v>
      </c>
      <c r="P799" s="342">
        <f t="shared" si="139"/>
        <v>0</v>
      </c>
      <c r="Q799" s="342">
        <f t="shared" si="139"/>
        <v>0</v>
      </c>
      <c r="R799" s="342">
        <f t="shared" si="139"/>
        <v>22300000</v>
      </c>
      <c r="S799" s="342">
        <f t="shared" si="139"/>
        <v>0</v>
      </c>
    </row>
    <row r="800" spans="1:19" ht="15.75" customHeight="1">
      <c r="A800" s="266" t="s">
        <v>941</v>
      </c>
      <c r="D800" s="309"/>
      <c r="E800" s="1235" t="s">
        <v>1051</v>
      </c>
      <c r="F800" s="1236"/>
      <c r="G800" s="1236"/>
      <c r="H800" s="1236"/>
      <c r="I800" s="1236"/>
      <c r="J800" s="1237"/>
      <c r="K800" s="342">
        <f>K799</f>
        <v>22300000</v>
      </c>
      <c r="L800" s="342">
        <f t="shared" ref="L800:S800" si="140">L799</f>
        <v>0</v>
      </c>
      <c r="M800" s="342">
        <f t="shared" si="140"/>
        <v>0</v>
      </c>
      <c r="N800" s="342">
        <f t="shared" si="140"/>
        <v>22300000</v>
      </c>
      <c r="O800" s="342">
        <f t="shared" si="140"/>
        <v>22300000</v>
      </c>
      <c r="P800" s="342">
        <f t="shared" si="140"/>
        <v>0</v>
      </c>
      <c r="Q800" s="342">
        <f t="shared" si="140"/>
        <v>0</v>
      </c>
      <c r="R800" s="342">
        <f t="shared" si="140"/>
        <v>22300000</v>
      </c>
      <c r="S800" s="342">
        <f t="shared" si="140"/>
        <v>0</v>
      </c>
    </row>
    <row r="801" spans="1:19" ht="15.75" customHeight="1">
      <c r="D801" s="387"/>
      <c r="E801" s="324"/>
      <c r="F801" s="620"/>
      <c r="G801" s="370"/>
      <c r="H801" s="362"/>
      <c r="I801" s="363"/>
      <c r="J801" s="393"/>
      <c r="K801" s="562"/>
      <c r="L801" s="562"/>
      <c r="M801" s="562"/>
      <c r="N801" s="562"/>
      <c r="O801" s="562"/>
      <c r="P801" s="562"/>
      <c r="Q801" s="562"/>
      <c r="R801" s="562"/>
      <c r="S801" s="562"/>
    </row>
    <row r="802" spans="1:19" s="317" customFormat="1" ht="15.75" customHeight="1">
      <c r="A802" s="266" t="s">
        <v>944</v>
      </c>
      <c r="B802" s="266"/>
      <c r="C802" s="266"/>
      <c r="D802" s="387"/>
      <c r="E802" s="316" t="s">
        <v>1052</v>
      </c>
      <c r="F802" s="317" t="s">
        <v>851</v>
      </c>
      <c r="G802" s="604"/>
      <c r="H802" s="375"/>
      <c r="I802" s="373"/>
      <c r="J802" s="377"/>
      <c r="K802" s="605"/>
      <c r="L802" s="605"/>
      <c r="M802" s="605"/>
      <c r="N802" s="605"/>
      <c r="O802" s="605"/>
      <c r="P802" s="605"/>
      <c r="Q802" s="605"/>
      <c r="R802" s="605"/>
      <c r="S802" s="605"/>
    </row>
    <row r="803" spans="1:19" ht="15.75" customHeight="1">
      <c r="A803" s="266" t="s">
        <v>944</v>
      </c>
      <c r="D803" s="357"/>
      <c r="E803" s="301"/>
      <c r="F803" s="606" t="s">
        <v>1053</v>
      </c>
      <c r="G803" s="261" t="s">
        <v>236</v>
      </c>
      <c r="H803" s="312"/>
      <c r="I803" s="537"/>
      <c r="J803" s="393"/>
      <c r="K803" s="358"/>
      <c r="L803" s="358"/>
      <c r="M803" s="358"/>
      <c r="N803" s="358"/>
      <c r="O803" s="358"/>
      <c r="P803" s="358"/>
      <c r="Q803" s="358"/>
      <c r="R803" s="358"/>
      <c r="S803" s="358"/>
    </row>
    <row r="804" spans="1:19" ht="15.75" customHeight="1">
      <c r="A804" s="266" t="s">
        <v>944</v>
      </c>
      <c r="D804" s="309"/>
      <c r="E804" s="316"/>
      <c r="F804" s="606"/>
      <c r="G804" s="588"/>
      <c r="H804" s="590" t="s">
        <v>855</v>
      </c>
      <c r="I804" s="621">
        <v>2014</v>
      </c>
      <c r="J804" s="393">
        <v>0.25</v>
      </c>
      <c r="K804" s="329">
        <v>8000000</v>
      </c>
      <c r="L804" s="329">
        <v>0</v>
      </c>
      <c r="M804" s="329">
        <v>0</v>
      </c>
      <c r="N804" s="329">
        <f t="shared" ref="N804:N818" si="141">K804+L804-M804</f>
        <v>8000000</v>
      </c>
      <c r="O804" s="329">
        <v>8000000</v>
      </c>
      <c r="P804" s="333">
        <v>0</v>
      </c>
      <c r="Q804" s="329">
        <v>0</v>
      </c>
      <c r="R804" s="329">
        <f>O804+P804-Q804</f>
        <v>8000000</v>
      </c>
      <c r="S804" s="333">
        <f t="shared" ref="S804:S817" si="142">N804-R804</f>
        <v>0</v>
      </c>
    </row>
    <row r="805" spans="1:19" ht="15.75" customHeight="1">
      <c r="A805" s="266" t="s">
        <v>944</v>
      </c>
      <c r="D805" s="309"/>
      <c r="E805" s="316"/>
      <c r="F805" s="606"/>
      <c r="G805" s="588"/>
      <c r="H805" s="590" t="s">
        <v>856</v>
      </c>
      <c r="I805" s="621">
        <v>2012</v>
      </c>
      <c r="J805" s="393">
        <v>0.25</v>
      </c>
      <c r="K805" s="329">
        <v>7200000</v>
      </c>
      <c r="L805" s="329">
        <v>0</v>
      </c>
      <c r="M805" s="329">
        <v>0</v>
      </c>
      <c r="N805" s="329">
        <f t="shared" si="141"/>
        <v>7200000</v>
      </c>
      <c r="O805" s="329">
        <v>7200000</v>
      </c>
      <c r="P805" s="333">
        <v>0</v>
      </c>
      <c r="Q805" s="329">
        <v>0</v>
      </c>
      <c r="R805" s="329">
        <f t="shared" ref="R805:R818" si="143">O805+P805-Q805</f>
        <v>7200000</v>
      </c>
      <c r="S805" s="333">
        <f t="shared" si="142"/>
        <v>0</v>
      </c>
    </row>
    <row r="806" spans="1:19" ht="15.75" customHeight="1">
      <c r="A806" s="266" t="s">
        <v>944</v>
      </c>
      <c r="D806" s="309"/>
      <c r="E806" s="316"/>
      <c r="F806" s="606"/>
      <c r="G806" s="588"/>
      <c r="H806" s="590" t="s">
        <v>857</v>
      </c>
      <c r="I806" s="621">
        <v>2010</v>
      </c>
      <c r="J806" s="393">
        <v>0.25</v>
      </c>
      <c r="K806" s="329">
        <v>12500000</v>
      </c>
      <c r="L806" s="329">
        <v>0</v>
      </c>
      <c r="M806" s="329">
        <v>0</v>
      </c>
      <c r="N806" s="329">
        <f t="shared" si="141"/>
        <v>12500000</v>
      </c>
      <c r="O806" s="329">
        <v>12500000</v>
      </c>
      <c r="P806" s="333">
        <v>0</v>
      </c>
      <c r="Q806" s="329">
        <v>0</v>
      </c>
      <c r="R806" s="329">
        <f t="shared" si="143"/>
        <v>12500000</v>
      </c>
      <c r="S806" s="333">
        <f t="shared" si="142"/>
        <v>0</v>
      </c>
    </row>
    <row r="807" spans="1:19" ht="15.75" customHeight="1">
      <c r="A807" s="266" t="s">
        <v>944</v>
      </c>
      <c r="D807" s="309"/>
      <c r="E807" s="316"/>
      <c r="F807" s="606"/>
      <c r="G807" s="588"/>
      <c r="H807" s="590" t="s">
        <v>858</v>
      </c>
      <c r="I807" s="621">
        <v>2013</v>
      </c>
      <c r="J807" s="393">
        <v>0.25</v>
      </c>
      <c r="K807" s="329">
        <v>5100000</v>
      </c>
      <c r="L807" s="329">
        <v>0</v>
      </c>
      <c r="M807" s="329">
        <v>0</v>
      </c>
      <c r="N807" s="329">
        <f t="shared" si="141"/>
        <v>5100000</v>
      </c>
      <c r="O807" s="329">
        <v>5100000</v>
      </c>
      <c r="P807" s="333">
        <v>0</v>
      </c>
      <c r="Q807" s="329">
        <v>0</v>
      </c>
      <c r="R807" s="329">
        <f t="shared" si="143"/>
        <v>5100000</v>
      </c>
      <c r="S807" s="333">
        <f t="shared" si="142"/>
        <v>0</v>
      </c>
    </row>
    <row r="808" spans="1:19" ht="15.75" customHeight="1">
      <c r="A808" s="266" t="s">
        <v>944</v>
      </c>
      <c r="D808" s="309"/>
      <c r="E808" s="316"/>
      <c r="F808" s="606"/>
      <c r="G808" s="588"/>
      <c r="H808" s="590" t="s">
        <v>859</v>
      </c>
      <c r="I808" s="621">
        <v>2014</v>
      </c>
      <c r="J808" s="393">
        <v>0.25</v>
      </c>
      <c r="K808" s="329">
        <v>4300000</v>
      </c>
      <c r="L808" s="329">
        <v>0</v>
      </c>
      <c r="M808" s="329">
        <v>0</v>
      </c>
      <c r="N808" s="329">
        <f t="shared" si="141"/>
        <v>4300000</v>
      </c>
      <c r="O808" s="329">
        <v>4300000</v>
      </c>
      <c r="P808" s="333">
        <v>0</v>
      </c>
      <c r="Q808" s="329">
        <v>0</v>
      </c>
      <c r="R808" s="329">
        <f t="shared" si="143"/>
        <v>4300000</v>
      </c>
      <c r="S808" s="333">
        <f t="shared" si="142"/>
        <v>0</v>
      </c>
    </row>
    <row r="809" spans="1:19" ht="15.75" customHeight="1">
      <c r="A809" s="266" t="s">
        <v>944</v>
      </c>
      <c r="D809" s="309"/>
      <c r="E809" s="316"/>
      <c r="F809" s="606"/>
      <c r="G809" s="588"/>
      <c r="H809" s="590" t="s">
        <v>860</v>
      </c>
      <c r="I809" s="622">
        <v>2014</v>
      </c>
      <c r="J809" s="377">
        <v>0.25</v>
      </c>
      <c r="K809" s="329">
        <v>8200000</v>
      </c>
      <c r="L809" s="329">
        <v>0</v>
      </c>
      <c r="M809" s="329">
        <v>0</v>
      </c>
      <c r="N809" s="329">
        <f t="shared" si="141"/>
        <v>8200000</v>
      </c>
      <c r="O809" s="329">
        <v>8200000</v>
      </c>
      <c r="P809" s="333">
        <v>0</v>
      </c>
      <c r="Q809" s="329">
        <v>0</v>
      </c>
      <c r="R809" s="329">
        <f t="shared" si="143"/>
        <v>8200000</v>
      </c>
      <c r="S809" s="333">
        <f t="shared" si="142"/>
        <v>0</v>
      </c>
    </row>
    <row r="810" spans="1:19" ht="15.75" customHeight="1">
      <c r="A810" s="266" t="s">
        <v>944</v>
      </c>
      <c r="D810" s="623"/>
      <c r="E810" s="606"/>
      <c r="F810" s="606"/>
      <c r="G810" s="454"/>
      <c r="H810" s="607" t="s">
        <v>861</v>
      </c>
      <c r="I810" s="621">
        <v>2013</v>
      </c>
      <c r="J810" s="393">
        <v>0.25</v>
      </c>
      <c r="K810" s="333">
        <v>5000000</v>
      </c>
      <c r="L810" s="333">
        <v>0</v>
      </c>
      <c r="M810" s="333">
        <v>0</v>
      </c>
      <c r="N810" s="329">
        <f t="shared" si="141"/>
        <v>5000000</v>
      </c>
      <c r="O810" s="333">
        <v>5000000</v>
      </c>
      <c r="P810" s="333">
        <v>0</v>
      </c>
      <c r="Q810" s="333">
        <v>0</v>
      </c>
      <c r="R810" s="329">
        <f t="shared" si="143"/>
        <v>5000000</v>
      </c>
      <c r="S810" s="333">
        <f t="shared" si="142"/>
        <v>0</v>
      </c>
    </row>
    <row r="811" spans="1:19" ht="15.75" customHeight="1">
      <c r="D811" s="623"/>
      <c r="E811" s="606"/>
      <c r="F811" s="606"/>
      <c r="G811" s="454"/>
      <c r="H811" s="607" t="s">
        <v>862</v>
      </c>
      <c r="I811" s="363">
        <v>2015</v>
      </c>
      <c r="J811" s="393">
        <v>0.25</v>
      </c>
      <c r="K811" s="333">
        <v>5937500</v>
      </c>
      <c r="L811" s="333">
        <v>0</v>
      </c>
      <c r="M811" s="333">
        <v>0</v>
      </c>
      <c r="N811" s="329">
        <f t="shared" si="141"/>
        <v>5937500</v>
      </c>
      <c r="O811" s="333">
        <v>5937500</v>
      </c>
      <c r="P811" s="333">
        <v>0</v>
      </c>
      <c r="Q811" s="333">
        <v>0</v>
      </c>
      <c r="R811" s="329">
        <f t="shared" si="143"/>
        <v>5937500</v>
      </c>
      <c r="S811" s="333">
        <f t="shared" si="142"/>
        <v>0</v>
      </c>
    </row>
    <row r="812" spans="1:19" ht="15.75" customHeight="1">
      <c r="D812" s="623"/>
      <c r="E812" s="606"/>
      <c r="F812" s="606"/>
      <c r="G812" s="454"/>
      <c r="H812" s="607" t="s">
        <v>863</v>
      </c>
      <c r="I812" s="363">
        <v>2018</v>
      </c>
      <c r="J812" s="393">
        <v>0.25</v>
      </c>
      <c r="K812" s="333">
        <v>2930000</v>
      </c>
      <c r="L812" s="333">
        <v>0</v>
      </c>
      <c r="M812" s="333">
        <v>0</v>
      </c>
      <c r="N812" s="329">
        <f t="shared" si="141"/>
        <v>2930000</v>
      </c>
      <c r="O812" s="333">
        <v>2685833.333333333</v>
      </c>
      <c r="P812" s="333"/>
      <c r="Q812" s="333">
        <v>0</v>
      </c>
      <c r="R812" s="329">
        <f t="shared" si="143"/>
        <v>2685833.333333333</v>
      </c>
      <c r="S812" s="333">
        <f t="shared" si="142"/>
        <v>244166.66666666698</v>
      </c>
    </row>
    <row r="813" spans="1:19" ht="15.75" customHeight="1">
      <c r="D813" s="623"/>
      <c r="E813" s="606"/>
      <c r="F813" s="606"/>
      <c r="G813" s="454"/>
      <c r="H813" s="607" t="s">
        <v>864</v>
      </c>
      <c r="I813" s="363">
        <v>2018</v>
      </c>
      <c r="J813" s="393">
        <v>0.25</v>
      </c>
      <c r="K813" s="333">
        <v>4785000</v>
      </c>
      <c r="L813" s="333">
        <v>0</v>
      </c>
      <c r="M813" s="333">
        <v>0</v>
      </c>
      <c r="N813" s="329">
        <f t="shared" si="141"/>
        <v>4785000</v>
      </c>
      <c r="O813" s="333">
        <v>3887812.5</v>
      </c>
      <c r="P813" s="333"/>
      <c r="Q813" s="333">
        <v>0</v>
      </c>
      <c r="R813" s="329">
        <f t="shared" si="143"/>
        <v>3887812.5</v>
      </c>
      <c r="S813" s="333">
        <f t="shared" si="142"/>
        <v>897187.5</v>
      </c>
    </row>
    <row r="814" spans="1:19" ht="15.75" customHeight="1">
      <c r="D814" s="623"/>
      <c r="E814" s="606"/>
      <c r="F814" s="606"/>
      <c r="G814" s="454"/>
      <c r="H814" s="607" t="s">
        <v>865</v>
      </c>
      <c r="I814" s="363">
        <v>2018</v>
      </c>
      <c r="J814" s="393">
        <v>0.25</v>
      </c>
      <c r="K814" s="333">
        <v>3000000</v>
      </c>
      <c r="L814" s="333">
        <v>0</v>
      </c>
      <c r="M814" s="333">
        <v>0</v>
      </c>
      <c r="N814" s="329">
        <f t="shared" si="141"/>
        <v>3000000</v>
      </c>
      <c r="O814" s="333">
        <v>2250000</v>
      </c>
      <c r="P814" s="333"/>
      <c r="Q814" s="333">
        <v>0</v>
      </c>
      <c r="R814" s="329">
        <f t="shared" si="143"/>
        <v>2250000</v>
      </c>
      <c r="S814" s="333">
        <f t="shared" si="142"/>
        <v>750000</v>
      </c>
    </row>
    <row r="815" spans="1:19" ht="15.75" customHeight="1">
      <c r="D815" s="623"/>
      <c r="E815" s="606"/>
      <c r="F815" s="606"/>
      <c r="G815" s="454"/>
      <c r="H815" s="608" t="s">
        <v>866</v>
      </c>
      <c r="I815" s="373">
        <v>2018</v>
      </c>
      <c r="J815" s="377">
        <v>0.25</v>
      </c>
      <c r="K815" s="329">
        <v>5890000</v>
      </c>
      <c r="L815" s="329">
        <v>0</v>
      </c>
      <c r="M815" s="329">
        <v>0</v>
      </c>
      <c r="N815" s="329">
        <f t="shared" si="141"/>
        <v>5890000</v>
      </c>
      <c r="O815" s="329">
        <v>4417500.0000000019</v>
      </c>
      <c r="P815" s="333"/>
      <c r="Q815" s="329">
        <v>0</v>
      </c>
      <c r="R815" s="329">
        <f t="shared" si="143"/>
        <v>4417500.0000000019</v>
      </c>
      <c r="S815" s="333">
        <f t="shared" si="142"/>
        <v>1472499.9999999981</v>
      </c>
    </row>
    <row r="816" spans="1:19" ht="15.75" customHeight="1">
      <c r="D816" s="309"/>
      <c r="E816" s="316"/>
      <c r="F816" s="606"/>
      <c r="G816" s="454"/>
      <c r="H816" s="607" t="s">
        <v>867</v>
      </c>
      <c r="I816" s="458">
        <v>43776</v>
      </c>
      <c r="J816" s="393">
        <v>0.25</v>
      </c>
      <c r="K816" s="333">
        <v>3300000</v>
      </c>
      <c r="L816" s="333"/>
      <c r="M816" s="329">
        <v>0</v>
      </c>
      <c r="N816" s="329">
        <f t="shared" si="141"/>
        <v>3300000</v>
      </c>
      <c r="O816" s="333">
        <v>1787500</v>
      </c>
      <c r="P816" s="333"/>
      <c r="Q816" s="329">
        <v>0</v>
      </c>
      <c r="R816" s="329">
        <f t="shared" si="143"/>
        <v>1787500</v>
      </c>
      <c r="S816" s="333">
        <f t="shared" si="142"/>
        <v>1512500</v>
      </c>
    </row>
    <row r="817" spans="1:19" ht="15.75" customHeight="1">
      <c r="D817" s="309"/>
      <c r="E817" s="316"/>
      <c r="F817" s="606"/>
      <c r="G817" s="589"/>
      <c r="H817" s="608" t="s">
        <v>868</v>
      </c>
      <c r="I817" s="624">
        <v>43787</v>
      </c>
      <c r="J817" s="377">
        <v>0.25</v>
      </c>
      <c r="K817" s="329">
        <v>1288952</v>
      </c>
      <c r="L817" s="329"/>
      <c r="M817" s="329">
        <v>0</v>
      </c>
      <c r="N817" s="329">
        <f t="shared" si="141"/>
        <v>1288952</v>
      </c>
      <c r="O817" s="329">
        <v>671329.16666666663</v>
      </c>
      <c r="P817" s="333"/>
      <c r="Q817" s="329">
        <v>0</v>
      </c>
      <c r="R817" s="329">
        <f t="shared" si="143"/>
        <v>671329.16666666663</v>
      </c>
      <c r="S817" s="329">
        <f t="shared" si="142"/>
        <v>617622.83333333337</v>
      </c>
    </row>
    <row r="818" spans="1:19" ht="15.75" customHeight="1">
      <c r="D818" s="309"/>
      <c r="E818" s="316"/>
      <c r="F818" s="625"/>
      <c r="G818" s="626"/>
      <c r="H818" s="463" t="s">
        <v>869</v>
      </c>
      <c r="I818" s="262">
        <v>2021</v>
      </c>
      <c r="J818" s="464">
        <v>0.25</v>
      </c>
      <c r="K818" s="339">
        <v>1050000</v>
      </c>
      <c r="L818" s="339"/>
      <c r="M818" s="339"/>
      <c r="N818" s="329">
        <f t="shared" si="141"/>
        <v>1050000</v>
      </c>
      <c r="O818" s="339">
        <v>65625</v>
      </c>
      <c r="P818" s="333"/>
      <c r="Q818" s="339"/>
      <c r="R818" s="329">
        <f t="shared" si="143"/>
        <v>65625</v>
      </c>
      <c r="S818" s="329">
        <f>N818-R818</f>
        <v>984375</v>
      </c>
    </row>
    <row r="819" spans="1:19" ht="15.75" customHeight="1">
      <c r="A819" s="266" t="s">
        <v>944</v>
      </c>
      <c r="D819" s="309"/>
      <c r="E819" s="316"/>
      <c r="F819" s="1238" t="s">
        <v>1038</v>
      </c>
      <c r="G819" s="1239"/>
      <c r="H819" s="1240"/>
      <c r="I819" s="628"/>
      <c r="J819" s="593"/>
      <c r="K819" s="629">
        <f>SUM(K804:K818)</f>
        <v>78481452</v>
      </c>
      <c r="L819" s="629">
        <f t="shared" ref="L819:S819" si="144">SUM(L804:L818)</f>
        <v>0</v>
      </c>
      <c r="M819" s="629">
        <f t="shared" si="144"/>
        <v>0</v>
      </c>
      <c r="N819" s="342">
        <f t="shared" si="144"/>
        <v>78481452</v>
      </c>
      <c r="O819" s="629">
        <f t="shared" si="144"/>
        <v>72003100.000000015</v>
      </c>
      <c r="P819" s="629">
        <f t="shared" si="144"/>
        <v>0</v>
      </c>
      <c r="Q819" s="629">
        <f t="shared" si="144"/>
        <v>0</v>
      </c>
      <c r="R819" s="629">
        <f t="shared" si="144"/>
        <v>72003100.000000015</v>
      </c>
      <c r="S819" s="342">
        <f t="shared" si="144"/>
        <v>6478351.9999999981</v>
      </c>
    </row>
    <row r="820" spans="1:19" s="317" customFormat="1" ht="15.75" customHeight="1">
      <c r="A820" s="266" t="s">
        <v>944</v>
      </c>
      <c r="B820" s="266"/>
      <c r="C820" s="266"/>
      <c r="D820" s="309"/>
      <c r="E820" s="316"/>
      <c r="F820" s="606"/>
      <c r="G820" s="588"/>
      <c r="H820" s="590"/>
      <c r="I820" s="621"/>
      <c r="J820" s="377"/>
      <c r="K820" s="329"/>
      <c r="L820" s="329"/>
      <c r="M820" s="329"/>
      <c r="N820" s="329"/>
      <c r="O820" s="329"/>
      <c r="P820" s="329"/>
      <c r="Q820" s="329"/>
      <c r="R820" s="329"/>
      <c r="S820" s="329"/>
    </row>
    <row r="821" spans="1:19" ht="15.75" customHeight="1">
      <c r="A821" s="266" t="s">
        <v>944</v>
      </c>
      <c r="D821" s="357"/>
      <c r="E821" s="301"/>
      <c r="F821" s="606" t="s">
        <v>1054</v>
      </c>
      <c r="G821" s="261" t="s">
        <v>1055</v>
      </c>
      <c r="H821" s="312"/>
      <c r="I821" s="537"/>
      <c r="J821" s="393"/>
      <c r="K821" s="358"/>
      <c r="L821" s="358"/>
      <c r="M821" s="358"/>
      <c r="N821" s="358"/>
      <c r="O821" s="358"/>
      <c r="P821" s="358"/>
      <c r="Q821" s="358"/>
      <c r="R821" s="358"/>
      <c r="S821" s="358"/>
    </row>
    <row r="822" spans="1:19" ht="15.75" customHeight="1">
      <c r="A822" s="266" t="s">
        <v>944</v>
      </c>
      <c r="D822" s="309"/>
      <c r="E822" s="316"/>
      <c r="F822" s="606"/>
      <c r="G822" s="467"/>
      <c r="H822" s="590" t="s">
        <v>872</v>
      </c>
      <c r="I822" s="621">
        <v>2010</v>
      </c>
      <c r="J822" s="393">
        <v>0.25</v>
      </c>
      <c r="K822" s="329">
        <v>50500000</v>
      </c>
      <c r="L822" s="329">
        <v>0</v>
      </c>
      <c r="M822" s="329">
        <v>0</v>
      </c>
      <c r="N822" s="329">
        <f t="shared" ref="N822:N831" si="145">K822+L822-M822</f>
        <v>50500000</v>
      </c>
      <c r="O822" s="329">
        <v>50500000</v>
      </c>
      <c r="P822" s="333">
        <v>0</v>
      </c>
      <c r="Q822" s="329">
        <v>0</v>
      </c>
      <c r="R822" s="329">
        <f>O822+P822-Q822</f>
        <v>50500000</v>
      </c>
      <c r="S822" s="333">
        <f t="shared" ref="S822:S831" si="146">N822-R822</f>
        <v>0</v>
      </c>
    </row>
    <row r="823" spans="1:19" ht="15.75" customHeight="1">
      <c r="A823" s="266" t="s">
        <v>944</v>
      </c>
      <c r="D823" s="309"/>
      <c r="E823" s="316"/>
      <c r="F823" s="606"/>
      <c r="G823" s="467"/>
      <c r="H823" s="590" t="s">
        <v>873</v>
      </c>
      <c r="I823" s="621">
        <v>2011</v>
      </c>
      <c r="J823" s="393">
        <v>0.25</v>
      </c>
      <c r="K823" s="329">
        <v>26000000</v>
      </c>
      <c r="L823" s="329">
        <v>0</v>
      </c>
      <c r="M823" s="329">
        <v>0</v>
      </c>
      <c r="N823" s="329">
        <f t="shared" si="145"/>
        <v>26000000</v>
      </c>
      <c r="O823" s="329">
        <v>26000000</v>
      </c>
      <c r="P823" s="333">
        <v>0</v>
      </c>
      <c r="Q823" s="329">
        <v>0</v>
      </c>
      <c r="R823" s="329">
        <f t="shared" ref="R823:R830" si="147">O823+P823-Q823</f>
        <v>26000000</v>
      </c>
      <c r="S823" s="333">
        <f t="shared" si="146"/>
        <v>0</v>
      </c>
    </row>
    <row r="824" spans="1:19" ht="15.75" customHeight="1">
      <c r="A824" s="266" t="s">
        <v>944</v>
      </c>
      <c r="D824" s="309"/>
      <c r="E824" s="316"/>
      <c r="F824" s="606"/>
      <c r="G824" s="467"/>
      <c r="H824" s="590" t="s">
        <v>874</v>
      </c>
      <c r="I824" s="621">
        <v>2014</v>
      </c>
      <c r="J824" s="393">
        <v>0.25</v>
      </c>
      <c r="K824" s="329">
        <v>18000000</v>
      </c>
      <c r="L824" s="329">
        <v>0</v>
      </c>
      <c r="M824" s="329">
        <v>0</v>
      </c>
      <c r="N824" s="329">
        <f t="shared" si="145"/>
        <v>18000000</v>
      </c>
      <c r="O824" s="329">
        <v>18000000</v>
      </c>
      <c r="P824" s="333">
        <v>0</v>
      </c>
      <c r="Q824" s="329">
        <v>0</v>
      </c>
      <c r="R824" s="329">
        <f t="shared" si="147"/>
        <v>18000000</v>
      </c>
      <c r="S824" s="333">
        <f t="shared" si="146"/>
        <v>0</v>
      </c>
    </row>
    <row r="825" spans="1:19" ht="15.75" customHeight="1">
      <c r="A825" s="266" t="s">
        <v>944</v>
      </c>
      <c r="D825" s="309"/>
      <c r="E825" s="316"/>
      <c r="F825" s="606"/>
      <c r="G825" s="467"/>
      <c r="H825" s="590" t="s">
        <v>875</v>
      </c>
      <c r="I825" s="621">
        <v>2014</v>
      </c>
      <c r="J825" s="393">
        <v>0.25</v>
      </c>
      <c r="K825" s="329">
        <v>11300000</v>
      </c>
      <c r="L825" s="329">
        <v>0</v>
      </c>
      <c r="M825" s="329">
        <v>0</v>
      </c>
      <c r="N825" s="329">
        <f t="shared" si="145"/>
        <v>11300000</v>
      </c>
      <c r="O825" s="329">
        <v>11300000</v>
      </c>
      <c r="P825" s="333">
        <v>0</v>
      </c>
      <c r="Q825" s="329">
        <v>0</v>
      </c>
      <c r="R825" s="329">
        <f t="shared" si="147"/>
        <v>11300000</v>
      </c>
      <c r="S825" s="333">
        <f t="shared" si="146"/>
        <v>0</v>
      </c>
    </row>
    <row r="826" spans="1:19" ht="15.75" customHeight="1">
      <c r="A826" s="266" t="s">
        <v>944</v>
      </c>
      <c r="D826" s="309"/>
      <c r="E826" s="316"/>
      <c r="F826" s="606"/>
      <c r="G826" s="467"/>
      <c r="H826" s="590" t="s">
        <v>876</v>
      </c>
      <c r="I826" s="622">
        <v>2014</v>
      </c>
      <c r="J826" s="377">
        <v>0.25</v>
      </c>
      <c r="K826" s="329">
        <v>10800000</v>
      </c>
      <c r="L826" s="329">
        <v>0</v>
      </c>
      <c r="M826" s="329">
        <v>0</v>
      </c>
      <c r="N826" s="329">
        <f t="shared" si="145"/>
        <v>10800000</v>
      </c>
      <c r="O826" s="329">
        <v>10800000</v>
      </c>
      <c r="P826" s="333">
        <v>0</v>
      </c>
      <c r="Q826" s="329">
        <v>0</v>
      </c>
      <c r="R826" s="329">
        <f t="shared" si="147"/>
        <v>10800000</v>
      </c>
      <c r="S826" s="333">
        <f t="shared" si="146"/>
        <v>0</v>
      </c>
    </row>
    <row r="827" spans="1:19" ht="15.75" customHeight="1">
      <c r="A827" s="266" t="s">
        <v>944</v>
      </c>
      <c r="B827" s="266">
        <v>3</v>
      </c>
      <c r="C827" s="266">
        <v>3</v>
      </c>
      <c r="D827" s="623"/>
      <c r="E827" s="606"/>
      <c r="F827" s="606"/>
      <c r="G827" s="467"/>
      <c r="H827" s="502" t="s">
        <v>877</v>
      </c>
      <c r="I827" s="363">
        <v>2015</v>
      </c>
      <c r="J827" s="393">
        <v>0.25</v>
      </c>
      <c r="K827" s="333">
        <v>12550000</v>
      </c>
      <c r="L827" s="333">
        <v>0</v>
      </c>
      <c r="M827" s="333">
        <v>0</v>
      </c>
      <c r="N827" s="329">
        <f t="shared" si="145"/>
        <v>12550000</v>
      </c>
      <c r="O827" s="333">
        <v>12550000.333333338</v>
      </c>
      <c r="P827" s="333">
        <v>0</v>
      </c>
      <c r="Q827" s="333">
        <v>0</v>
      </c>
      <c r="R827" s="329">
        <f t="shared" si="147"/>
        <v>12550000.333333338</v>
      </c>
      <c r="S827" s="333">
        <f t="shared" si="146"/>
        <v>-0.33333333767950535</v>
      </c>
    </row>
    <row r="828" spans="1:19" ht="15.75" customHeight="1">
      <c r="D828" s="623"/>
      <c r="E828" s="606"/>
      <c r="F828" s="606"/>
      <c r="G828" s="467"/>
      <c r="H828" s="502" t="s">
        <v>878</v>
      </c>
      <c r="I828" s="363">
        <v>2017</v>
      </c>
      <c r="J828" s="393">
        <v>0.25</v>
      </c>
      <c r="K828" s="333">
        <v>16272728</v>
      </c>
      <c r="L828" s="329">
        <v>0</v>
      </c>
      <c r="M828" s="333">
        <v>0</v>
      </c>
      <c r="N828" s="329">
        <f t="shared" si="145"/>
        <v>16272728</v>
      </c>
      <c r="O828" s="333">
        <v>14916667.333333325</v>
      </c>
      <c r="P828" s="333"/>
      <c r="Q828" s="333">
        <v>0</v>
      </c>
      <c r="R828" s="329">
        <f t="shared" si="147"/>
        <v>14916667.333333325</v>
      </c>
      <c r="S828" s="333">
        <f t="shared" si="146"/>
        <v>1356060.6666666754</v>
      </c>
    </row>
    <row r="829" spans="1:19" ht="15.75" customHeight="1">
      <c r="D829" s="623"/>
      <c r="E829" s="606"/>
      <c r="F829" s="606"/>
      <c r="G829" s="467"/>
      <c r="H829" s="502" t="s">
        <v>879</v>
      </c>
      <c r="I829" s="363">
        <v>2018</v>
      </c>
      <c r="J829" s="393">
        <v>0.25</v>
      </c>
      <c r="K829" s="333">
        <v>8647375</v>
      </c>
      <c r="L829" s="329">
        <v>0</v>
      </c>
      <c r="M829" s="333">
        <v>0</v>
      </c>
      <c r="N829" s="329">
        <f t="shared" si="145"/>
        <v>8647375</v>
      </c>
      <c r="O829" s="333">
        <v>7566453.1249999953</v>
      </c>
      <c r="P829" s="333"/>
      <c r="Q829" s="333">
        <v>0</v>
      </c>
      <c r="R829" s="329">
        <f t="shared" si="147"/>
        <v>7566453.1249999953</v>
      </c>
      <c r="S829" s="333">
        <f t="shared" si="146"/>
        <v>1080921.8750000047</v>
      </c>
    </row>
    <row r="830" spans="1:19" ht="15.75" customHeight="1">
      <c r="D830" s="623"/>
      <c r="E830" s="630"/>
      <c r="F830" s="630"/>
      <c r="G830" s="547"/>
      <c r="H830" s="501" t="s">
        <v>880</v>
      </c>
      <c r="I830" s="373">
        <v>2018</v>
      </c>
      <c r="J830" s="377">
        <v>0.25</v>
      </c>
      <c r="K830" s="329">
        <v>10200000</v>
      </c>
      <c r="L830" s="329">
        <v>0</v>
      </c>
      <c r="M830" s="329">
        <v>0</v>
      </c>
      <c r="N830" s="329">
        <f t="shared" si="145"/>
        <v>10200000</v>
      </c>
      <c r="O830" s="329">
        <v>8712500</v>
      </c>
      <c r="P830" s="333"/>
      <c r="Q830" s="329">
        <v>0</v>
      </c>
      <c r="R830" s="329">
        <f t="shared" si="147"/>
        <v>8712500</v>
      </c>
      <c r="S830" s="333">
        <f t="shared" si="146"/>
        <v>1487500</v>
      </c>
    </row>
    <row r="831" spans="1:19" ht="15.75" customHeight="1">
      <c r="D831" s="309"/>
      <c r="E831" s="316"/>
      <c r="F831" s="631"/>
      <c r="G831" s="627"/>
      <c r="H831" s="463" t="s">
        <v>881</v>
      </c>
      <c r="I831" s="262">
        <v>2022</v>
      </c>
      <c r="J831" s="464">
        <v>0.25</v>
      </c>
      <c r="K831" s="348"/>
      <c r="L831" s="348">
        <v>3000000</v>
      </c>
      <c r="M831" s="348"/>
      <c r="N831" s="329">
        <f t="shared" si="145"/>
        <v>3000000</v>
      </c>
      <c r="O831" s="348"/>
      <c r="P831" s="333"/>
      <c r="Q831" s="348"/>
      <c r="R831" s="329">
        <f>O831+P831-Q831</f>
        <v>0</v>
      </c>
      <c r="S831" s="333">
        <f t="shared" si="146"/>
        <v>3000000</v>
      </c>
    </row>
    <row r="832" spans="1:19" s="317" customFormat="1" ht="15.75" customHeight="1">
      <c r="A832" s="266" t="s">
        <v>944</v>
      </c>
      <c r="B832" s="266"/>
      <c r="C832" s="266"/>
      <c r="D832" s="309"/>
      <c r="E832" s="316"/>
      <c r="F832" s="1238" t="s">
        <v>1056</v>
      </c>
      <c r="G832" s="1239"/>
      <c r="H832" s="1237"/>
      <c r="I832" s="594"/>
      <c r="J832" s="595"/>
      <c r="K832" s="342">
        <f>SUM(K822:K831)</f>
        <v>164270103</v>
      </c>
      <c r="L832" s="342">
        <f t="shared" ref="L832:S832" si="148">SUM(L822:L831)</f>
        <v>3000000</v>
      </c>
      <c r="M832" s="342">
        <f t="shared" si="148"/>
        <v>0</v>
      </c>
      <c r="N832" s="342">
        <f>SUM(N822:N831)</f>
        <v>167270103</v>
      </c>
      <c r="O832" s="342">
        <f t="shared" si="148"/>
        <v>160345620.79166666</v>
      </c>
      <c r="P832" s="342">
        <f t="shared" si="148"/>
        <v>0</v>
      </c>
      <c r="Q832" s="342">
        <f t="shared" si="148"/>
        <v>0</v>
      </c>
      <c r="R832" s="342">
        <f t="shared" si="148"/>
        <v>160345620.79166666</v>
      </c>
      <c r="S832" s="342">
        <f t="shared" si="148"/>
        <v>6924482.2083333423</v>
      </c>
    </row>
    <row r="833" spans="1:19" ht="15.75" customHeight="1">
      <c r="A833" s="266" t="s">
        <v>944</v>
      </c>
      <c r="D833" s="309"/>
      <c r="E833" s="1235" t="s">
        <v>1057</v>
      </c>
      <c r="F833" s="1236"/>
      <c r="G833" s="1236"/>
      <c r="H833" s="1236"/>
      <c r="I833" s="1236"/>
      <c r="J833" s="1237"/>
      <c r="K833" s="342">
        <f>K819+K832</f>
        <v>242751555</v>
      </c>
      <c r="L833" s="342">
        <f t="shared" ref="L833:S833" si="149">L819+L832</f>
        <v>3000000</v>
      </c>
      <c r="M833" s="342">
        <f t="shared" si="149"/>
        <v>0</v>
      </c>
      <c r="N833" s="342">
        <f t="shared" si="149"/>
        <v>245751555</v>
      </c>
      <c r="O833" s="342">
        <f t="shared" si="149"/>
        <v>232348720.79166669</v>
      </c>
      <c r="P833" s="342">
        <f t="shared" si="149"/>
        <v>0</v>
      </c>
      <c r="Q833" s="342">
        <f t="shared" si="149"/>
        <v>0</v>
      </c>
      <c r="R833" s="342">
        <f t="shared" si="149"/>
        <v>232348720.79166669</v>
      </c>
      <c r="S833" s="342">
        <f t="shared" si="149"/>
        <v>13402834.20833334</v>
      </c>
    </row>
    <row r="834" spans="1:19" s="425" customFormat="1" ht="25" customHeight="1">
      <c r="A834" s="266"/>
      <c r="B834" s="266"/>
      <c r="C834" s="266"/>
      <c r="D834" s="387"/>
      <c r="E834" s="324"/>
      <c r="F834" s="606"/>
      <c r="G834" s="588"/>
      <c r="H834" s="362"/>
      <c r="I834" s="363"/>
      <c r="J834" s="393"/>
      <c r="K834" s="562"/>
      <c r="L834" s="562"/>
      <c r="M834" s="562"/>
      <c r="N834" s="562"/>
      <c r="O834" s="562"/>
      <c r="P834" s="562"/>
      <c r="Q834" s="562"/>
      <c r="R834" s="562"/>
      <c r="S834" s="562"/>
    </row>
    <row r="835" spans="1:19" s="317" customFormat="1" ht="15.75" customHeight="1">
      <c r="A835" s="266"/>
      <c r="B835" s="266"/>
      <c r="C835" s="266"/>
      <c r="D835" s="1229" t="s">
        <v>1058</v>
      </c>
      <c r="E835" s="1230"/>
      <c r="F835" s="1230"/>
      <c r="G835" s="1230"/>
      <c r="H835" s="1230"/>
      <c r="I835" s="1230"/>
      <c r="J835" s="1231"/>
      <c r="K835" s="342">
        <f>K757+K793+K800+K833</f>
        <v>1512801351</v>
      </c>
      <c r="L835" s="342">
        <f t="shared" ref="L835:S835" si="150">L757+L793+L800+L833</f>
        <v>64355000</v>
      </c>
      <c r="M835" s="342">
        <f t="shared" si="150"/>
        <v>0</v>
      </c>
      <c r="N835" s="342">
        <f t="shared" si="150"/>
        <v>1577156351</v>
      </c>
      <c r="O835" s="342">
        <f t="shared" si="150"/>
        <v>1305519995.8875</v>
      </c>
      <c r="P835" s="342">
        <f t="shared" si="150"/>
        <v>82813748.583333254</v>
      </c>
      <c r="Q835" s="342">
        <f t="shared" si="150"/>
        <v>0</v>
      </c>
      <c r="R835" s="342">
        <f t="shared" si="150"/>
        <v>1388333744.4708333</v>
      </c>
      <c r="S835" s="342">
        <f t="shared" si="150"/>
        <v>188822606.52916679</v>
      </c>
    </row>
    <row r="836" spans="1:19" s="317" customFormat="1" ht="15.75" customHeight="1">
      <c r="A836" s="266"/>
      <c r="B836" s="266"/>
      <c r="C836" s="266"/>
      <c r="D836" s="309"/>
      <c r="E836" s="316"/>
      <c r="F836" s="353"/>
      <c r="G836" s="311"/>
      <c r="H836" s="312"/>
      <c r="I836" s="573"/>
      <c r="J836" s="396"/>
      <c r="K836" s="356"/>
      <c r="L836" s="356"/>
      <c r="M836" s="356"/>
      <c r="N836" s="356"/>
      <c r="O836" s="356"/>
      <c r="P836" s="356"/>
      <c r="Q836" s="356"/>
      <c r="R836" s="356"/>
      <c r="S836" s="356"/>
    </row>
    <row r="837" spans="1:19" s="317" customFormat="1" ht="15.75" customHeight="1">
      <c r="A837" s="266" t="s">
        <v>935</v>
      </c>
      <c r="B837" s="308" t="s">
        <v>1059</v>
      </c>
      <c r="C837" s="308" t="s">
        <v>1059</v>
      </c>
      <c r="D837" s="357">
        <v>9</v>
      </c>
      <c r="E837" s="302" t="s">
        <v>1059</v>
      </c>
      <c r="G837" s="302"/>
      <c r="H837" s="632"/>
      <c r="I837" s="573"/>
      <c r="J837" s="396"/>
      <c r="K837" s="356"/>
      <c r="L837" s="356"/>
      <c r="M837" s="356"/>
      <c r="N837" s="356"/>
      <c r="O837" s="356"/>
      <c r="P837" s="356"/>
      <c r="Q837" s="356"/>
      <c r="R837" s="356"/>
      <c r="S837" s="356"/>
    </row>
    <row r="838" spans="1:19" s="317" customFormat="1" ht="15.75" customHeight="1">
      <c r="A838" s="266" t="s">
        <v>935</v>
      </c>
      <c r="B838" s="266"/>
      <c r="C838" s="266"/>
      <c r="D838" s="357"/>
      <c r="E838" s="449" t="s">
        <v>1060</v>
      </c>
      <c r="F838" s="317" t="s">
        <v>882</v>
      </c>
      <c r="G838" s="633"/>
      <c r="H838" s="632"/>
      <c r="I838" s="573"/>
      <c r="J838" s="396"/>
      <c r="K838" s="356"/>
      <c r="L838" s="356"/>
      <c r="M838" s="356"/>
      <c r="N838" s="356"/>
      <c r="O838" s="356"/>
      <c r="P838" s="356"/>
      <c r="Q838" s="356"/>
      <c r="R838" s="356"/>
      <c r="S838" s="356"/>
    </row>
    <row r="839" spans="1:19" ht="15.75" customHeight="1">
      <c r="A839" s="266" t="s">
        <v>935</v>
      </c>
      <c r="D839" s="357"/>
      <c r="E839" s="301"/>
      <c r="F839" s="466" t="s">
        <v>1061</v>
      </c>
      <c r="G839" s="311" t="s">
        <v>405</v>
      </c>
      <c r="H839" s="312"/>
      <c r="I839" s="537"/>
      <c r="J839" s="393"/>
      <c r="K839" s="358"/>
      <c r="L839" s="358"/>
      <c r="M839" s="358"/>
      <c r="N839" s="358"/>
      <c r="O839" s="358"/>
      <c r="P839" s="358"/>
      <c r="Q839" s="358"/>
      <c r="R839" s="358"/>
      <c r="S839" s="358"/>
    </row>
    <row r="840" spans="1:19" ht="15.75" customHeight="1">
      <c r="A840" s="266" t="s">
        <v>935</v>
      </c>
      <c r="B840" s="266">
        <v>4</v>
      </c>
      <c r="C840" s="266">
        <v>4</v>
      </c>
      <c r="D840" s="517"/>
      <c r="E840" s="518"/>
      <c r="F840" s="263"/>
      <c r="G840" s="634"/>
      <c r="H840" s="635" t="s">
        <v>883</v>
      </c>
      <c r="I840" s="363">
        <v>2015</v>
      </c>
      <c r="J840" s="377">
        <v>0.25</v>
      </c>
      <c r="K840" s="329">
        <v>1335000</v>
      </c>
      <c r="L840" s="333">
        <v>0</v>
      </c>
      <c r="M840" s="333">
        <v>0</v>
      </c>
      <c r="N840" s="329">
        <f>K840+L840-M840</f>
        <v>1335000</v>
      </c>
      <c r="O840" s="329">
        <v>1335000</v>
      </c>
      <c r="P840" s="333">
        <v>0</v>
      </c>
      <c r="Q840" s="329">
        <v>0</v>
      </c>
      <c r="R840" s="329">
        <f>O840+P840-Q840</f>
        <v>1335000</v>
      </c>
      <c r="S840" s="333">
        <f>N840-R840</f>
        <v>0</v>
      </c>
    </row>
    <row r="841" spans="1:19" ht="15.75" customHeight="1">
      <c r="A841" s="266" t="s">
        <v>935</v>
      </c>
      <c r="B841" s="266">
        <v>4</v>
      </c>
      <c r="C841" s="266">
        <v>4</v>
      </c>
      <c r="D841" s="517"/>
      <c r="E841" s="518"/>
      <c r="F841" s="526"/>
      <c r="G841" s="636"/>
      <c r="H841" s="637" t="s">
        <v>884</v>
      </c>
      <c r="I841" s="363">
        <v>2015</v>
      </c>
      <c r="J841" s="393">
        <v>0.25</v>
      </c>
      <c r="K841" s="333">
        <v>11770000</v>
      </c>
      <c r="L841" s="333">
        <v>0</v>
      </c>
      <c r="M841" s="333">
        <v>0</v>
      </c>
      <c r="N841" s="329">
        <f>K841+L841-M841</f>
        <v>11770000</v>
      </c>
      <c r="O841" s="333">
        <v>11770000</v>
      </c>
      <c r="P841" s="333">
        <v>0</v>
      </c>
      <c r="Q841" s="333">
        <v>0</v>
      </c>
      <c r="R841" s="329">
        <f>O841+P841-Q841</f>
        <v>11770000</v>
      </c>
      <c r="S841" s="333">
        <f>N841-R841</f>
        <v>0</v>
      </c>
    </row>
    <row r="842" spans="1:19" s="317" customFormat="1" ht="15.75" customHeight="1">
      <c r="A842" s="266" t="s">
        <v>935</v>
      </c>
      <c r="B842" s="266">
        <v>9</v>
      </c>
      <c r="C842" s="266">
        <v>9</v>
      </c>
      <c r="D842" s="517"/>
      <c r="E842" s="518"/>
      <c r="F842" s="638"/>
      <c r="G842" s="636"/>
      <c r="H842" s="637" t="s">
        <v>885</v>
      </c>
      <c r="I842" s="363">
        <v>2015</v>
      </c>
      <c r="J842" s="393">
        <v>0.25</v>
      </c>
      <c r="K842" s="333">
        <v>6798000</v>
      </c>
      <c r="L842" s="639">
        <v>0</v>
      </c>
      <c r="M842" s="333">
        <v>0</v>
      </c>
      <c r="N842" s="329">
        <f>K842+L842-M842</f>
        <v>6798000</v>
      </c>
      <c r="O842" s="333">
        <v>6798000</v>
      </c>
      <c r="P842" s="333">
        <v>0</v>
      </c>
      <c r="Q842" s="640">
        <v>0</v>
      </c>
      <c r="R842" s="329">
        <f>O842+P842-Q842</f>
        <v>6798000</v>
      </c>
      <c r="S842" s="333">
        <f>N842-R842</f>
        <v>0</v>
      </c>
    </row>
    <row r="843" spans="1:19" s="317" customFormat="1" ht="15.75" customHeight="1">
      <c r="A843" s="266"/>
      <c r="B843" s="266"/>
      <c r="C843" s="266"/>
      <c r="D843" s="517"/>
      <c r="E843" s="518"/>
      <c r="F843" s="638"/>
      <c r="G843" s="636"/>
      <c r="H843" s="641" t="s">
        <v>886</v>
      </c>
      <c r="I843" s="373">
        <v>2018</v>
      </c>
      <c r="J843" s="377">
        <v>0.25</v>
      </c>
      <c r="K843" s="329">
        <v>101945945</v>
      </c>
      <c r="L843" s="642">
        <v>0</v>
      </c>
      <c r="M843" s="329">
        <v>0</v>
      </c>
      <c r="N843" s="329">
        <f>K843+L843-M843</f>
        <v>101945945</v>
      </c>
      <c r="O843" s="329">
        <v>95574323.43749997</v>
      </c>
      <c r="P843" s="329">
        <v>6371621.5625000745</v>
      </c>
      <c r="Q843" s="643">
        <v>0</v>
      </c>
      <c r="R843" s="329">
        <f>O843+P843-Q843</f>
        <v>101945945.00000004</v>
      </c>
      <c r="S843" s="329">
        <f>N843-R843</f>
        <v>0</v>
      </c>
    </row>
    <row r="844" spans="1:19" s="317" customFormat="1" ht="15.75" customHeight="1">
      <c r="A844" s="266"/>
      <c r="B844" s="266"/>
      <c r="C844" s="266"/>
      <c r="D844" s="517"/>
      <c r="E844" s="518"/>
      <c r="F844" s="638"/>
      <c r="G844" s="636"/>
      <c r="H844" s="644" t="s">
        <v>886</v>
      </c>
      <c r="I844" s="404">
        <v>2020</v>
      </c>
      <c r="J844" s="383">
        <v>0.25</v>
      </c>
      <c r="K844" s="339">
        <v>47198556422.900002</v>
      </c>
      <c r="L844" s="645">
        <v>0</v>
      </c>
      <c r="M844" s="339">
        <v>0</v>
      </c>
      <c r="N844" s="339">
        <f>K844+L844-M844</f>
        <v>47198556422.900002</v>
      </c>
      <c r="O844" s="339"/>
      <c r="P844" s="339"/>
      <c r="Q844" s="646"/>
      <c r="R844" s="329">
        <f>O844+P844-Q844</f>
        <v>0</v>
      </c>
      <c r="S844" s="329">
        <f>N844-R844</f>
        <v>47198556422.900002</v>
      </c>
    </row>
    <row r="845" spans="1:19" ht="15.75" customHeight="1">
      <c r="A845" s="266" t="s">
        <v>935</v>
      </c>
      <c r="D845" s="309"/>
      <c r="E845" s="1235" t="s">
        <v>1062</v>
      </c>
      <c r="F845" s="1236"/>
      <c r="G845" s="1236"/>
      <c r="H845" s="1236"/>
      <c r="I845" s="1236"/>
      <c r="J845" s="1237"/>
      <c r="K845" s="342">
        <f>SUM(K840:K844)</f>
        <v>47320405367.900002</v>
      </c>
      <c r="L845" s="342">
        <f t="shared" ref="L845:S845" si="151">SUM(L840:L844)</f>
        <v>0</v>
      </c>
      <c r="M845" s="342">
        <f t="shared" si="151"/>
        <v>0</v>
      </c>
      <c r="N845" s="342">
        <f t="shared" si="151"/>
        <v>47320405367.900002</v>
      </c>
      <c r="O845" s="342">
        <f t="shared" si="151"/>
        <v>115477323.43749997</v>
      </c>
      <c r="P845" s="342">
        <f t="shared" si="151"/>
        <v>6371621.5625000745</v>
      </c>
      <c r="Q845" s="342">
        <f t="shared" si="151"/>
        <v>0</v>
      </c>
      <c r="R845" s="342">
        <f t="shared" si="151"/>
        <v>121848945.00000004</v>
      </c>
      <c r="S845" s="342">
        <f t="shared" si="151"/>
        <v>47198556422.900002</v>
      </c>
    </row>
    <row r="846" spans="1:19" ht="15.75" customHeight="1">
      <c r="D846" s="517"/>
      <c r="E846" s="518"/>
      <c r="F846" s="647"/>
      <c r="G846" s="634"/>
      <c r="H846" s="635"/>
      <c r="I846" s="648"/>
      <c r="J846" s="648"/>
      <c r="K846" s="358"/>
      <c r="L846" s="358"/>
      <c r="M846" s="358"/>
      <c r="N846" s="358"/>
      <c r="O846" s="358"/>
      <c r="P846" s="358"/>
      <c r="Q846" s="358"/>
      <c r="R846" s="358"/>
      <c r="S846" s="358"/>
    </row>
    <row r="847" spans="1:19" ht="15.75" customHeight="1">
      <c r="A847" s="266" t="s">
        <v>938</v>
      </c>
      <c r="D847" s="517"/>
      <c r="E847" s="518" t="s">
        <v>1063</v>
      </c>
      <c r="F847" s="263" t="s">
        <v>887</v>
      </c>
      <c r="G847" s="634"/>
      <c r="H847" s="635"/>
      <c r="I847" s="649"/>
      <c r="J847" s="377"/>
      <c r="K847" s="329"/>
      <c r="L847" s="333"/>
      <c r="M847" s="333"/>
      <c r="N847" s="329"/>
      <c r="O847" s="329"/>
      <c r="P847" s="329"/>
      <c r="Q847" s="329"/>
      <c r="R847" s="329"/>
      <c r="S847" s="329"/>
    </row>
    <row r="848" spans="1:19" ht="15.75" customHeight="1">
      <c r="A848" s="266" t="s">
        <v>938</v>
      </c>
      <c r="D848" s="517"/>
      <c r="E848" s="518"/>
      <c r="F848" s="263"/>
      <c r="G848" s="634"/>
      <c r="H848" s="635" t="s">
        <v>889</v>
      </c>
      <c r="I848" s="363">
        <v>2014</v>
      </c>
      <c r="J848" s="377">
        <v>0.25</v>
      </c>
      <c r="K848" s="329">
        <v>617500000</v>
      </c>
      <c r="L848" s="333">
        <v>0</v>
      </c>
      <c r="M848" s="333">
        <v>0</v>
      </c>
      <c r="N848" s="329">
        <f t="shared" ref="N848:N868" si="152">K848+L848-M848</f>
        <v>617500000</v>
      </c>
      <c r="O848" s="329">
        <v>463125000</v>
      </c>
      <c r="P848" s="333">
        <v>0</v>
      </c>
      <c r="Q848" s="329">
        <v>0</v>
      </c>
      <c r="R848" s="329">
        <f t="shared" ref="R848:R868" si="153">O848+P848-Q848</f>
        <v>463125000</v>
      </c>
      <c r="S848" s="333">
        <f t="shared" ref="S848:S868" si="154">N848-R848</f>
        <v>154375000</v>
      </c>
    </row>
    <row r="849" spans="1:19" ht="15.75" customHeight="1">
      <c r="A849" s="266" t="s">
        <v>938</v>
      </c>
      <c r="D849" s="517"/>
      <c r="E849" s="518"/>
      <c r="F849" s="263"/>
      <c r="G849" s="634"/>
      <c r="H849" s="635" t="s">
        <v>890</v>
      </c>
      <c r="I849" s="363">
        <v>2012</v>
      </c>
      <c r="J849" s="377">
        <v>0.25</v>
      </c>
      <c r="K849" s="329">
        <v>95400000</v>
      </c>
      <c r="L849" s="333">
        <v>0</v>
      </c>
      <c r="M849" s="333">
        <v>0</v>
      </c>
      <c r="N849" s="329">
        <f t="shared" si="152"/>
        <v>95400000</v>
      </c>
      <c r="O849" s="329">
        <v>71550000</v>
      </c>
      <c r="P849" s="333">
        <v>0</v>
      </c>
      <c r="Q849" s="329">
        <v>0</v>
      </c>
      <c r="R849" s="329">
        <f t="shared" si="153"/>
        <v>71550000</v>
      </c>
      <c r="S849" s="333">
        <f t="shared" si="154"/>
        <v>23850000</v>
      </c>
    </row>
    <row r="850" spans="1:19" ht="15.75" customHeight="1">
      <c r="A850" s="266" t="s">
        <v>938</v>
      </c>
      <c r="D850" s="517"/>
      <c r="E850" s="518"/>
      <c r="F850" s="263"/>
      <c r="G850" s="634"/>
      <c r="H850" s="635" t="s">
        <v>891</v>
      </c>
      <c r="I850" s="363">
        <v>2014</v>
      </c>
      <c r="J850" s="377">
        <v>0.25</v>
      </c>
      <c r="K850" s="329">
        <v>48900000</v>
      </c>
      <c r="L850" s="333">
        <v>0</v>
      </c>
      <c r="M850" s="333">
        <v>0</v>
      </c>
      <c r="N850" s="329">
        <f t="shared" si="152"/>
        <v>48900000</v>
      </c>
      <c r="O850" s="329">
        <v>36675000</v>
      </c>
      <c r="P850" s="333">
        <v>0</v>
      </c>
      <c r="Q850" s="329">
        <v>0</v>
      </c>
      <c r="R850" s="329">
        <f t="shared" si="153"/>
        <v>36675000</v>
      </c>
      <c r="S850" s="333">
        <f t="shared" si="154"/>
        <v>12225000</v>
      </c>
    </row>
    <row r="851" spans="1:19" ht="15.75" customHeight="1">
      <c r="A851" s="266" t="s">
        <v>938</v>
      </c>
      <c r="D851" s="517"/>
      <c r="E851" s="518"/>
      <c r="F851" s="263"/>
      <c r="G851" s="634"/>
      <c r="H851" s="635" t="s">
        <v>892</v>
      </c>
      <c r="I851" s="363">
        <v>2016</v>
      </c>
      <c r="J851" s="377">
        <v>0.25</v>
      </c>
      <c r="K851" s="329">
        <v>959327031.60000002</v>
      </c>
      <c r="L851" s="333">
        <v>0</v>
      </c>
      <c r="M851" s="333">
        <v>0</v>
      </c>
      <c r="N851" s="329">
        <f t="shared" si="152"/>
        <v>959327031.60000002</v>
      </c>
      <c r="O851" s="329">
        <v>679010060.92499983</v>
      </c>
      <c r="P851" s="333">
        <v>0</v>
      </c>
      <c r="Q851" s="329">
        <v>0</v>
      </c>
      <c r="R851" s="329">
        <f t="shared" si="153"/>
        <v>679010060.92499983</v>
      </c>
      <c r="S851" s="333">
        <f t="shared" si="154"/>
        <v>280316970.67500019</v>
      </c>
    </row>
    <row r="852" spans="1:19" ht="15.75" customHeight="1">
      <c r="A852" s="266" t="s">
        <v>938</v>
      </c>
      <c r="D852" s="517"/>
      <c r="E852" s="518"/>
      <c r="F852" s="263"/>
      <c r="G852" s="634"/>
      <c r="H852" s="635" t="s">
        <v>893</v>
      </c>
      <c r="I852" s="363">
        <v>2016</v>
      </c>
      <c r="J852" s="377">
        <v>0.25</v>
      </c>
      <c r="K852" s="329">
        <v>1295126985</v>
      </c>
      <c r="L852" s="333">
        <v>0</v>
      </c>
      <c r="M852" s="333">
        <v>0</v>
      </c>
      <c r="N852" s="329">
        <f t="shared" si="152"/>
        <v>1295126985</v>
      </c>
      <c r="O852" s="329">
        <v>782472553.4375</v>
      </c>
      <c r="P852" s="333">
        <v>0</v>
      </c>
      <c r="Q852" s="329">
        <v>0</v>
      </c>
      <c r="R852" s="329">
        <f t="shared" si="153"/>
        <v>782472553.4375</v>
      </c>
      <c r="S852" s="333">
        <f t="shared" si="154"/>
        <v>512654431.5625</v>
      </c>
    </row>
    <row r="853" spans="1:19" ht="15.75" customHeight="1">
      <c r="A853" s="266" t="s">
        <v>938</v>
      </c>
      <c r="D853" s="517"/>
      <c r="E853" s="518"/>
      <c r="F853" s="263"/>
      <c r="G853" s="634"/>
      <c r="H853" s="635" t="s">
        <v>894</v>
      </c>
      <c r="I853" s="363">
        <v>2016</v>
      </c>
      <c r="J853" s="377">
        <v>0.25</v>
      </c>
      <c r="K853" s="329">
        <v>1673691360</v>
      </c>
      <c r="L853" s="333">
        <v>0</v>
      </c>
      <c r="M853" s="333">
        <v>0</v>
      </c>
      <c r="N853" s="329">
        <f t="shared" si="152"/>
        <v>1673691360</v>
      </c>
      <c r="O853" s="329">
        <v>976319960</v>
      </c>
      <c r="P853" s="333">
        <v>0</v>
      </c>
      <c r="Q853" s="329">
        <v>0</v>
      </c>
      <c r="R853" s="329">
        <f t="shared" si="153"/>
        <v>976319960</v>
      </c>
      <c r="S853" s="333">
        <f t="shared" si="154"/>
        <v>697371400</v>
      </c>
    </row>
    <row r="854" spans="1:19" ht="15.75" customHeight="1">
      <c r="A854" s="266" t="s">
        <v>938</v>
      </c>
      <c r="D854" s="517"/>
      <c r="E854" s="518"/>
      <c r="F854" s="263"/>
      <c r="G854" s="634"/>
      <c r="H854" s="635" t="s">
        <v>895</v>
      </c>
      <c r="I854" s="363">
        <v>2016</v>
      </c>
      <c r="J854" s="377">
        <v>0.25</v>
      </c>
      <c r="K854" s="329">
        <v>138272764</v>
      </c>
      <c r="L854" s="333">
        <v>0</v>
      </c>
      <c r="M854" s="333">
        <v>0</v>
      </c>
      <c r="N854" s="329">
        <f t="shared" si="152"/>
        <v>138272764</v>
      </c>
      <c r="O854" s="329">
        <v>77778429.75</v>
      </c>
      <c r="P854" s="333">
        <v>0</v>
      </c>
      <c r="Q854" s="329">
        <v>0</v>
      </c>
      <c r="R854" s="329">
        <f t="shared" si="153"/>
        <v>77778429.75</v>
      </c>
      <c r="S854" s="333">
        <f t="shared" si="154"/>
        <v>60494334.25</v>
      </c>
    </row>
    <row r="855" spans="1:19" ht="15.75" customHeight="1">
      <c r="A855" s="266" t="s">
        <v>938</v>
      </c>
      <c r="D855" s="517"/>
      <c r="E855" s="518"/>
      <c r="F855" s="263"/>
      <c r="G855" s="634"/>
      <c r="H855" s="635" t="s">
        <v>896</v>
      </c>
      <c r="I855" s="363">
        <v>2016</v>
      </c>
      <c r="J855" s="377">
        <v>0.25</v>
      </c>
      <c r="K855" s="329">
        <v>240394000</v>
      </c>
      <c r="L855" s="333">
        <v>0</v>
      </c>
      <c r="M855" s="333">
        <v>0</v>
      </c>
      <c r="N855" s="329">
        <f t="shared" si="152"/>
        <v>240394000</v>
      </c>
      <c r="O855" s="329">
        <v>135221625</v>
      </c>
      <c r="P855" s="333">
        <v>0</v>
      </c>
      <c r="Q855" s="329">
        <v>0</v>
      </c>
      <c r="R855" s="329">
        <f t="shared" si="153"/>
        <v>135221625</v>
      </c>
      <c r="S855" s="333">
        <f t="shared" si="154"/>
        <v>105172375</v>
      </c>
    </row>
    <row r="856" spans="1:19" ht="15.75" customHeight="1">
      <c r="A856" s="266" t="s">
        <v>938</v>
      </c>
      <c r="D856" s="517"/>
      <c r="E856" s="518"/>
      <c r="F856" s="263"/>
      <c r="G856" s="634"/>
      <c r="H856" s="635" t="s">
        <v>897</v>
      </c>
      <c r="I856" s="363">
        <v>2016</v>
      </c>
      <c r="J856" s="377">
        <v>0.25</v>
      </c>
      <c r="K856" s="329">
        <v>953018035</v>
      </c>
      <c r="L856" s="333">
        <v>0</v>
      </c>
      <c r="M856" s="333">
        <v>0</v>
      </c>
      <c r="N856" s="329">
        <f t="shared" si="152"/>
        <v>953018035</v>
      </c>
      <c r="O856" s="329">
        <v>516218102.29166669</v>
      </c>
      <c r="P856" s="333">
        <v>0</v>
      </c>
      <c r="Q856" s="329">
        <v>0</v>
      </c>
      <c r="R856" s="329">
        <f t="shared" si="153"/>
        <v>516218102.29166669</v>
      </c>
      <c r="S856" s="333">
        <f t="shared" si="154"/>
        <v>436799932.70833331</v>
      </c>
    </row>
    <row r="857" spans="1:19" s="317" customFormat="1" ht="15.75" customHeight="1">
      <c r="A857" s="266" t="s">
        <v>938</v>
      </c>
      <c r="B857" s="266"/>
      <c r="C857" s="266"/>
      <c r="D857" s="517"/>
      <c r="E857" s="518"/>
      <c r="F857" s="638"/>
      <c r="G857" s="636"/>
      <c r="H857" s="641" t="s">
        <v>898</v>
      </c>
      <c r="I857" s="363">
        <v>2016</v>
      </c>
      <c r="J857" s="377">
        <v>0.25</v>
      </c>
      <c r="K857" s="329">
        <v>953018035</v>
      </c>
      <c r="L857" s="333">
        <v>0</v>
      </c>
      <c r="M857" s="333">
        <v>0</v>
      </c>
      <c r="N857" s="329">
        <f t="shared" si="152"/>
        <v>953018035</v>
      </c>
      <c r="O857" s="329">
        <v>496363559.89583337</v>
      </c>
      <c r="P857" s="333">
        <v>0</v>
      </c>
      <c r="Q857" s="329">
        <v>0</v>
      </c>
      <c r="R857" s="329">
        <f t="shared" si="153"/>
        <v>496363559.89583337</v>
      </c>
      <c r="S857" s="333">
        <f t="shared" si="154"/>
        <v>456654475.10416663</v>
      </c>
    </row>
    <row r="858" spans="1:19" s="317" customFormat="1" ht="15.75" customHeight="1">
      <c r="A858" s="266"/>
      <c r="B858" s="266"/>
      <c r="C858" s="266"/>
      <c r="D858" s="517"/>
      <c r="E858" s="518"/>
      <c r="F858" s="638"/>
      <c r="G858" s="636"/>
      <c r="H858" s="650" t="s">
        <v>899</v>
      </c>
      <c r="I858" s="651">
        <v>2017</v>
      </c>
      <c r="J858" s="377">
        <v>0.25</v>
      </c>
      <c r="K858" s="329">
        <v>476509018</v>
      </c>
      <c r="L858" s="333">
        <v>0</v>
      </c>
      <c r="M858" s="333">
        <v>0</v>
      </c>
      <c r="N858" s="329">
        <f t="shared" si="152"/>
        <v>476509018</v>
      </c>
      <c r="O858" s="329">
        <v>208472695.375</v>
      </c>
      <c r="P858" s="333">
        <v>0</v>
      </c>
      <c r="Q858" s="329">
        <v>0</v>
      </c>
      <c r="R858" s="329">
        <f t="shared" si="153"/>
        <v>208472695.375</v>
      </c>
      <c r="S858" s="333">
        <f t="shared" si="154"/>
        <v>268036322.625</v>
      </c>
    </row>
    <row r="859" spans="1:19" s="317" customFormat="1" ht="15.75" customHeight="1">
      <c r="A859" s="266"/>
      <c r="B859" s="266"/>
      <c r="C859" s="266"/>
      <c r="D859" s="517"/>
      <c r="E859" s="518"/>
      <c r="F859" s="638"/>
      <c r="G859" s="636"/>
      <c r="H859" s="652" t="s">
        <v>900</v>
      </c>
      <c r="I859" s="651">
        <v>2017</v>
      </c>
      <c r="J859" s="377">
        <v>0.25</v>
      </c>
      <c r="K859" s="329">
        <v>467349120</v>
      </c>
      <c r="L859" s="333">
        <v>0</v>
      </c>
      <c r="M859" s="333">
        <v>0</v>
      </c>
      <c r="N859" s="329">
        <f t="shared" si="152"/>
        <v>467349120</v>
      </c>
      <c r="O859" s="329">
        <v>194728800</v>
      </c>
      <c r="P859" s="333">
        <v>0</v>
      </c>
      <c r="Q859" s="329">
        <v>0</v>
      </c>
      <c r="R859" s="329">
        <f t="shared" si="153"/>
        <v>194728800</v>
      </c>
      <c r="S859" s="333">
        <f t="shared" si="154"/>
        <v>272620320</v>
      </c>
    </row>
    <row r="860" spans="1:19" s="317" customFormat="1" ht="15.75" customHeight="1">
      <c r="A860" s="266"/>
      <c r="B860" s="266"/>
      <c r="C860" s="266"/>
      <c r="D860" s="517"/>
      <c r="E860" s="518"/>
      <c r="F860" s="638"/>
      <c r="G860" s="636"/>
      <c r="H860" s="652" t="s">
        <v>900</v>
      </c>
      <c r="I860" s="651">
        <v>2017</v>
      </c>
      <c r="J860" s="377">
        <v>0.25</v>
      </c>
      <c r="K860" s="329">
        <v>934698240</v>
      </c>
      <c r="L860" s="333">
        <v>0</v>
      </c>
      <c r="M860" s="333">
        <v>0</v>
      </c>
      <c r="N860" s="329">
        <f t="shared" si="152"/>
        <v>934698240</v>
      </c>
      <c r="O860" s="329">
        <v>369984720</v>
      </c>
      <c r="P860" s="333">
        <v>0</v>
      </c>
      <c r="Q860" s="329">
        <v>0</v>
      </c>
      <c r="R860" s="329">
        <f t="shared" si="153"/>
        <v>369984720</v>
      </c>
      <c r="S860" s="333">
        <f t="shared" si="154"/>
        <v>564713520</v>
      </c>
    </row>
    <row r="861" spans="1:19" s="317" customFormat="1" ht="15.75" customHeight="1">
      <c r="A861" s="266"/>
      <c r="B861" s="266"/>
      <c r="C861" s="266"/>
      <c r="D861" s="517"/>
      <c r="E861" s="518"/>
      <c r="F861" s="638"/>
      <c r="G861" s="636"/>
      <c r="H861" s="652" t="s">
        <v>900</v>
      </c>
      <c r="I861" s="651">
        <v>2017</v>
      </c>
      <c r="J861" s="377">
        <v>0.25</v>
      </c>
      <c r="K861" s="329">
        <v>467349120</v>
      </c>
      <c r="L861" s="333">
        <v>0</v>
      </c>
      <c r="M861" s="333">
        <v>0</v>
      </c>
      <c r="N861" s="329">
        <f t="shared" si="152"/>
        <v>467349120</v>
      </c>
      <c r="O861" s="329">
        <v>165519480</v>
      </c>
      <c r="P861" s="333">
        <v>0</v>
      </c>
      <c r="Q861" s="329">
        <v>0</v>
      </c>
      <c r="R861" s="329">
        <f t="shared" si="153"/>
        <v>165519480</v>
      </c>
      <c r="S861" s="333">
        <f t="shared" si="154"/>
        <v>301829640</v>
      </c>
    </row>
    <row r="862" spans="1:19" s="317" customFormat="1" ht="15.75" customHeight="1">
      <c r="A862" s="266"/>
      <c r="B862" s="266"/>
      <c r="C862" s="266"/>
      <c r="D862" s="517"/>
      <c r="E862" s="518"/>
      <c r="F862" s="638"/>
      <c r="G862" s="636"/>
      <c r="H862" s="652" t="s">
        <v>901</v>
      </c>
      <c r="I862" s="651">
        <v>2017</v>
      </c>
      <c r="J862" s="377">
        <v>0.25</v>
      </c>
      <c r="K862" s="329">
        <v>499520000</v>
      </c>
      <c r="L862" s="333">
        <v>0</v>
      </c>
      <c r="M862" s="333">
        <v>0</v>
      </c>
      <c r="N862" s="329">
        <f t="shared" si="152"/>
        <v>499520000</v>
      </c>
      <c r="O862" s="329">
        <v>145693333.33333334</v>
      </c>
      <c r="P862" s="333">
        <v>0</v>
      </c>
      <c r="Q862" s="329">
        <v>0</v>
      </c>
      <c r="R862" s="329">
        <f t="shared" si="153"/>
        <v>145693333.33333334</v>
      </c>
      <c r="S862" s="333">
        <f t="shared" si="154"/>
        <v>353826666.66666663</v>
      </c>
    </row>
    <row r="863" spans="1:19" s="317" customFormat="1" ht="15.75" customHeight="1">
      <c r="A863" s="266"/>
      <c r="B863" s="266"/>
      <c r="C863" s="266"/>
      <c r="D863" s="517"/>
      <c r="E863" s="518"/>
      <c r="F863" s="653"/>
      <c r="G863" s="634"/>
      <c r="H863" s="654" t="s">
        <v>902</v>
      </c>
      <c r="I863" s="655">
        <v>2017</v>
      </c>
      <c r="J863" s="377">
        <v>0.25</v>
      </c>
      <c r="K863" s="329">
        <v>447552000</v>
      </c>
      <c r="L863" s="329">
        <v>0</v>
      </c>
      <c r="M863" s="329">
        <v>0</v>
      </c>
      <c r="N863" s="329">
        <f t="shared" si="152"/>
        <v>447552000</v>
      </c>
      <c r="O863" s="329">
        <v>121212000</v>
      </c>
      <c r="P863" s="333">
        <v>0</v>
      </c>
      <c r="Q863" s="329">
        <v>0</v>
      </c>
      <c r="R863" s="329">
        <f t="shared" si="153"/>
        <v>121212000</v>
      </c>
      <c r="S863" s="333">
        <f t="shared" si="154"/>
        <v>326340000</v>
      </c>
    </row>
    <row r="864" spans="1:19" s="317" customFormat="1" ht="15.75" customHeight="1">
      <c r="A864" s="266"/>
      <c r="B864" s="266"/>
      <c r="C864" s="266"/>
      <c r="D864" s="517"/>
      <c r="E864" s="518"/>
      <c r="F864" s="526"/>
      <c r="G864" s="636"/>
      <c r="H864" s="656" t="s">
        <v>902</v>
      </c>
      <c r="I864" s="503" t="s">
        <v>689</v>
      </c>
      <c r="J864" s="377">
        <v>0.25</v>
      </c>
      <c r="K864" s="333">
        <v>1019607120</v>
      </c>
      <c r="L864" s="329">
        <v>0</v>
      </c>
      <c r="M864" s="329">
        <v>0</v>
      </c>
      <c r="N864" s="329">
        <f t="shared" si="152"/>
        <v>1019607120</v>
      </c>
      <c r="O864" s="329">
        <v>212418150</v>
      </c>
      <c r="P864" s="333">
        <v>0</v>
      </c>
      <c r="Q864" s="329">
        <v>0</v>
      </c>
      <c r="R864" s="329">
        <f t="shared" si="153"/>
        <v>212418150</v>
      </c>
      <c r="S864" s="333">
        <f t="shared" si="154"/>
        <v>807188970</v>
      </c>
    </row>
    <row r="865" spans="1:19" s="317" customFormat="1" ht="15.75" customHeight="1">
      <c r="A865" s="266"/>
      <c r="B865" s="266"/>
      <c r="C865" s="266"/>
      <c r="D865" s="517"/>
      <c r="E865" s="518"/>
      <c r="F865" s="526"/>
      <c r="G865" s="636"/>
      <c r="H865" s="656" t="s">
        <v>903</v>
      </c>
      <c r="I865" s="503" t="s">
        <v>690</v>
      </c>
      <c r="J865" s="377">
        <v>0.25</v>
      </c>
      <c r="K865" s="333">
        <v>3111405223</v>
      </c>
      <c r="L865" s="329">
        <v>0</v>
      </c>
      <c r="M865" s="329">
        <v>0</v>
      </c>
      <c r="N865" s="329">
        <f t="shared" si="152"/>
        <v>3111405223</v>
      </c>
      <c r="O865" s="329">
        <v>648209421.45833337</v>
      </c>
      <c r="P865" s="333">
        <v>0</v>
      </c>
      <c r="Q865" s="329">
        <v>0</v>
      </c>
      <c r="R865" s="329">
        <f t="shared" si="153"/>
        <v>648209421.45833337</v>
      </c>
      <c r="S865" s="333">
        <f t="shared" si="154"/>
        <v>2463195801.5416665</v>
      </c>
    </row>
    <row r="866" spans="1:19" s="317" customFormat="1" ht="15.75" customHeight="1">
      <c r="A866" s="266"/>
      <c r="B866" s="266"/>
      <c r="C866" s="266"/>
      <c r="D866" s="517"/>
      <c r="E866" s="518"/>
      <c r="F866" s="526"/>
      <c r="G866" s="636"/>
      <c r="H866" s="656" t="s">
        <v>902</v>
      </c>
      <c r="I866" s="503" t="s">
        <v>840</v>
      </c>
      <c r="J866" s="377">
        <v>0.25</v>
      </c>
      <c r="K866" s="333">
        <v>118109091</v>
      </c>
      <c r="L866" s="329">
        <v>0</v>
      </c>
      <c r="M866" s="329">
        <v>0</v>
      </c>
      <c r="N866" s="329">
        <f t="shared" si="152"/>
        <v>118109091</v>
      </c>
      <c r="O866" s="329">
        <v>17224242.4375</v>
      </c>
      <c r="P866" s="333">
        <v>0</v>
      </c>
      <c r="Q866" s="329">
        <v>0</v>
      </c>
      <c r="R866" s="329">
        <f t="shared" si="153"/>
        <v>17224242.4375</v>
      </c>
      <c r="S866" s="333">
        <f t="shared" si="154"/>
        <v>100884848.5625</v>
      </c>
    </row>
    <row r="867" spans="1:19" s="317" customFormat="1" ht="15.75" customHeight="1">
      <c r="A867" s="266"/>
      <c r="B867" s="266"/>
      <c r="C867" s="266"/>
      <c r="D867" s="517"/>
      <c r="E867" s="518"/>
      <c r="F867" s="526"/>
      <c r="G867" s="636"/>
      <c r="H867" s="656" t="s">
        <v>904</v>
      </c>
      <c r="I867" s="503" t="s">
        <v>846</v>
      </c>
      <c r="J867" s="377">
        <v>0.25</v>
      </c>
      <c r="K867" s="333">
        <v>194880026</v>
      </c>
      <c r="L867" s="329">
        <v>0</v>
      </c>
      <c r="M867" s="329">
        <v>0</v>
      </c>
      <c r="N867" s="329">
        <f t="shared" si="152"/>
        <v>194880026</v>
      </c>
      <c r="O867" s="329">
        <v>20300002.708333332</v>
      </c>
      <c r="P867" s="333">
        <v>0</v>
      </c>
      <c r="Q867" s="329">
        <v>0</v>
      </c>
      <c r="R867" s="329">
        <f t="shared" si="153"/>
        <v>20300002.708333332</v>
      </c>
      <c r="S867" s="333">
        <f t="shared" si="154"/>
        <v>174580023.29166666</v>
      </c>
    </row>
    <row r="868" spans="1:19" s="317" customFormat="1" ht="15.75" customHeight="1">
      <c r="A868" s="266"/>
      <c r="B868" s="266"/>
      <c r="C868" s="266"/>
      <c r="D868" s="517"/>
      <c r="E868" s="518"/>
      <c r="F868" s="529"/>
      <c r="G868" s="657"/>
      <c r="H868" s="658" t="s">
        <v>905</v>
      </c>
      <c r="I868" s="659" t="s">
        <v>694</v>
      </c>
      <c r="J868" s="377">
        <v>0.25</v>
      </c>
      <c r="K868" s="333">
        <v>65808556</v>
      </c>
      <c r="L868" s="329">
        <v>0</v>
      </c>
      <c r="M868" s="329">
        <v>0</v>
      </c>
      <c r="N868" s="329">
        <f t="shared" si="152"/>
        <v>65808556</v>
      </c>
      <c r="O868" s="329">
        <v>6855057.916666666</v>
      </c>
      <c r="P868" s="333">
        <v>0</v>
      </c>
      <c r="Q868" s="329">
        <v>0</v>
      </c>
      <c r="R868" s="329">
        <f t="shared" si="153"/>
        <v>6855057.916666666</v>
      </c>
      <c r="S868" s="333">
        <f t="shared" si="154"/>
        <v>58953498.083333336</v>
      </c>
    </row>
    <row r="869" spans="1:19" ht="15.75" customHeight="1">
      <c r="A869" s="266" t="s">
        <v>938</v>
      </c>
      <c r="D869" s="309"/>
      <c r="E869" s="1235" t="s">
        <v>1064</v>
      </c>
      <c r="F869" s="1236"/>
      <c r="G869" s="1236"/>
      <c r="H869" s="1236"/>
      <c r="I869" s="1236"/>
      <c r="J869" s="1237"/>
      <c r="K869" s="342">
        <f>SUM(K848:K868)</f>
        <v>14777435724.6</v>
      </c>
      <c r="L869" s="342">
        <f t="shared" ref="L869:S869" si="155">SUM(L848:L868)</f>
        <v>0</v>
      </c>
      <c r="M869" s="342">
        <f t="shared" si="155"/>
        <v>0</v>
      </c>
      <c r="N869" s="342">
        <f t="shared" si="155"/>
        <v>14777435724.6</v>
      </c>
      <c r="O869" s="342">
        <f t="shared" si="155"/>
        <v>6345352194.5291653</v>
      </c>
      <c r="P869" s="342">
        <f t="shared" si="155"/>
        <v>0</v>
      </c>
      <c r="Q869" s="342">
        <f t="shared" si="155"/>
        <v>0</v>
      </c>
      <c r="R869" s="342">
        <f t="shared" si="155"/>
        <v>6345352194.5291653</v>
      </c>
      <c r="S869" s="342">
        <f t="shared" si="155"/>
        <v>8432083530.0708332</v>
      </c>
    </row>
    <row r="870" spans="1:19" ht="15.75" customHeight="1">
      <c r="D870" s="517"/>
      <c r="E870" s="518"/>
      <c r="F870" s="647"/>
      <c r="G870" s="634"/>
      <c r="H870" s="635"/>
      <c r="I870" s="648"/>
      <c r="J870" s="648"/>
      <c r="K870" s="358"/>
      <c r="L870" s="358"/>
      <c r="M870" s="358"/>
      <c r="N870" s="358"/>
      <c r="O870" s="358"/>
      <c r="P870" s="358"/>
      <c r="Q870" s="358"/>
      <c r="R870" s="358"/>
      <c r="S870" s="358"/>
    </row>
    <row r="871" spans="1:19" ht="15.75" customHeight="1">
      <c r="A871" s="266" t="s">
        <v>941</v>
      </c>
      <c r="D871" s="517"/>
      <c r="E871" s="518" t="s">
        <v>1065</v>
      </c>
      <c r="F871" s="263" t="s">
        <v>906</v>
      </c>
      <c r="G871" s="634"/>
      <c r="H871" s="635"/>
      <c r="I871" s="649"/>
      <c r="J871" s="377"/>
      <c r="K871" s="329"/>
      <c r="L871" s="333"/>
      <c r="M871" s="333"/>
      <c r="N871" s="329"/>
      <c r="O871" s="329"/>
      <c r="P871" s="329"/>
      <c r="Q871" s="329"/>
      <c r="R871" s="329"/>
      <c r="S871" s="329"/>
    </row>
    <row r="872" spans="1:19" ht="15.75" customHeight="1">
      <c r="A872" s="266" t="s">
        <v>941</v>
      </c>
      <c r="D872" s="517"/>
      <c r="E872" s="518"/>
      <c r="F872" s="263"/>
      <c r="G872" s="634"/>
      <c r="H872" s="635" t="s">
        <v>907</v>
      </c>
      <c r="I872" s="363">
        <v>2009</v>
      </c>
      <c r="J872" s="377">
        <v>0.25</v>
      </c>
      <c r="K872" s="333">
        <v>267700000</v>
      </c>
      <c r="L872" s="333">
        <v>0</v>
      </c>
      <c r="M872" s="333">
        <v>0</v>
      </c>
      <c r="N872" s="329">
        <f>K872+L872-M872</f>
        <v>267700000</v>
      </c>
      <c r="O872" s="329">
        <v>267700000</v>
      </c>
      <c r="P872" s="333">
        <v>0</v>
      </c>
      <c r="Q872" s="329">
        <v>0</v>
      </c>
      <c r="R872" s="329">
        <f>O872+P872-Q872</f>
        <v>267700000</v>
      </c>
      <c r="S872" s="333">
        <f>N872-R872</f>
        <v>0</v>
      </c>
    </row>
    <row r="873" spans="1:19" ht="15.75" customHeight="1">
      <c r="A873" s="266" t="s">
        <v>941</v>
      </c>
      <c r="D873" s="517"/>
      <c r="E873" s="518"/>
      <c r="F873" s="263"/>
      <c r="G873" s="634"/>
      <c r="H873" s="635" t="s">
        <v>908</v>
      </c>
      <c r="I873" s="363">
        <v>2010</v>
      </c>
      <c r="J873" s="377">
        <v>0.25</v>
      </c>
      <c r="K873" s="333">
        <v>627500000</v>
      </c>
      <c r="L873" s="333">
        <v>0</v>
      </c>
      <c r="M873" s="333">
        <v>0</v>
      </c>
      <c r="N873" s="329">
        <f>K873+L873-M873</f>
        <v>627500000</v>
      </c>
      <c r="O873" s="329">
        <v>627500000</v>
      </c>
      <c r="P873" s="333">
        <v>0</v>
      </c>
      <c r="Q873" s="329">
        <v>0</v>
      </c>
      <c r="R873" s="329">
        <f>O873+P873-Q873</f>
        <v>627500000</v>
      </c>
      <c r="S873" s="333">
        <f>N873-R873</f>
        <v>0</v>
      </c>
    </row>
    <row r="874" spans="1:19" ht="15.75" customHeight="1">
      <c r="A874" s="266" t="s">
        <v>941</v>
      </c>
      <c r="D874" s="517"/>
      <c r="E874" s="518"/>
      <c r="F874" s="263"/>
      <c r="G874" s="634"/>
      <c r="H874" s="635" t="s">
        <v>909</v>
      </c>
      <c r="I874" s="363">
        <v>2014</v>
      </c>
      <c r="J874" s="377">
        <v>0.25</v>
      </c>
      <c r="K874" s="333">
        <v>38300000</v>
      </c>
      <c r="L874" s="333">
        <v>0</v>
      </c>
      <c r="M874" s="333">
        <v>0</v>
      </c>
      <c r="N874" s="329">
        <f>K874+L874-M874</f>
        <v>38300000</v>
      </c>
      <c r="O874" s="329">
        <v>38300000</v>
      </c>
      <c r="P874" s="333">
        <v>0</v>
      </c>
      <c r="Q874" s="329">
        <v>0</v>
      </c>
      <c r="R874" s="329">
        <f>O874+P874-Q874</f>
        <v>38300000</v>
      </c>
      <c r="S874" s="333">
        <f>N874-R874</f>
        <v>0</v>
      </c>
    </row>
    <row r="875" spans="1:19" s="317" customFormat="1" ht="15.75" customHeight="1">
      <c r="A875" s="266" t="s">
        <v>941</v>
      </c>
      <c r="B875" s="266"/>
      <c r="C875" s="266"/>
      <c r="D875" s="517"/>
      <c r="E875" s="518"/>
      <c r="F875" s="263"/>
      <c r="G875" s="634"/>
      <c r="H875" s="635" t="s">
        <v>910</v>
      </c>
      <c r="I875" s="363">
        <v>2014</v>
      </c>
      <c r="J875" s="377">
        <v>0.25</v>
      </c>
      <c r="K875" s="333">
        <v>285200000</v>
      </c>
      <c r="L875" s="333">
        <v>0</v>
      </c>
      <c r="M875" s="333">
        <v>0</v>
      </c>
      <c r="N875" s="329">
        <f>K875+L875-M875</f>
        <v>285200000</v>
      </c>
      <c r="O875" s="329">
        <v>285200000</v>
      </c>
      <c r="P875" s="333">
        <v>0</v>
      </c>
      <c r="Q875" s="329">
        <v>0</v>
      </c>
      <c r="R875" s="329">
        <f>O875+P875-Q875</f>
        <v>285200000</v>
      </c>
      <c r="S875" s="333">
        <f>N875-R875</f>
        <v>0</v>
      </c>
    </row>
    <row r="876" spans="1:19" ht="15.75" customHeight="1">
      <c r="A876" s="266" t="s">
        <v>941</v>
      </c>
      <c r="D876" s="309"/>
      <c r="E876" s="1235" t="s">
        <v>1066</v>
      </c>
      <c r="F876" s="1236"/>
      <c r="G876" s="1236"/>
      <c r="H876" s="1236"/>
      <c r="I876" s="1236"/>
      <c r="J876" s="1237"/>
      <c r="K876" s="342">
        <f>SUM(K872:K875)</f>
        <v>1218700000</v>
      </c>
      <c r="L876" s="342">
        <f t="shared" ref="L876:S876" si="156">SUM(L872:L875)</f>
        <v>0</v>
      </c>
      <c r="M876" s="342">
        <f t="shared" si="156"/>
        <v>0</v>
      </c>
      <c r="N876" s="342">
        <f t="shared" si="156"/>
        <v>1218700000</v>
      </c>
      <c r="O876" s="342">
        <f t="shared" si="156"/>
        <v>1218700000</v>
      </c>
      <c r="P876" s="342">
        <f t="shared" si="156"/>
        <v>0</v>
      </c>
      <c r="Q876" s="342">
        <f t="shared" si="156"/>
        <v>0</v>
      </c>
      <c r="R876" s="342">
        <f t="shared" si="156"/>
        <v>1218700000</v>
      </c>
      <c r="S876" s="342">
        <f t="shared" si="156"/>
        <v>0</v>
      </c>
    </row>
    <row r="877" spans="1:19" ht="15.75" customHeight="1">
      <c r="D877" s="517"/>
      <c r="E877" s="518"/>
      <c r="F877" s="647"/>
      <c r="G877" s="634"/>
      <c r="H877" s="635"/>
      <c r="I877" s="648"/>
      <c r="J877" s="648"/>
      <c r="K877" s="358"/>
      <c r="L877" s="358"/>
      <c r="M877" s="358"/>
      <c r="N877" s="358"/>
      <c r="O877" s="358"/>
      <c r="P877" s="358"/>
      <c r="Q877" s="358"/>
      <c r="R877" s="358"/>
      <c r="S877" s="358"/>
    </row>
    <row r="878" spans="1:19" ht="15.75" customHeight="1">
      <c r="A878" s="266" t="s">
        <v>944</v>
      </c>
      <c r="D878" s="517"/>
      <c r="E878" s="518" t="s">
        <v>1067</v>
      </c>
      <c r="F878" s="263" t="s">
        <v>911</v>
      </c>
      <c r="G878" s="634"/>
      <c r="H878" s="635"/>
      <c r="I878" s="649"/>
      <c r="J878" s="377"/>
      <c r="K878" s="329"/>
      <c r="L878" s="333"/>
      <c r="M878" s="333"/>
      <c r="N878" s="329"/>
      <c r="O878" s="329"/>
      <c r="P878" s="329"/>
      <c r="Q878" s="329"/>
      <c r="R878" s="329"/>
      <c r="S878" s="329"/>
    </row>
    <row r="879" spans="1:19" ht="15.75" customHeight="1">
      <c r="A879" s="266" t="s">
        <v>944</v>
      </c>
      <c r="D879" s="517"/>
      <c r="E879" s="518"/>
      <c r="F879" s="263"/>
      <c r="G879" s="634"/>
      <c r="H879" s="635" t="s">
        <v>889</v>
      </c>
      <c r="I879" s="363">
        <v>2010</v>
      </c>
      <c r="J879" s="377">
        <v>0.25</v>
      </c>
      <c r="K879" s="329">
        <v>221200000</v>
      </c>
      <c r="L879" s="333">
        <v>0</v>
      </c>
      <c r="M879" s="333">
        <v>0</v>
      </c>
      <c r="N879" s="329">
        <f t="shared" ref="N879:N886" si="157">K879+L879-M879</f>
        <v>221200000</v>
      </c>
      <c r="O879" s="329">
        <v>221199999.99999997</v>
      </c>
      <c r="P879" s="333">
        <v>0</v>
      </c>
      <c r="Q879" s="329">
        <v>0</v>
      </c>
      <c r="R879" s="329">
        <f>O879+P879-Q879</f>
        <v>221199999.99999997</v>
      </c>
      <c r="S879" s="333">
        <f t="shared" ref="S879:S886" si="158">N879-R879</f>
        <v>0</v>
      </c>
    </row>
    <row r="880" spans="1:19" s="317" customFormat="1" ht="15.75" customHeight="1">
      <c r="A880" s="266" t="s">
        <v>944</v>
      </c>
      <c r="B880" s="266"/>
      <c r="C880" s="266"/>
      <c r="D880" s="517"/>
      <c r="E880" s="518"/>
      <c r="F880" s="263"/>
      <c r="G880" s="634"/>
      <c r="H880" s="641" t="s">
        <v>912</v>
      </c>
      <c r="I880" s="373">
        <v>2014</v>
      </c>
      <c r="J880" s="377">
        <v>0.25</v>
      </c>
      <c r="K880" s="329">
        <v>995300000</v>
      </c>
      <c r="L880" s="329">
        <v>0</v>
      </c>
      <c r="M880" s="329">
        <v>0</v>
      </c>
      <c r="N880" s="329">
        <f t="shared" si="157"/>
        <v>995300000</v>
      </c>
      <c r="O880" s="329">
        <v>995299999.99999928</v>
      </c>
      <c r="P880" s="333">
        <v>0</v>
      </c>
      <c r="Q880" s="329">
        <v>0</v>
      </c>
      <c r="R880" s="329">
        <f t="shared" ref="R880:R886" si="159">O880+P880-Q880</f>
        <v>995299999.99999928</v>
      </c>
      <c r="S880" s="333">
        <f t="shared" si="158"/>
        <v>0</v>
      </c>
    </row>
    <row r="881" spans="1:19" s="317" customFormat="1" ht="15.75" customHeight="1">
      <c r="A881" s="266"/>
      <c r="B881" s="266"/>
      <c r="C881" s="266"/>
      <c r="D881" s="660"/>
      <c r="E881" s="661"/>
      <c r="F881" s="638"/>
      <c r="G881" s="636"/>
      <c r="H881" s="656" t="s">
        <v>913</v>
      </c>
      <c r="I881" s="363">
        <v>2017</v>
      </c>
      <c r="J881" s="393">
        <v>0.25</v>
      </c>
      <c r="K881" s="333">
        <v>309176000</v>
      </c>
      <c r="L881" s="333">
        <v>0</v>
      </c>
      <c r="M881" s="333">
        <v>0</v>
      </c>
      <c r="N881" s="329">
        <f t="shared" si="157"/>
        <v>309176000</v>
      </c>
      <c r="O881" s="333">
        <v>309175999.99999994</v>
      </c>
      <c r="P881" s="333">
        <v>0</v>
      </c>
      <c r="Q881" s="333">
        <v>0</v>
      </c>
      <c r="R881" s="329">
        <f t="shared" si="159"/>
        <v>309175999.99999994</v>
      </c>
      <c r="S881" s="333">
        <f t="shared" si="158"/>
        <v>0</v>
      </c>
    </row>
    <row r="882" spans="1:19" s="317" customFormat="1" ht="15.75" customHeight="1">
      <c r="A882" s="266"/>
      <c r="B882" s="266"/>
      <c r="C882" s="266"/>
      <c r="D882" s="660"/>
      <c r="E882" s="661"/>
      <c r="F882" s="638"/>
      <c r="G882" s="636"/>
      <c r="H882" s="656" t="s">
        <v>903</v>
      </c>
      <c r="I882" s="363">
        <v>2018</v>
      </c>
      <c r="J882" s="393">
        <v>0.25</v>
      </c>
      <c r="K882" s="333">
        <v>1144009868</v>
      </c>
      <c r="L882" s="333">
        <v>0</v>
      </c>
      <c r="M882" s="333">
        <v>0</v>
      </c>
      <c r="N882" s="329">
        <f t="shared" si="157"/>
        <v>1144009868</v>
      </c>
      <c r="O882" s="333">
        <v>1096342790.166666</v>
      </c>
      <c r="P882" s="333"/>
      <c r="Q882" s="333">
        <v>0</v>
      </c>
      <c r="R882" s="329">
        <f t="shared" si="159"/>
        <v>1096342790.166666</v>
      </c>
      <c r="S882" s="333">
        <f t="shared" si="158"/>
        <v>47667077.833333969</v>
      </c>
    </row>
    <row r="883" spans="1:19" s="317" customFormat="1" ht="15.75" customHeight="1">
      <c r="A883" s="266"/>
      <c r="B883" s="266"/>
      <c r="C883" s="266"/>
      <c r="D883" s="660"/>
      <c r="E883" s="661"/>
      <c r="F883" s="638"/>
      <c r="G883" s="636"/>
      <c r="H883" s="656" t="s">
        <v>914</v>
      </c>
      <c r="I883" s="363">
        <v>2018</v>
      </c>
      <c r="J883" s="393">
        <v>0.25</v>
      </c>
      <c r="K883" s="333">
        <v>8166600</v>
      </c>
      <c r="L883" s="333">
        <v>0</v>
      </c>
      <c r="M883" s="333">
        <v>0</v>
      </c>
      <c r="N883" s="329">
        <f t="shared" si="157"/>
        <v>8166600</v>
      </c>
      <c r="O883" s="333">
        <v>6295087.5</v>
      </c>
      <c r="P883" s="333"/>
      <c r="Q883" s="333">
        <v>0</v>
      </c>
      <c r="R883" s="329">
        <f t="shared" si="159"/>
        <v>6295087.5</v>
      </c>
      <c r="S883" s="333">
        <f t="shared" si="158"/>
        <v>1871512.5</v>
      </c>
    </row>
    <row r="884" spans="1:19" s="317" customFormat="1" ht="15.75" customHeight="1">
      <c r="A884" s="266"/>
      <c r="B884" s="266"/>
      <c r="C884" s="266"/>
      <c r="D884" s="660"/>
      <c r="E884" s="661"/>
      <c r="F884" s="638"/>
      <c r="G884" s="636"/>
      <c r="H884" s="656" t="s">
        <v>915</v>
      </c>
      <c r="I884" s="363">
        <v>2018</v>
      </c>
      <c r="J884" s="393">
        <v>0.25</v>
      </c>
      <c r="K884" s="333">
        <v>315897213</v>
      </c>
      <c r="L884" s="333">
        <v>0</v>
      </c>
      <c r="M884" s="333">
        <v>0</v>
      </c>
      <c r="N884" s="329">
        <f t="shared" si="157"/>
        <v>315897213</v>
      </c>
      <c r="O884" s="333">
        <v>243504101.6875</v>
      </c>
      <c r="P884" s="333"/>
      <c r="Q884" s="333">
        <v>0</v>
      </c>
      <c r="R884" s="329">
        <f t="shared" si="159"/>
        <v>243504101.6875</v>
      </c>
      <c r="S884" s="333">
        <f t="shared" si="158"/>
        <v>72393111.3125</v>
      </c>
    </row>
    <row r="885" spans="1:19" s="317" customFormat="1" ht="15.75" customHeight="1">
      <c r="A885" s="266"/>
      <c r="B885" s="266"/>
      <c r="C885" s="266"/>
      <c r="D885" s="660"/>
      <c r="E885" s="661"/>
      <c r="F885" s="638"/>
      <c r="G885" s="636"/>
      <c r="H885" s="656" t="s">
        <v>916</v>
      </c>
      <c r="I885" s="363">
        <v>2018</v>
      </c>
      <c r="J885" s="393">
        <v>0.25</v>
      </c>
      <c r="K885" s="333">
        <v>269252000</v>
      </c>
      <c r="L885" s="333">
        <v>0</v>
      </c>
      <c r="M885" s="333">
        <v>0</v>
      </c>
      <c r="N885" s="329">
        <f t="shared" si="157"/>
        <v>269252000</v>
      </c>
      <c r="O885" s="333">
        <v>201938999.99999991</v>
      </c>
      <c r="P885" s="333"/>
      <c r="Q885" s="333">
        <v>0</v>
      </c>
      <c r="R885" s="329">
        <f t="shared" si="159"/>
        <v>201938999.99999991</v>
      </c>
      <c r="S885" s="333">
        <f t="shared" si="158"/>
        <v>67313000.000000089</v>
      </c>
    </row>
    <row r="886" spans="1:19" s="317" customFormat="1" ht="15.75" customHeight="1">
      <c r="A886" s="266"/>
      <c r="B886" s="266"/>
      <c r="C886" s="266"/>
      <c r="D886" s="517"/>
      <c r="E886" s="662"/>
      <c r="F886" s="663"/>
      <c r="G886" s="657"/>
      <c r="H886" s="664" t="s">
        <v>917</v>
      </c>
      <c r="I886" s="382">
        <v>43524</v>
      </c>
      <c r="J886" s="383">
        <v>0.25</v>
      </c>
      <c r="K886" s="339">
        <v>246294901</v>
      </c>
      <c r="L886" s="339"/>
      <c r="M886" s="339">
        <v>0</v>
      </c>
      <c r="N886" s="339">
        <f t="shared" si="157"/>
        <v>246294901</v>
      </c>
      <c r="O886" s="339">
        <v>174458887.85416666</v>
      </c>
      <c r="P886" s="333"/>
      <c r="Q886" s="339">
        <v>0</v>
      </c>
      <c r="R886" s="329">
        <f t="shared" si="159"/>
        <v>174458887.85416666</v>
      </c>
      <c r="S886" s="339">
        <f t="shared" si="158"/>
        <v>71836013.145833343</v>
      </c>
    </row>
    <row r="887" spans="1:19" ht="15.75" customHeight="1">
      <c r="A887" s="266" t="s">
        <v>944</v>
      </c>
      <c r="D887" s="309"/>
      <c r="E887" s="1238" t="s">
        <v>1068</v>
      </c>
      <c r="F887" s="1239"/>
      <c r="G887" s="1239"/>
      <c r="H887" s="1239"/>
      <c r="I887" s="1239"/>
      <c r="J887" s="1240"/>
      <c r="K887" s="629">
        <f>SUM(K879:K886)</f>
        <v>3509296582</v>
      </c>
      <c r="L887" s="629">
        <f t="shared" ref="L887:S887" si="160">SUM(L879:L886)</f>
        <v>0</v>
      </c>
      <c r="M887" s="629">
        <f t="shared" si="160"/>
        <v>0</v>
      </c>
      <c r="N887" s="629">
        <f t="shared" si="160"/>
        <v>3509296582</v>
      </c>
      <c r="O887" s="629">
        <f t="shared" si="160"/>
        <v>3248215867.2083316</v>
      </c>
      <c r="P887" s="342">
        <f t="shared" si="160"/>
        <v>0</v>
      </c>
      <c r="Q887" s="629">
        <f t="shared" si="160"/>
        <v>0</v>
      </c>
      <c r="R887" s="342">
        <f t="shared" si="160"/>
        <v>3248215867.2083316</v>
      </c>
      <c r="S887" s="629">
        <f t="shared" si="160"/>
        <v>261080714.7916674</v>
      </c>
    </row>
    <row r="888" spans="1:19" s="425" customFormat="1" ht="25" customHeight="1">
      <c r="A888" s="266"/>
      <c r="B888" s="266"/>
      <c r="C888" s="266"/>
      <c r="D888" s="517"/>
      <c r="E888" s="518"/>
      <c r="F888" s="647"/>
      <c r="G888" s="634"/>
      <c r="H888" s="635"/>
      <c r="I888" s="648"/>
      <c r="J888" s="648"/>
      <c r="K888" s="358"/>
      <c r="L888" s="358"/>
      <c r="M888" s="358"/>
      <c r="N888" s="358"/>
      <c r="O888" s="358"/>
      <c r="P888" s="358"/>
      <c r="Q888" s="358"/>
      <c r="R888" s="358"/>
      <c r="S888" s="358"/>
    </row>
    <row r="889" spans="1:19" ht="15.75" customHeight="1">
      <c r="D889" s="1229" t="s">
        <v>1069</v>
      </c>
      <c r="E889" s="1230"/>
      <c r="F889" s="1230"/>
      <c r="G889" s="1230"/>
      <c r="H889" s="1230"/>
      <c r="I889" s="1230"/>
      <c r="J889" s="1231"/>
      <c r="K889" s="342">
        <f>K845+K869+K876+K887</f>
        <v>66825837674.5</v>
      </c>
      <c r="L889" s="342">
        <f t="shared" ref="L889:S889" si="161">L845+L869+L876+L887</f>
        <v>0</v>
      </c>
      <c r="M889" s="342">
        <f t="shared" si="161"/>
        <v>0</v>
      </c>
      <c r="N889" s="342">
        <f>N845+N869+N876+N887</f>
        <v>66825837674.5</v>
      </c>
      <c r="O889" s="342">
        <f t="shared" si="161"/>
        <v>10927745385.174997</v>
      </c>
      <c r="P889" s="342">
        <f t="shared" si="161"/>
        <v>6371621.5625000745</v>
      </c>
      <c r="Q889" s="342">
        <f t="shared" si="161"/>
        <v>0</v>
      </c>
      <c r="R889" s="342">
        <f t="shared" si="161"/>
        <v>10934117006.737497</v>
      </c>
      <c r="S889" s="342">
        <f t="shared" si="161"/>
        <v>55891720667.762497</v>
      </c>
    </row>
    <row r="890" spans="1:19" ht="25" customHeight="1">
      <c r="B890" s="266">
        <v>1</v>
      </c>
      <c r="C890" s="266">
        <v>1</v>
      </c>
      <c r="D890" s="387"/>
      <c r="E890" s="324"/>
      <c r="F890" s="330"/>
      <c r="G890" s="370"/>
      <c r="H890" s="362"/>
      <c r="I890" s="363"/>
      <c r="J890" s="393"/>
      <c r="K890" s="562"/>
      <c r="L890" s="562"/>
      <c r="M890" s="562"/>
      <c r="N890" s="562"/>
      <c r="O890" s="562"/>
      <c r="P890" s="562"/>
      <c r="Q890" s="562"/>
      <c r="R890" s="562"/>
      <c r="S890" s="562"/>
    </row>
    <row r="891" spans="1:19" s="666" customFormat="1" ht="15.75" customHeight="1" thickBot="1">
      <c r="A891" s="266"/>
      <c r="B891" s="266"/>
      <c r="C891" s="266"/>
      <c r="D891" s="1232" t="s">
        <v>1070</v>
      </c>
      <c r="E891" s="1233"/>
      <c r="F891" s="1233"/>
      <c r="G891" s="1233"/>
      <c r="H891" s="1233"/>
      <c r="I891" s="1233"/>
      <c r="J891" s="1234"/>
      <c r="K891" s="665">
        <f t="shared" ref="K891:S891" si="162">K35+K161+K203+K239+K568+K614+K676+K835+K889</f>
        <v>252049177922.76559</v>
      </c>
      <c r="L891" s="665">
        <f t="shared" si="162"/>
        <v>123039130</v>
      </c>
      <c r="M891" s="665">
        <f t="shared" si="162"/>
        <v>0</v>
      </c>
      <c r="N891" s="665">
        <f t="shared" si="162"/>
        <v>252172217052.76559</v>
      </c>
      <c r="O891" s="665">
        <f t="shared" si="162"/>
        <v>60556613514.460449</v>
      </c>
      <c r="P891" s="665">
        <f t="shared" si="162"/>
        <v>5893756518.1753321</v>
      </c>
      <c r="Q891" s="665">
        <f t="shared" si="162"/>
        <v>0</v>
      </c>
      <c r="R891" s="665">
        <f t="shared" si="162"/>
        <v>66450370032.63578</v>
      </c>
      <c r="S891" s="665">
        <f t="shared" si="162"/>
        <v>185721847020.12982</v>
      </c>
    </row>
    <row r="892" spans="1:19" ht="15.75" customHeight="1" thickTop="1">
      <c r="A892" s="667"/>
      <c r="B892" s="667"/>
      <c r="C892" s="667"/>
    </row>
  </sheetData>
  <autoFilter ref="D10:S891" xr:uid="{00000000-0009-0000-0000-000000000000}"/>
  <mergeCells count="80">
    <mergeCell ref="K6:K7"/>
    <mergeCell ref="L6:M8"/>
    <mergeCell ref="E16:J16"/>
    <mergeCell ref="D6:D9"/>
    <mergeCell ref="F6:H8"/>
    <mergeCell ref="I6:I7"/>
    <mergeCell ref="J6:J9"/>
    <mergeCell ref="N6:N7"/>
    <mergeCell ref="O6:O7"/>
    <mergeCell ref="P6:Q8"/>
    <mergeCell ref="R6:R7"/>
    <mergeCell ref="S6:S7"/>
    <mergeCell ref="F103:J103"/>
    <mergeCell ref="E20:J20"/>
    <mergeCell ref="E25:J25"/>
    <mergeCell ref="E29:J29"/>
    <mergeCell ref="E33:J33"/>
    <mergeCell ref="D35:J35"/>
    <mergeCell ref="F56:J56"/>
    <mergeCell ref="F61:J61"/>
    <mergeCell ref="F65:J65"/>
    <mergeCell ref="E66:J66"/>
    <mergeCell ref="F79:J79"/>
    <mergeCell ref="F93:J93"/>
    <mergeCell ref="F213:J213"/>
    <mergeCell ref="F114:J114"/>
    <mergeCell ref="F125:J125"/>
    <mergeCell ref="E127:J127"/>
    <mergeCell ref="E155:J155"/>
    <mergeCell ref="E159:J159"/>
    <mergeCell ref="D161:J161"/>
    <mergeCell ref="F175:J175"/>
    <mergeCell ref="E176:J176"/>
    <mergeCell ref="E186:J186"/>
    <mergeCell ref="E201:J201"/>
    <mergeCell ref="D203:J203"/>
    <mergeCell ref="F318:J318"/>
    <mergeCell ref="E214:J214"/>
    <mergeCell ref="E224:J224"/>
    <mergeCell ref="E237:J237"/>
    <mergeCell ref="D239:J239"/>
    <mergeCell ref="G247:J247"/>
    <mergeCell ref="G257:J257"/>
    <mergeCell ref="G263:J263"/>
    <mergeCell ref="G267:J267"/>
    <mergeCell ref="G270:J270"/>
    <mergeCell ref="G278:J278"/>
    <mergeCell ref="G317:J317"/>
    <mergeCell ref="E659:J659"/>
    <mergeCell ref="F337:J337"/>
    <mergeCell ref="E338:J338"/>
    <mergeCell ref="E489:J489"/>
    <mergeCell ref="E561:J561"/>
    <mergeCell ref="E566:J566"/>
    <mergeCell ref="D568:J568"/>
    <mergeCell ref="F580:J580"/>
    <mergeCell ref="E581:J581"/>
    <mergeCell ref="E612:J612"/>
    <mergeCell ref="D614:J614"/>
    <mergeCell ref="E651:J651"/>
    <mergeCell ref="F832:H832"/>
    <mergeCell ref="E674:J674"/>
    <mergeCell ref="D676:J676"/>
    <mergeCell ref="F733:H733"/>
    <mergeCell ref="F756:H756"/>
    <mergeCell ref="E757:J757"/>
    <mergeCell ref="F784:H784"/>
    <mergeCell ref="F789:H789"/>
    <mergeCell ref="E793:J793"/>
    <mergeCell ref="F799:H799"/>
    <mergeCell ref="E800:J800"/>
    <mergeCell ref="F819:H819"/>
    <mergeCell ref="D889:J889"/>
    <mergeCell ref="D891:J891"/>
    <mergeCell ref="E833:J833"/>
    <mergeCell ref="D835:J835"/>
    <mergeCell ref="E845:J845"/>
    <mergeCell ref="E869:J869"/>
    <mergeCell ref="E876:J876"/>
    <mergeCell ref="E887:J887"/>
  </mergeCells>
  <printOptions horizontalCentered="1"/>
  <pageMargins left="0.19685039370078741" right="0.19685039370078741" top="0.35433070866141736" bottom="0.39370078740157483" header="0.23622047244094491" footer="0.19685039370078741"/>
  <pageSetup paperSize="9" scale="49" orientation="landscape" r:id="rId1"/>
  <headerFooter>
    <oddFooter>&amp;C&amp;"Times New Roman,Regular"&amp;12Halaman &amp;P dari &amp;N</oddFooter>
  </headerFooter>
  <rowBreaks count="4" manualBreakCount="4">
    <brk id="139" min="3" max="18" man="1"/>
    <brk id="203" min="3" max="18" man="1"/>
    <brk id="270" min="3" max="18" man="1"/>
    <brk id="335" min="3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FA900-BFA0-4CF9-AE23-536D623BA07F}">
  <sheetPr>
    <tabColor rgb="FFFFFF00"/>
  </sheetPr>
  <dimension ref="A1:K31"/>
  <sheetViews>
    <sheetView topLeftCell="A23" zoomScale="90" zoomScaleNormal="90" workbookViewId="0">
      <selection activeCell="K11" sqref="K11"/>
    </sheetView>
  </sheetViews>
  <sheetFormatPr defaultRowHeight="14.5"/>
  <cols>
    <col min="1" max="1" width="1.81640625" style="124" bestFit="1" customWidth="1"/>
    <col min="2" max="2" width="19.54296875" bestFit="1" customWidth="1"/>
    <col min="3" max="3" width="14.81640625" style="121" bestFit="1" customWidth="1"/>
    <col min="5" max="5" width="1.81640625" bestFit="1" customWidth="1"/>
    <col min="6" max="6" width="17.36328125" bestFit="1" customWidth="1"/>
    <col min="7" max="7" width="13.81640625" style="121" bestFit="1" customWidth="1"/>
    <col min="10" max="10" width="35.36328125" customWidth="1"/>
    <col min="11" max="11" width="15.453125" bestFit="1" customWidth="1"/>
  </cols>
  <sheetData>
    <row r="1" spans="1:11">
      <c r="B1" s="111" t="s">
        <v>1108</v>
      </c>
      <c r="F1" s="111" t="s">
        <v>1112</v>
      </c>
      <c r="J1" s="111" t="s">
        <v>1113</v>
      </c>
    </row>
    <row r="2" spans="1:11">
      <c r="A2" s="124">
        <v>1</v>
      </c>
      <c r="B2" t="s">
        <v>245</v>
      </c>
      <c r="C2" s="121">
        <f>'1. Tanah'!D16</f>
        <v>0</v>
      </c>
      <c r="E2" s="124">
        <v>1</v>
      </c>
      <c r="F2" t="s">
        <v>245</v>
      </c>
      <c r="G2" s="121">
        <v>0</v>
      </c>
    </row>
    <row r="3" spans="1:11">
      <c r="A3" s="124">
        <v>2</v>
      </c>
      <c r="B3" t="s">
        <v>244</v>
      </c>
      <c r="C3" s="121">
        <f>SUM('2. Bangunan'!E82:E106)</f>
        <v>0</v>
      </c>
      <c r="E3" s="124">
        <v>2</v>
      </c>
      <c r="F3" t="s">
        <v>244</v>
      </c>
      <c r="G3" s="121">
        <f>'2. Bangunan'!E10+'2. Bangunan'!E44+'2. Bangunan'!E55+'2. Bangunan'!E63+'2. Bangunan'!E73+'2. Bangunan'!E75</f>
        <v>0</v>
      </c>
      <c r="J3" t="s">
        <v>1108</v>
      </c>
      <c r="K3" s="46">
        <f>C11</f>
        <v>0</v>
      </c>
    </row>
    <row r="4" spans="1:11">
      <c r="A4" s="124">
        <v>3</v>
      </c>
      <c r="B4" t="s">
        <v>211</v>
      </c>
      <c r="C4" s="121">
        <f>SUM('3. Sumur Bor'!E25:E36)</f>
        <v>0</v>
      </c>
      <c r="E4" s="124">
        <v>3</v>
      </c>
      <c r="F4" t="s">
        <v>211</v>
      </c>
      <c r="G4" s="121">
        <f>SUM('3. Sumur Bor'!E8:E11)</f>
        <v>0</v>
      </c>
      <c r="J4" t="s">
        <v>1114</v>
      </c>
      <c r="K4" s="46">
        <f>G11</f>
        <v>0</v>
      </c>
    </row>
    <row r="5" spans="1:11">
      <c r="A5" s="124">
        <v>4</v>
      </c>
      <c r="B5" t="s">
        <v>1109</v>
      </c>
      <c r="C5" s="121">
        <f>SUM('4. Sarana &amp; Prasarana'!E18:E27)</f>
        <v>0</v>
      </c>
      <c r="E5" s="124">
        <v>4</v>
      </c>
      <c r="F5" t="s">
        <v>1109</v>
      </c>
      <c r="G5" s="121">
        <f>SUM('4. Sarana &amp; Prasarana'!E13:E14)+'4. Sarana &amp; Prasarana'!E16</f>
        <v>0</v>
      </c>
      <c r="K5" s="916">
        <f>SUM(K3:K4)</f>
        <v>0</v>
      </c>
    </row>
    <row r="6" spans="1:11">
      <c r="A6" s="124">
        <v>5</v>
      </c>
      <c r="B6" t="s">
        <v>208</v>
      </c>
      <c r="C6" s="121">
        <f>SUM('5. Mesin'!E240:E308)</f>
        <v>0</v>
      </c>
      <c r="E6" s="124">
        <v>5</v>
      </c>
      <c r="F6" t="s">
        <v>208</v>
      </c>
      <c r="G6" s="121">
        <f>'5. Mesin'!E80+'5. Mesin'!E87+'5. Mesin'!E88</f>
        <v>0</v>
      </c>
    </row>
    <row r="7" spans="1:11">
      <c r="A7" s="124">
        <v>6</v>
      </c>
      <c r="B7" t="s">
        <v>1110</v>
      </c>
      <c r="C7" s="121">
        <f>SUM('6. Instalasi Elektrik'!E13:E40)</f>
        <v>0</v>
      </c>
      <c r="E7" s="124">
        <v>6</v>
      </c>
      <c r="F7" t="s">
        <v>1110</v>
      </c>
      <c r="G7" s="121">
        <v>0</v>
      </c>
    </row>
    <row r="8" spans="1:11">
      <c r="A8" s="124">
        <v>7</v>
      </c>
      <c r="B8" t="s">
        <v>246</v>
      </c>
      <c r="C8" s="121">
        <f>SUM('7. Kendaraan'!E51:E62)</f>
        <v>0</v>
      </c>
      <c r="E8" s="124">
        <v>7</v>
      </c>
      <c r="F8" t="s">
        <v>246</v>
      </c>
      <c r="G8" s="121">
        <f>'7. Kendaraan'!E46</f>
        <v>0</v>
      </c>
      <c r="J8" t="s">
        <v>1115</v>
      </c>
      <c r="K8" s="121">
        <v>20363316136.5</v>
      </c>
    </row>
    <row r="9" spans="1:11">
      <c r="A9" s="124">
        <v>8</v>
      </c>
      <c r="B9" t="s">
        <v>1111</v>
      </c>
      <c r="C9" s="121">
        <v>0</v>
      </c>
      <c r="E9" s="124">
        <v>8</v>
      </c>
      <c r="F9" t="s">
        <v>1111</v>
      </c>
      <c r="G9" s="121">
        <f>'8 Peralatan &amp; Perlengkapan'!E87+'8 Peralatan &amp; Perlengkapan'!E89+'8 Peralatan &amp; Perlengkapan'!E95+'8 Peralatan &amp; Perlengkapan'!E102+'8 Peralatan &amp; Perlengkapan'!E104+'8 Peralatan &amp; Perlengkapan'!E108+'8 Peralatan &amp; Perlengkapan'!E109+'8 Peralatan &amp; Perlengkapan'!E111</f>
        <v>0</v>
      </c>
      <c r="J9" s="917" t="s">
        <v>1116</v>
      </c>
      <c r="K9" s="152">
        <v>56060619982</v>
      </c>
    </row>
    <row r="10" spans="1:11">
      <c r="A10" s="124">
        <v>9</v>
      </c>
      <c r="B10" t="s">
        <v>903</v>
      </c>
      <c r="C10" s="121">
        <f>SUM('9. Infrastruktur'!E37:E44)-'9. Infrastruktur'!E38</f>
        <v>0</v>
      </c>
      <c r="E10" s="124">
        <v>9</v>
      </c>
      <c r="F10" t="s">
        <v>903</v>
      </c>
      <c r="G10" s="121">
        <f>'9. Infrastruktur'!E11+'9. Infrastruktur'!E32+'9. Infrastruktur'!E34+'9. Infrastruktur'!E35</f>
        <v>0</v>
      </c>
      <c r="K10" s="46">
        <f>K5-K8-K9</f>
        <v>-76423936118.5</v>
      </c>
    </row>
    <row r="11" spans="1:11">
      <c r="C11" s="145">
        <f>SUM(C2:C10)</f>
        <v>0</v>
      </c>
      <c r="G11" s="145">
        <f>SUM(G2:G10)</f>
        <v>0</v>
      </c>
    </row>
    <row r="12" spans="1:11">
      <c r="J12" s="920" t="s">
        <v>1121</v>
      </c>
    </row>
    <row r="13" spans="1:11">
      <c r="J13" s="920" t="s">
        <v>1122</v>
      </c>
    </row>
    <row r="14" spans="1:11">
      <c r="B14" s="111" t="s">
        <v>1117</v>
      </c>
      <c r="F14" s="111" t="s">
        <v>1118</v>
      </c>
      <c r="J14" s="919" t="s">
        <v>1123</v>
      </c>
    </row>
    <row r="15" spans="1:11">
      <c r="A15" s="124">
        <v>1</v>
      </c>
      <c r="B15" t="s">
        <v>244</v>
      </c>
      <c r="C15" s="121">
        <f>SUM('2. Bangunan'!AC82:AC106)</f>
        <v>0</v>
      </c>
      <c r="E15" s="124">
        <v>1</v>
      </c>
      <c r="F15" t="s">
        <v>244</v>
      </c>
      <c r="G15" s="121">
        <f>'2. Bangunan'!AC10+'2. Bangunan'!AC44+'2. Bangunan'!AC55+'2. Bangunan'!AC63+'2. Bangunan'!AC73+'2. Bangunan'!AC75</f>
        <v>0</v>
      </c>
      <c r="J15" s="919" t="s">
        <v>1124</v>
      </c>
    </row>
    <row r="16" spans="1:11">
      <c r="A16" s="124">
        <f>A15+1</f>
        <v>2</v>
      </c>
      <c r="B16" t="s">
        <v>211</v>
      </c>
      <c r="C16" s="121">
        <f>SUM('3. Sumur Bor'!AC25:AC36)</f>
        <v>0</v>
      </c>
      <c r="E16" s="124">
        <f>E15+1</f>
        <v>2</v>
      </c>
      <c r="F16" t="s">
        <v>211</v>
      </c>
      <c r="G16" s="121">
        <f>'3. Sumur Bor'!AC8+'3. Sumur Bor'!AC9+'3. Sumur Bor'!AC10+'3. Sumur Bor'!AC11</f>
        <v>0</v>
      </c>
      <c r="J16" s="919" t="s">
        <v>1125</v>
      </c>
    </row>
    <row r="17" spans="1:10">
      <c r="A17" s="124">
        <f t="shared" ref="A17:A21" si="0">A16+1</f>
        <v>3</v>
      </c>
      <c r="B17" t="s">
        <v>1109</v>
      </c>
      <c r="C17" s="121">
        <f>SUM('4. Sarana &amp; Prasarana'!AC18:AC27)</f>
        <v>0</v>
      </c>
      <c r="E17" s="124">
        <f t="shared" ref="E17:E21" si="1">E16+1</f>
        <v>3</v>
      </c>
      <c r="F17" t="s">
        <v>1109</v>
      </c>
      <c r="G17" s="121">
        <f>SUM('4. Sarana &amp; Prasarana'!AC13+'4. Sarana &amp; Prasarana'!AC14+'4. Sarana &amp; Prasarana'!AC16)</f>
        <v>0</v>
      </c>
      <c r="J17" s="919" t="s">
        <v>1126</v>
      </c>
    </row>
    <row r="18" spans="1:10">
      <c r="A18" s="124">
        <f t="shared" si="0"/>
        <v>4</v>
      </c>
      <c r="B18" t="s">
        <v>208</v>
      </c>
      <c r="C18" s="121">
        <f>SUM('5. Mesin'!AB240:AB308)</f>
        <v>0</v>
      </c>
      <c r="E18" s="124">
        <f t="shared" si="1"/>
        <v>4</v>
      </c>
      <c r="F18" t="s">
        <v>208</v>
      </c>
      <c r="G18" s="121">
        <f>SUM('5. Mesin'!AB80+'5. Mesin'!AB87+'5. Mesin'!AB88)</f>
        <v>0</v>
      </c>
      <c r="J18" s="919" t="s">
        <v>1127</v>
      </c>
    </row>
    <row r="19" spans="1:10">
      <c r="A19" s="124">
        <f t="shared" si="0"/>
        <v>5</v>
      </c>
      <c r="B19" t="s">
        <v>1110</v>
      </c>
      <c r="C19" s="121">
        <f>SUM('6. Instalasi Elektrik'!AB13:AB40)</f>
        <v>0</v>
      </c>
      <c r="E19" s="124">
        <f t="shared" si="1"/>
        <v>5</v>
      </c>
      <c r="F19" t="s">
        <v>246</v>
      </c>
      <c r="G19" s="121">
        <f>SUM('7. Kendaraan'!AB46)</f>
        <v>0</v>
      </c>
      <c r="J19" s="919" t="s">
        <v>1128</v>
      </c>
    </row>
    <row r="20" spans="1:10">
      <c r="A20" s="124">
        <f t="shared" si="0"/>
        <v>6</v>
      </c>
      <c r="B20" t="s">
        <v>246</v>
      </c>
      <c r="C20" s="121">
        <f>SUM('7. Kendaraan'!AB51:AB62)</f>
        <v>0</v>
      </c>
      <c r="E20" s="124">
        <f t="shared" si="1"/>
        <v>6</v>
      </c>
      <c r="F20" t="s">
        <v>1111</v>
      </c>
      <c r="G20" s="121">
        <f>SUM('8 Peralatan &amp; Perlengkapan'!AB87+'8 Peralatan &amp; Perlengkapan'!AB89+'8 Peralatan &amp; Perlengkapan'!AB95+'8 Peralatan &amp; Perlengkapan'!AB102+'8 Peralatan &amp; Perlengkapan'!AB104+'8 Peralatan &amp; Perlengkapan'!AB108+'8 Peralatan &amp; Perlengkapan'!AB109+'8 Peralatan &amp; Perlengkapan'!AB111)</f>
        <v>0</v>
      </c>
      <c r="J20" s="920" t="s">
        <v>1129</v>
      </c>
    </row>
    <row r="21" spans="1:10">
      <c r="A21" s="124">
        <f t="shared" si="0"/>
        <v>7</v>
      </c>
      <c r="B21" t="s">
        <v>903</v>
      </c>
      <c r="C21" s="121">
        <f>SUM('9. Infrastruktur'!AB37:AB44)-'9. Infrastruktur'!AB38</f>
        <v>0</v>
      </c>
      <c r="E21" s="124">
        <f t="shared" si="1"/>
        <v>7</v>
      </c>
      <c r="F21" t="s">
        <v>903</v>
      </c>
      <c r="G21" s="121">
        <f>SUM('9. Infrastruktur'!AB11+'9. Infrastruktur'!AB32+'9. Infrastruktur'!AB34+'9. Infrastruktur'!AB35)</f>
        <v>0</v>
      </c>
      <c r="J21" s="919" t="s">
        <v>1130</v>
      </c>
    </row>
    <row r="24" spans="1:10">
      <c r="B24" s="111" t="s">
        <v>1119</v>
      </c>
      <c r="F24" s="111" t="s">
        <v>1120</v>
      </c>
    </row>
    <row r="25" spans="1:10">
      <c r="A25" s="124">
        <v>1</v>
      </c>
      <c r="B25" t="s">
        <v>244</v>
      </c>
      <c r="C25" s="121">
        <f>SUM('2. Bangunan'!AB82:AB106)</f>
        <v>0</v>
      </c>
      <c r="E25" s="124">
        <v>1</v>
      </c>
      <c r="F25" t="s">
        <v>244</v>
      </c>
      <c r="G25" s="121">
        <f>'2. Bangunan'!AB10+'2. Bangunan'!AB44+'2. Bangunan'!AB55+'2. Bangunan'!AB63+'2. Bangunan'!AB73+'2. Bangunan'!AB75</f>
        <v>0</v>
      </c>
    </row>
    <row r="26" spans="1:10">
      <c r="A26" s="124">
        <f>A25+1</f>
        <v>2</v>
      </c>
      <c r="B26" t="s">
        <v>211</v>
      </c>
      <c r="C26" s="121">
        <f>SUM('3. Sumur Bor'!AB25:AB36)</f>
        <v>0</v>
      </c>
      <c r="E26" s="124">
        <f>E25+1</f>
        <v>2</v>
      </c>
      <c r="F26" t="s">
        <v>211</v>
      </c>
      <c r="G26" s="121">
        <f>'3. Sumur Bor'!AB8+'3. Sumur Bor'!AB9+'3. Sumur Bor'!AB10+'3. Sumur Bor'!AB11</f>
        <v>0</v>
      </c>
    </row>
    <row r="27" spans="1:10">
      <c r="A27" s="124">
        <f t="shared" ref="A27:A31" si="2">A26+1</f>
        <v>3</v>
      </c>
      <c r="B27" t="s">
        <v>1109</v>
      </c>
      <c r="C27" s="121">
        <f>SUM('4. Sarana &amp; Prasarana'!AB18:AB27)</f>
        <v>0</v>
      </c>
      <c r="E27" s="124">
        <f t="shared" ref="E27:E31" si="3">E26+1</f>
        <v>3</v>
      </c>
      <c r="F27" t="s">
        <v>1109</v>
      </c>
      <c r="G27" s="121">
        <f>'4. Sarana &amp; Prasarana'!AB13+'4. Sarana &amp; Prasarana'!AB14+'4. Sarana &amp; Prasarana'!AB16</f>
        <v>0</v>
      </c>
    </row>
    <row r="28" spans="1:10">
      <c r="A28" s="124">
        <f t="shared" si="2"/>
        <v>4</v>
      </c>
      <c r="B28" t="s">
        <v>208</v>
      </c>
      <c r="C28" s="121">
        <f>SUM('5. Mesin'!AA240:AA308)</f>
        <v>0</v>
      </c>
      <c r="E28" s="124">
        <f t="shared" si="3"/>
        <v>4</v>
      </c>
      <c r="F28" t="s">
        <v>208</v>
      </c>
      <c r="G28" s="121">
        <f>'5. Mesin'!AA80+'5. Mesin'!AA87+'5. Mesin'!AA88</f>
        <v>0</v>
      </c>
    </row>
    <row r="29" spans="1:10">
      <c r="A29" s="124">
        <f t="shared" si="2"/>
        <v>5</v>
      </c>
      <c r="B29" t="s">
        <v>1110</v>
      </c>
      <c r="C29" s="121">
        <f>SUM('6. Instalasi Elektrik'!AA13:AA40)</f>
        <v>0</v>
      </c>
      <c r="E29" s="124">
        <f t="shared" si="3"/>
        <v>5</v>
      </c>
      <c r="F29" t="s">
        <v>246</v>
      </c>
      <c r="G29" s="121">
        <f>'7. Kendaraan'!AA46</f>
        <v>0</v>
      </c>
    </row>
    <row r="30" spans="1:10">
      <c r="A30" s="124">
        <f t="shared" si="2"/>
        <v>6</v>
      </c>
      <c r="B30" t="s">
        <v>246</v>
      </c>
      <c r="C30" s="121">
        <f>SUM('7. Kendaraan'!AA51:AA62)</f>
        <v>0</v>
      </c>
      <c r="E30" s="124">
        <f t="shared" si="3"/>
        <v>6</v>
      </c>
      <c r="F30" t="s">
        <v>1111</v>
      </c>
      <c r="G30" s="121">
        <f>'8 Peralatan &amp; Perlengkapan'!AA87+'8 Peralatan &amp; Perlengkapan'!AA89+'8 Peralatan &amp; Perlengkapan'!AA95+'8 Peralatan &amp; Perlengkapan'!AA102+'8 Peralatan &amp; Perlengkapan'!AA104+'8 Peralatan &amp; Perlengkapan'!AA108+'8 Peralatan &amp; Perlengkapan'!AA109+'8 Peralatan &amp; Perlengkapan'!AA111</f>
        <v>0</v>
      </c>
    </row>
    <row r="31" spans="1:10">
      <c r="A31" s="124">
        <f t="shared" si="2"/>
        <v>7</v>
      </c>
      <c r="B31" t="s">
        <v>903</v>
      </c>
      <c r="C31" s="121">
        <f>SUM('9. Infrastruktur'!AA37:AA44)-'9. Infrastruktur'!AA38</f>
        <v>0</v>
      </c>
      <c r="E31" s="124">
        <f t="shared" si="3"/>
        <v>7</v>
      </c>
      <c r="F31" t="s">
        <v>903</v>
      </c>
      <c r="G31" s="121">
        <f>'9. Infrastruktur'!AA11+'9. Infrastruktur'!AA32+'9. Infrastruktur'!AA34+'9. Infrastruktur'!AA35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62E7-6F5B-4EC6-A1F9-E4C3B4195092}">
  <dimension ref="A1:T919"/>
  <sheetViews>
    <sheetView topLeftCell="D1" zoomScale="80" zoomScaleNormal="80" workbookViewId="0">
      <pane xSplit="7" ySplit="9" topLeftCell="K250" activePane="bottomRight" state="frozen"/>
      <selection activeCell="B5" sqref="B5:B20"/>
      <selection pane="topRight" activeCell="B5" sqref="B5:B20"/>
      <selection pane="bottomLeft" activeCell="B5" sqref="B5:B20"/>
      <selection pane="bottomRight" activeCell="I256" sqref="I256"/>
    </sheetView>
  </sheetViews>
  <sheetFormatPr defaultColWidth="9.1796875" defaultRowHeight="15.5"/>
  <cols>
    <col min="1" max="1" width="16" style="675" hidden="1" customWidth="1"/>
    <col min="2" max="3" width="9.54296875" style="675" hidden="1" customWidth="1"/>
    <col min="4" max="4" width="4" style="679" customWidth="1"/>
    <col min="5" max="5" width="4" style="866" customWidth="1"/>
    <col min="6" max="6" width="5.7265625" style="269" customWidth="1"/>
    <col min="7" max="7" width="7.7265625" style="269" customWidth="1"/>
    <col min="8" max="8" width="50.54296875" style="679" bestFit="1" customWidth="1"/>
    <col min="9" max="9" width="14.81640625" style="867" bestFit="1" customWidth="1"/>
    <col min="10" max="10" width="7.54296875" style="867" bestFit="1" customWidth="1"/>
    <col min="11" max="11" width="18.54296875" style="677" bestFit="1" customWidth="1"/>
    <col min="12" max="13" width="16" style="677" bestFit="1" customWidth="1"/>
    <col min="14" max="14" width="18.54296875" style="677" bestFit="1" customWidth="1"/>
    <col min="15" max="15" width="18.81640625" style="677" bestFit="1" customWidth="1"/>
    <col min="16" max="16" width="16" style="678" bestFit="1" customWidth="1"/>
    <col min="17" max="17" width="20.36328125" style="677" bestFit="1" customWidth="1"/>
    <col min="18" max="18" width="18.81640625" style="678" bestFit="1" customWidth="1"/>
    <col min="19" max="19" width="20.453125" style="678" bestFit="1" customWidth="1"/>
    <col min="20" max="256" width="9.1796875" style="679"/>
    <col min="257" max="259" width="0" style="679" hidden="1" customWidth="1"/>
    <col min="260" max="261" width="4" style="679" customWidth="1"/>
    <col min="262" max="262" width="5.7265625" style="679" customWidth="1"/>
    <col min="263" max="263" width="7.7265625" style="679" customWidth="1"/>
    <col min="264" max="264" width="50.54296875" style="679" bestFit="1" customWidth="1"/>
    <col min="265" max="265" width="14.81640625" style="679" bestFit="1" customWidth="1"/>
    <col min="266" max="266" width="7.54296875" style="679" bestFit="1" customWidth="1"/>
    <col min="267" max="267" width="18.54296875" style="679" bestFit="1" customWidth="1"/>
    <col min="268" max="269" width="16" style="679" bestFit="1" customWidth="1"/>
    <col min="270" max="270" width="18.54296875" style="679" bestFit="1" customWidth="1"/>
    <col min="271" max="271" width="18.81640625" style="679" bestFit="1" customWidth="1"/>
    <col min="272" max="272" width="16" style="679" bestFit="1" customWidth="1"/>
    <col min="273" max="273" width="20.36328125" style="679" bestFit="1" customWidth="1"/>
    <col min="274" max="274" width="18.81640625" style="679" bestFit="1" customWidth="1"/>
    <col min="275" max="275" width="20.453125" style="679" bestFit="1" customWidth="1"/>
    <col min="276" max="512" width="9.1796875" style="679"/>
    <col min="513" max="515" width="0" style="679" hidden="1" customWidth="1"/>
    <col min="516" max="517" width="4" style="679" customWidth="1"/>
    <col min="518" max="518" width="5.7265625" style="679" customWidth="1"/>
    <col min="519" max="519" width="7.7265625" style="679" customWidth="1"/>
    <col min="520" max="520" width="50.54296875" style="679" bestFit="1" customWidth="1"/>
    <col min="521" max="521" width="14.81640625" style="679" bestFit="1" customWidth="1"/>
    <col min="522" max="522" width="7.54296875" style="679" bestFit="1" customWidth="1"/>
    <col min="523" max="523" width="18.54296875" style="679" bestFit="1" customWidth="1"/>
    <col min="524" max="525" width="16" style="679" bestFit="1" customWidth="1"/>
    <col min="526" max="526" width="18.54296875" style="679" bestFit="1" customWidth="1"/>
    <col min="527" max="527" width="18.81640625" style="679" bestFit="1" customWidth="1"/>
    <col min="528" max="528" width="16" style="679" bestFit="1" customWidth="1"/>
    <col min="529" max="529" width="20.36328125" style="679" bestFit="1" customWidth="1"/>
    <col min="530" max="530" width="18.81640625" style="679" bestFit="1" customWidth="1"/>
    <col min="531" max="531" width="20.453125" style="679" bestFit="1" customWidth="1"/>
    <col min="532" max="768" width="9.1796875" style="679"/>
    <col min="769" max="771" width="0" style="679" hidden="1" customWidth="1"/>
    <col min="772" max="773" width="4" style="679" customWidth="1"/>
    <col min="774" max="774" width="5.7265625" style="679" customWidth="1"/>
    <col min="775" max="775" width="7.7265625" style="679" customWidth="1"/>
    <col min="776" max="776" width="50.54296875" style="679" bestFit="1" customWidth="1"/>
    <col min="777" max="777" width="14.81640625" style="679" bestFit="1" customWidth="1"/>
    <col min="778" max="778" width="7.54296875" style="679" bestFit="1" customWidth="1"/>
    <col min="779" max="779" width="18.54296875" style="679" bestFit="1" customWidth="1"/>
    <col min="780" max="781" width="16" style="679" bestFit="1" customWidth="1"/>
    <col min="782" max="782" width="18.54296875" style="679" bestFit="1" customWidth="1"/>
    <col min="783" max="783" width="18.81640625" style="679" bestFit="1" customWidth="1"/>
    <col min="784" max="784" width="16" style="679" bestFit="1" customWidth="1"/>
    <col min="785" max="785" width="20.36328125" style="679" bestFit="1" customWidth="1"/>
    <col min="786" max="786" width="18.81640625" style="679" bestFit="1" customWidth="1"/>
    <col min="787" max="787" width="20.453125" style="679" bestFit="1" customWidth="1"/>
    <col min="788" max="1024" width="9.1796875" style="679"/>
    <col min="1025" max="1027" width="0" style="679" hidden="1" customWidth="1"/>
    <col min="1028" max="1029" width="4" style="679" customWidth="1"/>
    <col min="1030" max="1030" width="5.7265625" style="679" customWidth="1"/>
    <col min="1031" max="1031" width="7.7265625" style="679" customWidth="1"/>
    <col min="1032" max="1032" width="50.54296875" style="679" bestFit="1" customWidth="1"/>
    <col min="1033" max="1033" width="14.81640625" style="679" bestFit="1" customWidth="1"/>
    <col min="1034" max="1034" width="7.54296875" style="679" bestFit="1" customWidth="1"/>
    <col min="1035" max="1035" width="18.54296875" style="679" bestFit="1" customWidth="1"/>
    <col min="1036" max="1037" width="16" style="679" bestFit="1" customWidth="1"/>
    <col min="1038" max="1038" width="18.54296875" style="679" bestFit="1" customWidth="1"/>
    <col min="1039" max="1039" width="18.81640625" style="679" bestFit="1" customWidth="1"/>
    <col min="1040" max="1040" width="16" style="679" bestFit="1" customWidth="1"/>
    <col min="1041" max="1041" width="20.36328125" style="679" bestFit="1" customWidth="1"/>
    <col min="1042" max="1042" width="18.81640625" style="679" bestFit="1" customWidth="1"/>
    <col min="1043" max="1043" width="20.453125" style="679" bestFit="1" customWidth="1"/>
    <col min="1044" max="1280" width="9.1796875" style="679"/>
    <col min="1281" max="1283" width="0" style="679" hidden="1" customWidth="1"/>
    <col min="1284" max="1285" width="4" style="679" customWidth="1"/>
    <col min="1286" max="1286" width="5.7265625" style="679" customWidth="1"/>
    <col min="1287" max="1287" width="7.7265625" style="679" customWidth="1"/>
    <col min="1288" max="1288" width="50.54296875" style="679" bestFit="1" customWidth="1"/>
    <col min="1289" max="1289" width="14.81640625" style="679" bestFit="1" customWidth="1"/>
    <col min="1290" max="1290" width="7.54296875" style="679" bestFit="1" customWidth="1"/>
    <col min="1291" max="1291" width="18.54296875" style="679" bestFit="1" customWidth="1"/>
    <col min="1292" max="1293" width="16" style="679" bestFit="1" customWidth="1"/>
    <col min="1294" max="1294" width="18.54296875" style="679" bestFit="1" customWidth="1"/>
    <col min="1295" max="1295" width="18.81640625" style="679" bestFit="1" customWidth="1"/>
    <col min="1296" max="1296" width="16" style="679" bestFit="1" customWidth="1"/>
    <col min="1297" max="1297" width="20.36328125" style="679" bestFit="1" customWidth="1"/>
    <col min="1298" max="1298" width="18.81640625" style="679" bestFit="1" customWidth="1"/>
    <col min="1299" max="1299" width="20.453125" style="679" bestFit="1" customWidth="1"/>
    <col min="1300" max="1536" width="9.1796875" style="679"/>
    <col min="1537" max="1539" width="0" style="679" hidden="1" customWidth="1"/>
    <col min="1540" max="1541" width="4" style="679" customWidth="1"/>
    <col min="1542" max="1542" width="5.7265625" style="679" customWidth="1"/>
    <col min="1543" max="1543" width="7.7265625" style="679" customWidth="1"/>
    <col min="1544" max="1544" width="50.54296875" style="679" bestFit="1" customWidth="1"/>
    <col min="1545" max="1545" width="14.81640625" style="679" bestFit="1" customWidth="1"/>
    <col min="1546" max="1546" width="7.54296875" style="679" bestFit="1" customWidth="1"/>
    <col min="1547" max="1547" width="18.54296875" style="679" bestFit="1" customWidth="1"/>
    <col min="1548" max="1549" width="16" style="679" bestFit="1" customWidth="1"/>
    <col min="1550" max="1550" width="18.54296875" style="679" bestFit="1" customWidth="1"/>
    <col min="1551" max="1551" width="18.81640625" style="679" bestFit="1" customWidth="1"/>
    <col min="1552" max="1552" width="16" style="679" bestFit="1" customWidth="1"/>
    <col min="1553" max="1553" width="20.36328125" style="679" bestFit="1" customWidth="1"/>
    <col min="1554" max="1554" width="18.81640625" style="679" bestFit="1" customWidth="1"/>
    <col min="1555" max="1555" width="20.453125" style="679" bestFit="1" customWidth="1"/>
    <col min="1556" max="1792" width="9.1796875" style="679"/>
    <col min="1793" max="1795" width="0" style="679" hidden="1" customWidth="1"/>
    <col min="1796" max="1797" width="4" style="679" customWidth="1"/>
    <col min="1798" max="1798" width="5.7265625" style="679" customWidth="1"/>
    <col min="1799" max="1799" width="7.7265625" style="679" customWidth="1"/>
    <col min="1800" max="1800" width="50.54296875" style="679" bestFit="1" customWidth="1"/>
    <col min="1801" max="1801" width="14.81640625" style="679" bestFit="1" customWidth="1"/>
    <col min="1802" max="1802" width="7.54296875" style="679" bestFit="1" customWidth="1"/>
    <col min="1803" max="1803" width="18.54296875" style="679" bestFit="1" customWidth="1"/>
    <col min="1804" max="1805" width="16" style="679" bestFit="1" customWidth="1"/>
    <col min="1806" max="1806" width="18.54296875" style="679" bestFit="1" customWidth="1"/>
    <col min="1807" max="1807" width="18.81640625" style="679" bestFit="1" customWidth="1"/>
    <col min="1808" max="1808" width="16" style="679" bestFit="1" customWidth="1"/>
    <col min="1809" max="1809" width="20.36328125" style="679" bestFit="1" customWidth="1"/>
    <col min="1810" max="1810" width="18.81640625" style="679" bestFit="1" customWidth="1"/>
    <col min="1811" max="1811" width="20.453125" style="679" bestFit="1" customWidth="1"/>
    <col min="1812" max="2048" width="9.1796875" style="679"/>
    <col min="2049" max="2051" width="0" style="679" hidden="1" customWidth="1"/>
    <col min="2052" max="2053" width="4" style="679" customWidth="1"/>
    <col min="2054" max="2054" width="5.7265625" style="679" customWidth="1"/>
    <col min="2055" max="2055" width="7.7265625" style="679" customWidth="1"/>
    <col min="2056" max="2056" width="50.54296875" style="679" bestFit="1" customWidth="1"/>
    <col min="2057" max="2057" width="14.81640625" style="679" bestFit="1" customWidth="1"/>
    <col min="2058" max="2058" width="7.54296875" style="679" bestFit="1" customWidth="1"/>
    <col min="2059" max="2059" width="18.54296875" style="679" bestFit="1" customWidth="1"/>
    <col min="2060" max="2061" width="16" style="679" bestFit="1" customWidth="1"/>
    <col min="2062" max="2062" width="18.54296875" style="679" bestFit="1" customWidth="1"/>
    <col min="2063" max="2063" width="18.81640625" style="679" bestFit="1" customWidth="1"/>
    <col min="2064" max="2064" width="16" style="679" bestFit="1" customWidth="1"/>
    <col min="2065" max="2065" width="20.36328125" style="679" bestFit="1" customWidth="1"/>
    <col min="2066" max="2066" width="18.81640625" style="679" bestFit="1" customWidth="1"/>
    <col min="2067" max="2067" width="20.453125" style="679" bestFit="1" customWidth="1"/>
    <col min="2068" max="2304" width="9.1796875" style="679"/>
    <col min="2305" max="2307" width="0" style="679" hidden="1" customWidth="1"/>
    <col min="2308" max="2309" width="4" style="679" customWidth="1"/>
    <col min="2310" max="2310" width="5.7265625" style="679" customWidth="1"/>
    <col min="2311" max="2311" width="7.7265625" style="679" customWidth="1"/>
    <col min="2312" max="2312" width="50.54296875" style="679" bestFit="1" customWidth="1"/>
    <col min="2313" max="2313" width="14.81640625" style="679" bestFit="1" customWidth="1"/>
    <col min="2314" max="2314" width="7.54296875" style="679" bestFit="1" customWidth="1"/>
    <col min="2315" max="2315" width="18.54296875" style="679" bestFit="1" customWidth="1"/>
    <col min="2316" max="2317" width="16" style="679" bestFit="1" customWidth="1"/>
    <col min="2318" max="2318" width="18.54296875" style="679" bestFit="1" customWidth="1"/>
    <col min="2319" max="2319" width="18.81640625" style="679" bestFit="1" customWidth="1"/>
    <col min="2320" max="2320" width="16" style="679" bestFit="1" customWidth="1"/>
    <col min="2321" max="2321" width="20.36328125" style="679" bestFit="1" customWidth="1"/>
    <col min="2322" max="2322" width="18.81640625" style="679" bestFit="1" customWidth="1"/>
    <col min="2323" max="2323" width="20.453125" style="679" bestFit="1" customWidth="1"/>
    <col min="2324" max="2560" width="9.1796875" style="679"/>
    <col min="2561" max="2563" width="0" style="679" hidden="1" customWidth="1"/>
    <col min="2564" max="2565" width="4" style="679" customWidth="1"/>
    <col min="2566" max="2566" width="5.7265625" style="679" customWidth="1"/>
    <col min="2567" max="2567" width="7.7265625" style="679" customWidth="1"/>
    <col min="2568" max="2568" width="50.54296875" style="679" bestFit="1" customWidth="1"/>
    <col min="2569" max="2569" width="14.81640625" style="679" bestFit="1" customWidth="1"/>
    <col min="2570" max="2570" width="7.54296875" style="679" bestFit="1" customWidth="1"/>
    <col min="2571" max="2571" width="18.54296875" style="679" bestFit="1" customWidth="1"/>
    <col min="2572" max="2573" width="16" style="679" bestFit="1" customWidth="1"/>
    <col min="2574" max="2574" width="18.54296875" style="679" bestFit="1" customWidth="1"/>
    <col min="2575" max="2575" width="18.81640625" style="679" bestFit="1" customWidth="1"/>
    <col min="2576" max="2576" width="16" style="679" bestFit="1" customWidth="1"/>
    <col min="2577" max="2577" width="20.36328125" style="679" bestFit="1" customWidth="1"/>
    <col min="2578" max="2578" width="18.81640625" style="679" bestFit="1" customWidth="1"/>
    <col min="2579" max="2579" width="20.453125" style="679" bestFit="1" customWidth="1"/>
    <col min="2580" max="2816" width="9.1796875" style="679"/>
    <col min="2817" max="2819" width="0" style="679" hidden="1" customWidth="1"/>
    <col min="2820" max="2821" width="4" style="679" customWidth="1"/>
    <col min="2822" max="2822" width="5.7265625" style="679" customWidth="1"/>
    <col min="2823" max="2823" width="7.7265625" style="679" customWidth="1"/>
    <col min="2824" max="2824" width="50.54296875" style="679" bestFit="1" customWidth="1"/>
    <col min="2825" max="2825" width="14.81640625" style="679" bestFit="1" customWidth="1"/>
    <col min="2826" max="2826" width="7.54296875" style="679" bestFit="1" customWidth="1"/>
    <col min="2827" max="2827" width="18.54296875" style="679" bestFit="1" customWidth="1"/>
    <col min="2828" max="2829" width="16" style="679" bestFit="1" customWidth="1"/>
    <col min="2830" max="2830" width="18.54296875" style="679" bestFit="1" customWidth="1"/>
    <col min="2831" max="2831" width="18.81640625" style="679" bestFit="1" customWidth="1"/>
    <col min="2832" max="2832" width="16" style="679" bestFit="1" customWidth="1"/>
    <col min="2833" max="2833" width="20.36328125" style="679" bestFit="1" customWidth="1"/>
    <col min="2834" max="2834" width="18.81640625" style="679" bestFit="1" customWidth="1"/>
    <col min="2835" max="2835" width="20.453125" style="679" bestFit="1" customWidth="1"/>
    <col min="2836" max="3072" width="9.1796875" style="679"/>
    <col min="3073" max="3075" width="0" style="679" hidden="1" customWidth="1"/>
    <col min="3076" max="3077" width="4" style="679" customWidth="1"/>
    <col min="3078" max="3078" width="5.7265625" style="679" customWidth="1"/>
    <col min="3079" max="3079" width="7.7265625" style="679" customWidth="1"/>
    <col min="3080" max="3080" width="50.54296875" style="679" bestFit="1" customWidth="1"/>
    <col min="3081" max="3081" width="14.81640625" style="679" bestFit="1" customWidth="1"/>
    <col min="3082" max="3082" width="7.54296875" style="679" bestFit="1" customWidth="1"/>
    <col min="3083" max="3083" width="18.54296875" style="679" bestFit="1" customWidth="1"/>
    <col min="3084" max="3085" width="16" style="679" bestFit="1" customWidth="1"/>
    <col min="3086" max="3086" width="18.54296875" style="679" bestFit="1" customWidth="1"/>
    <col min="3087" max="3087" width="18.81640625" style="679" bestFit="1" customWidth="1"/>
    <col min="3088" max="3088" width="16" style="679" bestFit="1" customWidth="1"/>
    <col min="3089" max="3089" width="20.36328125" style="679" bestFit="1" customWidth="1"/>
    <col min="3090" max="3090" width="18.81640625" style="679" bestFit="1" customWidth="1"/>
    <col min="3091" max="3091" width="20.453125" style="679" bestFit="1" customWidth="1"/>
    <col min="3092" max="3328" width="9.1796875" style="679"/>
    <col min="3329" max="3331" width="0" style="679" hidden="1" customWidth="1"/>
    <col min="3332" max="3333" width="4" style="679" customWidth="1"/>
    <col min="3334" max="3334" width="5.7265625" style="679" customWidth="1"/>
    <col min="3335" max="3335" width="7.7265625" style="679" customWidth="1"/>
    <col min="3336" max="3336" width="50.54296875" style="679" bestFit="1" customWidth="1"/>
    <col min="3337" max="3337" width="14.81640625" style="679" bestFit="1" customWidth="1"/>
    <col min="3338" max="3338" width="7.54296875" style="679" bestFit="1" customWidth="1"/>
    <col min="3339" max="3339" width="18.54296875" style="679" bestFit="1" customWidth="1"/>
    <col min="3340" max="3341" width="16" style="679" bestFit="1" customWidth="1"/>
    <col min="3342" max="3342" width="18.54296875" style="679" bestFit="1" customWidth="1"/>
    <col min="3343" max="3343" width="18.81640625" style="679" bestFit="1" customWidth="1"/>
    <col min="3344" max="3344" width="16" style="679" bestFit="1" customWidth="1"/>
    <col min="3345" max="3345" width="20.36328125" style="679" bestFit="1" customWidth="1"/>
    <col min="3346" max="3346" width="18.81640625" style="679" bestFit="1" customWidth="1"/>
    <col min="3347" max="3347" width="20.453125" style="679" bestFit="1" customWidth="1"/>
    <col min="3348" max="3584" width="9.1796875" style="679"/>
    <col min="3585" max="3587" width="0" style="679" hidden="1" customWidth="1"/>
    <col min="3588" max="3589" width="4" style="679" customWidth="1"/>
    <col min="3590" max="3590" width="5.7265625" style="679" customWidth="1"/>
    <col min="3591" max="3591" width="7.7265625" style="679" customWidth="1"/>
    <col min="3592" max="3592" width="50.54296875" style="679" bestFit="1" customWidth="1"/>
    <col min="3593" max="3593" width="14.81640625" style="679" bestFit="1" customWidth="1"/>
    <col min="3594" max="3594" width="7.54296875" style="679" bestFit="1" customWidth="1"/>
    <col min="3595" max="3595" width="18.54296875" style="679" bestFit="1" customWidth="1"/>
    <col min="3596" max="3597" width="16" style="679" bestFit="1" customWidth="1"/>
    <col min="3598" max="3598" width="18.54296875" style="679" bestFit="1" customWidth="1"/>
    <col min="3599" max="3599" width="18.81640625" style="679" bestFit="1" customWidth="1"/>
    <col min="3600" max="3600" width="16" style="679" bestFit="1" customWidth="1"/>
    <col min="3601" max="3601" width="20.36328125" style="679" bestFit="1" customWidth="1"/>
    <col min="3602" max="3602" width="18.81640625" style="679" bestFit="1" customWidth="1"/>
    <col min="3603" max="3603" width="20.453125" style="679" bestFit="1" customWidth="1"/>
    <col min="3604" max="3840" width="9.1796875" style="679"/>
    <col min="3841" max="3843" width="0" style="679" hidden="1" customWidth="1"/>
    <col min="3844" max="3845" width="4" style="679" customWidth="1"/>
    <col min="3846" max="3846" width="5.7265625" style="679" customWidth="1"/>
    <col min="3847" max="3847" width="7.7265625" style="679" customWidth="1"/>
    <col min="3848" max="3848" width="50.54296875" style="679" bestFit="1" customWidth="1"/>
    <col min="3849" max="3849" width="14.81640625" style="679" bestFit="1" customWidth="1"/>
    <col min="3850" max="3850" width="7.54296875" style="679" bestFit="1" customWidth="1"/>
    <col min="3851" max="3851" width="18.54296875" style="679" bestFit="1" customWidth="1"/>
    <col min="3852" max="3853" width="16" style="679" bestFit="1" customWidth="1"/>
    <col min="3854" max="3854" width="18.54296875" style="679" bestFit="1" customWidth="1"/>
    <col min="3855" max="3855" width="18.81640625" style="679" bestFit="1" customWidth="1"/>
    <col min="3856" max="3856" width="16" style="679" bestFit="1" customWidth="1"/>
    <col min="3857" max="3857" width="20.36328125" style="679" bestFit="1" customWidth="1"/>
    <col min="3858" max="3858" width="18.81640625" style="679" bestFit="1" customWidth="1"/>
    <col min="3859" max="3859" width="20.453125" style="679" bestFit="1" customWidth="1"/>
    <col min="3860" max="4096" width="9.1796875" style="679"/>
    <col min="4097" max="4099" width="0" style="679" hidden="1" customWidth="1"/>
    <col min="4100" max="4101" width="4" style="679" customWidth="1"/>
    <col min="4102" max="4102" width="5.7265625" style="679" customWidth="1"/>
    <col min="4103" max="4103" width="7.7265625" style="679" customWidth="1"/>
    <col min="4104" max="4104" width="50.54296875" style="679" bestFit="1" customWidth="1"/>
    <col min="4105" max="4105" width="14.81640625" style="679" bestFit="1" customWidth="1"/>
    <col min="4106" max="4106" width="7.54296875" style="679" bestFit="1" customWidth="1"/>
    <col min="4107" max="4107" width="18.54296875" style="679" bestFit="1" customWidth="1"/>
    <col min="4108" max="4109" width="16" style="679" bestFit="1" customWidth="1"/>
    <col min="4110" max="4110" width="18.54296875" style="679" bestFit="1" customWidth="1"/>
    <col min="4111" max="4111" width="18.81640625" style="679" bestFit="1" customWidth="1"/>
    <col min="4112" max="4112" width="16" style="679" bestFit="1" customWidth="1"/>
    <col min="4113" max="4113" width="20.36328125" style="679" bestFit="1" customWidth="1"/>
    <col min="4114" max="4114" width="18.81640625" style="679" bestFit="1" customWidth="1"/>
    <col min="4115" max="4115" width="20.453125" style="679" bestFit="1" customWidth="1"/>
    <col min="4116" max="4352" width="9.1796875" style="679"/>
    <col min="4353" max="4355" width="0" style="679" hidden="1" customWidth="1"/>
    <col min="4356" max="4357" width="4" style="679" customWidth="1"/>
    <col min="4358" max="4358" width="5.7265625" style="679" customWidth="1"/>
    <col min="4359" max="4359" width="7.7265625" style="679" customWidth="1"/>
    <col min="4360" max="4360" width="50.54296875" style="679" bestFit="1" customWidth="1"/>
    <col min="4361" max="4361" width="14.81640625" style="679" bestFit="1" customWidth="1"/>
    <col min="4362" max="4362" width="7.54296875" style="679" bestFit="1" customWidth="1"/>
    <col min="4363" max="4363" width="18.54296875" style="679" bestFit="1" customWidth="1"/>
    <col min="4364" max="4365" width="16" style="679" bestFit="1" customWidth="1"/>
    <col min="4366" max="4366" width="18.54296875" style="679" bestFit="1" customWidth="1"/>
    <col min="4367" max="4367" width="18.81640625" style="679" bestFit="1" customWidth="1"/>
    <col min="4368" max="4368" width="16" style="679" bestFit="1" customWidth="1"/>
    <col min="4369" max="4369" width="20.36328125" style="679" bestFit="1" customWidth="1"/>
    <col min="4370" max="4370" width="18.81640625" style="679" bestFit="1" customWidth="1"/>
    <col min="4371" max="4371" width="20.453125" style="679" bestFit="1" customWidth="1"/>
    <col min="4372" max="4608" width="9.1796875" style="679"/>
    <col min="4609" max="4611" width="0" style="679" hidden="1" customWidth="1"/>
    <col min="4612" max="4613" width="4" style="679" customWidth="1"/>
    <col min="4614" max="4614" width="5.7265625" style="679" customWidth="1"/>
    <col min="4615" max="4615" width="7.7265625" style="679" customWidth="1"/>
    <col min="4616" max="4616" width="50.54296875" style="679" bestFit="1" customWidth="1"/>
    <col min="4617" max="4617" width="14.81640625" style="679" bestFit="1" customWidth="1"/>
    <col min="4618" max="4618" width="7.54296875" style="679" bestFit="1" customWidth="1"/>
    <col min="4619" max="4619" width="18.54296875" style="679" bestFit="1" customWidth="1"/>
    <col min="4620" max="4621" width="16" style="679" bestFit="1" customWidth="1"/>
    <col min="4622" max="4622" width="18.54296875" style="679" bestFit="1" customWidth="1"/>
    <col min="4623" max="4623" width="18.81640625" style="679" bestFit="1" customWidth="1"/>
    <col min="4624" max="4624" width="16" style="679" bestFit="1" customWidth="1"/>
    <col min="4625" max="4625" width="20.36328125" style="679" bestFit="1" customWidth="1"/>
    <col min="4626" max="4626" width="18.81640625" style="679" bestFit="1" customWidth="1"/>
    <col min="4627" max="4627" width="20.453125" style="679" bestFit="1" customWidth="1"/>
    <col min="4628" max="4864" width="9.1796875" style="679"/>
    <col min="4865" max="4867" width="0" style="679" hidden="1" customWidth="1"/>
    <col min="4868" max="4869" width="4" style="679" customWidth="1"/>
    <col min="4870" max="4870" width="5.7265625" style="679" customWidth="1"/>
    <col min="4871" max="4871" width="7.7265625" style="679" customWidth="1"/>
    <col min="4872" max="4872" width="50.54296875" style="679" bestFit="1" customWidth="1"/>
    <col min="4873" max="4873" width="14.81640625" style="679" bestFit="1" customWidth="1"/>
    <col min="4874" max="4874" width="7.54296875" style="679" bestFit="1" customWidth="1"/>
    <col min="4875" max="4875" width="18.54296875" style="679" bestFit="1" customWidth="1"/>
    <col min="4876" max="4877" width="16" style="679" bestFit="1" customWidth="1"/>
    <col min="4878" max="4878" width="18.54296875" style="679" bestFit="1" customWidth="1"/>
    <col min="4879" max="4879" width="18.81640625" style="679" bestFit="1" customWidth="1"/>
    <col min="4880" max="4880" width="16" style="679" bestFit="1" customWidth="1"/>
    <col min="4881" max="4881" width="20.36328125" style="679" bestFit="1" customWidth="1"/>
    <col min="4882" max="4882" width="18.81640625" style="679" bestFit="1" customWidth="1"/>
    <col min="4883" max="4883" width="20.453125" style="679" bestFit="1" customWidth="1"/>
    <col min="4884" max="5120" width="9.1796875" style="679"/>
    <col min="5121" max="5123" width="0" style="679" hidden="1" customWidth="1"/>
    <col min="5124" max="5125" width="4" style="679" customWidth="1"/>
    <col min="5126" max="5126" width="5.7265625" style="679" customWidth="1"/>
    <col min="5127" max="5127" width="7.7265625" style="679" customWidth="1"/>
    <col min="5128" max="5128" width="50.54296875" style="679" bestFit="1" customWidth="1"/>
    <col min="5129" max="5129" width="14.81640625" style="679" bestFit="1" customWidth="1"/>
    <col min="5130" max="5130" width="7.54296875" style="679" bestFit="1" customWidth="1"/>
    <col min="5131" max="5131" width="18.54296875" style="679" bestFit="1" customWidth="1"/>
    <col min="5132" max="5133" width="16" style="679" bestFit="1" customWidth="1"/>
    <col min="5134" max="5134" width="18.54296875" style="679" bestFit="1" customWidth="1"/>
    <col min="5135" max="5135" width="18.81640625" style="679" bestFit="1" customWidth="1"/>
    <col min="5136" max="5136" width="16" style="679" bestFit="1" customWidth="1"/>
    <col min="5137" max="5137" width="20.36328125" style="679" bestFit="1" customWidth="1"/>
    <col min="5138" max="5138" width="18.81640625" style="679" bestFit="1" customWidth="1"/>
    <col min="5139" max="5139" width="20.453125" style="679" bestFit="1" customWidth="1"/>
    <col min="5140" max="5376" width="9.1796875" style="679"/>
    <col min="5377" max="5379" width="0" style="679" hidden="1" customWidth="1"/>
    <col min="5380" max="5381" width="4" style="679" customWidth="1"/>
    <col min="5382" max="5382" width="5.7265625" style="679" customWidth="1"/>
    <col min="5383" max="5383" width="7.7265625" style="679" customWidth="1"/>
    <col min="5384" max="5384" width="50.54296875" style="679" bestFit="1" customWidth="1"/>
    <col min="5385" max="5385" width="14.81640625" style="679" bestFit="1" customWidth="1"/>
    <col min="5386" max="5386" width="7.54296875" style="679" bestFit="1" customWidth="1"/>
    <col min="5387" max="5387" width="18.54296875" style="679" bestFit="1" customWidth="1"/>
    <col min="5388" max="5389" width="16" style="679" bestFit="1" customWidth="1"/>
    <col min="5390" max="5390" width="18.54296875" style="679" bestFit="1" customWidth="1"/>
    <col min="5391" max="5391" width="18.81640625" style="679" bestFit="1" customWidth="1"/>
    <col min="5392" max="5392" width="16" style="679" bestFit="1" customWidth="1"/>
    <col min="5393" max="5393" width="20.36328125" style="679" bestFit="1" customWidth="1"/>
    <col min="5394" max="5394" width="18.81640625" style="679" bestFit="1" customWidth="1"/>
    <col min="5395" max="5395" width="20.453125" style="679" bestFit="1" customWidth="1"/>
    <col min="5396" max="5632" width="9.1796875" style="679"/>
    <col min="5633" max="5635" width="0" style="679" hidden="1" customWidth="1"/>
    <col min="5636" max="5637" width="4" style="679" customWidth="1"/>
    <col min="5638" max="5638" width="5.7265625" style="679" customWidth="1"/>
    <col min="5639" max="5639" width="7.7265625" style="679" customWidth="1"/>
    <col min="5640" max="5640" width="50.54296875" style="679" bestFit="1" customWidth="1"/>
    <col min="5641" max="5641" width="14.81640625" style="679" bestFit="1" customWidth="1"/>
    <col min="5642" max="5642" width="7.54296875" style="679" bestFit="1" customWidth="1"/>
    <col min="5643" max="5643" width="18.54296875" style="679" bestFit="1" customWidth="1"/>
    <col min="5644" max="5645" width="16" style="679" bestFit="1" customWidth="1"/>
    <col min="5646" max="5646" width="18.54296875" style="679" bestFit="1" customWidth="1"/>
    <col min="5647" max="5647" width="18.81640625" style="679" bestFit="1" customWidth="1"/>
    <col min="5648" max="5648" width="16" style="679" bestFit="1" customWidth="1"/>
    <col min="5649" max="5649" width="20.36328125" style="679" bestFit="1" customWidth="1"/>
    <col min="5650" max="5650" width="18.81640625" style="679" bestFit="1" customWidth="1"/>
    <col min="5651" max="5651" width="20.453125" style="679" bestFit="1" customWidth="1"/>
    <col min="5652" max="5888" width="9.1796875" style="679"/>
    <col min="5889" max="5891" width="0" style="679" hidden="1" customWidth="1"/>
    <col min="5892" max="5893" width="4" style="679" customWidth="1"/>
    <col min="5894" max="5894" width="5.7265625" style="679" customWidth="1"/>
    <col min="5895" max="5895" width="7.7265625" style="679" customWidth="1"/>
    <col min="5896" max="5896" width="50.54296875" style="679" bestFit="1" customWidth="1"/>
    <col min="5897" max="5897" width="14.81640625" style="679" bestFit="1" customWidth="1"/>
    <col min="5898" max="5898" width="7.54296875" style="679" bestFit="1" customWidth="1"/>
    <col min="5899" max="5899" width="18.54296875" style="679" bestFit="1" customWidth="1"/>
    <col min="5900" max="5901" width="16" style="679" bestFit="1" customWidth="1"/>
    <col min="5902" max="5902" width="18.54296875" style="679" bestFit="1" customWidth="1"/>
    <col min="5903" max="5903" width="18.81640625" style="679" bestFit="1" customWidth="1"/>
    <col min="5904" max="5904" width="16" style="679" bestFit="1" customWidth="1"/>
    <col min="5905" max="5905" width="20.36328125" style="679" bestFit="1" customWidth="1"/>
    <col min="5906" max="5906" width="18.81640625" style="679" bestFit="1" customWidth="1"/>
    <col min="5907" max="5907" width="20.453125" style="679" bestFit="1" customWidth="1"/>
    <col min="5908" max="6144" width="9.1796875" style="679"/>
    <col min="6145" max="6147" width="0" style="679" hidden="1" customWidth="1"/>
    <col min="6148" max="6149" width="4" style="679" customWidth="1"/>
    <col min="6150" max="6150" width="5.7265625" style="679" customWidth="1"/>
    <col min="6151" max="6151" width="7.7265625" style="679" customWidth="1"/>
    <col min="6152" max="6152" width="50.54296875" style="679" bestFit="1" customWidth="1"/>
    <col min="6153" max="6153" width="14.81640625" style="679" bestFit="1" customWidth="1"/>
    <col min="6154" max="6154" width="7.54296875" style="679" bestFit="1" customWidth="1"/>
    <col min="6155" max="6155" width="18.54296875" style="679" bestFit="1" customWidth="1"/>
    <col min="6156" max="6157" width="16" style="679" bestFit="1" customWidth="1"/>
    <col min="6158" max="6158" width="18.54296875" style="679" bestFit="1" customWidth="1"/>
    <col min="6159" max="6159" width="18.81640625" style="679" bestFit="1" customWidth="1"/>
    <col min="6160" max="6160" width="16" style="679" bestFit="1" customWidth="1"/>
    <col min="6161" max="6161" width="20.36328125" style="679" bestFit="1" customWidth="1"/>
    <col min="6162" max="6162" width="18.81640625" style="679" bestFit="1" customWidth="1"/>
    <col min="6163" max="6163" width="20.453125" style="679" bestFit="1" customWidth="1"/>
    <col min="6164" max="6400" width="9.1796875" style="679"/>
    <col min="6401" max="6403" width="0" style="679" hidden="1" customWidth="1"/>
    <col min="6404" max="6405" width="4" style="679" customWidth="1"/>
    <col min="6406" max="6406" width="5.7265625" style="679" customWidth="1"/>
    <col min="6407" max="6407" width="7.7265625" style="679" customWidth="1"/>
    <col min="6408" max="6408" width="50.54296875" style="679" bestFit="1" customWidth="1"/>
    <col min="6409" max="6409" width="14.81640625" style="679" bestFit="1" customWidth="1"/>
    <col min="6410" max="6410" width="7.54296875" style="679" bestFit="1" customWidth="1"/>
    <col min="6411" max="6411" width="18.54296875" style="679" bestFit="1" customWidth="1"/>
    <col min="6412" max="6413" width="16" style="679" bestFit="1" customWidth="1"/>
    <col min="6414" max="6414" width="18.54296875" style="679" bestFit="1" customWidth="1"/>
    <col min="6415" max="6415" width="18.81640625" style="679" bestFit="1" customWidth="1"/>
    <col min="6416" max="6416" width="16" style="679" bestFit="1" customWidth="1"/>
    <col min="6417" max="6417" width="20.36328125" style="679" bestFit="1" customWidth="1"/>
    <col min="6418" max="6418" width="18.81640625" style="679" bestFit="1" customWidth="1"/>
    <col min="6419" max="6419" width="20.453125" style="679" bestFit="1" customWidth="1"/>
    <col min="6420" max="6656" width="9.1796875" style="679"/>
    <col min="6657" max="6659" width="0" style="679" hidden="1" customWidth="1"/>
    <col min="6660" max="6661" width="4" style="679" customWidth="1"/>
    <col min="6662" max="6662" width="5.7265625" style="679" customWidth="1"/>
    <col min="6663" max="6663" width="7.7265625" style="679" customWidth="1"/>
    <col min="6664" max="6664" width="50.54296875" style="679" bestFit="1" customWidth="1"/>
    <col min="6665" max="6665" width="14.81640625" style="679" bestFit="1" customWidth="1"/>
    <col min="6666" max="6666" width="7.54296875" style="679" bestFit="1" customWidth="1"/>
    <col min="6667" max="6667" width="18.54296875" style="679" bestFit="1" customWidth="1"/>
    <col min="6668" max="6669" width="16" style="679" bestFit="1" customWidth="1"/>
    <col min="6670" max="6670" width="18.54296875" style="679" bestFit="1" customWidth="1"/>
    <col min="6671" max="6671" width="18.81640625" style="679" bestFit="1" customWidth="1"/>
    <col min="6672" max="6672" width="16" style="679" bestFit="1" customWidth="1"/>
    <col min="6673" max="6673" width="20.36328125" style="679" bestFit="1" customWidth="1"/>
    <col min="6674" max="6674" width="18.81640625" style="679" bestFit="1" customWidth="1"/>
    <col min="6675" max="6675" width="20.453125" style="679" bestFit="1" customWidth="1"/>
    <col min="6676" max="6912" width="9.1796875" style="679"/>
    <col min="6913" max="6915" width="0" style="679" hidden="1" customWidth="1"/>
    <col min="6916" max="6917" width="4" style="679" customWidth="1"/>
    <col min="6918" max="6918" width="5.7265625" style="679" customWidth="1"/>
    <col min="6919" max="6919" width="7.7265625" style="679" customWidth="1"/>
    <col min="6920" max="6920" width="50.54296875" style="679" bestFit="1" customWidth="1"/>
    <col min="6921" max="6921" width="14.81640625" style="679" bestFit="1" customWidth="1"/>
    <col min="6922" max="6922" width="7.54296875" style="679" bestFit="1" customWidth="1"/>
    <col min="6923" max="6923" width="18.54296875" style="679" bestFit="1" customWidth="1"/>
    <col min="6924" max="6925" width="16" style="679" bestFit="1" customWidth="1"/>
    <col min="6926" max="6926" width="18.54296875" style="679" bestFit="1" customWidth="1"/>
    <col min="6927" max="6927" width="18.81640625" style="679" bestFit="1" customWidth="1"/>
    <col min="6928" max="6928" width="16" style="679" bestFit="1" customWidth="1"/>
    <col min="6929" max="6929" width="20.36328125" style="679" bestFit="1" customWidth="1"/>
    <col min="6930" max="6930" width="18.81640625" style="679" bestFit="1" customWidth="1"/>
    <col min="6931" max="6931" width="20.453125" style="679" bestFit="1" customWidth="1"/>
    <col min="6932" max="7168" width="9.1796875" style="679"/>
    <col min="7169" max="7171" width="0" style="679" hidden="1" customWidth="1"/>
    <col min="7172" max="7173" width="4" style="679" customWidth="1"/>
    <col min="7174" max="7174" width="5.7265625" style="679" customWidth="1"/>
    <col min="7175" max="7175" width="7.7265625" style="679" customWidth="1"/>
    <col min="7176" max="7176" width="50.54296875" style="679" bestFit="1" customWidth="1"/>
    <col min="7177" max="7177" width="14.81640625" style="679" bestFit="1" customWidth="1"/>
    <col min="7178" max="7178" width="7.54296875" style="679" bestFit="1" customWidth="1"/>
    <col min="7179" max="7179" width="18.54296875" style="679" bestFit="1" customWidth="1"/>
    <col min="7180" max="7181" width="16" style="679" bestFit="1" customWidth="1"/>
    <col min="7182" max="7182" width="18.54296875" style="679" bestFit="1" customWidth="1"/>
    <col min="7183" max="7183" width="18.81640625" style="679" bestFit="1" customWidth="1"/>
    <col min="7184" max="7184" width="16" style="679" bestFit="1" customWidth="1"/>
    <col min="7185" max="7185" width="20.36328125" style="679" bestFit="1" customWidth="1"/>
    <col min="7186" max="7186" width="18.81640625" style="679" bestFit="1" customWidth="1"/>
    <col min="7187" max="7187" width="20.453125" style="679" bestFit="1" customWidth="1"/>
    <col min="7188" max="7424" width="9.1796875" style="679"/>
    <col min="7425" max="7427" width="0" style="679" hidden="1" customWidth="1"/>
    <col min="7428" max="7429" width="4" style="679" customWidth="1"/>
    <col min="7430" max="7430" width="5.7265625" style="679" customWidth="1"/>
    <col min="7431" max="7431" width="7.7265625" style="679" customWidth="1"/>
    <col min="7432" max="7432" width="50.54296875" style="679" bestFit="1" customWidth="1"/>
    <col min="7433" max="7433" width="14.81640625" style="679" bestFit="1" customWidth="1"/>
    <col min="7434" max="7434" width="7.54296875" style="679" bestFit="1" customWidth="1"/>
    <col min="7435" max="7435" width="18.54296875" style="679" bestFit="1" customWidth="1"/>
    <col min="7436" max="7437" width="16" style="679" bestFit="1" customWidth="1"/>
    <col min="7438" max="7438" width="18.54296875" style="679" bestFit="1" customWidth="1"/>
    <col min="7439" max="7439" width="18.81640625" style="679" bestFit="1" customWidth="1"/>
    <col min="7440" max="7440" width="16" style="679" bestFit="1" customWidth="1"/>
    <col min="7441" max="7441" width="20.36328125" style="679" bestFit="1" customWidth="1"/>
    <col min="7442" max="7442" width="18.81640625" style="679" bestFit="1" customWidth="1"/>
    <col min="7443" max="7443" width="20.453125" style="679" bestFit="1" customWidth="1"/>
    <col min="7444" max="7680" width="9.1796875" style="679"/>
    <col min="7681" max="7683" width="0" style="679" hidden="1" customWidth="1"/>
    <col min="7684" max="7685" width="4" style="679" customWidth="1"/>
    <col min="7686" max="7686" width="5.7265625" style="679" customWidth="1"/>
    <col min="7687" max="7687" width="7.7265625" style="679" customWidth="1"/>
    <col min="7688" max="7688" width="50.54296875" style="679" bestFit="1" customWidth="1"/>
    <col min="7689" max="7689" width="14.81640625" style="679" bestFit="1" customWidth="1"/>
    <col min="7690" max="7690" width="7.54296875" style="679" bestFit="1" customWidth="1"/>
    <col min="7691" max="7691" width="18.54296875" style="679" bestFit="1" customWidth="1"/>
    <col min="7692" max="7693" width="16" style="679" bestFit="1" customWidth="1"/>
    <col min="7694" max="7694" width="18.54296875" style="679" bestFit="1" customWidth="1"/>
    <col min="7695" max="7695" width="18.81640625" style="679" bestFit="1" customWidth="1"/>
    <col min="7696" max="7696" width="16" style="679" bestFit="1" customWidth="1"/>
    <col min="7697" max="7697" width="20.36328125" style="679" bestFit="1" customWidth="1"/>
    <col min="7698" max="7698" width="18.81640625" style="679" bestFit="1" customWidth="1"/>
    <col min="7699" max="7699" width="20.453125" style="679" bestFit="1" customWidth="1"/>
    <col min="7700" max="7936" width="9.1796875" style="679"/>
    <col min="7937" max="7939" width="0" style="679" hidden="1" customWidth="1"/>
    <col min="7940" max="7941" width="4" style="679" customWidth="1"/>
    <col min="7942" max="7942" width="5.7265625" style="679" customWidth="1"/>
    <col min="7943" max="7943" width="7.7265625" style="679" customWidth="1"/>
    <col min="7944" max="7944" width="50.54296875" style="679" bestFit="1" customWidth="1"/>
    <col min="7945" max="7945" width="14.81640625" style="679" bestFit="1" customWidth="1"/>
    <col min="7946" max="7946" width="7.54296875" style="679" bestFit="1" customWidth="1"/>
    <col min="7947" max="7947" width="18.54296875" style="679" bestFit="1" customWidth="1"/>
    <col min="7948" max="7949" width="16" style="679" bestFit="1" customWidth="1"/>
    <col min="7950" max="7950" width="18.54296875" style="679" bestFit="1" customWidth="1"/>
    <col min="7951" max="7951" width="18.81640625" style="679" bestFit="1" customWidth="1"/>
    <col min="7952" max="7952" width="16" style="679" bestFit="1" customWidth="1"/>
    <col min="7953" max="7953" width="20.36328125" style="679" bestFit="1" customWidth="1"/>
    <col min="7954" max="7954" width="18.81640625" style="679" bestFit="1" customWidth="1"/>
    <col min="7955" max="7955" width="20.453125" style="679" bestFit="1" customWidth="1"/>
    <col min="7956" max="8192" width="9.1796875" style="679"/>
    <col min="8193" max="8195" width="0" style="679" hidden="1" customWidth="1"/>
    <col min="8196" max="8197" width="4" style="679" customWidth="1"/>
    <col min="8198" max="8198" width="5.7265625" style="679" customWidth="1"/>
    <col min="8199" max="8199" width="7.7265625" style="679" customWidth="1"/>
    <col min="8200" max="8200" width="50.54296875" style="679" bestFit="1" customWidth="1"/>
    <col min="8201" max="8201" width="14.81640625" style="679" bestFit="1" customWidth="1"/>
    <col min="8202" max="8202" width="7.54296875" style="679" bestFit="1" customWidth="1"/>
    <col min="8203" max="8203" width="18.54296875" style="679" bestFit="1" customWidth="1"/>
    <col min="8204" max="8205" width="16" style="679" bestFit="1" customWidth="1"/>
    <col min="8206" max="8206" width="18.54296875" style="679" bestFit="1" customWidth="1"/>
    <col min="8207" max="8207" width="18.81640625" style="679" bestFit="1" customWidth="1"/>
    <col min="8208" max="8208" width="16" style="679" bestFit="1" customWidth="1"/>
    <col min="8209" max="8209" width="20.36328125" style="679" bestFit="1" customWidth="1"/>
    <col min="8210" max="8210" width="18.81640625" style="679" bestFit="1" customWidth="1"/>
    <col min="8211" max="8211" width="20.453125" style="679" bestFit="1" customWidth="1"/>
    <col min="8212" max="8448" width="9.1796875" style="679"/>
    <col min="8449" max="8451" width="0" style="679" hidden="1" customWidth="1"/>
    <col min="8452" max="8453" width="4" style="679" customWidth="1"/>
    <col min="8454" max="8454" width="5.7265625" style="679" customWidth="1"/>
    <col min="8455" max="8455" width="7.7265625" style="679" customWidth="1"/>
    <col min="8456" max="8456" width="50.54296875" style="679" bestFit="1" customWidth="1"/>
    <col min="8457" max="8457" width="14.81640625" style="679" bestFit="1" customWidth="1"/>
    <col min="8458" max="8458" width="7.54296875" style="679" bestFit="1" customWidth="1"/>
    <col min="8459" max="8459" width="18.54296875" style="679" bestFit="1" customWidth="1"/>
    <col min="8460" max="8461" width="16" style="679" bestFit="1" customWidth="1"/>
    <col min="8462" max="8462" width="18.54296875" style="679" bestFit="1" customWidth="1"/>
    <col min="8463" max="8463" width="18.81640625" style="679" bestFit="1" customWidth="1"/>
    <col min="8464" max="8464" width="16" style="679" bestFit="1" customWidth="1"/>
    <col min="8465" max="8465" width="20.36328125" style="679" bestFit="1" customWidth="1"/>
    <col min="8466" max="8466" width="18.81640625" style="679" bestFit="1" customWidth="1"/>
    <col min="8467" max="8467" width="20.453125" style="679" bestFit="1" customWidth="1"/>
    <col min="8468" max="8704" width="9.1796875" style="679"/>
    <col min="8705" max="8707" width="0" style="679" hidden="1" customWidth="1"/>
    <col min="8708" max="8709" width="4" style="679" customWidth="1"/>
    <col min="8710" max="8710" width="5.7265625" style="679" customWidth="1"/>
    <col min="8711" max="8711" width="7.7265625" style="679" customWidth="1"/>
    <col min="8712" max="8712" width="50.54296875" style="679" bestFit="1" customWidth="1"/>
    <col min="8713" max="8713" width="14.81640625" style="679" bestFit="1" customWidth="1"/>
    <col min="8714" max="8714" width="7.54296875" style="679" bestFit="1" customWidth="1"/>
    <col min="8715" max="8715" width="18.54296875" style="679" bestFit="1" customWidth="1"/>
    <col min="8716" max="8717" width="16" style="679" bestFit="1" customWidth="1"/>
    <col min="8718" max="8718" width="18.54296875" style="679" bestFit="1" customWidth="1"/>
    <col min="8719" max="8719" width="18.81640625" style="679" bestFit="1" customWidth="1"/>
    <col min="8720" max="8720" width="16" style="679" bestFit="1" customWidth="1"/>
    <col min="8721" max="8721" width="20.36328125" style="679" bestFit="1" customWidth="1"/>
    <col min="8722" max="8722" width="18.81640625" style="679" bestFit="1" customWidth="1"/>
    <col min="8723" max="8723" width="20.453125" style="679" bestFit="1" customWidth="1"/>
    <col min="8724" max="8960" width="9.1796875" style="679"/>
    <col min="8961" max="8963" width="0" style="679" hidden="1" customWidth="1"/>
    <col min="8964" max="8965" width="4" style="679" customWidth="1"/>
    <col min="8966" max="8966" width="5.7265625" style="679" customWidth="1"/>
    <col min="8967" max="8967" width="7.7265625" style="679" customWidth="1"/>
    <col min="8968" max="8968" width="50.54296875" style="679" bestFit="1" customWidth="1"/>
    <col min="8969" max="8969" width="14.81640625" style="679" bestFit="1" customWidth="1"/>
    <col min="8970" max="8970" width="7.54296875" style="679" bestFit="1" customWidth="1"/>
    <col min="8971" max="8971" width="18.54296875" style="679" bestFit="1" customWidth="1"/>
    <col min="8972" max="8973" width="16" style="679" bestFit="1" customWidth="1"/>
    <col min="8974" max="8974" width="18.54296875" style="679" bestFit="1" customWidth="1"/>
    <col min="8975" max="8975" width="18.81640625" style="679" bestFit="1" customWidth="1"/>
    <col min="8976" max="8976" width="16" style="679" bestFit="1" customWidth="1"/>
    <col min="8977" max="8977" width="20.36328125" style="679" bestFit="1" customWidth="1"/>
    <col min="8978" max="8978" width="18.81640625" style="679" bestFit="1" customWidth="1"/>
    <col min="8979" max="8979" width="20.453125" style="679" bestFit="1" customWidth="1"/>
    <col min="8980" max="9216" width="9.1796875" style="679"/>
    <col min="9217" max="9219" width="0" style="679" hidden="1" customWidth="1"/>
    <col min="9220" max="9221" width="4" style="679" customWidth="1"/>
    <col min="9222" max="9222" width="5.7265625" style="679" customWidth="1"/>
    <col min="9223" max="9223" width="7.7265625" style="679" customWidth="1"/>
    <col min="9224" max="9224" width="50.54296875" style="679" bestFit="1" customWidth="1"/>
    <col min="9225" max="9225" width="14.81640625" style="679" bestFit="1" customWidth="1"/>
    <col min="9226" max="9226" width="7.54296875" style="679" bestFit="1" customWidth="1"/>
    <col min="9227" max="9227" width="18.54296875" style="679" bestFit="1" customWidth="1"/>
    <col min="9228" max="9229" width="16" style="679" bestFit="1" customWidth="1"/>
    <col min="9230" max="9230" width="18.54296875" style="679" bestFit="1" customWidth="1"/>
    <col min="9231" max="9231" width="18.81640625" style="679" bestFit="1" customWidth="1"/>
    <col min="9232" max="9232" width="16" style="679" bestFit="1" customWidth="1"/>
    <col min="9233" max="9233" width="20.36328125" style="679" bestFit="1" customWidth="1"/>
    <col min="9234" max="9234" width="18.81640625" style="679" bestFit="1" customWidth="1"/>
    <col min="9235" max="9235" width="20.453125" style="679" bestFit="1" customWidth="1"/>
    <col min="9236" max="9472" width="9.1796875" style="679"/>
    <col min="9473" max="9475" width="0" style="679" hidden="1" customWidth="1"/>
    <col min="9476" max="9477" width="4" style="679" customWidth="1"/>
    <col min="9478" max="9478" width="5.7265625" style="679" customWidth="1"/>
    <col min="9479" max="9479" width="7.7265625" style="679" customWidth="1"/>
    <col min="9480" max="9480" width="50.54296875" style="679" bestFit="1" customWidth="1"/>
    <col min="9481" max="9481" width="14.81640625" style="679" bestFit="1" customWidth="1"/>
    <col min="9482" max="9482" width="7.54296875" style="679" bestFit="1" customWidth="1"/>
    <col min="9483" max="9483" width="18.54296875" style="679" bestFit="1" customWidth="1"/>
    <col min="9484" max="9485" width="16" style="679" bestFit="1" customWidth="1"/>
    <col min="9486" max="9486" width="18.54296875" style="679" bestFit="1" customWidth="1"/>
    <col min="9487" max="9487" width="18.81640625" style="679" bestFit="1" customWidth="1"/>
    <col min="9488" max="9488" width="16" style="679" bestFit="1" customWidth="1"/>
    <col min="9489" max="9489" width="20.36328125" style="679" bestFit="1" customWidth="1"/>
    <col min="9490" max="9490" width="18.81640625" style="679" bestFit="1" customWidth="1"/>
    <col min="9491" max="9491" width="20.453125" style="679" bestFit="1" customWidth="1"/>
    <col min="9492" max="9728" width="9.1796875" style="679"/>
    <col min="9729" max="9731" width="0" style="679" hidden="1" customWidth="1"/>
    <col min="9732" max="9733" width="4" style="679" customWidth="1"/>
    <col min="9734" max="9734" width="5.7265625" style="679" customWidth="1"/>
    <col min="9735" max="9735" width="7.7265625" style="679" customWidth="1"/>
    <col min="9736" max="9736" width="50.54296875" style="679" bestFit="1" customWidth="1"/>
    <col min="9737" max="9737" width="14.81640625" style="679" bestFit="1" customWidth="1"/>
    <col min="9738" max="9738" width="7.54296875" style="679" bestFit="1" customWidth="1"/>
    <col min="9739" max="9739" width="18.54296875" style="679" bestFit="1" customWidth="1"/>
    <col min="9740" max="9741" width="16" style="679" bestFit="1" customWidth="1"/>
    <col min="9742" max="9742" width="18.54296875" style="679" bestFit="1" customWidth="1"/>
    <col min="9743" max="9743" width="18.81640625" style="679" bestFit="1" customWidth="1"/>
    <col min="9744" max="9744" width="16" style="679" bestFit="1" customWidth="1"/>
    <col min="9745" max="9745" width="20.36328125" style="679" bestFit="1" customWidth="1"/>
    <col min="9746" max="9746" width="18.81640625" style="679" bestFit="1" customWidth="1"/>
    <col min="9747" max="9747" width="20.453125" style="679" bestFit="1" customWidth="1"/>
    <col min="9748" max="9984" width="9.1796875" style="679"/>
    <col min="9985" max="9987" width="0" style="679" hidden="1" customWidth="1"/>
    <col min="9988" max="9989" width="4" style="679" customWidth="1"/>
    <col min="9990" max="9990" width="5.7265625" style="679" customWidth="1"/>
    <col min="9991" max="9991" width="7.7265625" style="679" customWidth="1"/>
    <col min="9992" max="9992" width="50.54296875" style="679" bestFit="1" customWidth="1"/>
    <col min="9993" max="9993" width="14.81640625" style="679" bestFit="1" customWidth="1"/>
    <col min="9994" max="9994" width="7.54296875" style="679" bestFit="1" customWidth="1"/>
    <col min="9995" max="9995" width="18.54296875" style="679" bestFit="1" customWidth="1"/>
    <col min="9996" max="9997" width="16" style="679" bestFit="1" customWidth="1"/>
    <col min="9998" max="9998" width="18.54296875" style="679" bestFit="1" customWidth="1"/>
    <col min="9999" max="9999" width="18.81640625" style="679" bestFit="1" customWidth="1"/>
    <col min="10000" max="10000" width="16" style="679" bestFit="1" customWidth="1"/>
    <col min="10001" max="10001" width="20.36328125" style="679" bestFit="1" customWidth="1"/>
    <col min="10002" max="10002" width="18.81640625" style="679" bestFit="1" customWidth="1"/>
    <col min="10003" max="10003" width="20.453125" style="679" bestFit="1" customWidth="1"/>
    <col min="10004" max="10240" width="9.1796875" style="679"/>
    <col min="10241" max="10243" width="0" style="679" hidden="1" customWidth="1"/>
    <col min="10244" max="10245" width="4" style="679" customWidth="1"/>
    <col min="10246" max="10246" width="5.7265625" style="679" customWidth="1"/>
    <col min="10247" max="10247" width="7.7265625" style="679" customWidth="1"/>
    <col min="10248" max="10248" width="50.54296875" style="679" bestFit="1" customWidth="1"/>
    <col min="10249" max="10249" width="14.81640625" style="679" bestFit="1" customWidth="1"/>
    <col min="10250" max="10250" width="7.54296875" style="679" bestFit="1" customWidth="1"/>
    <col min="10251" max="10251" width="18.54296875" style="679" bestFit="1" customWidth="1"/>
    <col min="10252" max="10253" width="16" style="679" bestFit="1" customWidth="1"/>
    <col min="10254" max="10254" width="18.54296875" style="679" bestFit="1" customWidth="1"/>
    <col min="10255" max="10255" width="18.81640625" style="679" bestFit="1" customWidth="1"/>
    <col min="10256" max="10256" width="16" style="679" bestFit="1" customWidth="1"/>
    <col min="10257" max="10257" width="20.36328125" style="679" bestFit="1" customWidth="1"/>
    <col min="10258" max="10258" width="18.81640625" style="679" bestFit="1" customWidth="1"/>
    <col min="10259" max="10259" width="20.453125" style="679" bestFit="1" customWidth="1"/>
    <col min="10260" max="10496" width="9.1796875" style="679"/>
    <col min="10497" max="10499" width="0" style="679" hidden="1" customWidth="1"/>
    <col min="10500" max="10501" width="4" style="679" customWidth="1"/>
    <col min="10502" max="10502" width="5.7265625" style="679" customWidth="1"/>
    <col min="10503" max="10503" width="7.7265625" style="679" customWidth="1"/>
    <col min="10504" max="10504" width="50.54296875" style="679" bestFit="1" customWidth="1"/>
    <col min="10505" max="10505" width="14.81640625" style="679" bestFit="1" customWidth="1"/>
    <col min="10506" max="10506" width="7.54296875" style="679" bestFit="1" customWidth="1"/>
    <col min="10507" max="10507" width="18.54296875" style="679" bestFit="1" customWidth="1"/>
    <col min="10508" max="10509" width="16" style="679" bestFit="1" customWidth="1"/>
    <col min="10510" max="10510" width="18.54296875" style="679" bestFit="1" customWidth="1"/>
    <col min="10511" max="10511" width="18.81640625" style="679" bestFit="1" customWidth="1"/>
    <col min="10512" max="10512" width="16" style="679" bestFit="1" customWidth="1"/>
    <col min="10513" max="10513" width="20.36328125" style="679" bestFit="1" customWidth="1"/>
    <col min="10514" max="10514" width="18.81640625" style="679" bestFit="1" customWidth="1"/>
    <col min="10515" max="10515" width="20.453125" style="679" bestFit="1" customWidth="1"/>
    <col min="10516" max="10752" width="9.1796875" style="679"/>
    <col min="10753" max="10755" width="0" style="679" hidden="1" customWidth="1"/>
    <col min="10756" max="10757" width="4" style="679" customWidth="1"/>
    <col min="10758" max="10758" width="5.7265625" style="679" customWidth="1"/>
    <col min="10759" max="10759" width="7.7265625" style="679" customWidth="1"/>
    <col min="10760" max="10760" width="50.54296875" style="679" bestFit="1" customWidth="1"/>
    <col min="10761" max="10761" width="14.81640625" style="679" bestFit="1" customWidth="1"/>
    <col min="10762" max="10762" width="7.54296875" style="679" bestFit="1" customWidth="1"/>
    <col min="10763" max="10763" width="18.54296875" style="679" bestFit="1" customWidth="1"/>
    <col min="10764" max="10765" width="16" style="679" bestFit="1" customWidth="1"/>
    <col min="10766" max="10766" width="18.54296875" style="679" bestFit="1" customWidth="1"/>
    <col min="10767" max="10767" width="18.81640625" style="679" bestFit="1" customWidth="1"/>
    <col min="10768" max="10768" width="16" style="679" bestFit="1" customWidth="1"/>
    <col min="10769" max="10769" width="20.36328125" style="679" bestFit="1" customWidth="1"/>
    <col min="10770" max="10770" width="18.81640625" style="679" bestFit="1" customWidth="1"/>
    <col min="10771" max="10771" width="20.453125" style="679" bestFit="1" customWidth="1"/>
    <col min="10772" max="11008" width="9.1796875" style="679"/>
    <col min="11009" max="11011" width="0" style="679" hidden="1" customWidth="1"/>
    <col min="11012" max="11013" width="4" style="679" customWidth="1"/>
    <col min="11014" max="11014" width="5.7265625" style="679" customWidth="1"/>
    <col min="11015" max="11015" width="7.7265625" style="679" customWidth="1"/>
    <col min="11016" max="11016" width="50.54296875" style="679" bestFit="1" customWidth="1"/>
    <col min="11017" max="11017" width="14.81640625" style="679" bestFit="1" customWidth="1"/>
    <col min="11018" max="11018" width="7.54296875" style="679" bestFit="1" customWidth="1"/>
    <col min="11019" max="11019" width="18.54296875" style="679" bestFit="1" customWidth="1"/>
    <col min="11020" max="11021" width="16" style="679" bestFit="1" customWidth="1"/>
    <col min="11022" max="11022" width="18.54296875" style="679" bestFit="1" customWidth="1"/>
    <col min="11023" max="11023" width="18.81640625" style="679" bestFit="1" customWidth="1"/>
    <col min="11024" max="11024" width="16" style="679" bestFit="1" customWidth="1"/>
    <col min="11025" max="11025" width="20.36328125" style="679" bestFit="1" customWidth="1"/>
    <col min="11026" max="11026" width="18.81640625" style="679" bestFit="1" customWidth="1"/>
    <col min="11027" max="11027" width="20.453125" style="679" bestFit="1" customWidth="1"/>
    <col min="11028" max="11264" width="9.1796875" style="679"/>
    <col min="11265" max="11267" width="0" style="679" hidden="1" customWidth="1"/>
    <col min="11268" max="11269" width="4" style="679" customWidth="1"/>
    <col min="11270" max="11270" width="5.7265625" style="679" customWidth="1"/>
    <col min="11271" max="11271" width="7.7265625" style="679" customWidth="1"/>
    <col min="11272" max="11272" width="50.54296875" style="679" bestFit="1" customWidth="1"/>
    <col min="11273" max="11273" width="14.81640625" style="679" bestFit="1" customWidth="1"/>
    <col min="11274" max="11274" width="7.54296875" style="679" bestFit="1" customWidth="1"/>
    <col min="11275" max="11275" width="18.54296875" style="679" bestFit="1" customWidth="1"/>
    <col min="11276" max="11277" width="16" style="679" bestFit="1" customWidth="1"/>
    <col min="11278" max="11278" width="18.54296875" style="679" bestFit="1" customWidth="1"/>
    <col min="11279" max="11279" width="18.81640625" style="679" bestFit="1" customWidth="1"/>
    <col min="11280" max="11280" width="16" style="679" bestFit="1" customWidth="1"/>
    <col min="11281" max="11281" width="20.36328125" style="679" bestFit="1" customWidth="1"/>
    <col min="11282" max="11282" width="18.81640625" style="679" bestFit="1" customWidth="1"/>
    <col min="11283" max="11283" width="20.453125" style="679" bestFit="1" customWidth="1"/>
    <col min="11284" max="11520" width="9.1796875" style="679"/>
    <col min="11521" max="11523" width="0" style="679" hidden="1" customWidth="1"/>
    <col min="11524" max="11525" width="4" style="679" customWidth="1"/>
    <col min="11526" max="11526" width="5.7265625" style="679" customWidth="1"/>
    <col min="11527" max="11527" width="7.7265625" style="679" customWidth="1"/>
    <col min="11528" max="11528" width="50.54296875" style="679" bestFit="1" customWidth="1"/>
    <col min="11529" max="11529" width="14.81640625" style="679" bestFit="1" customWidth="1"/>
    <col min="11530" max="11530" width="7.54296875" style="679" bestFit="1" customWidth="1"/>
    <col min="11531" max="11531" width="18.54296875" style="679" bestFit="1" customWidth="1"/>
    <col min="11532" max="11533" width="16" style="679" bestFit="1" customWidth="1"/>
    <col min="11534" max="11534" width="18.54296875" style="679" bestFit="1" customWidth="1"/>
    <col min="11535" max="11535" width="18.81640625" style="679" bestFit="1" customWidth="1"/>
    <col min="11536" max="11536" width="16" style="679" bestFit="1" customWidth="1"/>
    <col min="11537" max="11537" width="20.36328125" style="679" bestFit="1" customWidth="1"/>
    <col min="11538" max="11538" width="18.81640625" style="679" bestFit="1" customWidth="1"/>
    <col min="11539" max="11539" width="20.453125" style="679" bestFit="1" customWidth="1"/>
    <col min="11540" max="11776" width="9.1796875" style="679"/>
    <col min="11777" max="11779" width="0" style="679" hidden="1" customWidth="1"/>
    <col min="11780" max="11781" width="4" style="679" customWidth="1"/>
    <col min="11782" max="11782" width="5.7265625" style="679" customWidth="1"/>
    <col min="11783" max="11783" width="7.7265625" style="679" customWidth="1"/>
    <col min="11784" max="11784" width="50.54296875" style="679" bestFit="1" customWidth="1"/>
    <col min="11785" max="11785" width="14.81640625" style="679" bestFit="1" customWidth="1"/>
    <col min="11786" max="11786" width="7.54296875" style="679" bestFit="1" customWidth="1"/>
    <col min="11787" max="11787" width="18.54296875" style="679" bestFit="1" customWidth="1"/>
    <col min="11788" max="11789" width="16" style="679" bestFit="1" customWidth="1"/>
    <col min="11790" max="11790" width="18.54296875" style="679" bestFit="1" customWidth="1"/>
    <col min="11791" max="11791" width="18.81640625" style="679" bestFit="1" customWidth="1"/>
    <col min="11792" max="11792" width="16" style="679" bestFit="1" customWidth="1"/>
    <col min="11793" max="11793" width="20.36328125" style="679" bestFit="1" customWidth="1"/>
    <col min="11794" max="11794" width="18.81640625" style="679" bestFit="1" customWidth="1"/>
    <col min="11795" max="11795" width="20.453125" style="679" bestFit="1" customWidth="1"/>
    <col min="11796" max="12032" width="9.1796875" style="679"/>
    <col min="12033" max="12035" width="0" style="679" hidden="1" customWidth="1"/>
    <col min="12036" max="12037" width="4" style="679" customWidth="1"/>
    <col min="12038" max="12038" width="5.7265625" style="679" customWidth="1"/>
    <col min="12039" max="12039" width="7.7265625" style="679" customWidth="1"/>
    <col min="12040" max="12040" width="50.54296875" style="679" bestFit="1" customWidth="1"/>
    <col min="12041" max="12041" width="14.81640625" style="679" bestFit="1" customWidth="1"/>
    <col min="12042" max="12042" width="7.54296875" style="679" bestFit="1" customWidth="1"/>
    <col min="12043" max="12043" width="18.54296875" style="679" bestFit="1" customWidth="1"/>
    <col min="12044" max="12045" width="16" style="679" bestFit="1" customWidth="1"/>
    <col min="12046" max="12046" width="18.54296875" style="679" bestFit="1" customWidth="1"/>
    <col min="12047" max="12047" width="18.81640625" style="679" bestFit="1" customWidth="1"/>
    <col min="12048" max="12048" width="16" style="679" bestFit="1" customWidth="1"/>
    <col min="12049" max="12049" width="20.36328125" style="679" bestFit="1" customWidth="1"/>
    <col min="12050" max="12050" width="18.81640625" style="679" bestFit="1" customWidth="1"/>
    <col min="12051" max="12051" width="20.453125" style="679" bestFit="1" customWidth="1"/>
    <col min="12052" max="12288" width="9.1796875" style="679"/>
    <col min="12289" max="12291" width="0" style="679" hidden="1" customWidth="1"/>
    <col min="12292" max="12293" width="4" style="679" customWidth="1"/>
    <col min="12294" max="12294" width="5.7265625" style="679" customWidth="1"/>
    <col min="12295" max="12295" width="7.7265625" style="679" customWidth="1"/>
    <col min="12296" max="12296" width="50.54296875" style="679" bestFit="1" customWidth="1"/>
    <col min="12297" max="12297" width="14.81640625" style="679" bestFit="1" customWidth="1"/>
    <col min="12298" max="12298" width="7.54296875" style="679" bestFit="1" customWidth="1"/>
    <col min="12299" max="12299" width="18.54296875" style="679" bestFit="1" customWidth="1"/>
    <col min="12300" max="12301" width="16" style="679" bestFit="1" customWidth="1"/>
    <col min="12302" max="12302" width="18.54296875" style="679" bestFit="1" customWidth="1"/>
    <col min="12303" max="12303" width="18.81640625" style="679" bestFit="1" customWidth="1"/>
    <col min="12304" max="12304" width="16" style="679" bestFit="1" customWidth="1"/>
    <col min="12305" max="12305" width="20.36328125" style="679" bestFit="1" customWidth="1"/>
    <col min="12306" max="12306" width="18.81640625" style="679" bestFit="1" customWidth="1"/>
    <col min="12307" max="12307" width="20.453125" style="679" bestFit="1" customWidth="1"/>
    <col min="12308" max="12544" width="9.1796875" style="679"/>
    <col min="12545" max="12547" width="0" style="679" hidden="1" customWidth="1"/>
    <col min="12548" max="12549" width="4" style="679" customWidth="1"/>
    <col min="12550" max="12550" width="5.7265625" style="679" customWidth="1"/>
    <col min="12551" max="12551" width="7.7265625" style="679" customWidth="1"/>
    <col min="12552" max="12552" width="50.54296875" style="679" bestFit="1" customWidth="1"/>
    <col min="12553" max="12553" width="14.81640625" style="679" bestFit="1" customWidth="1"/>
    <col min="12554" max="12554" width="7.54296875" style="679" bestFit="1" customWidth="1"/>
    <col min="12555" max="12555" width="18.54296875" style="679" bestFit="1" customWidth="1"/>
    <col min="12556" max="12557" width="16" style="679" bestFit="1" customWidth="1"/>
    <col min="12558" max="12558" width="18.54296875" style="679" bestFit="1" customWidth="1"/>
    <col min="12559" max="12559" width="18.81640625" style="679" bestFit="1" customWidth="1"/>
    <col min="12560" max="12560" width="16" style="679" bestFit="1" customWidth="1"/>
    <col min="12561" max="12561" width="20.36328125" style="679" bestFit="1" customWidth="1"/>
    <col min="12562" max="12562" width="18.81640625" style="679" bestFit="1" customWidth="1"/>
    <col min="12563" max="12563" width="20.453125" style="679" bestFit="1" customWidth="1"/>
    <col min="12564" max="12800" width="9.1796875" style="679"/>
    <col min="12801" max="12803" width="0" style="679" hidden="1" customWidth="1"/>
    <col min="12804" max="12805" width="4" style="679" customWidth="1"/>
    <col min="12806" max="12806" width="5.7265625" style="679" customWidth="1"/>
    <col min="12807" max="12807" width="7.7265625" style="679" customWidth="1"/>
    <col min="12808" max="12808" width="50.54296875" style="679" bestFit="1" customWidth="1"/>
    <col min="12809" max="12809" width="14.81640625" style="679" bestFit="1" customWidth="1"/>
    <col min="12810" max="12810" width="7.54296875" style="679" bestFit="1" customWidth="1"/>
    <col min="12811" max="12811" width="18.54296875" style="679" bestFit="1" customWidth="1"/>
    <col min="12812" max="12813" width="16" style="679" bestFit="1" customWidth="1"/>
    <col min="12814" max="12814" width="18.54296875" style="679" bestFit="1" customWidth="1"/>
    <col min="12815" max="12815" width="18.81640625" style="679" bestFit="1" customWidth="1"/>
    <col min="12816" max="12816" width="16" style="679" bestFit="1" customWidth="1"/>
    <col min="12817" max="12817" width="20.36328125" style="679" bestFit="1" customWidth="1"/>
    <col min="12818" max="12818" width="18.81640625" style="679" bestFit="1" customWidth="1"/>
    <col min="12819" max="12819" width="20.453125" style="679" bestFit="1" customWidth="1"/>
    <col min="12820" max="13056" width="9.1796875" style="679"/>
    <col min="13057" max="13059" width="0" style="679" hidden="1" customWidth="1"/>
    <col min="13060" max="13061" width="4" style="679" customWidth="1"/>
    <col min="13062" max="13062" width="5.7265625" style="679" customWidth="1"/>
    <col min="13063" max="13063" width="7.7265625" style="679" customWidth="1"/>
    <col min="13064" max="13064" width="50.54296875" style="679" bestFit="1" customWidth="1"/>
    <col min="13065" max="13065" width="14.81640625" style="679" bestFit="1" customWidth="1"/>
    <col min="13066" max="13066" width="7.54296875" style="679" bestFit="1" customWidth="1"/>
    <col min="13067" max="13067" width="18.54296875" style="679" bestFit="1" customWidth="1"/>
    <col min="13068" max="13069" width="16" style="679" bestFit="1" customWidth="1"/>
    <col min="13070" max="13070" width="18.54296875" style="679" bestFit="1" customWidth="1"/>
    <col min="13071" max="13071" width="18.81640625" style="679" bestFit="1" customWidth="1"/>
    <col min="13072" max="13072" width="16" style="679" bestFit="1" customWidth="1"/>
    <col min="13073" max="13073" width="20.36328125" style="679" bestFit="1" customWidth="1"/>
    <col min="13074" max="13074" width="18.81640625" style="679" bestFit="1" customWidth="1"/>
    <col min="13075" max="13075" width="20.453125" style="679" bestFit="1" customWidth="1"/>
    <col min="13076" max="13312" width="9.1796875" style="679"/>
    <col min="13313" max="13315" width="0" style="679" hidden="1" customWidth="1"/>
    <col min="13316" max="13317" width="4" style="679" customWidth="1"/>
    <col min="13318" max="13318" width="5.7265625" style="679" customWidth="1"/>
    <col min="13319" max="13319" width="7.7265625" style="679" customWidth="1"/>
    <col min="13320" max="13320" width="50.54296875" style="679" bestFit="1" customWidth="1"/>
    <col min="13321" max="13321" width="14.81640625" style="679" bestFit="1" customWidth="1"/>
    <col min="13322" max="13322" width="7.54296875" style="679" bestFit="1" customWidth="1"/>
    <col min="13323" max="13323" width="18.54296875" style="679" bestFit="1" customWidth="1"/>
    <col min="13324" max="13325" width="16" style="679" bestFit="1" customWidth="1"/>
    <col min="13326" max="13326" width="18.54296875" style="679" bestFit="1" customWidth="1"/>
    <col min="13327" max="13327" width="18.81640625" style="679" bestFit="1" customWidth="1"/>
    <col min="13328" max="13328" width="16" style="679" bestFit="1" customWidth="1"/>
    <col min="13329" max="13329" width="20.36328125" style="679" bestFit="1" customWidth="1"/>
    <col min="13330" max="13330" width="18.81640625" style="679" bestFit="1" customWidth="1"/>
    <col min="13331" max="13331" width="20.453125" style="679" bestFit="1" customWidth="1"/>
    <col min="13332" max="13568" width="9.1796875" style="679"/>
    <col min="13569" max="13571" width="0" style="679" hidden="1" customWidth="1"/>
    <col min="13572" max="13573" width="4" style="679" customWidth="1"/>
    <col min="13574" max="13574" width="5.7265625" style="679" customWidth="1"/>
    <col min="13575" max="13575" width="7.7265625" style="679" customWidth="1"/>
    <col min="13576" max="13576" width="50.54296875" style="679" bestFit="1" customWidth="1"/>
    <col min="13577" max="13577" width="14.81640625" style="679" bestFit="1" customWidth="1"/>
    <col min="13578" max="13578" width="7.54296875" style="679" bestFit="1" customWidth="1"/>
    <col min="13579" max="13579" width="18.54296875" style="679" bestFit="1" customWidth="1"/>
    <col min="13580" max="13581" width="16" style="679" bestFit="1" customWidth="1"/>
    <col min="13582" max="13582" width="18.54296875" style="679" bestFit="1" customWidth="1"/>
    <col min="13583" max="13583" width="18.81640625" style="679" bestFit="1" customWidth="1"/>
    <col min="13584" max="13584" width="16" style="679" bestFit="1" customWidth="1"/>
    <col min="13585" max="13585" width="20.36328125" style="679" bestFit="1" customWidth="1"/>
    <col min="13586" max="13586" width="18.81640625" style="679" bestFit="1" customWidth="1"/>
    <col min="13587" max="13587" width="20.453125" style="679" bestFit="1" customWidth="1"/>
    <col min="13588" max="13824" width="9.1796875" style="679"/>
    <col min="13825" max="13827" width="0" style="679" hidden="1" customWidth="1"/>
    <col min="13828" max="13829" width="4" style="679" customWidth="1"/>
    <col min="13830" max="13830" width="5.7265625" style="679" customWidth="1"/>
    <col min="13831" max="13831" width="7.7265625" style="679" customWidth="1"/>
    <col min="13832" max="13832" width="50.54296875" style="679" bestFit="1" customWidth="1"/>
    <col min="13833" max="13833" width="14.81640625" style="679" bestFit="1" customWidth="1"/>
    <col min="13834" max="13834" width="7.54296875" style="679" bestFit="1" customWidth="1"/>
    <col min="13835" max="13835" width="18.54296875" style="679" bestFit="1" customWidth="1"/>
    <col min="13836" max="13837" width="16" style="679" bestFit="1" customWidth="1"/>
    <col min="13838" max="13838" width="18.54296875" style="679" bestFit="1" customWidth="1"/>
    <col min="13839" max="13839" width="18.81640625" style="679" bestFit="1" customWidth="1"/>
    <col min="13840" max="13840" width="16" style="679" bestFit="1" customWidth="1"/>
    <col min="13841" max="13841" width="20.36328125" style="679" bestFit="1" customWidth="1"/>
    <col min="13842" max="13842" width="18.81640625" style="679" bestFit="1" customWidth="1"/>
    <col min="13843" max="13843" width="20.453125" style="679" bestFit="1" customWidth="1"/>
    <col min="13844" max="14080" width="9.1796875" style="679"/>
    <col min="14081" max="14083" width="0" style="679" hidden="1" customWidth="1"/>
    <col min="14084" max="14085" width="4" style="679" customWidth="1"/>
    <col min="14086" max="14086" width="5.7265625" style="679" customWidth="1"/>
    <col min="14087" max="14087" width="7.7265625" style="679" customWidth="1"/>
    <col min="14088" max="14088" width="50.54296875" style="679" bestFit="1" customWidth="1"/>
    <col min="14089" max="14089" width="14.81640625" style="679" bestFit="1" customWidth="1"/>
    <col min="14090" max="14090" width="7.54296875" style="679" bestFit="1" customWidth="1"/>
    <col min="14091" max="14091" width="18.54296875" style="679" bestFit="1" customWidth="1"/>
    <col min="14092" max="14093" width="16" style="679" bestFit="1" customWidth="1"/>
    <col min="14094" max="14094" width="18.54296875" style="679" bestFit="1" customWidth="1"/>
    <col min="14095" max="14095" width="18.81640625" style="679" bestFit="1" customWidth="1"/>
    <col min="14096" max="14096" width="16" style="679" bestFit="1" customWidth="1"/>
    <col min="14097" max="14097" width="20.36328125" style="679" bestFit="1" customWidth="1"/>
    <col min="14098" max="14098" width="18.81640625" style="679" bestFit="1" customWidth="1"/>
    <col min="14099" max="14099" width="20.453125" style="679" bestFit="1" customWidth="1"/>
    <col min="14100" max="14336" width="9.1796875" style="679"/>
    <col min="14337" max="14339" width="0" style="679" hidden="1" customWidth="1"/>
    <col min="14340" max="14341" width="4" style="679" customWidth="1"/>
    <col min="14342" max="14342" width="5.7265625" style="679" customWidth="1"/>
    <col min="14343" max="14343" width="7.7265625" style="679" customWidth="1"/>
    <col min="14344" max="14344" width="50.54296875" style="679" bestFit="1" customWidth="1"/>
    <col min="14345" max="14345" width="14.81640625" style="679" bestFit="1" customWidth="1"/>
    <col min="14346" max="14346" width="7.54296875" style="679" bestFit="1" customWidth="1"/>
    <col min="14347" max="14347" width="18.54296875" style="679" bestFit="1" customWidth="1"/>
    <col min="14348" max="14349" width="16" style="679" bestFit="1" customWidth="1"/>
    <col min="14350" max="14350" width="18.54296875" style="679" bestFit="1" customWidth="1"/>
    <col min="14351" max="14351" width="18.81640625" style="679" bestFit="1" customWidth="1"/>
    <col min="14352" max="14352" width="16" style="679" bestFit="1" customWidth="1"/>
    <col min="14353" max="14353" width="20.36328125" style="679" bestFit="1" customWidth="1"/>
    <col min="14354" max="14354" width="18.81640625" style="679" bestFit="1" customWidth="1"/>
    <col min="14355" max="14355" width="20.453125" style="679" bestFit="1" customWidth="1"/>
    <col min="14356" max="14592" width="9.1796875" style="679"/>
    <col min="14593" max="14595" width="0" style="679" hidden="1" customWidth="1"/>
    <col min="14596" max="14597" width="4" style="679" customWidth="1"/>
    <col min="14598" max="14598" width="5.7265625" style="679" customWidth="1"/>
    <col min="14599" max="14599" width="7.7265625" style="679" customWidth="1"/>
    <col min="14600" max="14600" width="50.54296875" style="679" bestFit="1" customWidth="1"/>
    <col min="14601" max="14601" width="14.81640625" style="679" bestFit="1" customWidth="1"/>
    <col min="14602" max="14602" width="7.54296875" style="679" bestFit="1" customWidth="1"/>
    <col min="14603" max="14603" width="18.54296875" style="679" bestFit="1" customWidth="1"/>
    <col min="14604" max="14605" width="16" style="679" bestFit="1" customWidth="1"/>
    <col min="14606" max="14606" width="18.54296875" style="679" bestFit="1" customWidth="1"/>
    <col min="14607" max="14607" width="18.81640625" style="679" bestFit="1" customWidth="1"/>
    <col min="14608" max="14608" width="16" style="679" bestFit="1" customWidth="1"/>
    <col min="14609" max="14609" width="20.36328125" style="679" bestFit="1" customWidth="1"/>
    <col min="14610" max="14610" width="18.81640625" style="679" bestFit="1" customWidth="1"/>
    <col min="14611" max="14611" width="20.453125" style="679" bestFit="1" customWidth="1"/>
    <col min="14612" max="14848" width="9.1796875" style="679"/>
    <col min="14849" max="14851" width="0" style="679" hidden="1" customWidth="1"/>
    <col min="14852" max="14853" width="4" style="679" customWidth="1"/>
    <col min="14854" max="14854" width="5.7265625" style="679" customWidth="1"/>
    <col min="14855" max="14855" width="7.7265625" style="679" customWidth="1"/>
    <col min="14856" max="14856" width="50.54296875" style="679" bestFit="1" customWidth="1"/>
    <col min="14857" max="14857" width="14.81640625" style="679" bestFit="1" customWidth="1"/>
    <col min="14858" max="14858" width="7.54296875" style="679" bestFit="1" customWidth="1"/>
    <col min="14859" max="14859" width="18.54296875" style="679" bestFit="1" customWidth="1"/>
    <col min="14860" max="14861" width="16" style="679" bestFit="1" customWidth="1"/>
    <col min="14862" max="14862" width="18.54296875" style="679" bestFit="1" customWidth="1"/>
    <col min="14863" max="14863" width="18.81640625" style="679" bestFit="1" customWidth="1"/>
    <col min="14864" max="14864" width="16" style="679" bestFit="1" customWidth="1"/>
    <col min="14865" max="14865" width="20.36328125" style="679" bestFit="1" customWidth="1"/>
    <col min="14866" max="14866" width="18.81640625" style="679" bestFit="1" customWidth="1"/>
    <col min="14867" max="14867" width="20.453125" style="679" bestFit="1" customWidth="1"/>
    <col min="14868" max="15104" width="9.1796875" style="679"/>
    <col min="15105" max="15107" width="0" style="679" hidden="1" customWidth="1"/>
    <col min="15108" max="15109" width="4" style="679" customWidth="1"/>
    <col min="15110" max="15110" width="5.7265625" style="679" customWidth="1"/>
    <col min="15111" max="15111" width="7.7265625" style="679" customWidth="1"/>
    <col min="15112" max="15112" width="50.54296875" style="679" bestFit="1" customWidth="1"/>
    <col min="15113" max="15113" width="14.81640625" style="679" bestFit="1" customWidth="1"/>
    <col min="15114" max="15114" width="7.54296875" style="679" bestFit="1" customWidth="1"/>
    <col min="15115" max="15115" width="18.54296875" style="679" bestFit="1" customWidth="1"/>
    <col min="15116" max="15117" width="16" style="679" bestFit="1" customWidth="1"/>
    <col min="15118" max="15118" width="18.54296875" style="679" bestFit="1" customWidth="1"/>
    <col min="15119" max="15119" width="18.81640625" style="679" bestFit="1" customWidth="1"/>
    <col min="15120" max="15120" width="16" style="679" bestFit="1" customWidth="1"/>
    <col min="15121" max="15121" width="20.36328125" style="679" bestFit="1" customWidth="1"/>
    <col min="15122" max="15122" width="18.81640625" style="679" bestFit="1" customWidth="1"/>
    <col min="15123" max="15123" width="20.453125" style="679" bestFit="1" customWidth="1"/>
    <col min="15124" max="15360" width="9.1796875" style="679"/>
    <col min="15361" max="15363" width="0" style="679" hidden="1" customWidth="1"/>
    <col min="15364" max="15365" width="4" style="679" customWidth="1"/>
    <col min="15366" max="15366" width="5.7265625" style="679" customWidth="1"/>
    <col min="15367" max="15367" width="7.7265625" style="679" customWidth="1"/>
    <col min="15368" max="15368" width="50.54296875" style="679" bestFit="1" customWidth="1"/>
    <col min="15369" max="15369" width="14.81640625" style="679" bestFit="1" customWidth="1"/>
    <col min="15370" max="15370" width="7.54296875" style="679" bestFit="1" customWidth="1"/>
    <col min="15371" max="15371" width="18.54296875" style="679" bestFit="1" customWidth="1"/>
    <col min="15372" max="15373" width="16" style="679" bestFit="1" customWidth="1"/>
    <col min="15374" max="15374" width="18.54296875" style="679" bestFit="1" customWidth="1"/>
    <col min="15375" max="15375" width="18.81640625" style="679" bestFit="1" customWidth="1"/>
    <col min="15376" max="15376" width="16" style="679" bestFit="1" customWidth="1"/>
    <col min="15377" max="15377" width="20.36328125" style="679" bestFit="1" customWidth="1"/>
    <col min="15378" max="15378" width="18.81640625" style="679" bestFit="1" customWidth="1"/>
    <col min="15379" max="15379" width="20.453125" style="679" bestFit="1" customWidth="1"/>
    <col min="15380" max="15616" width="9.1796875" style="679"/>
    <col min="15617" max="15619" width="0" style="679" hidden="1" customWidth="1"/>
    <col min="15620" max="15621" width="4" style="679" customWidth="1"/>
    <col min="15622" max="15622" width="5.7265625" style="679" customWidth="1"/>
    <col min="15623" max="15623" width="7.7265625" style="679" customWidth="1"/>
    <col min="15624" max="15624" width="50.54296875" style="679" bestFit="1" customWidth="1"/>
    <col min="15625" max="15625" width="14.81640625" style="679" bestFit="1" customWidth="1"/>
    <col min="15626" max="15626" width="7.54296875" style="679" bestFit="1" customWidth="1"/>
    <col min="15627" max="15627" width="18.54296875" style="679" bestFit="1" customWidth="1"/>
    <col min="15628" max="15629" width="16" style="679" bestFit="1" customWidth="1"/>
    <col min="15630" max="15630" width="18.54296875" style="679" bestFit="1" customWidth="1"/>
    <col min="15631" max="15631" width="18.81640625" style="679" bestFit="1" customWidth="1"/>
    <col min="15632" max="15632" width="16" style="679" bestFit="1" customWidth="1"/>
    <col min="15633" max="15633" width="20.36328125" style="679" bestFit="1" customWidth="1"/>
    <col min="15634" max="15634" width="18.81640625" style="679" bestFit="1" customWidth="1"/>
    <col min="15635" max="15635" width="20.453125" style="679" bestFit="1" customWidth="1"/>
    <col min="15636" max="15872" width="9.1796875" style="679"/>
    <col min="15873" max="15875" width="0" style="679" hidden="1" customWidth="1"/>
    <col min="15876" max="15877" width="4" style="679" customWidth="1"/>
    <col min="15878" max="15878" width="5.7265625" style="679" customWidth="1"/>
    <col min="15879" max="15879" width="7.7265625" style="679" customWidth="1"/>
    <col min="15880" max="15880" width="50.54296875" style="679" bestFit="1" customWidth="1"/>
    <col min="15881" max="15881" width="14.81640625" style="679" bestFit="1" customWidth="1"/>
    <col min="15882" max="15882" width="7.54296875" style="679" bestFit="1" customWidth="1"/>
    <col min="15883" max="15883" width="18.54296875" style="679" bestFit="1" customWidth="1"/>
    <col min="15884" max="15885" width="16" style="679" bestFit="1" customWidth="1"/>
    <col min="15886" max="15886" width="18.54296875" style="679" bestFit="1" customWidth="1"/>
    <col min="15887" max="15887" width="18.81640625" style="679" bestFit="1" customWidth="1"/>
    <col min="15888" max="15888" width="16" style="679" bestFit="1" customWidth="1"/>
    <col min="15889" max="15889" width="20.36328125" style="679" bestFit="1" customWidth="1"/>
    <col min="15890" max="15890" width="18.81640625" style="679" bestFit="1" customWidth="1"/>
    <col min="15891" max="15891" width="20.453125" style="679" bestFit="1" customWidth="1"/>
    <col min="15892" max="16128" width="9.1796875" style="679"/>
    <col min="16129" max="16131" width="0" style="679" hidden="1" customWidth="1"/>
    <col min="16132" max="16133" width="4" style="679" customWidth="1"/>
    <col min="16134" max="16134" width="5.7265625" style="679" customWidth="1"/>
    <col min="16135" max="16135" width="7.7265625" style="679" customWidth="1"/>
    <col min="16136" max="16136" width="50.54296875" style="679" bestFit="1" customWidth="1"/>
    <col min="16137" max="16137" width="14.81640625" style="679" bestFit="1" customWidth="1"/>
    <col min="16138" max="16138" width="7.54296875" style="679" bestFit="1" customWidth="1"/>
    <col min="16139" max="16139" width="18.54296875" style="679" bestFit="1" customWidth="1"/>
    <col min="16140" max="16141" width="16" style="679" bestFit="1" customWidth="1"/>
    <col min="16142" max="16142" width="18.54296875" style="679" bestFit="1" customWidth="1"/>
    <col min="16143" max="16143" width="18.81640625" style="679" bestFit="1" customWidth="1"/>
    <col min="16144" max="16144" width="16" style="679" bestFit="1" customWidth="1"/>
    <col min="16145" max="16145" width="20.36328125" style="679" bestFit="1" customWidth="1"/>
    <col min="16146" max="16146" width="18.81640625" style="679" bestFit="1" customWidth="1"/>
    <col min="16147" max="16147" width="20.453125" style="679" bestFit="1" customWidth="1"/>
    <col min="16148" max="16384" width="9.1796875" style="679"/>
  </cols>
  <sheetData>
    <row r="1" spans="1:19" ht="15.75" customHeight="1">
      <c r="D1" s="267" t="s">
        <v>926</v>
      </c>
      <c r="E1" s="268"/>
      <c r="H1" s="270"/>
      <c r="I1" s="271"/>
      <c r="J1" s="271"/>
      <c r="K1" s="676"/>
    </row>
    <row r="2" spans="1:19" ht="15.75" hidden="1" customHeight="1">
      <c r="D2" s="267" t="s">
        <v>927</v>
      </c>
      <c r="E2" s="268"/>
      <c r="H2" s="270"/>
      <c r="I2" s="271"/>
      <c r="J2" s="271"/>
      <c r="K2" s="680"/>
      <c r="L2" s="680"/>
      <c r="M2" s="680"/>
      <c r="N2" s="680"/>
      <c r="O2" s="680"/>
      <c r="P2" s="681"/>
      <c r="Q2" s="680" t="s">
        <v>928</v>
      </c>
      <c r="R2" s="681"/>
    </row>
    <row r="3" spans="1:19" ht="15.75" customHeight="1">
      <c r="D3" s="267" t="s">
        <v>929</v>
      </c>
      <c r="E3" s="268"/>
      <c r="H3" s="270"/>
      <c r="I3" s="271"/>
      <c r="J3" s="271"/>
      <c r="K3" s="682"/>
      <c r="L3" s="682"/>
      <c r="M3" s="682"/>
      <c r="N3" s="682"/>
      <c r="O3" s="680"/>
      <c r="P3" s="680"/>
      <c r="Q3" s="680" t="s">
        <v>930</v>
      </c>
      <c r="R3" s="681"/>
    </row>
    <row r="4" spans="1:19" ht="15.75" customHeight="1">
      <c r="D4" s="279" t="s">
        <v>931</v>
      </c>
      <c r="E4" s="280"/>
      <c r="H4" s="270"/>
      <c r="I4" s="271"/>
      <c r="J4" s="271"/>
      <c r="K4" s="680"/>
      <c r="L4" s="682"/>
      <c r="M4" s="682"/>
      <c r="N4" s="682"/>
      <c r="O4" s="682"/>
      <c r="P4" s="683"/>
      <c r="Q4" s="680"/>
      <c r="R4" s="681"/>
      <c r="S4" s="684"/>
    </row>
    <row r="5" spans="1:19" ht="15.75" customHeight="1" thickBot="1">
      <c r="B5" s="675">
        <v>1</v>
      </c>
      <c r="C5" s="675">
        <v>1</v>
      </c>
      <c r="D5" s="283"/>
      <c r="E5" s="284"/>
      <c r="F5" s="285"/>
      <c r="G5" s="285"/>
      <c r="H5" s="286"/>
      <c r="I5" s="271"/>
      <c r="J5" s="271"/>
      <c r="K5" s="685">
        <v>141127721787.88559</v>
      </c>
      <c r="L5" s="686">
        <v>7413771845.8299999</v>
      </c>
      <c r="M5" s="685">
        <v>15636001272</v>
      </c>
      <c r="N5" s="685">
        <v>132910081313.71561</v>
      </c>
      <c r="O5" s="685">
        <v>42713812915.449432</v>
      </c>
      <c r="P5" s="686">
        <v>10115152493.1882</v>
      </c>
      <c r="Q5" s="685">
        <v>2569317140.666667</v>
      </c>
      <c r="R5" s="685">
        <v>50259648267.970963</v>
      </c>
      <c r="S5" s="687" t="s">
        <v>932</v>
      </c>
    </row>
    <row r="6" spans="1:19" ht="15.75" customHeight="1" thickTop="1">
      <c r="D6" s="1259" t="s">
        <v>17</v>
      </c>
      <c r="E6" s="291"/>
      <c r="F6" s="1262" t="s">
        <v>933</v>
      </c>
      <c r="G6" s="1262"/>
      <c r="H6" s="1263"/>
      <c r="I6" s="1263" t="s">
        <v>1</v>
      </c>
      <c r="J6" s="1267" t="s">
        <v>226</v>
      </c>
      <c r="K6" s="1270" t="s">
        <v>227</v>
      </c>
      <c r="L6" s="1272" t="s">
        <v>228</v>
      </c>
      <c r="M6" s="1273"/>
      <c r="N6" s="1270" t="s">
        <v>227</v>
      </c>
      <c r="O6" s="1270" t="s">
        <v>229</v>
      </c>
      <c r="P6" s="1282" t="s">
        <v>1073</v>
      </c>
      <c r="Q6" s="1283"/>
      <c r="R6" s="1270" t="s">
        <v>229</v>
      </c>
      <c r="S6" s="1270" t="s">
        <v>206</v>
      </c>
    </row>
    <row r="7" spans="1:19" ht="15.75" hidden="1" customHeight="1">
      <c r="D7" s="1278"/>
      <c r="E7" s="689"/>
      <c r="F7" s="1264"/>
      <c r="G7" s="1264"/>
      <c r="H7" s="1265"/>
      <c r="I7" s="1280"/>
      <c r="J7" s="1268"/>
      <c r="K7" s="1271"/>
      <c r="L7" s="1274"/>
      <c r="M7" s="1275"/>
      <c r="N7" s="1281"/>
      <c r="O7" s="1281"/>
      <c r="P7" s="1284"/>
      <c r="Q7" s="1285"/>
      <c r="R7" s="1271"/>
      <c r="S7" s="1271"/>
    </row>
    <row r="8" spans="1:19" ht="15.75" customHeight="1">
      <c r="D8" s="1278"/>
      <c r="E8" s="689"/>
      <c r="F8" s="1264"/>
      <c r="G8" s="1264"/>
      <c r="H8" s="1265"/>
      <c r="I8" s="691" t="s">
        <v>9</v>
      </c>
      <c r="J8" s="1268"/>
      <c r="K8" s="690" t="s">
        <v>230</v>
      </c>
      <c r="L8" s="1276"/>
      <c r="M8" s="1277"/>
      <c r="N8" s="690" t="s">
        <v>230</v>
      </c>
      <c r="O8" s="690" t="s">
        <v>231</v>
      </c>
      <c r="P8" s="1286"/>
      <c r="Q8" s="1287"/>
      <c r="R8" s="690" t="s">
        <v>231</v>
      </c>
      <c r="S8" s="690" t="s">
        <v>230</v>
      </c>
    </row>
    <row r="9" spans="1:19" ht="29" customHeight="1">
      <c r="D9" s="1279"/>
      <c r="E9" s="692"/>
      <c r="F9" s="296"/>
      <c r="G9" s="296"/>
      <c r="H9" s="297"/>
      <c r="I9" s="693"/>
      <c r="J9" s="1269"/>
      <c r="K9" s="694">
        <v>44561</v>
      </c>
      <c r="L9" s="695" t="s">
        <v>29</v>
      </c>
      <c r="M9" s="695" t="s">
        <v>196</v>
      </c>
      <c r="N9" s="696" t="s">
        <v>292</v>
      </c>
      <c r="O9" s="694">
        <v>44561</v>
      </c>
      <c r="P9" s="695" t="s">
        <v>29</v>
      </c>
      <c r="Q9" s="695" t="s">
        <v>196</v>
      </c>
      <c r="R9" s="696" t="s">
        <v>292</v>
      </c>
      <c r="S9" s="696" t="s">
        <v>292</v>
      </c>
    </row>
    <row r="10" spans="1:19" ht="15.75" customHeight="1">
      <c r="D10" s="290"/>
      <c r="E10" s="301"/>
      <c r="F10" s="302"/>
      <c r="G10" s="303"/>
      <c r="H10" s="304"/>
      <c r="I10" s="697"/>
      <c r="J10" s="698"/>
      <c r="K10" s="699"/>
      <c r="L10" s="699"/>
      <c r="M10" s="699"/>
      <c r="N10" s="699"/>
      <c r="O10" s="699"/>
      <c r="P10" s="699"/>
      <c r="Q10" s="699"/>
      <c r="R10" s="699"/>
      <c r="S10" s="699"/>
    </row>
    <row r="11" spans="1:19" ht="15.75" customHeight="1">
      <c r="A11" s="675" t="s">
        <v>935</v>
      </c>
      <c r="B11" s="700" t="s">
        <v>936</v>
      </c>
      <c r="C11" s="700" t="s">
        <v>936</v>
      </c>
      <c r="D11" s="309">
        <v>1</v>
      </c>
      <c r="E11" s="310" t="s">
        <v>936</v>
      </c>
      <c r="F11" s="679"/>
      <c r="G11" s="311"/>
      <c r="H11" s="312"/>
      <c r="I11" s="258"/>
      <c r="J11" s="313"/>
      <c r="K11" s="701"/>
      <c r="L11" s="701"/>
      <c r="M11" s="701"/>
      <c r="N11" s="701"/>
      <c r="O11" s="701"/>
      <c r="P11" s="702"/>
      <c r="Q11" s="701"/>
      <c r="R11" s="702"/>
      <c r="S11" s="702"/>
    </row>
    <row r="12" spans="1:19" s="703" customFormat="1" ht="15.75" customHeight="1">
      <c r="A12" s="675" t="s">
        <v>935</v>
      </c>
      <c r="B12" s="675"/>
      <c r="C12" s="675"/>
      <c r="D12" s="309"/>
      <c r="E12" s="316" t="s">
        <v>232</v>
      </c>
      <c r="F12" s="703" t="s">
        <v>296</v>
      </c>
      <c r="G12" s="318"/>
      <c r="H12" s="319"/>
      <c r="I12" s="320"/>
      <c r="J12" s="321"/>
      <c r="K12" s="704"/>
      <c r="L12" s="704"/>
      <c r="M12" s="704"/>
      <c r="N12" s="704"/>
      <c r="O12" s="704"/>
      <c r="P12" s="704"/>
      <c r="Q12" s="704"/>
      <c r="R12" s="704"/>
      <c r="S12" s="704"/>
    </row>
    <row r="13" spans="1:19" ht="15.75" customHeight="1">
      <c r="A13" s="675" t="s">
        <v>935</v>
      </c>
      <c r="D13" s="323"/>
      <c r="E13" s="324"/>
      <c r="F13" s="325"/>
      <c r="G13" s="326"/>
      <c r="H13" s="327" t="s">
        <v>293</v>
      </c>
      <c r="I13" s="328">
        <v>2002</v>
      </c>
      <c r="J13" s="328"/>
      <c r="K13" s="705">
        <v>655809273</v>
      </c>
      <c r="L13" s="705">
        <v>0</v>
      </c>
      <c r="M13" s="705"/>
      <c r="N13" s="705">
        <f>K13+L13-M13</f>
        <v>655809273</v>
      </c>
      <c r="O13" s="705">
        <v>0</v>
      </c>
      <c r="P13" s="705">
        <v>0</v>
      </c>
      <c r="Q13" s="705">
        <v>0</v>
      </c>
      <c r="R13" s="705">
        <f>O13+P13-Q13</f>
        <v>0</v>
      </c>
      <c r="S13" s="705">
        <f>N13-R13</f>
        <v>655809273</v>
      </c>
    </row>
    <row r="14" spans="1:19" ht="15.75" customHeight="1">
      <c r="A14" s="675" t="s">
        <v>935</v>
      </c>
      <c r="D14" s="323"/>
      <c r="E14" s="324"/>
      <c r="F14" s="330"/>
      <c r="G14" s="331"/>
      <c r="H14" s="332" t="s">
        <v>294</v>
      </c>
      <c r="I14" s="313">
        <v>2002</v>
      </c>
      <c r="J14" s="313"/>
      <c r="K14" s="706">
        <v>200000000</v>
      </c>
      <c r="L14" s="706">
        <v>0</v>
      </c>
      <c r="M14" s="706"/>
      <c r="N14" s="705">
        <f>K14+L14-M14</f>
        <v>200000000</v>
      </c>
      <c r="O14" s="706">
        <v>0</v>
      </c>
      <c r="P14" s="706">
        <v>0</v>
      </c>
      <c r="Q14" s="706">
        <v>0</v>
      </c>
      <c r="R14" s="705">
        <f>O14+P14-Q14</f>
        <v>0</v>
      </c>
      <c r="S14" s="705">
        <f>N14-R14</f>
        <v>200000000</v>
      </c>
    </row>
    <row r="15" spans="1:19" ht="15.75" customHeight="1">
      <c r="D15" s="323"/>
      <c r="E15" s="324"/>
      <c r="F15" s="334"/>
      <c r="G15" s="335"/>
      <c r="H15" s="336" t="s">
        <v>295</v>
      </c>
      <c r="I15" s="337">
        <v>2002</v>
      </c>
      <c r="J15" s="338"/>
      <c r="K15" s="707">
        <v>226850626</v>
      </c>
      <c r="L15" s="707">
        <v>0</v>
      </c>
      <c r="M15" s="707"/>
      <c r="N15" s="705">
        <f>K15+L15-M15</f>
        <v>226850626</v>
      </c>
      <c r="O15" s="707">
        <v>0</v>
      </c>
      <c r="P15" s="707">
        <v>0</v>
      </c>
      <c r="Q15" s="707">
        <v>0</v>
      </c>
      <c r="R15" s="705">
        <f>O15+P15-Q15</f>
        <v>0</v>
      </c>
      <c r="S15" s="705">
        <f>N15-R15</f>
        <v>226850626</v>
      </c>
    </row>
    <row r="16" spans="1:19" s="703" customFormat="1" ht="15.75" customHeight="1">
      <c r="A16" s="675" t="s">
        <v>935</v>
      </c>
      <c r="B16" s="675"/>
      <c r="C16" s="675"/>
      <c r="D16" s="309"/>
      <c r="E16" s="1235" t="s">
        <v>937</v>
      </c>
      <c r="F16" s="1236"/>
      <c r="G16" s="1236"/>
      <c r="H16" s="1236"/>
      <c r="I16" s="1236"/>
      <c r="J16" s="1237"/>
      <c r="K16" s="708">
        <f>SUM(K13:K15)</f>
        <v>1082659899</v>
      </c>
      <c r="L16" s="708">
        <f t="shared" ref="L16:S16" si="0">SUM(L13:L15)</f>
        <v>0</v>
      </c>
      <c r="M16" s="708">
        <f t="shared" si="0"/>
        <v>0</v>
      </c>
      <c r="N16" s="708">
        <f t="shared" si="0"/>
        <v>1082659899</v>
      </c>
      <c r="O16" s="708">
        <f t="shared" si="0"/>
        <v>0</v>
      </c>
      <c r="P16" s="708">
        <f t="shared" si="0"/>
        <v>0</v>
      </c>
      <c r="Q16" s="708">
        <f t="shared" si="0"/>
        <v>0</v>
      </c>
      <c r="R16" s="708">
        <f t="shared" si="0"/>
        <v>0</v>
      </c>
      <c r="S16" s="708">
        <f t="shared" si="0"/>
        <v>1082659899</v>
      </c>
    </row>
    <row r="17" spans="1:19" ht="15.75" customHeight="1">
      <c r="D17" s="323"/>
      <c r="E17" s="324"/>
      <c r="F17" s="343"/>
      <c r="G17" s="344"/>
      <c r="H17" s="345"/>
      <c r="I17" s="346"/>
      <c r="J17" s="347"/>
      <c r="K17" s="709"/>
      <c r="L17" s="709"/>
      <c r="M17" s="709"/>
      <c r="N17" s="709"/>
      <c r="O17" s="709"/>
      <c r="P17" s="709"/>
      <c r="Q17" s="709"/>
      <c r="R17" s="709"/>
      <c r="S17" s="709"/>
    </row>
    <row r="18" spans="1:19" s="703" customFormat="1" ht="15.75" customHeight="1">
      <c r="A18" s="675" t="s">
        <v>938</v>
      </c>
      <c r="B18" s="675"/>
      <c r="C18" s="675"/>
      <c r="D18" s="309"/>
      <c r="E18" s="316" t="s">
        <v>324</v>
      </c>
      <c r="F18" s="703" t="s">
        <v>298</v>
      </c>
      <c r="G18" s="318"/>
      <c r="H18" s="349"/>
      <c r="I18" s="321"/>
      <c r="J18" s="321"/>
      <c r="K18" s="710"/>
      <c r="L18" s="710"/>
      <c r="M18" s="710"/>
      <c r="N18" s="710"/>
      <c r="O18" s="710"/>
      <c r="P18" s="710"/>
      <c r="Q18" s="710"/>
      <c r="R18" s="710"/>
      <c r="S18" s="710"/>
    </row>
    <row r="19" spans="1:19" s="703" customFormat="1" ht="15.75" customHeight="1">
      <c r="A19" s="675" t="s">
        <v>938</v>
      </c>
      <c r="B19" s="675"/>
      <c r="C19" s="675"/>
      <c r="D19" s="309"/>
      <c r="E19" s="316"/>
      <c r="G19" s="351"/>
      <c r="H19" s="327" t="s">
        <v>939</v>
      </c>
      <c r="I19" s="338">
        <v>2005</v>
      </c>
      <c r="J19" s="328"/>
      <c r="K19" s="705">
        <v>2538567500</v>
      </c>
      <c r="L19" s="705">
        <v>0</v>
      </c>
      <c r="M19" s="705">
        <v>0</v>
      </c>
      <c r="N19" s="705">
        <f>K19+L19-M19</f>
        <v>2538567500</v>
      </c>
      <c r="O19" s="705">
        <v>0</v>
      </c>
      <c r="P19" s="705">
        <v>0</v>
      </c>
      <c r="Q19" s="705">
        <v>0</v>
      </c>
      <c r="R19" s="705">
        <f>O19+P19-Q19</f>
        <v>0</v>
      </c>
      <c r="S19" s="705">
        <f>N19-R19</f>
        <v>2538567500</v>
      </c>
    </row>
    <row r="20" spans="1:19" s="703" customFormat="1" ht="15.75" customHeight="1">
      <c r="A20" s="675" t="s">
        <v>938</v>
      </c>
      <c r="B20" s="675"/>
      <c r="C20" s="675"/>
      <c r="D20" s="309"/>
      <c r="E20" s="1235" t="s">
        <v>940</v>
      </c>
      <c r="F20" s="1236"/>
      <c r="G20" s="1236"/>
      <c r="H20" s="1236"/>
      <c r="I20" s="1236"/>
      <c r="J20" s="1237"/>
      <c r="K20" s="708">
        <f>SUM(K19)</f>
        <v>2538567500</v>
      </c>
      <c r="L20" s="708">
        <f t="shared" ref="L20:S20" si="1">SUM(L19)</f>
        <v>0</v>
      </c>
      <c r="M20" s="708">
        <f t="shared" si="1"/>
        <v>0</v>
      </c>
      <c r="N20" s="708">
        <f t="shared" si="1"/>
        <v>2538567500</v>
      </c>
      <c r="O20" s="708">
        <f t="shared" si="1"/>
        <v>0</v>
      </c>
      <c r="P20" s="708">
        <f t="shared" si="1"/>
        <v>0</v>
      </c>
      <c r="Q20" s="708">
        <f t="shared" si="1"/>
        <v>0</v>
      </c>
      <c r="R20" s="708">
        <f t="shared" si="1"/>
        <v>0</v>
      </c>
      <c r="S20" s="708">
        <f t="shared" si="1"/>
        <v>2538567500</v>
      </c>
    </row>
    <row r="21" spans="1:19" ht="15.75" customHeight="1">
      <c r="D21" s="323"/>
      <c r="E21" s="324"/>
      <c r="F21" s="325"/>
      <c r="G21" s="326"/>
      <c r="H21" s="327"/>
      <c r="I21" s="346"/>
      <c r="J21" s="328"/>
      <c r="K21" s="705"/>
      <c r="L21" s="705"/>
      <c r="M21" s="705"/>
      <c r="N21" s="705"/>
      <c r="O21" s="705"/>
      <c r="P21" s="705"/>
      <c r="Q21" s="705"/>
      <c r="R21" s="705"/>
      <c r="S21" s="705"/>
    </row>
    <row r="22" spans="1:19" s="703" customFormat="1" ht="15.75" customHeight="1">
      <c r="A22" s="675" t="s">
        <v>941</v>
      </c>
      <c r="B22" s="675"/>
      <c r="C22" s="675"/>
      <c r="D22" s="309"/>
      <c r="E22" s="316" t="s">
        <v>329</v>
      </c>
      <c r="F22" s="703" t="s">
        <v>942</v>
      </c>
      <c r="G22" s="318"/>
      <c r="H22" s="349"/>
      <c r="I22" s="321"/>
      <c r="J22" s="321"/>
      <c r="K22" s="710"/>
      <c r="L22" s="710"/>
      <c r="M22" s="710"/>
      <c r="N22" s="710"/>
      <c r="O22" s="710"/>
      <c r="P22" s="710"/>
      <c r="Q22" s="710"/>
      <c r="R22" s="710"/>
      <c r="S22" s="710"/>
    </row>
    <row r="23" spans="1:19" ht="15.75" customHeight="1">
      <c r="A23" s="675" t="s">
        <v>941</v>
      </c>
      <c r="D23" s="323"/>
      <c r="E23" s="324"/>
      <c r="F23" s="325"/>
      <c r="G23" s="326"/>
      <c r="H23" s="327" t="s">
        <v>301</v>
      </c>
      <c r="I23" s="328">
        <v>2008</v>
      </c>
      <c r="J23" s="328"/>
      <c r="K23" s="705">
        <v>1533972000</v>
      </c>
      <c r="L23" s="705">
        <v>0</v>
      </c>
      <c r="M23" s="705">
        <v>0</v>
      </c>
      <c r="N23" s="705">
        <f>K23+L23-M23</f>
        <v>1533972000</v>
      </c>
      <c r="O23" s="705">
        <v>0</v>
      </c>
      <c r="P23" s="705">
        <v>0</v>
      </c>
      <c r="Q23" s="705">
        <v>0</v>
      </c>
      <c r="R23" s="705">
        <f>O23+P23-Q23</f>
        <v>0</v>
      </c>
      <c r="S23" s="705">
        <f>N23-R23</f>
        <v>1533972000</v>
      </c>
    </row>
    <row r="24" spans="1:19" ht="15.75" customHeight="1">
      <c r="A24" s="675" t="s">
        <v>941</v>
      </c>
      <c r="D24" s="323"/>
      <c r="E24" s="324"/>
      <c r="F24" s="325"/>
      <c r="G24" s="326"/>
      <c r="H24" s="327" t="s">
        <v>302</v>
      </c>
      <c r="I24" s="338">
        <v>2002</v>
      </c>
      <c r="J24" s="328"/>
      <c r="K24" s="705">
        <v>202373350</v>
      </c>
      <c r="L24" s="705">
        <v>0</v>
      </c>
      <c r="M24" s="705">
        <v>0</v>
      </c>
      <c r="N24" s="705">
        <f>K24+L24-M24</f>
        <v>202373350</v>
      </c>
      <c r="O24" s="705">
        <v>0</v>
      </c>
      <c r="P24" s="705">
        <v>0</v>
      </c>
      <c r="Q24" s="705">
        <v>0</v>
      </c>
      <c r="R24" s="705">
        <f>O24+P24-Q24</f>
        <v>0</v>
      </c>
      <c r="S24" s="705">
        <f>N24-R24</f>
        <v>202373350</v>
      </c>
    </row>
    <row r="25" spans="1:19" s="703" customFormat="1" ht="15.75" customHeight="1">
      <c r="A25" s="675" t="s">
        <v>941</v>
      </c>
      <c r="B25" s="675"/>
      <c r="C25" s="675"/>
      <c r="D25" s="309"/>
      <c r="E25" s="1235" t="s">
        <v>943</v>
      </c>
      <c r="F25" s="1236"/>
      <c r="G25" s="1236"/>
      <c r="H25" s="1236"/>
      <c r="I25" s="1236"/>
      <c r="J25" s="1237"/>
      <c r="K25" s="708">
        <f>SUM(K23:K24)</f>
        <v>1736345350</v>
      </c>
      <c r="L25" s="708">
        <f t="shared" ref="L25:S25" si="2">SUM(L23:L24)</f>
        <v>0</v>
      </c>
      <c r="M25" s="708">
        <f t="shared" si="2"/>
        <v>0</v>
      </c>
      <c r="N25" s="708">
        <f t="shared" si="2"/>
        <v>1736345350</v>
      </c>
      <c r="O25" s="708">
        <f t="shared" si="2"/>
        <v>0</v>
      </c>
      <c r="P25" s="708">
        <f t="shared" si="2"/>
        <v>0</v>
      </c>
      <c r="Q25" s="708">
        <f t="shared" si="2"/>
        <v>0</v>
      </c>
      <c r="R25" s="708">
        <f t="shared" si="2"/>
        <v>0</v>
      </c>
      <c r="S25" s="708">
        <f t="shared" si="2"/>
        <v>1736345350</v>
      </c>
    </row>
    <row r="26" spans="1:19" ht="15.75" customHeight="1">
      <c r="D26" s="323"/>
      <c r="E26" s="324"/>
      <c r="F26" s="325"/>
      <c r="G26" s="326"/>
      <c r="H26" s="327"/>
      <c r="I26" s="346"/>
      <c r="J26" s="328"/>
      <c r="K26" s="705"/>
      <c r="L26" s="705"/>
      <c r="M26" s="705"/>
      <c r="N26" s="705"/>
      <c r="O26" s="705"/>
      <c r="P26" s="705"/>
      <c r="Q26" s="705"/>
      <c r="R26" s="705"/>
      <c r="S26" s="705"/>
    </row>
    <row r="27" spans="1:19" s="703" customFormat="1" ht="15.75" customHeight="1">
      <c r="A27" s="675" t="s">
        <v>944</v>
      </c>
      <c r="B27" s="675"/>
      <c r="C27" s="675"/>
      <c r="D27" s="309"/>
      <c r="E27" s="316" t="s">
        <v>241</v>
      </c>
      <c r="F27" s="703" t="s">
        <v>303</v>
      </c>
      <c r="G27" s="318"/>
      <c r="H27" s="349"/>
      <c r="I27" s="321"/>
      <c r="J27" s="321"/>
      <c r="K27" s="710"/>
      <c r="L27" s="710"/>
      <c r="M27" s="710"/>
      <c r="N27" s="710"/>
      <c r="O27" s="710"/>
      <c r="P27" s="710"/>
      <c r="Q27" s="710"/>
      <c r="R27" s="710"/>
      <c r="S27" s="710"/>
    </row>
    <row r="28" spans="1:19" ht="15.75" customHeight="1">
      <c r="A28" s="675" t="s">
        <v>944</v>
      </c>
      <c r="D28" s="323"/>
      <c r="E28" s="324"/>
      <c r="F28" s="325"/>
      <c r="G28" s="326"/>
      <c r="H28" s="327" t="s">
        <v>304</v>
      </c>
      <c r="I28" s="338"/>
      <c r="J28" s="328"/>
      <c r="K28" s="705">
        <v>3436245000</v>
      </c>
      <c r="L28" s="705">
        <v>0</v>
      </c>
      <c r="M28" s="705">
        <v>0</v>
      </c>
      <c r="N28" s="705">
        <f>K28+L28-M28</f>
        <v>3436245000</v>
      </c>
      <c r="O28" s="705">
        <v>0</v>
      </c>
      <c r="P28" s="705">
        <v>0</v>
      </c>
      <c r="Q28" s="705">
        <v>0</v>
      </c>
      <c r="R28" s="705">
        <f>O28+P28-Q28</f>
        <v>0</v>
      </c>
      <c r="S28" s="705">
        <f>N28-R28</f>
        <v>3436245000</v>
      </c>
    </row>
    <row r="29" spans="1:19" s="703" customFormat="1" ht="15.75" customHeight="1">
      <c r="A29" s="675" t="s">
        <v>944</v>
      </c>
      <c r="B29" s="675"/>
      <c r="C29" s="675"/>
      <c r="D29" s="309"/>
      <c r="E29" s="1235" t="s">
        <v>945</v>
      </c>
      <c r="F29" s="1236"/>
      <c r="G29" s="1236"/>
      <c r="H29" s="1236"/>
      <c r="I29" s="1236"/>
      <c r="J29" s="1237"/>
      <c r="K29" s="708">
        <f>SUM(K28)</f>
        <v>3436245000</v>
      </c>
      <c r="L29" s="708">
        <f t="shared" ref="L29:S29" si="3">SUM(L28)</f>
        <v>0</v>
      </c>
      <c r="M29" s="708">
        <f t="shared" si="3"/>
        <v>0</v>
      </c>
      <c r="N29" s="708">
        <f t="shared" si="3"/>
        <v>3436245000</v>
      </c>
      <c r="O29" s="708">
        <f t="shared" si="3"/>
        <v>0</v>
      </c>
      <c r="P29" s="708">
        <f t="shared" si="3"/>
        <v>0</v>
      </c>
      <c r="Q29" s="708">
        <f t="shared" si="3"/>
        <v>0</v>
      </c>
      <c r="R29" s="708">
        <f t="shared" si="3"/>
        <v>0</v>
      </c>
      <c r="S29" s="708">
        <f t="shared" si="3"/>
        <v>3436245000</v>
      </c>
    </row>
    <row r="30" spans="1:19" ht="15.75" customHeight="1">
      <c r="D30" s="323"/>
      <c r="E30" s="324"/>
      <c r="F30" s="325"/>
      <c r="G30" s="326"/>
      <c r="H30" s="327"/>
      <c r="I30" s="346"/>
      <c r="J30" s="328"/>
      <c r="K30" s="705"/>
      <c r="L30" s="705"/>
      <c r="M30" s="705"/>
      <c r="N30" s="705"/>
      <c r="O30" s="705"/>
      <c r="P30" s="705"/>
      <c r="Q30" s="705"/>
      <c r="R30" s="705"/>
      <c r="S30" s="705"/>
    </row>
    <row r="31" spans="1:19" s="703" customFormat="1" ht="15.75" customHeight="1">
      <c r="A31" s="675" t="s">
        <v>946</v>
      </c>
      <c r="B31" s="675"/>
      <c r="C31" s="675"/>
      <c r="D31" s="309"/>
      <c r="E31" s="316" t="s">
        <v>241</v>
      </c>
      <c r="F31" s="703" t="s">
        <v>947</v>
      </c>
      <c r="G31" s="318"/>
      <c r="H31" s="349"/>
      <c r="I31" s="321"/>
      <c r="J31" s="321"/>
      <c r="K31" s="710"/>
      <c r="L31" s="710"/>
      <c r="M31" s="710"/>
      <c r="N31" s="710"/>
      <c r="O31" s="710"/>
      <c r="P31" s="710"/>
      <c r="Q31" s="710"/>
      <c r="R31" s="710"/>
      <c r="S31" s="710"/>
    </row>
    <row r="32" spans="1:19" ht="15.75" customHeight="1">
      <c r="A32" s="675" t="s">
        <v>946</v>
      </c>
      <c r="D32" s="323"/>
      <c r="E32" s="324"/>
      <c r="F32" s="325"/>
      <c r="G32" s="326"/>
      <c r="H32" s="327" t="s">
        <v>948</v>
      </c>
      <c r="I32" s="338">
        <v>2006</v>
      </c>
      <c r="J32" s="328"/>
      <c r="K32" s="705">
        <v>0</v>
      </c>
      <c r="L32" s="705">
        <v>0</v>
      </c>
      <c r="M32" s="705"/>
      <c r="N32" s="705">
        <f>K32+L32-M32</f>
        <v>0</v>
      </c>
      <c r="O32" s="705">
        <v>0</v>
      </c>
      <c r="P32" s="705">
        <v>0</v>
      </c>
      <c r="Q32" s="705">
        <v>0</v>
      </c>
      <c r="R32" s="705">
        <f>O32+P32-Q32</f>
        <v>0</v>
      </c>
      <c r="S32" s="705">
        <f>N32-R32</f>
        <v>0</v>
      </c>
    </row>
    <row r="33" spans="1:19" s="703" customFormat="1" ht="15.75" customHeight="1">
      <c r="A33" s="675" t="s">
        <v>946</v>
      </c>
      <c r="B33" s="675"/>
      <c r="C33" s="675"/>
      <c r="D33" s="309"/>
      <c r="E33" s="1235" t="s">
        <v>949</v>
      </c>
      <c r="F33" s="1236"/>
      <c r="G33" s="1236"/>
      <c r="H33" s="1236"/>
      <c r="I33" s="1236"/>
      <c r="J33" s="1237"/>
      <c r="K33" s="708">
        <f>SUM(K32)</f>
        <v>0</v>
      </c>
      <c r="L33" s="708">
        <f t="shared" ref="L33:S33" si="4">SUM(L32)</f>
        <v>0</v>
      </c>
      <c r="M33" s="708">
        <f t="shared" si="4"/>
        <v>0</v>
      </c>
      <c r="N33" s="708">
        <f t="shared" si="4"/>
        <v>0</v>
      </c>
      <c r="O33" s="708">
        <f t="shared" si="4"/>
        <v>0</v>
      </c>
      <c r="P33" s="708">
        <f t="shared" si="4"/>
        <v>0</v>
      </c>
      <c r="Q33" s="708">
        <f t="shared" si="4"/>
        <v>0</v>
      </c>
      <c r="R33" s="708">
        <f t="shared" si="4"/>
        <v>0</v>
      </c>
      <c r="S33" s="708">
        <f t="shared" si="4"/>
        <v>0</v>
      </c>
    </row>
    <row r="34" spans="1:19" ht="15.75" customHeight="1">
      <c r="D34" s="323"/>
      <c r="E34" s="324"/>
      <c r="F34" s="325"/>
      <c r="G34" s="326"/>
      <c r="H34" s="327"/>
      <c r="I34" s="352"/>
      <c r="J34" s="328"/>
      <c r="K34" s="705"/>
      <c r="L34" s="705"/>
      <c r="M34" s="705"/>
      <c r="N34" s="705"/>
      <c r="O34" s="705"/>
      <c r="P34" s="705"/>
      <c r="Q34" s="705"/>
      <c r="R34" s="705"/>
      <c r="S34" s="705"/>
    </row>
    <row r="35" spans="1:19" ht="25" customHeight="1">
      <c r="D35" s="1229" t="s">
        <v>950</v>
      </c>
      <c r="E35" s="1230"/>
      <c r="F35" s="1230"/>
      <c r="G35" s="1230"/>
      <c r="H35" s="1230"/>
      <c r="I35" s="1230"/>
      <c r="J35" s="1231"/>
      <c r="K35" s="708">
        <f>K16+K20+K25+K29</f>
        <v>8793817749</v>
      </c>
      <c r="L35" s="708">
        <f t="shared" ref="L35:R35" si="5">L16+L20+L25+L29</f>
        <v>0</v>
      </c>
      <c r="M35" s="708">
        <f t="shared" si="5"/>
        <v>0</v>
      </c>
      <c r="N35" s="708">
        <f t="shared" si="5"/>
        <v>8793817749</v>
      </c>
      <c r="O35" s="708">
        <f t="shared" si="5"/>
        <v>0</v>
      </c>
      <c r="P35" s="708">
        <f t="shared" si="5"/>
        <v>0</v>
      </c>
      <c r="Q35" s="708">
        <f t="shared" si="5"/>
        <v>0</v>
      </c>
      <c r="R35" s="708">
        <f t="shared" si="5"/>
        <v>0</v>
      </c>
      <c r="S35" s="708">
        <f>S16+S20+S25+S29</f>
        <v>8793817749</v>
      </c>
    </row>
    <row r="36" spans="1:19" ht="15.75" customHeight="1">
      <c r="D36" s="309"/>
      <c r="E36" s="316"/>
      <c r="F36" s="353"/>
      <c r="G36" s="311"/>
      <c r="H36" s="312"/>
      <c r="I36" s="354"/>
      <c r="J36" s="355"/>
      <c r="K36" s="711"/>
      <c r="L36" s="711"/>
      <c r="M36" s="711"/>
      <c r="N36" s="711"/>
      <c r="O36" s="711"/>
      <c r="P36" s="711"/>
      <c r="Q36" s="711"/>
      <c r="R36" s="711"/>
      <c r="S36" s="711"/>
    </row>
    <row r="37" spans="1:19" ht="15.75" customHeight="1">
      <c r="A37" s="675" t="s">
        <v>935</v>
      </c>
      <c r="B37" s="700" t="s">
        <v>234</v>
      </c>
      <c r="C37" s="700" t="s">
        <v>234</v>
      </c>
      <c r="D37" s="357">
        <v>2</v>
      </c>
      <c r="E37" s="353" t="s">
        <v>234</v>
      </c>
      <c r="F37" s="679"/>
      <c r="G37" s="311"/>
      <c r="H37" s="312"/>
      <c r="I37" s="258"/>
      <c r="J37" s="313"/>
      <c r="K37" s="712"/>
      <c r="L37" s="712"/>
      <c r="M37" s="712"/>
      <c r="N37" s="712"/>
      <c r="O37" s="712"/>
      <c r="P37" s="712"/>
      <c r="Q37" s="712"/>
      <c r="R37" s="712"/>
      <c r="S37" s="712"/>
    </row>
    <row r="38" spans="1:19" s="703" customFormat="1" ht="15.75" customHeight="1">
      <c r="A38" s="675" t="s">
        <v>935</v>
      </c>
      <c r="B38" s="675"/>
      <c r="C38" s="675"/>
      <c r="D38" s="309"/>
      <c r="E38" s="316" t="s">
        <v>233</v>
      </c>
      <c r="F38" s="703" t="s">
        <v>305</v>
      </c>
      <c r="G38" s="318"/>
      <c r="H38" s="319"/>
      <c r="I38" s="320"/>
      <c r="J38" s="321"/>
      <c r="K38" s="704"/>
      <c r="L38" s="704"/>
      <c r="M38" s="704"/>
      <c r="N38" s="704"/>
      <c r="O38" s="704"/>
      <c r="P38" s="704"/>
      <c r="Q38" s="704"/>
      <c r="R38" s="704"/>
      <c r="S38" s="704"/>
    </row>
    <row r="39" spans="1:19" ht="15.75" customHeight="1">
      <c r="A39" s="675" t="s">
        <v>935</v>
      </c>
      <c r="D39" s="357"/>
      <c r="E39" s="301"/>
      <c r="F39" s="316" t="s">
        <v>951</v>
      </c>
      <c r="G39" s="359" t="s">
        <v>405</v>
      </c>
      <c r="H39" s="713"/>
      <c r="I39" s="258"/>
      <c r="J39" s="313"/>
      <c r="K39" s="712"/>
      <c r="L39" s="704"/>
      <c r="M39" s="712"/>
      <c r="N39" s="712"/>
      <c r="O39" s="712"/>
      <c r="P39" s="712"/>
      <c r="Q39" s="712"/>
      <c r="R39" s="712"/>
      <c r="S39" s="712"/>
    </row>
    <row r="40" spans="1:19" ht="15.75" customHeight="1">
      <c r="A40" s="675" t="s">
        <v>935</v>
      </c>
      <c r="D40" s="309"/>
      <c r="E40" s="316"/>
      <c r="F40" s="330"/>
      <c r="G40" s="714"/>
      <c r="H40" s="715" t="s">
        <v>307</v>
      </c>
      <c r="I40" s="716">
        <v>2005</v>
      </c>
      <c r="J40" s="364">
        <v>0.05</v>
      </c>
      <c r="K40" s="706">
        <v>5564855579</v>
      </c>
      <c r="L40" s="717">
        <v>0</v>
      </c>
      <c r="M40" s="701"/>
      <c r="N40" s="705">
        <f t="shared" ref="N40:N55" si="6">K40+L40-M40</f>
        <v>5564855579</v>
      </c>
      <c r="O40" s="718">
        <v>1411546796.9000008</v>
      </c>
      <c r="P40" s="706">
        <f>N40*J40</f>
        <v>278242778.94999999</v>
      </c>
      <c r="Q40" s="706"/>
      <c r="R40" s="705">
        <f>O40+P40-Q40</f>
        <v>1689789575.8500009</v>
      </c>
      <c r="S40" s="706">
        <f>N40-R40</f>
        <v>3875066003.1499991</v>
      </c>
    </row>
    <row r="41" spans="1:19" ht="15.75" customHeight="1">
      <c r="A41" s="675" t="s">
        <v>935</v>
      </c>
      <c r="D41" s="309"/>
      <c r="E41" s="316"/>
      <c r="F41" s="330"/>
      <c r="G41" s="714"/>
      <c r="H41" s="715" t="s">
        <v>308</v>
      </c>
      <c r="I41" s="716">
        <v>2005</v>
      </c>
      <c r="J41" s="366">
        <v>0.05</v>
      </c>
      <c r="K41" s="706">
        <v>39450000</v>
      </c>
      <c r="L41" s="705">
        <v>0</v>
      </c>
      <c r="M41" s="701">
        <v>0</v>
      </c>
      <c r="N41" s="705">
        <f t="shared" si="6"/>
        <v>39450000</v>
      </c>
      <c r="O41" s="719">
        <v>11835000</v>
      </c>
      <c r="P41" s="706">
        <f t="shared" ref="P41:P55" si="7">N41*J41</f>
        <v>1972500</v>
      </c>
      <c r="Q41" s="706"/>
      <c r="R41" s="705">
        <f t="shared" ref="R41:R55" si="8">O41+P41-Q41</f>
        <v>13807500</v>
      </c>
      <c r="S41" s="706">
        <f t="shared" ref="S41:S55" si="9">N41-R41</f>
        <v>25642500</v>
      </c>
    </row>
    <row r="42" spans="1:19" ht="15.75" customHeight="1">
      <c r="A42" s="675" t="s">
        <v>935</v>
      </c>
      <c r="D42" s="309"/>
      <c r="E42" s="316"/>
      <c r="F42" s="330"/>
      <c r="G42" s="714"/>
      <c r="H42" s="715" t="s">
        <v>309</v>
      </c>
      <c r="I42" s="716">
        <v>2005</v>
      </c>
      <c r="J42" s="366">
        <v>0.05</v>
      </c>
      <c r="K42" s="706">
        <v>742420000</v>
      </c>
      <c r="L42" s="720">
        <v>0</v>
      </c>
      <c r="M42" s="701">
        <v>0</v>
      </c>
      <c r="N42" s="705">
        <f t="shared" si="6"/>
        <v>742420000</v>
      </c>
      <c r="O42" s="705">
        <v>222725999.99999979</v>
      </c>
      <c r="P42" s="706">
        <f t="shared" si="7"/>
        <v>37121000</v>
      </c>
      <c r="Q42" s="706"/>
      <c r="R42" s="705">
        <f t="shared" si="8"/>
        <v>259846999.99999979</v>
      </c>
      <c r="S42" s="706">
        <f t="shared" si="9"/>
        <v>482573000.00000024</v>
      </c>
    </row>
    <row r="43" spans="1:19" ht="15.75" customHeight="1">
      <c r="A43" s="675" t="s">
        <v>935</v>
      </c>
      <c r="D43" s="309"/>
      <c r="E43" s="316"/>
      <c r="F43" s="330"/>
      <c r="G43" s="714"/>
      <c r="H43" s="715" t="s">
        <v>310</v>
      </c>
      <c r="I43" s="716">
        <v>2005</v>
      </c>
      <c r="J43" s="368">
        <v>0.05</v>
      </c>
      <c r="K43" s="706">
        <v>8100000</v>
      </c>
      <c r="L43" s="720">
        <v>0</v>
      </c>
      <c r="M43" s="701">
        <v>0</v>
      </c>
      <c r="N43" s="705">
        <f t="shared" si="6"/>
        <v>8100000</v>
      </c>
      <c r="O43" s="705">
        <v>2430000</v>
      </c>
      <c r="P43" s="706">
        <f t="shared" si="7"/>
        <v>405000</v>
      </c>
      <c r="Q43" s="706"/>
      <c r="R43" s="705">
        <f t="shared" si="8"/>
        <v>2835000</v>
      </c>
      <c r="S43" s="706">
        <f t="shared" si="9"/>
        <v>5265000</v>
      </c>
    </row>
    <row r="44" spans="1:19" ht="15.75" customHeight="1">
      <c r="A44" s="675" t="s">
        <v>935</v>
      </c>
      <c r="D44" s="309"/>
      <c r="E44" s="316"/>
      <c r="F44" s="330"/>
      <c r="G44" s="714"/>
      <c r="H44" s="715" t="s">
        <v>311</v>
      </c>
      <c r="I44" s="716">
        <v>2006</v>
      </c>
      <c r="J44" s="366">
        <v>0.05</v>
      </c>
      <c r="K44" s="706">
        <v>203210000</v>
      </c>
      <c r="L44" s="720">
        <v>0</v>
      </c>
      <c r="M44" s="701">
        <v>0</v>
      </c>
      <c r="N44" s="705">
        <f t="shared" si="6"/>
        <v>203210000</v>
      </c>
      <c r="O44" s="719">
        <v>52495916.00000003</v>
      </c>
      <c r="P44" s="706">
        <f t="shared" si="7"/>
        <v>10160500</v>
      </c>
      <c r="Q44" s="706"/>
      <c r="R44" s="705">
        <f t="shared" si="8"/>
        <v>62656416.00000003</v>
      </c>
      <c r="S44" s="706">
        <f t="shared" si="9"/>
        <v>140553583.99999997</v>
      </c>
    </row>
    <row r="45" spans="1:19" ht="15.75" customHeight="1">
      <c r="A45" s="675" t="s">
        <v>935</v>
      </c>
      <c r="D45" s="309"/>
      <c r="E45" s="316"/>
      <c r="F45" s="330"/>
      <c r="G45" s="714"/>
      <c r="H45" s="715" t="s">
        <v>312</v>
      </c>
      <c r="I45" s="716">
        <v>2010</v>
      </c>
      <c r="J45" s="366">
        <v>0.05</v>
      </c>
      <c r="K45" s="706">
        <v>262080000</v>
      </c>
      <c r="L45" s="720">
        <v>0</v>
      </c>
      <c r="M45" s="701">
        <v>0</v>
      </c>
      <c r="N45" s="705">
        <f t="shared" si="6"/>
        <v>262080000</v>
      </c>
      <c r="O45" s="719">
        <v>78624000</v>
      </c>
      <c r="P45" s="706">
        <f t="shared" si="7"/>
        <v>13104000</v>
      </c>
      <c r="Q45" s="706"/>
      <c r="R45" s="705">
        <f t="shared" si="8"/>
        <v>91728000</v>
      </c>
      <c r="S45" s="706">
        <f t="shared" si="9"/>
        <v>170352000</v>
      </c>
    </row>
    <row r="46" spans="1:19" ht="15.75" customHeight="1">
      <c r="A46" s="675" t="s">
        <v>935</v>
      </c>
      <c r="D46" s="309"/>
      <c r="E46" s="316"/>
      <c r="F46" s="330"/>
      <c r="G46" s="714"/>
      <c r="H46" s="715" t="s">
        <v>313</v>
      </c>
      <c r="I46" s="716">
        <v>2010</v>
      </c>
      <c r="J46" s="366">
        <v>0.05</v>
      </c>
      <c r="K46" s="706">
        <v>194080000</v>
      </c>
      <c r="L46" s="720">
        <v>0</v>
      </c>
      <c r="M46" s="701">
        <v>0</v>
      </c>
      <c r="N46" s="705">
        <f t="shared" si="6"/>
        <v>194080000</v>
      </c>
      <c r="O46" s="719">
        <v>58223999.999999948</v>
      </c>
      <c r="P46" s="706">
        <f t="shared" si="7"/>
        <v>9704000</v>
      </c>
      <c r="Q46" s="706"/>
      <c r="R46" s="705">
        <f t="shared" si="8"/>
        <v>67927999.99999994</v>
      </c>
      <c r="S46" s="706">
        <f t="shared" si="9"/>
        <v>126152000.00000006</v>
      </c>
    </row>
    <row r="47" spans="1:19" ht="15.75" customHeight="1">
      <c r="A47" s="675" t="s">
        <v>935</v>
      </c>
      <c r="D47" s="309"/>
      <c r="E47" s="316"/>
      <c r="F47" s="330"/>
      <c r="G47" s="714"/>
      <c r="H47" s="715" t="s">
        <v>314</v>
      </c>
      <c r="I47" s="716">
        <v>2010</v>
      </c>
      <c r="J47" s="368">
        <v>0.05</v>
      </c>
      <c r="K47" s="706">
        <v>313090000</v>
      </c>
      <c r="L47" s="720">
        <v>0</v>
      </c>
      <c r="M47" s="701">
        <v>0</v>
      </c>
      <c r="N47" s="705">
        <f t="shared" si="6"/>
        <v>313090000</v>
      </c>
      <c r="O47" s="719">
        <v>93927000.000000045</v>
      </c>
      <c r="P47" s="706">
        <f t="shared" si="7"/>
        <v>15654500</v>
      </c>
      <c r="Q47" s="706"/>
      <c r="R47" s="705">
        <f t="shared" si="8"/>
        <v>109581500.00000004</v>
      </c>
      <c r="S47" s="706">
        <f t="shared" si="9"/>
        <v>203508499.99999994</v>
      </c>
    </row>
    <row r="48" spans="1:19" ht="15.75" customHeight="1">
      <c r="A48" s="675" t="s">
        <v>935</v>
      </c>
      <c r="D48" s="309"/>
      <c r="E48" s="316"/>
      <c r="F48" s="330"/>
      <c r="G48" s="714"/>
      <c r="H48" s="715" t="s">
        <v>315</v>
      </c>
      <c r="I48" s="716">
        <v>2010</v>
      </c>
      <c r="J48" s="366">
        <v>0.05</v>
      </c>
      <c r="K48" s="706">
        <v>23340000</v>
      </c>
      <c r="L48" s="720">
        <v>0</v>
      </c>
      <c r="M48" s="701">
        <v>0</v>
      </c>
      <c r="N48" s="705">
        <f t="shared" si="6"/>
        <v>23340000</v>
      </c>
      <c r="O48" s="719">
        <v>6029500</v>
      </c>
      <c r="P48" s="706">
        <f t="shared" si="7"/>
        <v>1167000</v>
      </c>
      <c r="Q48" s="706"/>
      <c r="R48" s="705">
        <f t="shared" si="8"/>
        <v>7196500</v>
      </c>
      <c r="S48" s="706">
        <f t="shared" si="9"/>
        <v>16143500</v>
      </c>
    </row>
    <row r="49" spans="1:19" ht="15.75" customHeight="1">
      <c r="A49" s="675" t="s">
        <v>935</v>
      </c>
      <c r="D49" s="309"/>
      <c r="E49" s="316"/>
      <c r="F49" s="330"/>
      <c r="G49" s="714"/>
      <c r="H49" s="715" t="s">
        <v>316</v>
      </c>
      <c r="I49" s="716">
        <v>2010</v>
      </c>
      <c r="J49" s="366">
        <v>0.05</v>
      </c>
      <c r="K49" s="706">
        <v>66130000</v>
      </c>
      <c r="L49" s="720">
        <v>0</v>
      </c>
      <c r="M49" s="701">
        <v>0</v>
      </c>
      <c r="N49" s="705">
        <f t="shared" si="6"/>
        <v>66130000</v>
      </c>
      <c r="O49" s="719">
        <v>17083583.319999985</v>
      </c>
      <c r="P49" s="706">
        <f t="shared" si="7"/>
        <v>3306500</v>
      </c>
      <c r="Q49" s="706"/>
      <c r="R49" s="705">
        <f t="shared" si="8"/>
        <v>20390083.319999985</v>
      </c>
      <c r="S49" s="706">
        <f t="shared" si="9"/>
        <v>45739916.680000015</v>
      </c>
    </row>
    <row r="50" spans="1:19" ht="15.75" customHeight="1">
      <c r="A50" s="675" t="s">
        <v>935</v>
      </c>
      <c r="D50" s="309"/>
      <c r="E50" s="316"/>
      <c r="F50" s="330"/>
      <c r="G50" s="714"/>
      <c r="H50" s="715" t="s">
        <v>317</v>
      </c>
      <c r="I50" s="716">
        <v>2010</v>
      </c>
      <c r="J50" s="366">
        <v>0.05</v>
      </c>
      <c r="K50" s="706">
        <v>753420000</v>
      </c>
      <c r="L50" s="720">
        <v>0</v>
      </c>
      <c r="M50" s="701">
        <v>0</v>
      </c>
      <c r="N50" s="705">
        <f t="shared" si="6"/>
        <v>753420000</v>
      </c>
      <c r="O50" s="705">
        <v>226026000</v>
      </c>
      <c r="P50" s="706">
        <f t="shared" si="7"/>
        <v>37671000</v>
      </c>
      <c r="Q50" s="706"/>
      <c r="R50" s="705">
        <f t="shared" si="8"/>
        <v>263697000</v>
      </c>
      <c r="S50" s="706">
        <f t="shared" si="9"/>
        <v>489723000</v>
      </c>
    </row>
    <row r="51" spans="1:19" ht="15.75" customHeight="1">
      <c r="A51" s="675" t="s">
        <v>935</v>
      </c>
      <c r="D51" s="309"/>
      <c r="E51" s="316"/>
      <c r="F51" s="330"/>
      <c r="G51" s="721"/>
      <c r="H51" s="715" t="s">
        <v>318</v>
      </c>
      <c r="I51" s="716">
        <v>2010</v>
      </c>
      <c r="J51" s="366">
        <v>0.05</v>
      </c>
      <c r="K51" s="706">
        <v>73630000</v>
      </c>
      <c r="L51" s="720">
        <v>0</v>
      </c>
      <c r="M51" s="701">
        <v>0</v>
      </c>
      <c r="N51" s="705">
        <f t="shared" si="6"/>
        <v>73630000</v>
      </c>
      <c r="O51" s="705">
        <v>22089000.000000007</v>
      </c>
      <c r="P51" s="706">
        <f t="shared" si="7"/>
        <v>3681500</v>
      </c>
      <c r="Q51" s="706"/>
      <c r="R51" s="705">
        <f t="shared" si="8"/>
        <v>25770500.000000007</v>
      </c>
      <c r="S51" s="706">
        <f t="shared" si="9"/>
        <v>47859499.999999993</v>
      </c>
    </row>
    <row r="52" spans="1:19" ht="15.75" customHeight="1">
      <c r="A52" s="675" t="s">
        <v>935</v>
      </c>
      <c r="D52" s="309"/>
      <c r="E52" s="316"/>
      <c r="F52" s="330"/>
      <c r="G52" s="721"/>
      <c r="H52" s="715" t="s">
        <v>319</v>
      </c>
      <c r="I52" s="716">
        <v>2014</v>
      </c>
      <c r="J52" s="366">
        <v>0.05</v>
      </c>
      <c r="K52" s="706">
        <v>50330000</v>
      </c>
      <c r="L52" s="720">
        <v>0</v>
      </c>
      <c r="M52" s="701">
        <v>0</v>
      </c>
      <c r="N52" s="705">
        <f t="shared" si="6"/>
        <v>50330000</v>
      </c>
      <c r="O52" s="719">
        <v>15099000.000000015</v>
      </c>
      <c r="P52" s="706">
        <f t="shared" si="7"/>
        <v>2516500</v>
      </c>
      <c r="Q52" s="706"/>
      <c r="R52" s="705">
        <f t="shared" si="8"/>
        <v>17615500.000000015</v>
      </c>
      <c r="S52" s="706">
        <f t="shared" si="9"/>
        <v>32714499.999999985</v>
      </c>
    </row>
    <row r="53" spans="1:19" ht="15.75" customHeight="1">
      <c r="A53" s="675" t="s">
        <v>935</v>
      </c>
      <c r="D53" s="309"/>
      <c r="E53" s="316"/>
      <c r="F53" s="325"/>
      <c r="G53" s="722"/>
      <c r="H53" s="723" t="s">
        <v>320</v>
      </c>
      <c r="I53" s="724">
        <v>2015</v>
      </c>
      <c r="J53" s="374">
        <v>0.05</v>
      </c>
      <c r="K53" s="706">
        <v>9720000</v>
      </c>
      <c r="L53" s="720">
        <v>0</v>
      </c>
      <c r="M53" s="701">
        <v>0</v>
      </c>
      <c r="N53" s="705">
        <f t="shared" si="6"/>
        <v>9720000</v>
      </c>
      <c r="O53" s="719">
        <v>2916000</v>
      </c>
      <c r="P53" s="706">
        <f t="shared" si="7"/>
        <v>486000</v>
      </c>
      <c r="Q53" s="706"/>
      <c r="R53" s="705">
        <f t="shared" si="8"/>
        <v>3402000</v>
      </c>
      <c r="S53" s="706">
        <f t="shared" si="9"/>
        <v>6318000</v>
      </c>
    </row>
    <row r="54" spans="1:19" ht="15.75" customHeight="1">
      <c r="D54" s="309"/>
      <c r="E54" s="316"/>
      <c r="F54" s="325"/>
      <c r="G54" s="722"/>
      <c r="H54" s="725" t="s">
        <v>321</v>
      </c>
      <c r="I54" s="726">
        <v>43708</v>
      </c>
      <c r="J54" s="377">
        <v>0.05</v>
      </c>
      <c r="K54" s="705">
        <v>3949277860.8299999</v>
      </c>
      <c r="L54" s="720">
        <v>0</v>
      </c>
      <c r="M54" s="701">
        <v>0</v>
      </c>
      <c r="N54" s="705">
        <f t="shared" si="6"/>
        <v>3949277860.8299999</v>
      </c>
      <c r="O54" s="705">
        <v>460749083.76350015</v>
      </c>
      <c r="P54" s="706">
        <f t="shared" si="7"/>
        <v>197463893.0415</v>
      </c>
      <c r="Q54" s="709"/>
      <c r="R54" s="705">
        <f t="shared" si="8"/>
        <v>658212976.80500019</v>
      </c>
      <c r="S54" s="705">
        <f t="shared" si="9"/>
        <v>3291064884.0249996</v>
      </c>
    </row>
    <row r="55" spans="1:19" ht="15.75" customHeight="1">
      <c r="D55" s="309"/>
      <c r="E55" s="316"/>
      <c r="F55" s="379"/>
      <c r="G55" s="727"/>
      <c r="H55" s="728" t="s">
        <v>322</v>
      </c>
      <c r="I55" s="729">
        <v>44561</v>
      </c>
      <c r="J55" s="383">
        <v>0.05</v>
      </c>
      <c r="K55" s="707">
        <v>8926795238.2600002</v>
      </c>
      <c r="L55" s="720">
        <v>0</v>
      </c>
      <c r="M55" s="701">
        <v>0</v>
      </c>
      <c r="N55" s="707">
        <f t="shared" si="6"/>
        <v>8926795238.2600002</v>
      </c>
      <c r="O55" s="707">
        <v>74389960.209999993</v>
      </c>
      <c r="P55" s="706">
        <f t="shared" si="7"/>
        <v>446339761.91300005</v>
      </c>
      <c r="Q55" s="707"/>
      <c r="R55" s="705">
        <f t="shared" si="8"/>
        <v>520729722.12300003</v>
      </c>
      <c r="S55" s="707">
        <f t="shared" si="9"/>
        <v>8406065516.1370001</v>
      </c>
    </row>
    <row r="56" spans="1:19" ht="15.75" customHeight="1">
      <c r="A56" s="675" t="s">
        <v>935</v>
      </c>
      <c r="D56" s="309"/>
      <c r="E56" s="316"/>
      <c r="F56" s="1241" t="s">
        <v>952</v>
      </c>
      <c r="G56" s="1242"/>
      <c r="H56" s="1242"/>
      <c r="I56" s="1242"/>
      <c r="J56" s="1243"/>
      <c r="K56" s="708">
        <f>SUM(K40:K55)</f>
        <v>21179928678.09</v>
      </c>
      <c r="L56" s="708">
        <f t="shared" ref="L56:S56" si="10">SUM(L40:L55)</f>
        <v>0</v>
      </c>
      <c r="M56" s="708">
        <f t="shared" si="10"/>
        <v>0</v>
      </c>
      <c r="N56" s="708">
        <f t="shared" si="10"/>
        <v>21179928678.09</v>
      </c>
      <c r="O56" s="708">
        <f>SUM(O40:O55)</f>
        <v>2756190840.1935005</v>
      </c>
      <c r="P56" s="708">
        <f>SUM(P40:P55)</f>
        <v>1058996433.9045</v>
      </c>
      <c r="Q56" s="708">
        <f t="shared" si="10"/>
        <v>0</v>
      </c>
      <c r="R56" s="708">
        <f>SUM(R40:R55)</f>
        <v>3815187274.098001</v>
      </c>
      <c r="S56" s="708">
        <f t="shared" si="10"/>
        <v>17364741403.992001</v>
      </c>
    </row>
    <row r="57" spans="1:19" ht="15.75" customHeight="1">
      <c r="A57" s="675" t="s">
        <v>935</v>
      </c>
      <c r="D57" s="387"/>
      <c r="E57" s="388"/>
      <c r="F57" s="316" t="s">
        <v>953</v>
      </c>
      <c r="G57" s="730" t="s">
        <v>323</v>
      </c>
      <c r="H57" s="731"/>
      <c r="I57" s="391"/>
      <c r="J57" s="392"/>
      <c r="K57" s="711"/>
      <c r="L57" s="711"/>
      <c r="M57" s="711"/>
      <c r="N57" s="711"/>
      <c r="O57" s="711"/>
      <c r="P57" s="711"/>
      <c r="Q57" s="711"/>
      <c r="R57" s="711"/>
      <c r="S57" s="711"/>
    </row>
    <row r="58" spans="1:19" ht="15.75" customHeight="1">
      <c r="A58" s="675" t="s">
        <v>935</v>
      </c>
      <c r="D58" s="309"/>
      <c r="E58" s="316"/>
      <c r="F58" s="330"/>
      <c r="G58" s="721"/>
      <c r="H58" s="715" t="s">
        <v>325</v>
      </c>
      <c r="I58" s="716">
        <v>2005</v>
      </c>
      <c r="J58" s="393">
        <v>0.05</v>
      </c>
      <c r="K58" s="706">
        <v>0</v>
      </c>
      <c r="L58" s="720">
        <v>0</v>
      </c>
      <c r="M58" s="706"/>
      <c r="N58" s="706">
        <v>0</v>
      </c>
      <c r="O58" s="705">
        <v>0</v>
      </c>
      <c r="P58" s="706">
        <v>0</v>
      </c>
      <c r="Q58" s="706"/>
      <c r="R58" s="705">
        <v>0</v>
      </c>
      <c r="S58" s="706">
        <v>0</v>
      </c>
    </row>
    <row r="59" spans="1:19" ht="15.75" customHeight="1">
      <c r="A59" s="675" t="s">
        <v>935</v>
      </c>
      <c r="D59" s="309"/>
      <c r="E59" s="316"/>
      <c r="F59" s="330"/>
      <c r="G59" s="721"/>
      <c r="H59" s="715" t="s">
        <v>326</v>
      </c>
      <c r="I59" s="716">
        <v>2010</v>
      </c>
      <c r="J59" s="393">
        <v>0.05</v>
      </c>
      <c r="K59" s="706">
        <v>128910000</v>
      </c>
      <c r="L59" s="720">
        <v>0</v>
      </c>
      <c r="M59" s="706">
        <v>0</v>
      </c>
      <c r="N59" s="705">
        <f>K59+L59-M59</f>
        <v>128910000</v>
      </c>
      <c r="O59" s="705">
        <v>38673000</v>
      </c>
      <c r="P59" s="706">
        <f>N59*J59</f>
        <v>6445500</v>
      </c>
      <c r="Q59" s="706"/>
      <c r="R59" s="705">
        <f>O59+P59-Q59</f>
        <v>45118500</v>
      </c>
      <c r="S59" s="706">
        <f>N59-R59</f>
        <v>83791500</v>
      </c>
    </row>
    <row r="60" spans="1:19" ht="15.75" customHeight="1">
      <c r="A60" s="675" t="s">
        <v>935</v>
      </c>
      <c r="D60" s="309"/>
      <c r="E60" s="316"/>
      <c r="F60" s="330"/>
      <c r="G60" s="727"/>
      <c r="H60" s="732" t="s">
        <v>327</v>
      </c>
      <c r="I60" s="733">
        <v>2011</v>
      </c>
      <c r="J60" s="396">
        <v>0.05</v>
      </c>
      <c r="K60" s="706">
        <v>9443284879.9899998</v>
      </c>
      <c r="L60" s="720">
        <v>0</v>
      </c>
      <c r="M60" s="706">
        <v>0</v>
      </c>
      <c r="N60" s="705">
        <f>K60+L60-M60</f>
        <v>9443284879.9899998</v>
      </c>
      <c r="O60" s="705">
        <v>2638796975.9995003</v>
      </c>
      <c r="P60" s="706">
        <f>N60*J60</f>
        <v>472164243.99950004</v>
      </c>
      <c r="Q60" s="706"/>
      <c r="R60" s="705">
        <f>O60+P60-Q60</f>
        <v>3110961219.9990005</v>
      </c>
      <c r="S60" s="706">
        <f>N60-R60</f>
        <v>6332323659.9909992</v>
      </c>
    </row>
    <row r="61" spans="1:19" ht="15.75" customHeight="1">
      <c r="A61" s="675" t="s">
        <v>935</v>
      </c>
      <c r="D61" s="387"/>
      <c r="E61" s="388"/>
      <c r="F61" s="1241" t="s">
        <v>954</v>
      </c>
      <c r="G61" s="1242"/>
      <c r="H61" s="1242"/>
      <c r="I61" s="1242"/>
      <c r="J61" s="1243"/>
      <c r="K61" s="708">
        <f>SUM(K59:K60)</f>
        <v>9572194879.9899998</v>
      </c>
      <c r="L61" s="708">
        <f t="shared" ref="L61:S61" si="11">SUM(L59:L60)</f>
        <v>0</v>
      </c>
      <c r="M61" s="708">
        <f t="shared" si="11"/>
        <v>0</v>
      </c>
      <c r="N61" s="708">
        <f t="shared" si="11"/>
        <v>9572194879.9899998</v>
      </c>
      <c r="O61" s="708">
        <f>SUM(O59:O60)</f>
        <v>2677469975.9995003</v>
      </c>
      <c r="P61" s="708">
        <f>SUM(P59:P60)</f>
        <v>478609743.99950004</v>
      </c>
      <c r="Q61" s="708">
        <f t="shared" si="11"/>
        <v>0</v>
      </c>
      <c r="R61" s="708">
        <f t="shared" si="11"/>
        <v>3156079719.9990005</v>
      </c>
      <c r="S61" s="708">
        <f t="shared" si="11"/>
        <v>6416115159.9909992</v>
      </c>
    </row>
    <row r="62" spans="1:19" ht="15.75" customHeight="1">
      <c r="A62" s="675" t="s">
        <v>935</v>
      </c>
      <c r="D62" s="387"/>
      <c r="E62" s="388"/>
      <c r="F62" s="316" t="s">
        <v>955</v>
      </c>
      <c r="G62" s="730" t="s">
        <v>328</v>
      </c>
      <c r="H62" s="734"/>
      <c r="I62" s="398"/>
      <c r="J62" s="399"/>
      <c r="K62" s="735"/>
      <c r="L62" s="735"/>
      <c r="M62" s="735"/>
      <c r="N62" s="735"/>
      <c r="O62" s="735"/>
      <c r="P62" s="735"/>
      <c r="Q62" s="735"/>
      <c r="R62" s="735"/>
      <c r="S62" s="735"/>
    </row>
    <row r="63" spans="1:19" ht="15.75" customHeight="1">
      <c r="A63" s="675" t="s">
        <v>935</v>
      </c>
      <c r="D63" s="387"/>
      <c r="E63" s="388"/>
      <c r="F63" s="330"/>
      <c r="G63" s="721"/>
      <c r="H63" s="715" t="s">
        <v>330</v>
      </c>
      <c r="I63" s="716">
        <v>2012</v>
      </c>
      <c r="J63" s="393">
        <v>0.05</v>
      </c>
      <c r="K63" s="705">
        <v>0</v>
      </c>
      <c r="L63" s="706">
        <v>0</v>
      </c>
      <c r="M63" s="706"/>
      <c r="N63" s="705">
        <f>K63+L63-M63</f>
        <v>0</v>
      </c>
      <c r="O63" s="705">
        <v>0</v>
      </c>
      <c r="P63" s="706"/>
      <c r="Q63" s="705"/>
      <c r="R63" s="705">
        <f>O63+P63-Q63</f>
        <v>0</v>
      </c>
      <c r="S63" s="706">
        <f>N63-R63</f>
        <v>0</v>
      </c>
    </row>
    <row r="64" spans="1:19" ht="15.75" customHeight="1">
      <c r="A64" s="675" t="s">
        <v>935</v>
      </c>
      <c r="D64" s="387"/>
      <c r="E64" s="388"/>
      <c r="F64" s="330"/>
      <c r="G64" s="727"/>
      <c r="H64" s="732" t="s">
        <v>331</v>
      </c>
      <c r="I64" s="733">
        <v>2012</v>
      </c>
      <c r="J64" s="364">
        <v>0.05</v>
      </c>
      <c r="K64" s="705">
        <v>0</v>
      </c>
      <c r="L64" s="706">
        <v>0</v>
      </c>
      <c r="M64" s="706"/>
      <c r="N64" s="705">
        <f>K64+L64-M64</f>
        <v>0</v>
      </c>
      <c r="O64" s="705">
        <v>0</v>
      </c>
      <c r="P64" s="706"/>
      <c r="Q64" s="705"/>
      <c r="R64" s="705">
        <f>O64+P64-Q64</f>
        <v>0</v>
      </c>
      <c r="S64" s="706">
        <f>N64-R64</f>
        <v>0</v>
      </c>
    </row>
    <row r="65" spans="1:19" ht="15.75" customHeight="1">
      <c r="A65" s="675" t="s">
        <v>935</v>
      </c>
      <c r="D65" s="387"/>
      <c r="E65" s="388"/>
      <c r="F65" s="1241" t="s">
        <v>956</v>
      </c>
      <c r="G65" s="1242"/>
      <c r="H65" s="1242"/>
      <c r="I65" s="1242"/>
      <c r="J65" s="1243"/>
      <c r="K65" s="708">
        <f>SUM(K63:K64)</f>
        <v>0</v>
      </c>
      <c r="L65" s="708">
        <f t="shared" ref="L65:S65" si="12">SUM(L63:L64)</f>
        <v>0</v>
      </c>
      <c r="M65" s="708">
        <f t="shared" si="12"/>
        <v>0</v>
      </c>
      <c r="N65" s="708">
        <f t="shared" si="12"/>
        <v>0</v>
      </c>
      <c r="O65" s="708">
        <f t="shared" si="12"/>
        <v>0</v>
      </c>
      <c r="P65" s="708">
        <f t="shared" si="12"/>
        <v>0</v>
      </c>
      <c r="Q65" s="708">
        <f t="shared" si="12"/>
        <v>0</v>
      </c>
      <c r="R65" s="708">
        <f t="shared" si="12"/>
        <v>0</v>
      </c>
      <c r="S65" s="708">
        <f t="shared" si="12"/>
        <v>0</v>
      </c>
    </row>
    <row r="66" spans="1:19" s="703" customFormat="1" ht="15.75" customHeight="1">
      <c r="A66" s="675" t="s">
        <v>935</v>
      </c>
      <c r="B66" s="675"/>
      <c r="C66" s="675"/>
      <c r="D66" s="309"/>
      <c r="E66" s="1235" t="s">
        <v>957</v>
      </c>
      <c r="F66" s="1236"/>
      <c r="G66" s="1236"/>
      <c r="H66" s="1236"/>
      <c r="I66" s="1236"/>
      <c r="J66" s="1237"/>
      <c r="K66" s="708">
        <f>K56+K61+K65</f>
        <v>30752123558.080002</v>
      </c>
      <c r="L66" s="708">
        <f t="shared" ref="L66:S66" si="13">L56+L61+L65</f>
        <v>0</v>
      </c>
      <c r="M66" s="708">
        <f t="shared" si="13"/>
        <v>0</v>
      </c>
      <c r="N66" s="708">
        <f t="shared" si="13"/>
        <v>30752123558.080002</v>
      </c>
      <c r="O66" s="708">
        <f>O56+O61+O65</f>
        <v>5433660816.1930008</v>
      </c>
      <c r="P66" s="708">
        <f>P56+P61+P65</f>
        <v>1537606177.904</v>
      </c>
      <c r="Q66" s="708">
        <f t="shared" si="13"/>
        <v>0</v>
      </c>
      <c r="R66" s="708">
        <f>R56+R61+R65</f>
        <v>6971266994.097002</v>
      </c>
      <c r="S66" s="708">
        <f t="shared" si="13"/>
        <v>23780856563.983002</v>
      </c>
    </row>
    <row r="67" spans="1:19" ht="15.75" customHeight="1">
      <c r="D67" s="387"/>
      <c r="E67" s="388"/>
      <c r="F67" s="330"/>
      <c r="G67" s="721"/>
      <c r="H67" s="715"/>
      <c r="I67" s="716"/>
      <c r="J67" s="393"/>
      <c r="K67" s="705"/>
      <c r="L67" s="706"/>
      <c r="M67" s="706"/>
      <c r="N67" s="705"/>
      <c r="O67" s="705"/>
      <c r="P67" s="706"/>
      <c r="Q67" s="705"/>
      <c r="R67" s="705"/>
      <c r="S67" s="705"/>
    </row>
    <row r="68" spans="1:19" s="703" customFormat="1" ht="15.75" customHeight="1">
      <c r="A68" s="675" t="s">
        <v>938</v>
      </c>
      <c r="B68" s="675"/>
      <c r="C68" s="675"/>
      <c r="D68" s="309"/>
      <c r="E68" s="316" t="s">
        <v>235</v>
      </c>
      <c r="F68" s="703" t="s">
        <v>332</v>
      </c>
      <c r="G68" s="318"/>
      <c r="H68" s="319"/>
      <c r="I68" s="401"/>
      <c r="J68" s="321"/>
      <c r="K68" s="704"/>
      <c r="L68" s="704"/>
      <c r="M68" s="704"/>
      <c r="N68" s="704"/>
      <c r="O68" s="704"/>
      <c r="P68" s="704"/>
      <c r="Q68" s="704"/>
      <c r="R68" s="704"/>
      <c r="S68" s="704"/>
    </row>
    <row r="69" spans="1:19" ht="15.75" customHeight="1">
      <c r="A69" s="675" t="s">
        <v>938</v>
      </c>
      <c r="D69" s="357"/>
      <c r="E69" s="301"/>
      <c r="F69" s="316" t="s">
        <v>958</v>
      </c>
      <c r="G69" s="359" t="s">
        <v>333</v>
      </c>
      <c r="H69" s="713"/>
      <c r="I69" s="258"/>
      <c r="J69" s="313"/>
      <c r="K69" s="712"/>
      <c r="L69" s="736"/>
      <c r="M69" s="712"/>
      <c r="N69" s="712"/>
      <c r="O69" s="712"/>
      <c r="P69" s="712"/>
      <c r="Q69" s="712"/>
      <c r="R69" s="712"/>
      <c r="S69" s="712"/>
    </row>
    <row r="70" spans="1:19" ht="15.75" customHeight="1">
      <c r="A70" s="675" t="s">
        <v>938</v>
      </c>
      <c r="D70" s="309"/>
      <c r="E70" s="316"/>
      <c r="F70" s="330"/>
      <c r="G70" s="714"/>
      <c r="H70" s="715" t="s">
        <v>334</v>
      </c>
      <c r="I70" s="716">
        <v>2005</v>
      </c>
      <c r="J70" s="393">
        <v>0.05</v>
      </c>
      <c r="K70" s="706">
        <v>10960000</v>
      </c>
      <c r="L70" s="737">
        <v>0</v>
      </c>
      <c r="M70" s="701">
        <v>0</v>
      </c>
      <c r="N70" s="705">
        <f t="shared" ref="N70:N78" si="14">K70+L70-M70</f>
        <v>10960000</v>
      </c>
      <c r="O70" s="705">
        <v>1644000</v>
      </c>
      <c r="P70" s="738">
        <v>0</v>
      </c>
      <c r="Q70" s="706">
        <v>0</v>
      </c>
      <c r="R70" s="705">
        <f t="shared" ref="R70:R78" si="15">O70+P70-Q70</f>
        <v>1644000</v>
      </c>
      <c r="S70" s="706">
        <f t="shared" ref="S70:S78" si="16">N70-R70</f>
        <v>9316000</v>
      </c>
    </row>
    <row r="71" spans="1:19" ht="15.75" customHeight="1">
      <c r="A71" s="675" t="s">
        <v>938</v>
      </c>
      <c r="D71" s="309"/>
      <c r="E71" s="316"/>
      <c r="F71" s="330"/>
      <c r="G71" s="714"/>
      <c r="H71" s="715" t="s">
        <v>335</v>
      </c>
      <c r="I71" s="716">
        <v>2005</v>
      </c>
      <c r="J71" s="393">
        <v>0.05</v>
      </c>
      <c r="K71" s="706">
        <v>596230000</v>
      </c>
      <c r="L71" s="737">
        <v>0</v>
      </c>
      <c r="M71" s="701">
        <v>0</v>
      </c>
      <c r="N71" s="705">
        <f t="shared" si="14"/>
        <v>596230000</v>
      </c>
      <c r="O71" s="705">
        <v>89434500</v>
      </c>
      <c r="P71" s="738">
        <v>0</v>
      </c>
      <c r="Q71" s="706">
        <v>0</v>
      </c>
      <c r="R71" s="705">
        <f t="shared" si="15"/>
        <v>89434500</v>
      </c>
      <c r="S71" s="706">
        <f t="shared" si="16"/>
        <v>506795500</v>
      </c>
    </row>
    <row r="72" spans="1:19" ht="15.75" customHeight="1">
      <c r="A72" s="675" t="s">
        <v>938</v>
      </c>
      <c r="D72" s="309"/>
      <c r="E72" s="316"/>
      <c r="F72" s="330"/>
      <c r="G72" s="714"/>
      <c r="H72" s="715" t="s">
        <v>336</v>
      </c>
      <c r="I72" s="716">
        <v>2011</v>
      </c>
      <c r="J72" s="393">
        <v>0.05</v>
      </c>
      <c r="K72" s="706">
        <v>97760000</v>
      </c>
      <c r="L72" s="737">
        <v>0</v>
      </c>
      <c r="M72" s="701">
        <v>0</v>
      </c>
      <c r="N72" s="705">
        <f t="shared" si="14"/>
        <v>97760000</v>
      </c>
      <c r="O72" s="705">
        <v>14664000</v>
      </c>
      <c r="P72" s="738">
        <v>0</v>
      </c>
      <c r="Q72" s="706">
        <v>0</v>
      </c>
      <c r="R72" s="705">
        <f t="shared" si="15"/>
        <v>14664000</v>
      </c>
      <c r="S72" s="706">
        <f t="shared" si="16"/>
        <v>83096000</v>
      </c>
    </row>
    <row r="73" spans="1:19" ht="15.75" customHeight="1">
      <c r="A73" s="675" t="s">
        <v>938</v>
      </c>
      <c r="D73" s="309"/>
      <c r="E73" s="316"/>
      <c r="F73" s="330"/>
      <c r="G73" s="714"/>
      <c r="H73" s="715" t="s">
        <v>337</v>
      </c>
      <c r="I73" s="716">
        <v>2011</v>
      </c>
      <c r="J73" s="393">
        <v>0.05</v>
      </c>
      <c r="K73" s="706">
        <v>131970000</v>
      </c>
      <c r="L73" s="737">
        <v>0</v>
      </c>
      <c r="M73" s="701">
        <v>0</v>
      </c>
      <c r="N73" s="705">
        <f t="shared" si="14"/>
        <v>131970000</v>
      </c>
      <c r="O73" s="705">
        <v>19795500</v>
      </c>
      <c r="P73" s="738">
        <v>0</v>
      </c>
      <c r="Q73" s="706">
        <v>0</v>
      </c>
      <c r="R73" s="705">
        <f t="shared" si="15"/>
        <v>19795500</v>
      </c>
      <c r="S73" s="706">
        <f t="shared" si="16"/>
        <v>112174500</v>
      </c>
    </row>
    <row r="74" spans="1:19" ht="15.75" customHeight="1">
      <c r="A74" s="675" t="s">
        <v>938</v>
      </c>
      <c r="D74" s="309"/>
      <c r="E74" s="316"/>
      <c r="F74" s="330"/>
      <c r="G74" s="714"/>
      <c r="H74" s="715" t="s">
        <v>338</v>
      </c>
      <c r="I74" s="716">
        <v>2011</v>
      </c>
      <c r="J74" s="393">
        <v>0.05</v>
      </c>
      <c r="K74" s="706">
        <v>98820000</v>
      </c>
      <c r="L74" s="737">
        <v>0</v>
      </c>
      <c r="M74" s="701">
        <v>0</v>
      </c>
      <c r="N74" s="705">
        <f t="shared" si="14"/>
        <v>98820000</v>
      </c>
      <c r="O74" s="705">
        <v>14823000</v>
      </c>
      <c r="P74" s="738">
        <v>0</v>
      </c>
      <c r="Q74" s="706">
        <v>0</v>
      </c>
      <c r="R74" s="705">
        <f t="shared" si="15"/>
        <v>14823000</v>
      </c>
      <c r="S74" s="706">
        <f t="shared" si="16"/>
        <v>83997000</v>
      </c>
    </row>
    <row r="75" spans="1:19" ht="15.75" customHeight="1">
      <c r="A75" s="675" t="s">
        <v>938</v>
      </c>
      <c r="D75" s="309"/>
      <c r="E75" s="316"/>
      <c r="F75" s="330"/>
      <c r="G75" s="714"/>
      <c r="H75" s="715" t="s">
        <v>339</v>
      </c>
      <c r="I75" s="716">
        <v>2011</v>
      </c>
      <c r="J75" s="393">
        <v>0.05</v>
      </c>
      <c r="K75" s="706">
        <v>89000000</v>
      </c>
      <c r="L75" s="737">
        <v>0</v>
      </c>
      <c r="M75" s="701">
        <v>0</v>
      </c>
      <c r="N75" s="705">
        <f t="shared" si="14"/>
        <v>89000000</v>
      </c>
      <c r="O75" s="705">
        <v>13350000</v>
      </c>
      <c r="P75" s="738">
        <v>0</v>
      </c>
      <c r="Q75" s="706">
        <v>0</v>
      </c>
      <c r="R75" s="705">
        <f t="shared" si="15"/>
        <v>13350000</v>
      </c>
      <c r="S75" s="706">
        <f t="shared" si="16"/>
        <v>75650000</v>
      </c>
    </row>
    <row r="76" spans="1:19" ht="15.75" customHeight="1">
      <c r="A76" s="675" t="s">
        <v>938</v>
      </c>
      <c r="D76" s="309"/>
      <c r="E76" s="316"/>
      <c r="F76" s="330"/>
      <c r="G76" s="714"/>
      <c r="H76" s="715" t="s">
        <v>340</v>
      </c>
      <c r="I76" s="716">
        <v>2014</v>
      </c>
      <c r="J76" s="393">
        <v>0.05</v>
      </c>
      <c r="K76" s="706">
        <v>51410000</v>
      </c>
      <c r="L76" s="737">
        <v>0</v>
      </c>
      <c r="M76" s="701">
        <v>0</v>
      </c>
      <c r="N76" s="705">
        <f t="shared" si="14"/>
        <v>51410000</v>
      </c>
      <c r="O76" s="705">
        <v>7711500</v>
      </c>
      <c r="P76" s="738">
        <v>0</v>
      </c>
      <c r="Q76" s="706">
        <v>0</v>
      </c>
      <c r="R76" s="705">
        <f t="shared" si="15"/>
        <v>7711500</v>
      </c>
      <c r="S76" s="706">
        <f t="shared" si="16"/>
        <v>43698500</v>
      </c>
    </row>
    <row r="77" spans="1:19" ht="15.75" customHeight="1">
      <c r="A77" s="675" t="s">
        <v>938</v>
      </c>
      <c r="D77" s="309"/>
      <c r="E77" s="316"/>
      <c r="F77" s="330"/>
      <c r="G77" s="714"/>
      <c r="H77" s="715" t="s">
        <v>310</v>
      </c>
      <c r="I77" s="716">
        <v>2014</v>
      </c>
      <c r="J77" s="393">
        <v>0.05</v>
      </c>
      <c r="K77" s="706">
        <v>24700000</v>
      </c>
      <c r="L77" s="737">
        <v>0</v>
      </c>
      <c r="M77" s="701">
        <v>0</v>
      </c>
      <c r="N77" s="705">
        <f t="shared" si="14"/>
        <v>24700000</v>
      </c>
      <c r="O77" s="705">
        <v>3705000</v>
      </c>
      <c r="P77" s="738">
        <v>0</v>
      </c>
      <c r="Q77" s="706">
        <v>0</v>
      </c>
      <c r="R77" s="705">
        <f t="shared" si="15"/>
        <v>3705000</v>
      </c>
      <c r="S77" s="706">
        <f t="shared" si="16"/>
        <v>20995000</v>
      </c>
    </row>
    <row r="78" spans="1:19" ht="15.75" customHeight="1">
      <c r="A78" s="675" t="s">
        <v>938</v>
      </c>
      <c r="D78" s="309"/>
      <c r="E78" s="316"/>
      <c r="F78" s="330"/>
      <c r="G78" s="714"/>
      <c r="H78" s="715" t="s">
        <v>313</v>
      </c>
      <c r="I78" s="739">
        <v>2014</v>
      </c>
      <c r="J78" s="393">
        <v>0.05</v>
      </c>
      <c r="K78" s="706">
        <v>65020000</v>
      </c>
      <c r="L78" s="737">
        <v>0</v>
      </c>
      <c r="M78" s="701">
        <v>0</v>
      </c>
      <c r="N78" s="705">
        <f t="shared" si="14"/>
        <v>65020000</v>
      </c>
      <c r="O78" s="705">
        <v>9753000</v>
      </c>
      <c r="P78" s="738">
        <v>0</v>
      </c>
      <c r="Q78" s="706">
        <v>0</v>
      </c>
      <c r="R78" s="705">
        <f t="shared" si="15"/>
        <v>9753000</v>
      </c>
      <c r="S78" s="706">
        <f t="shared" si="16"/>
        <v>55267000</v>
      </c>
    </row>
    <row r="79" spans="1:19" ht="15.75" customHeight="1">
      <c r="A79" s="675" t="s">
        <v>938</v>
      </c>
      <c r="D79" s="387"/>
      <c r="E79" s="388"/>
      <c r="F79" s="1241" t="s">
        <v>959</v>
      </c>
      <c r="G79" s="1242"/>
      <c r="H79" s="1242"/>
      <c r="I79" s="1242"/>
      <c r="J79" s="1243"/>
      <c r="K79" s="708">
        <f>SUM(K70:K78)</f>
        <v>1165870000</v>
      </c>
      <c r="L79" s="708">
        <f t="shared" ref="L79:S79" si="17">SUM(L70:L78)</f>
        <v>0</v>
      </c>
      <c r="M79" s="708">
        <f t="shared" si="17"/>
        <v>0</v>
      </c>
      <c r="N79" s="708">
        <f t="shared" si="17"/>
        <v>1165870000</v>
      </c>
      <c r="O79" s="708">
        <f t="shared" si="17"/>
        <v>174880500</v>
      </c>
      <c r="P79" s="708">
        <f t="shared" si="17"/>
        <v>0</v>
      </c>
      <c r="Q79" s="708">
        <f t="shared" si="17"/>
        <v>0</v>
      </c>
      <c r="R79" s="708">
        <f t="shared" si="17"/>
        <v>174880500</v>
      </c>
      <c r="S79" s="708">
        <f t="shared" si="17"/>
        <v>990989500</v>
      </c>
    </row>
    <row r="80" spans="1:19" ht="15.75" customHeight="1">
      <c r="A80" s="675" t="s">
        <v>938</v>
      </c>
      <c r="D80" s="309"/>
      <c r="E80" s="316"/>
      <c r="F80" s="330"/>
      <c r="G80" s="714"/>
      <c r="H80" s="715"/>
      <c r="I80" s="740"/>
      <c r="J80" s="377"/>
      <c r="K80" s="705"/>
      <c r="L80" s="741"/>
      <c r="M80" s="717"/>
      <c r="N80" s="705"/>
      <c r="O80" s="705"/>
      <c r="P80" s="705"/>
      <c r="Q80" s="705"/>
      <c r="R80" s="705"/>
      <c r="S80" s="705"/>
    </row>
    <row r="81" spans="1:19" ht="15.75" customHeight="1">
      <c r="A81" s="675" t="s">
        <v>938</v>
      </c>
      <c r="D81" s="357"/>
      <c r="E81" s="301"/>
      <c r="F81" s="316" t="s">
        <v>960</v>
      </c>
      <c r="G81" s="359" t="s">
        <v>341</v>
      </c>
      <c r="H81" s="742"/>
      <c r="I81" s="258"/>
      <c r="J81" s="313"/>
      <c r="K81" s="712"/>
      <c r="L81" s="736"/>
      <c r="M81" s="712"/>
      <c r="N81" s="712"/>
      <c r="O81" s="712"/>
      <c r="P81" s="712"/>
      <c r="Q81" s="712"/>
      <c r="R81" s="712"/>
      <c r="S81" s="712"/>
    </row>
    <row r="82" spans="1:19" ht="15.75" customHeight="1">
      <c r="A82" s="675" t="s">
        <v>938</v>
      </c>
      <c r="D82" s="309"/>
      <c r="E82" s="316"/>
      <c r="F82" s="330"/>
      <c r="G82" s="714"/>
      <c r="H82" s="715" t="s">
        <v>342</v>
      </c>
      <c r="I82" s="716">
        <v>2005</v>
      </c>
      <c r="J82" s="393">
        <v>0.05</v>
      </c>
      <c r="K82" s="706">
        <v>185540000</v>
      </c>
      <c r="L82" s="737">
        <v>0</v>
      </c>
      <c r="M82" s="701">
        <v>0</v>
      </c>
      <c r="N82" s="705">
        <f t="shared" ref="N82:N92" si="18">K82+L82-M82</f>
        <v>185540000</v>
      </c>
      <c r="O82" s="705">
        <v>27831000</v>
      </c>
      <c r="P82" s="738">
        <v>0</v>
      </c>
      <c r="Q82" s="706">
        <v>0</v>
      </c>
      <c r="R82" s="705">
        <f t="shared" ref="R82:R92" si="19">O82+P82-Q82</f>
        <v>27831000</v>
      </c>
      <c r="S82" s="706">
        <f t="shared" ref="S82:S92" si="20">N82-R82</f>
        <v>157709000</v>
      </c>
    </row>
    <row r="83" spans="1:19" ht="15.75" customHeight="1">
      <c r="A83" s="675" t="s">
        <v>938</v>
      </c>
      <c r="D83" s="309"/>
      <c r="E83" s="316"/>
      <c r="F83" s="330"/>
      <c r="G83" s="714"/>
      <c r="H83" s="715" t="s">
        <v>343</v>
      </c>
      <c r="I83" s="716">
        <v>2005</v>
      </c>
      <c r="J83" s="393">
        <v>0.05</v>
      </c>
      <c r="K83" s="706">
        <v>24330000</v>
      </c>
      <c r="L83" s="737">
        <v>0</v>
      </c>
      <c r="M83" s="701">
        <v>0</v>
      </c>
      <c r="N83" s="705">
        <f t="shared" si="18"/>
        <v>24330000</v>
      </c>
      <c r="O83" s="705">
        <v>3649500</v>
      </c>
      <c r="P83" s="738">
        <v>0</v>
      </c>
      <c r="Q83" s="706">
        <v>0</v>
      </c>
      <c r="R83" s="705">
        <f t="shared" si="19"/>
        <v>3649500</v>
      </c>
      <c r="S83" s="706">
        <f t="shared" si="20"/>
        <v>20680500</v>
      </c>
    </row>
    <row r="84" spans="1:19" ht="15.75" customHeight="1">
      <c r="A84" s="675" t="s">
        <v>938</v>
      </c>
      <c r="D84" s="309"/>
      <c r="E84" s="316"/>
      <c r="F84" s="330"/>
      <c r="G84" s="714"/>
      <c r="H84" s="715" t="s">
        <v>344</v>
      </c>
      <c r="I84" s="716">
        <v>2005</v>
      </c>
      <c r="J84" s="393">
        <v>0.05</v>
      </c>
      <c r="K84" s="706">
        <v>64480000</v>
      </c>
      <c r="L84" s="737">
        <v>0</v>
      </c>
      <c r="M84" s="701">
        <v>0</v>
      </c>
      <c r="N84" s="705">
        <f t="shared" si="18"/>
        <v>64480000</v>
      </c>
      <c r="O84" s="705">
        <v>9672000</v>
      </c>
      <c r="P84" s="738">
        <v>0</v>
      </c>
      <c r="Q84" s="706">
        <v>0</v>
      </c>
      <c r="R84" s="705">
        <f t="shared" si="19"/>
        <v>9672000</v>
      </c>
      <c r="S84" s="706">
        <f t="shared" si="20"/>
        <v>54808000</v>
      </c>
    </row>
    <row r="85" spans="1:19" ht="15.75" customHeight="1">
      <c r="A85" s="675" t="s">
        <v>938</v>
      </c>
      <c r="D85" s="309"/>
      <c r="E85" s="316"/>
      <c r="F85" s="330"/>
      <c r="G85" s="714"/>
      <c r="H85" s="715" t="s">
        <v>345</v>
      </c>
      <c r="I85" s="716">
        <v>2011</v>
      </c>
      <c r="J85" s="393">
        <v>0.05</v>
      </c>
      <c r="K85" s="706">
        <v>149230000</v>
      </c>
      <c r="L85" s="737">
        <v>0</v>
      </c>
      <c r="M85" s="701">
        <v>0</v>
      </c>
      <c r="N85" s="705">
        <f t="shared" si="18"/>
        <v>149230000</v>
      </c>
      <c r="O85" s="705">
        <v>22384500</v>
      </c>
      <c r="P85" s="738">
        <v>0</v>
      </c>
      <c r="Q85" s="706">
        <v>0</v>
      </c>
      <c r="R85" s="705">
        <f t="shared" si="19"/>
        <v>22384500</v>
      </c>
      <c r="S85" s="706">
        <f t="shared" si="20"/>
        <v>126845500</v>
      </c>
    </row>
    <row r="86" spans="1:19" ht="15.75" customHeight="1">
      <c r="A86" s="675" t="s">
        <v>938</v>
      </c>
      <c r="D86" s="309"/>
      <c r="E86" s="316"/>
      <c r="F86" s="330"/>
      <c r="G86" s="714"/>
      <c r="H86" s="715" t="s">
        <v>346</v>
      </c>
      <c r="I86" s="716">
        <v>2011</v>
      </c>
      <c r="J86" s="393">
        <v>0.05</v>
      </c>
      <c r="K86" s="706">
        <v>26170000</v>
      </c>
      <c r="L86" s="737">
        <v>0</v>
      </c>
      <c r="M86" s="701">
        <v>0</v>
      </c>
      <c r="N86" s="705">
        <f t="shared" si="18"/>
        <v>26170000</v>
      </c>
      <c r="O86" s="705">
        <v>3925500</v>
      </c>
      <c r="P86" s="738">
        <v>0</v>
      </c>
      <c r="Q86" s="706">
        <v>0</v>
      </c>
      <c r="R86" s="705">
        <f t="shared" si="19"/>
        <v>3925500</v>
      </c>
      <c r="S86" s="706">
        <f t="shared" si="20"/>
        <v>22244500</v>
      </c>
    </row>
    <row r="87" spans="1:19" ht="15.75" customHeight="1">
      <c r="A87" s="675" t="s">
        <v>938</v>
      </c>
      <c r="D87" s="309"/>
      <c r="E87" s="316"/>
      <c r="F87" s="330"/>
      <c r="G87" s="714"/>
      <c r="H87" s="715" t="s">
        <v>347</v>
      </c>
      <c r="I87" s="716">
        <v>2011</v>
      </c>
      <c r="J87" s="393">
        <v>0.05</v>
      </c>
      <c r="K87" s="706">
        <v>109140000</v>
      </c>
      <c r="L87" s="737">
        <v>0</v>
      </c>
      <c r="M87" s="701">
        <v>0</v>
      </c>
      <c r="N87" s="705">
        <f t="shared" si="18"/>
        <v>109140000</v>
      </c>
      <c r="O87" s="705">
        <v>16371000</v>
      </c>
      <c r="P87" s="738">
        <v>0</v>
      </c>
      <c r="Q87" s="706">
        <v>0</v>
      </c>
      <c r="R87" s="705">
        <f t="shared" si="19"/>
        <v>16371000</v>
      </c>
      <c r="S87" s="706">
        <f t="shared" si="20"/>
        <v>92769000</v>
      </c>
    </row>
    <row r="88" spans="1:19" ht="15.75" customHeight="1">
      <c r="A88" s="675" t="s">
        <v>938</v>
      </c>
      <c r="D88" s="309"/>
      <c r="E88" s="316"/>
      <c r="F88" s="330"/>
      <c r="G88" s="714"/>
      <c r="H88" s="715" t="s">
        <v>348</v>
      </c>
      <c r="I88" s="716">
        <v>2011</v>
      </c>
      <c r="J88" s="393">
        <v>0.05</v>
      </c>
      <c r="K88" s="706">
        <v>48450000</v>
      </c>
      <c r="L88" s="737">
        <v>0</v>
      </c>
      <c r="M88" s="701">
        <v>0</v>
      </c>
      <c r="N88" s="705">
        <f t="shared" si="18"/>
        <v>48450000</v>
      </c>
      <c r="O88" s="705">
        <v>7267500</v>
      </c>
      <c r="P88" s="738">
        <v>0</v>
      </c>
      <c r="Q88" s="706">
        <v>0</v>
      </c>
      <c r="R88" s="705">
        <f t="shared" si="19"/>
        <v>7267500</v>
      </c>
      <c r="S88" s="706">
        <f t="shared" si="20"/>
        <v>41182500</v>
      </c>
    </row>
    <row r="89" spans="1:19" ht="15.75" customHeight="1">
      <c r="A89" s="675" t="s">
        <v>938</v>
      </c>
      <c r="D89" s="309"/>
      <c r="E89" s="316"/>
      <c r="F89" s="330"/>
      <c r="G89" s="714"/>
      <c r="H89" s="715" t="s">
        <v>349</v>
      </c>
      <c r="I89" s="716">
        <v>2011</v>
      </c>
      <c r="J89" s="393">
        <v>0.05</v>
      </c>
      <c r="K89" s="706">
        <v>83160000</v>
      </c>
      <c r="L89" s="737">
        <v>0</v>
      </c>
      <c r="M89" s="701">
        <v>0</v>
      </c>
      <c r="N89" s="705">
        <f t="shared" si="18"/>
        <v>83160000</v>
      </c>
      <c r="O89" s="705">
        <v>12474000</v>
      </c>
      <c r="P89" s="738">
        <v>0</v>
      </c>
      <c r="Q89" s="706">
        <v>0</v>
      </c>
      <c r="R89" s="705">
        <f t="shared" si="19"/>
        <v>12474000</v>
      </c>
      <c r="S89" s="706">
        <f t="shared" si="20"/>
        <v>70686000</v>
      </c>
    </row>
    <row r="90" spans="1:19" ht="15.75" customHeight="1">
      <c r="A90" s="675" t="s">
        <v>938</v>
      </c>
      <c r="D90" s="309"/>
      <c r="E90" s="316"/>
      <c r="F90" s="330"/>
      <c r="G90" s="714"/>
      <c r="H90" s="715" t="s">
        <v>350</v>
      </c>
      <c r="I90" s="716">
        <v>2011</v>
      </c>
      <c r="J90" s="393">
        <v>0.05</v>
      </c>
      <c r="K90" s="706">
        <v>90770000</v>
      </c>
      <c r="L90" s="737">
        <v>0</v>
      </c>
      <c r="M90" s="701">
        <v>0</v>
      </c>
      <c r="N90" s="705">
        <f t="shared" si="18"/>
        <v>90770000</v>
      </c>
      <c r="O90" s="705">
        <v>13615500</v>
      </c>
      <c r="P90" s="738">
        <v>0</v>
      </c>
      <c r="Q90" s="706">
        <v>0</v>
      </c>
      <c r="R90" s="705">
        <f t="shared" si="19"/>
        <v>13615500</v>
      </c>
      <c r="S90" s="706">
        <f t="shared" si="20"/>
        <v>77154500</v>
      </c>
    </row>
    <row r="91" spans="1:19" ht="15.75" customHeight="1">
      <c r="A91" s="675" t="s">
        <v>938</v>
      </c>
      <c r="D91" s="309"/>
      <c r="E91" s="316"/>
      <c r="F91" s="330"/>
      <c r="G91" s="714"/>
      <c r="H91" s="715" t="s">
        <v>351</v>
      </c>
      <c r="I91" s="716">
        <v>2014</v>
      </c>
      <c r="J91" s="393">
        <v>0.05</v>
      </c>
      <c r="K91" s="706">
        <v>88740000</v>
      </c>
      <c r="L91" s="737">
        <v>0</v>
      </c>
      <c r="M91" s="701">
        <v>0</v>
      </c>
      <c r="N91" s="705">
        <f t="shared" si="18"/>
        <v>88740000</v>
      </c>
      <c r="O91" s="705">
        <v>13311000</v>
      </c>
      <c r="P91" s="738">
        <v>0</v>
      </c>
      <c r="Q91" s="706">
        <v>0</v>
      </c>
      <c r="R91" s="705">
        <f t="shared" si="19"/>
        <v>13311000</v>
      </c>
      <c r="S91" s="706">
        <f t="shared" si="20"/>
        <v>75429000</v>
      </c>
    </row>
    <row r="92" spans="1:19" ht="15.75" customHeight="1">
      <c r="A92" s="675" t="s">
        <v>938</v>
      </c>
      <c r="D92" s="309"/>
      <c r="E92" s="316"/>
      <c r="F92" s="330"/>
      <c r="G92" s="714"/>
      <c r="H92" s="715" t="s">
        <v>352</v>
      </c>
      <c r="I92" s="739">
        <v>2014</v>
      </c>
      <c r="J92" s="393">
        <v>0.05</v>
      </c>
      <c r="K92" s="706">
        <v>553010000</v>
      </c>
      <c r="L92" s="737">
        <v>0</v>
      </c>
      <c r="M92" s="701">
        <v>0</v>
      </c>
      <c r="N92" s="705">
        <f t="shared" si="18"/>
        <v>553010000</v>
      </c>
      <c r="O92" s="705">
        <v>82951500</v>
      </c>
      <c r="P92" s="738">
        <v>0</v>
      </c>
      <c r="Q92" s="706">
        <v>0</v>
      </c>
      <c r="R92" s="705">
        <f t="shared" si="19"/>
        <v>82951500</v>
      </c>
      <c r="S92" s="706">
        <f t="shared" si="20"/>
        <v>470058500</v>
      </c>
    </row>
    <row r="93" spans="1:19" ht="15.75" customHeight="1">
      <c r="A93" s="675" t="s">
        <v>938</v>
      </c>
      <c r="D93" s="387"/>
      <c r="E93" s="388"/>
      <c r="F93" s="1241" t="s">
        <v>961</v>
      </c>
      <c r="G93" s="1242"/>
      <c r="H93" s="1242"/>
      <c r="I93" s="1242"/>
      <c r="J93" s="1243"/>
      <c r="K93" s="708">
        <f>SUM(K82:K92)</f>
        <v>1423020000</v>
      </c>
      <c r="L93" s="708">
        <f t="shared" ref="L93:S93" si="21">SUM(L82:L92)</f>
        <v>0</v>
      </c>
      <c r="M93" s="708">
        <f t="shared" si="21"/>
        <v>0</v>
      </c>
      <c r="N93" s="708">
        <f t="shared" si="21"/>
        <v>1423020000</v>
      </c>
      <c r="O93" s="708">
        <f t="shared" si="21"/>
        <v>213453000</v>
      </c>
      <c r="P93" s="708">
        <f t="shared" si="21"/>
        <v>0</v>
      </c>
      <c r="Q93" s="708">
        <f t="shared" si="21"/>
        <v>0</v>
      </c>
      <c r="R93" s="708">
        <f t="shared" si="21"/>
        <v>213453000</v>
      </c>
      <c r="S93" s="708">
        <f t="shared" si="21"/>
        <v>1209567000</v>
      </c>
    </row>
    <row r="94" spans="1:19" ht="15.75" customHeight="1">
      <c r="A94" s="675" t="s">
        <v>938</v>
      </c>
      <c r="D94" s="309"/>
      <c r="E94" s="316"/>
      <c r="F94" s="330"/>
      <c r="G94" s="714"/>
      <c r="H94" s="715"/>
      <c r="I94" s="740"/>
      <c r="J94" s="377"/>
      <c r="K94" s="705"/>
      <c r="L94" s="741"/>
      <c r="M94" s="717"/>
      <c r="N94" s="705"/>
      <c r="O94" s="705"/>
      <c r="P94" s="705"/>
      <c r="Q94" s="705"/>
      <c r="R94" s="705"/>
      <c r="S94" s="705"/>
    </row>
    <row r="95" spans="1:19" ht="15.75" customHeight="1">
      <c r="A95" s="675" t="s">
        <v>938</v>
      </c>
      <c r="D95" s="357"/>
      <c r="E95" s="301"/>
      <c r="F95" s="316" t="s">
        <v>962</v>
      </c>
      <c r="G95" s="359" t="s">
        <v>353</v>
      </c>
      <c r="H95" s="742"/>
      <c r="I95" s="258"/>
      <c r="J95" s="313"/>
      <c r="K95" s="712"/>
      <c r="L95" s="736"/>
      <c r="M95" s="712"/>
      <c r="N95" s="712"/>
      <c r="O95" s="712"/>
      <c r="P95" s="712"/>
      <c r="Q95" s="712"/>
      <c r="R95" s="712"/>
      <c r="S95" s="712"/>
    </row>
    <row r="96" spans="1:19" ht="15.75" customHeight="1">
      <c r="A96" s="675" t="s">
        <v>938</v>
      </c>
      <c r="D96" s="309"/>
      <c r="E96" s="316"/>
      <c r="F96" s="330"/>
      <c r="G96" s="714"/>
      <c r="H96" s="715" t="s">
        <v>343</v>
      </c>
      <c r="I96" s="716">
        <v>2005</v>
      </c>
      <c r="J96" s="393">
        <v>0.05</v>
      </c>
      <c r="K96" s="706">
        <v>19950000</v>
      </c>
      <c r="L96" s="737">
        <v>0</v>
      </c>
      <c r="M96" s="701">
        <v>0</v>
      </c>
      <c r="N96" s="705">
        <f t="shared" ref="N96:N102" si="22">K96+L96-M96</f>
        <v>19950000</v>
      </c>
      <c r="O96" s="705">
        <v>2992500</v>
      </c>
      <c r="P96" s="738">
        <v>0</v>
      </c>
      <c r="Q96" s="706">
        <v>0</v>
      </c>
      <c r="R96" s="705">
        <f t="shared" ref="R96:R102" si="23">O96+P96-Q96</f>
        <v>2992500</v>
      </c>
      <c r="S96" s="706">
        <f t="shared" ref="S96:S102" si="24">N96-R96</f>
        <v>16957500</v>
      </c>
    </row>
    <row r="97" spans="1:19" ht="15.75" customHeight="1">
      <c r="A97" s="675" t="s">
        <v>938</v>
      </c>
      <c r="D97" s="309"/>
      <c r="E97" s="316"/>
      <c r="F97" s="330"/>
      <c r="G97" s="714"/>
      <c r="H97" s="715" t="s">
        <v>354</v>
      </c>
      <c r="I97" s="716">
        <v>2005</v>
      </c>
      <c r="J97" s="393">
        <v>0.05</v>
      </c>
      <c r="K97" s="706">
        <v>84240000</v>
      </c>
      <c r="L97" s="737">
        <v>0</v>
      </c>
      <c r="M97" s="701">
        <v>0</v>
      </c>
      <c r="N97" s="705">
        <f t="shared" si="22"/>
        <v>84240000</v>
      </c>
      <c r="O97" s="705">
        <v>12636000</v>
      </c>
      <c r="P97" s="738">
        <v>0</v>
      </c>
      <c r="Q97" s="706">
        <v>0</v>
      </c>
      <c r="R97" s="705">
        <f t="shared" si="23"/>
        <v>12636000</v>
      </c>
      <c r="S97" s="706">
        <f t="shared" si="24"/>
        <v>71604000</v>
      </c>
    </row>
    <row r="98" spans="1:19" ht="15.75" customHeight="1">
      <c r="A98" s="675" t="s">
        <v>938</v>
      </c>
      <c r="D98" s="309"/>
      <c r="E98" s="316"/>
      <c r="F98" s="330"/>
      <c r="G98" s="714"/>
      <c r="H98" s="715" t="s">
        <v>355</v>
      </c>
      <c r="I98" s="716">
        <v>2011</v>
      </c>
      <c r="J98" s="393">
        <v>0.05</v>
      </c>
      <c r="K98" s="706">
        <v>150150000</v>
      </c>
      <c r="L98" s="737">
        <v>0</v>
      </c>
      <c r="M98" s="701">
        <v>0</v>
      </c>
      <c r="N98" s="705">
        <f t="shared" si="22"/>
        <v>150150000</v>
      </c>
      <c r="O98" s="705">
        <v>22522500</v>
      </c>
      <c r="P98" s="738">
        <v>0</v>
      </c>
      <c r="Q98" s="706">
        <v>0</v>
      </c>
      <c r="R98" s="705">
        <f t="shared" si="23"/>
        <v>22522500</v>
      </c>
      <c r="S98" s="706">
        <f t="shared" si="24"/>
        <v>127627500</v>
      </c>
    </row>
    <row r="99" spans="1:19" ht="15.75" customHeight="1">
      <c r="A99" s="675" t="s">
        <v>938</v>
      </c>
      <c r="D99" s="309"/>
      <c r="E99" s="316"/>
      <c r="F99" s="330"/>
      <c r="G99" s="714"/>
      <c r="H99" s="715" t="s">
        <v>356</v>
      </c>
      <c r="I99" s="716">
        <v>2011</v>
      </c>
      <c r="J99" s="393">
        <v>0.05</v>
      </c>
      <c r="K99" s="706">
        <v>104895000</v>
      </c>
      <c r="L99" s="737">
        <v>0</v>
      </c>
      <c r="M99" s="701">
        <v>0</v>
      </c>
      <c r="N99" s="705">
        <f t="shared" si="22"/>
        <v>104895000</v>
      </c>
      <c r="O99" s="705">
        <v>15734250</v>
      </c>
      <c r="P99" s="738">
        <v>0</v>
      </c>
      <c r="Q99" s="706">
        <v>0</v>
      </c>
      <c r="R99" s="705">
        <f t="shared" si="23"/>
        <v>15734250</v>
      </c>
      <c r="S99" s="706">
        <f t="shared" si="24"/>
        <v>89160750</v>
      </c>
    </row>
    <row r="100" spans="1:19" ht="15.75" customHeight="1">
      <c r="A100" s="675" t="s">
        <v>938</v>
      </c>
      <c r="D100" s="309"/>
      <c r="E100" s="316"/>
      <c r="F100" s="330"/>
      <c r="G100" s="714"/>
      <c r="H100" s="715" t="s">
        <v>357</v>
      </c>
      <c r="I100" s="716">
        <v>2011</v>
      </c>
      <c r="J100" s="393">
        <v>0.05</v>
      </c>
      <c r="K100" s="706">
        <v>40800000</v>
      </c>
      <c r="L100" s="737">
        <v>0</v>
      </c>
      <c r="M100" s="701">
        <v>0</v>
      </c>
      <c r="N100" s="705">
        <f t="shared" si="22"/>
        <v>40800000</v>
      </c>
      <c r="O100" s="705">
        <v>6120000</v>
      </c>
      <c r="P100" s="738">
        <v>0</v>
      </c>
      <c r="Q100" s="706">
        <v>0</v>
      </c>
      <c r="R100" s="705">
        <f t="shared" si="23"/>
        <v>6120000</v>
      </c>
      <c r="S100" s="706">
        <f t="shared" si="24"/>
        <v>34680000</v>
      </c>
    </row>
    <row r="101" spans="1:19" ht="15.75" customHeight="1">
      <c r="A101" s="675" t="s">
        <v>938</v>
      </c>
      <c r="D101" s="309"/>
      <c r="E101" s="316"/>
      <c r="F101" s="330"/>
      <c r="G101" s="714"/>
      <c r="H101" s="715" t="s">
        <v>358</v>
      </c>
      <c r="I101" s="716">
        <v>2011</v>
      </c>
      <c r="J101" s="393">
        <v>0.05</v>
      </c>
      <c r="K101" s="706">
        <v>19950000</v>
      </c>
      <c r="L101" s="737">
        <v>0</v>
      </c>
      <c r="M101" s="701">
        <v>0</v>
      </c>
      <c r="N101" s="705">
        <f t="shared" si="22"/>
        <v>19950000</v>
      </c>
      <c r="O101" s="705">
        <v>2992500</v>
      </c>
      <c r="P101" s="738">
        <v>0</v>
      </c>
      <c r="Q101" s="706">
        <v>0</v>
      </c>
      <c r="R101" s="705">
        <f t="shared" si="23"/>
        <v>2992500</v>
      </c>
      <c r="S101" s="706">
        <f t="shared" si="24"/>
        <v>16957500</v>
      </c>
    </row>
    <row r="102" spans="1:19" ht="15.75" customHeight="1">
      <c r="A102" s="675" t="s">
        <v>938</v>
      </c>
      <c r="D102" s="309"/>
      <c r="E102" s="316"/>
      <c r="F102" s="330"/>
      <c r="G102" s="714"/>
      <c r="H102" s="715" t="s">
        <v>359</v>
      </c>
      <c r="I102" s="739">
        <v>2014</v>
      </c>
      <c r="J102" s="393">
        <v>0.05</v>
      </c>
      <c r="K102" s="706">
        <v>46762500</v>
      </c>
      <c r="L102" s="737">
        <v>0</v>
      </c>
      <c r="M102" s="701">
        <v>0</v>
      </c>
      <c r="N102" s="705">
        <f t="shared" si="22"/>
        <v>46762500</v>
      </c>
      <c r="O102" s="705">
        <v>7014375</v>
      </c>
      <c r="P102" s="738">
        <v>0</v>
      </c>
      <c r="Q102" s="706">
        <v>0</v>
      </c>
      <c r="R102" s="705">
        <f t="shared" si="23"/>
        <v>7014375</v>
      </c>
      <c r="S102" s="706">
        <f t="shared" si="24"/>
        <v>39748125</v>
      </c>
    </row>
    <row r="103" spans="1:19" ht="15.75" customHeight="1">
      <c r="A103" s="675" t="s">
        <v>938</v>
      </c>
      <c r="D103" s="387"/>
      <c r="E103" s="388"/>
      <c r="F103" s="1241" t="s">
        <v>963</v>
      </c>
      <c r="G103" s="1242"/>
      <c r="H103" s="1242"/>
      <c r="I103" s="1242"/>
      <c r="J103" s="1243"/>
      <c r="K103" s="708">
        <f>SUM(K96:K102)</f>
        <v>466747500</v>
      </c>
      <c r="L103" s="708">
        <f t="shared" ref="L103:S103" si="25">SUM(L96:L102)</f>
        <v>0</v>
      </c>
      <c r="M103" s="708">
        <f t="shared" si="25"/>
        <v>0</v>
      </c>
      <c r="N103" s="708">
        <f t="shared" si="25"/>
        <v>466747500</v>
      </c>
      <c r="O103" s="708">
        <f t="shared" si="25"/>
        <v>70012125</v>
      </c>
      <c r="P103" s="708">
        <f t="shared" si="25"/>
        <v>0</v>
      </c>
      <c r="Q103" s="708">
        <f t="shared" si="25"/>
        <v>0</v>
      </c>
      <c r="R103" s="708">
        <f t="shared" si="25"/>
        <v>70012125</v>
      </c>
      <c r="S103" s="708">
        <f t="shared" si="25"/>
        <v>396735375</v>
      </c>
    </row>
    <row r="104" spans="1:19" ht="15.75" customHeight="1">
      <c r="A104" s="675" t="s">
        <v>938</v>
      </c>
      <c r="D104" s="309"/>
      <c r="E104" s="316"/>
      <c r="F104" s="330"/>
      <c r="G104" s="714"/>
      <c r="H104" s="715"/>
      <c r="I104" s="740"/>
      <c r="J104" s="377"/>
      <c r="K104" s="705"/>
      <c r="L104" s="741"/>
      <c r="M104" s="717"/>
      <c r="N104" s="705"/>
      <c r="O104" s="705"/>
      <c r="P104" s="705"/>
      <c r="Q104" s="705"/>
      <c r="R104" s="705"/>
      <c r="S104" s="705"/>
    </row>
    <row r="105" spans="1:19" ht="15.75" customHeight="1">
      <c r="A105" s="675" t="s">
        <v>938</v>
      </c>
      <c r="D105" s="357"/>
      <c r="E105" s="301"/>
      <c r="F105" s="316" t="s">
        <v>964</v>
      </c>
      <c r="G105" s="359" t="s">
        <v>360</v>
      </c>
      <c r="H105" s="713"/>
      <c r="I105" s="258"/>
      <c r="J105" s="313"/>
      <c r="K105" s="712"/>
      <c r="L105" s="736"/>
      <c r="M105" s="712"/>
      <c r="N105" s="712"/>
      <c r="O105" s="712"/>
      <c r="P105" s="712"/>
      <c r="Q105" s="712"/>
      <c r="R105" s="712"/>
      <c r="S105" s="712"/>
    </row>
    <row r="106" spans="1:19" ht="15.75" customHeight="1">
      <c r="A106" s="675" t="s">
        <v>938</v>
      </c>
      <c r="D106" s="309"/>
      <c r="E106" s="316"/>
      <c r="F106" s="330"/>
      <c r="G106" s="714"/>
      <c r="H106" s="715" t="s">
        <v>343</v>
      </c>
      <c r="I106" s="716">
        <v>2005</v>
      </c>
      <c r="J106" s="393">
        <v>0.05</v>
      </c>
      <c r="K106" s="706">
        <v>14250000</v>
      </c>
      <c r="L106" s="737">
        <v>0</v>
      </c>
      <c r="M106" s="701">
        <v>0</v>
      </c>
      <c r="N106" s="705">
        <f t="shared" ref="N106:N113" si="26">K106+L106-M106</f>
        <v>14250000</v>
      </c>
      <c r="O106" s="705">
        <v>2137500</v>
      </c>
      <c r="P106" s="738">
        <v>0</v>
      </c>
      <c r="Q106" s="706">
        <v>0</v>
      </c>
      <c r="R106" s="705">
        <f t="shared" ref="R106:R113" si="27">O106+P106-Q106</f>
        <v>2137500</v>
      </c>
      <c r="S106" s="706">
        <f t="shared" ref="S106:S113" si="28">N106-R106</f>
        <v>12112500</v>
      </c>
    </row>
    <row r="107" spans="1:19" ht="15.75" customHeight="1">
      <c r="A107" s="675" t="s">
        <v>938</v>
      </c>
      <c r="D107" s="309"/>
      <c r="E107" s="316"/>
      <c r="F107" s="330"/>
      <c r="G107" s="714"/>
      <c r="H107" s="715" t="s">
        <v>361</v>
      </c>
      <c r="I107" s="716">
        <v>2011</v>
      </c>
      <c r="J107" s="393">
        <v>0.05</v>
      </c>
      <c r="K107" s="706">
        <v>115500000</v>
      </c>
      <c r="L107" s="737">
        <v>0</v>
      </c>
      <c r="M107" s="701">
        <v>0</v>
      </c>
      <c r="N107" s="705">
        <f t="shared" si="26"/>
        <v>115500000</v>
      </c>
      <c r="O107" s="705">
        <v>17325000</v>
      </c>
      <c r="P107" s="738">
        <v>0</v>
      </c>
      <c r="Q107" s="706">
        <v>0</v>
      </c>
      <c r="R107" s="705">
        <f t="shared" si="27"/>
        <v>17325000</v>
      </c>
      <c r="S107" s="706">
        <f t="shared" si="28"/>
        <v>98175000</v>
      </c>
    </row>
    <row r="108" spans="1:19" ht="15.75" customHeight="1">
      <c r="A108" s="675" t="s">
        <v>938</v>
      </c>
      <c r="D108" s="309"/>
      <c r="E108" s="316"/>
      <c r="F108" s="330"/>
      <c r="G108" s="714"/>
      <c r="H108" s="715" t="s">
        <v>356</v>
      </c>
      <c r="I108" s="716">
        <v>2011</v>
      </c>
      <c r="J108" s="393">
        <v>0.05</v>
      </c>
      <c r="K108" s="706">
        <v>211680000</v>
      </c>
      <c r="L108" s="737">
        <v>0</v>
      </c>
      <c r="M108" s="701">
        <v>0</v>
      </c>
      <c r="N108" s="705">
        <f t="shared" si="26"/>
        <v>211680000</v>
      </c>
      <c r="O108" s="705">
        <v>31752000</v>
      </c>
      <c r="P108" s="738">
        <v>0</v>
      </c>
      <c r="Q108" s="706">
        <v>0</v>
      </c>
      <c r="R108" s="705">
        <f t="shared" si="27"/>
        <v>31752000</v>
      </c>
      <c r="S108" s="706">
        <f t="shared" si="28"/>
        <v>179928000</v>
      </c>
    </row>
    <row r="109" spans="1:19" ht="15.75" customHeight="1">
      <c r="A109" s="675" t="s">
        <v>938</v>
      </c>
      <c r="D109" s="309"/>
      <c r="E109" s="316"/>
      <c r="F109" s="330"/>
      <c r="G109" s="714"/>
      <c r="H109" s="715" t="s">
        <v>362</v>
      </c>
      <c r="I109" s="716">
        <v>2011</v>
      </c>
      <c r="J109" s="393">
        <v>0.05</v>
      </c>
      <c r="K109" s="706">
        <v>42840000</v>
      </c>
      <c r="L109" s="737">
        <v>0</v>
      </c>
      <c r="M109" s="701">
        <v>0</v>
      </c>
      <c r="N109" s="705">
        <f t="shared" si="26"/>
        <v>42840000</v>
      </c>
      <c r="O109" s="705">
        <v>6426000</v>
      </c>
      <c r="P109" s="738">
        <v>0</v>
      </c>
      <c r="Q109" s="706">
        <v>0</v>
      </c>
      <c r="R109" s="705">
        <f t="shared" si="27"/>
        <v>6426000</v>
      </c>
      <c r="S109" s="706">
        <f t="shared" si="28"/>
        <v>36414000</v>
      </c>
    </row>
    <row r="110" spans="1:19" ht="15.75" customHeight="1">
      <c r="A110" s="675" t="s">
        <v>938</v>
      </c>
      <c r="D110" s="309"/>
      <c r="E110" s="316"/>
      <c r="F110" s="330"/>
      <c r="G110" s="714"/>
      <c r="H110" s="715" t="s">
        <v>358</v>
      </c>
      <c r="I110" s="716">
        <v>2011</v>
      </c>
      <c r="J110" s="393">
        <v>0.05</v>
      </c>
      <c r="K110" s="706">
        <v>33060000</v>
      </c>
      <c r="L110" s="737">
        <v>0</v>
      </c>
      <c r="M110" s="701">
        <v>0</v>
      </c>
      <c r="N110" s="705">
        <f t="shared" si="26"/>
        <v>33060000</v>
      </c>
      <c r="O110" s="705">
        <v>4959000</v>
      </c>
      <c r="P110" s="738">
        <v>0</v>
      </c>
      <c r="Q110" s="706">
        <v>0</v>
      </c>
      <c r="R110" s="705">
        <f t="shared" si="27"/>
        <v>4959000</v>
      </c>
      <c r="S110" s="706">
        <f t="shared" si="28"/>
        <v>28101000</v>
      </c>
    </row>
    <row r="111" spans="1:19" ht="15.75" customHeight="1">
      <c r="A111" s="675" t="s">
        <v>938</v>
      </c>
      <c r="D111" s="309"/>
      <c r="E111" s="316"/>
      <c r="F111" s="330"/>
      <c r="G111" s="714"/>
      <c r="H111" s="715" t="s">
        <v>363</v>
      </c>
      <c r="I111" s="716">
        <v>2014</v>
      </c>
      <c r="J111" s="393">
        <v>0.05</v>
      </c>
      <c r="K111" s="706">
        <v>64883000</v>
      </c>
      <c r="L111" s="737">
        <v>0</v>
      </c>
      <c r="M111" s="701">
        <v>0</v>
      </c>
      <c r="N111" s="705">
        <f t="shared" si="26"/>
        <v>64883000</v>
      </c>
      <c r="O111" s="705">
        <v>9732450</v>
      </c>
      <c r="P111" s="738">
        <v>0</v>
      </c>
      <c r="Q111" s="706">
        <v>0</v>
      </c>
      <c r="R111" s="705">
        <f t="shared" si="27"/>
        <v>9732450</v>
      </c>
      <c r="S111" s="706">
        <f t="shared" si="28"/>
        <v>55150550</v>
      </c>
    </row>
    <row r="112" spans="1:19" ht="15.75" customHeight="1">
      <c r="A112" s="675" t="s">
        <v>938</v>
      </c>
      <c r="B112" s="675">
        <v>7</v>
      </c>
      <c r="C112" s="675">
        <v>7</v>
      </c>
      <c r="D112" s="309"/>
      <c r="E112" s="316"/>
      <c r="F112" s="330"/>
      <c r="G112" s="714"/>
      <c r="H112" s="715" t="s">
        <v>364</v>
      </c>
      <c r="I112" s="716">
        <v>2015</v>
      </c>
      <c r="J112" s="393">
        <v>0.05</v>
      </c>
      <c r="K112" s="706">
        <v>6732000</v>
      </c>
      <c r="L112" s="706">
        <v>0</v>
      </c>
      <c r="M112" s="701">
        <v>0</v>
      </c>
      <c r="N112" s="705">
        <f t="shared" si="26"/>
        <v>6732000</v>
      </c>
      <c r="O112" s="705">
        <v>1346400</v>
      </c>
      <c r="P112" s="738">
        <v>0</v>
      </c>
      <c r="Q112" s="706">
        <v>0</v>
      </c>
      <c r="R112" s="705">
        <f t="shared" si="27"/>
        <v>1346400</v>
      </c>
      <c r="S112" s="706">
        <f t="shared" si="28"/>
        <v>5385600</v>
      </c>
    </row>
    <row r="113" spans="1:19" ht="15.75" customHeight="1">
      <c r="D113" s="309"/>
      <c r="E113" s="316"/>
      <c r="F113" s="343"/>
      <c r="G113" s="675"/>
      <c r="H113" s="743" t="s">
        <v>365</v>
      </c>
      <c r="I113" s="733">
        <v>2018</v>
      </c>
      <c r="J113" s="393">
        <v>0.05</v>
      </c>
      <c r="K113" s="706">
        <v>9594000</v>
      </c>
      <c r="L113" s="706">
        <v>0</v>
      </c>
      <c r="M113" s="701">
        <v>0</v>
      </c>
      <c r="N113" s="705">
        <f t="shared" si="26"/>
        <v>9594000</v>
      </c>
      <c r="O113" s="709">
        <v>279825</v>
      </c>
      <c r="P113" s="738">
        <v>0</v>
      </c>
      <c r="Q113" s="709">
        <v>0</v>
      </c>
      <c r="R113" s="705">
        <f t="shared" si="27"/>
        <v>279825</v>
      </c>
      <c r="S113" s="706">
        <f t="shared" si="28"/>
        <v>9314175</v>
      </c>
    </row>
    <row r="114" spans="1:19" ht="15.75" customHeight="1">
      <c r="A114" s="675" t="s">
        <v>938</v>
      </c>
      <c r="D114" s="387"/>
      <c r="E114" s="388"/>
      <c r="F114" s="1241" t="s">
        <v>965</v>
      </c>
      <c r="G114" s="1242"/>
      <c r="H114" s="1242"/>
      <c r="I114" s="1242"/>
      <c r="J114" s="1243"/>
      <c r="K114" s="708">
        <f>SUM(K106:K113)</f>
        <v>498539000</v>
      </c>
      <c r="L114" s="708">
        <f t="shared" ref="L114:S114" si="29">SUM(L106:L113)</f>
        <v>0</v>
      </c>
      <c r="M114" s="708">
        <f t="shared" si="29"/>
        <v>0</v>
      </c>
      <c r="N114" s="708">
        <f t="shared" si="29"/>
        <v>498539000</v>
      </c>
      <c r="O114" s="708">
        <f t="shared" si="29"/>
        <v>73958175</v>
      </c>
      <c r="P114" s="708">
        <f t="shared" si="29"/>
        <v>0</v>
      </c>
      <c r="Q114" s="708">
        <f t="shared" si="29"/>
        <v>0</v>
      </c>
      <c r="R114" s="708">
        <f t="shared" si="29"/>
        <v>73958175</v>
      </c>
      <c r="S114" s="708">
        <f t="shared" si="29"/>
        <v>424580825</v>
      </c>
    </row>
    <row r="115" spans="1:19" ht="15.75" customHeight="1">
      <c r="A115" s="675" t="s">
        <v>938</v>
      </c>
      <c r="D115" s="309"/>
      <c r="E115" s="316"/>
      <c r="F115" s="330"/>
      <c r="G115" s="714"/>
      <c r="H115" s="715"/>
      <c r="I115" s="740"/>
      <c r="J115" s="377"/>
      <c r="K115" s="705"/>
      <c r="L115" s="741"/>
      <c r="M115" s="717"/>
      <c r="N115" s="705"/>
      <c r="O115" s="705"/>
      <c r="P115" s="705"/>
      <c r="Q115" s="705"/>
      <c r="R115" s="705"/>
      <c r="S115" s="705"/>
    </row>
    <row r="116" spans="1:19" ht="15.75" customHeight="1">
      <c r="A116" s="675" t="s">
        <v>938</v>
      </c>
      <c r="D116" s="357"/>
      <c r="E116" s="301"/>
      <c r="F116" s="316" t="s">
        <v>966</v>
      </c>
      <c r="G116" s="359" t="s">
        <v>366</v>
      </c>
      <c r="H116" s="713"/>
      <c r="I116" s="258"/>
      <c r="J116" s="313"/>
      <c r="K116" s="712"/>
      <c r="L116" s="736"/>
      <c r="M116" s="712"/>
      <c r="N116" s="712"/>
      <c r="O116" s="712"/>
      <c r="P116" s="712"/>
      <c r="Q116" s="712"/>
      <c r="R116" s="712"/>
      <c r="S116" s="712"/>
    </row>
    <row r="117" spans="1:19" ht="15.75" customHeight="1">
      <c r="A117" s="675" t="s">
        <v>938</v>
      </c>
      <c r="D117" s="309"/>
      <c r="E117" s="316"/>
      <c r="F117" s="330"/>
      <c r="G117" s="714"/>
      <c r="H117" s="715" t="s">
        <v>367</v>
      </c>
      <c r="I117" s="716">
        <v>2005</v>
      </c>
      <c r="J117" s="393">
        <v>0.05</v>
      </c>
      <c r="K117" s="706">
        <v>206050000</v>
      </c>
      <c r="L117" s="737">
        <v>0</v>
      </c>
      <c r="M117" s="701">
        <v>0</v>
      </c>
      <c r="N117" s="705">
        <f t="shared" ref="N117:N124" si="30">K117+L117-M117</f>
        <v>206050000</v>
      </c>
      <c r="O117" s="705">
        <v>30907500</v>
      </c>
      <c r="P117" s="738">
        <v>0</v>
      </c>
      <c r="Q117" s="706">
        <v>0</v>
      </c>
      <c r="R117" s="705">
        <f t="shared" ref="R117:R124" si="31">O117+P117-Q117</f>
        <v>30907500</v>
      </c>
      <c r="S117" s="706">
        <f t="shared" ref="S117:S123" si="32">N117-R117</f>
        <v>175142500</v>
      </c>
    </row>
    <row r="118" spans="1:19" ht="15.75" customHeight="1">
      <c r="A118" s="675" t="s">
        <v>938</v>
      </c>
      <c r="D118" s="309"/>
      <c r="E118" s="316"/>
      <c r="F118" s="330"/>
      <c r="G118" s="714"/>
      <c r="H118" s="715" t="s">
        <v>368</v>
      </c>
      <c r="I118" s="716">
        <v>2005</v>
      </c>
      <c r="J118" s="393">
        <v>0.05</v>
      </c>
      <c r="K118" s="706">
        <v>52640000</v>
      </c>
      <c r="L118" s="737">
        <v>0</v>
      </c>
      <c r="M118" s="701">
        <v>0</v>
      </c>
      <c r="N118" s="705">
        <f t="shared" si="30"/>
        <v>52640000</v>
      </c>
      <c r="O118" s="705">
        <v>7896000</v>
      </c>
      <c r="P118" s="738">
        <v>0</v>
      </c>
      <c r="Q118" s="706">
        <v>0</v>
      </c>
      <c r="R118" s="705">
        <f t="shared" si="31"/>
        <v>7896000</v>
      </c>
      <c r="S118" s="706">
        <f t="shared" si="32"/>
        <v>44744000</v>
      </c>
    </row>
    <row r="119" spans="1:19" ht="15.75" customHeight="1">
      <c r="A119" s="675" t="s">
        <v>938</v>
      </c>
      <c r="D119" s="309"/>
      <c r="E119" s="316"/>
      <c r="F119" s="330"/>
      <c r="G119" s="714"/>
      <c r="H119" s="715" t="s">
        <v>369</v>
      </c>
      <c r="I119" s="716">
        <v>2005</v>
      </c>
      <c r="J119" s="393">
        <v>0.05</v>
      </c>
      <c r="K119" s="706">
        <v>92740000</v>
      </c>
      <c r="L119" s="737">
        <v>0</v>
      </c>
      <c r="M119" s="701">
        <v>0</v>
      </c>
      <c r="N119" s="705">
        <f t="shared" si="30"/>
        <v>92740000</v>
      </c>
      <c r="O119" s="705">
        <v>13911000</v>
      </c>
      <c r="P119" s="738">
        <v>0</v>
      </c>
      <c r="Q119" s="706">
        <v>0</v>
      </c>
      <c r="R119" s="705">
        <f t="shared" si="31"/>
        <v>13911000</v>
      </c>
      <c r="S119" s="706">
        <f t="shared" si="32"/>
        <v>78829000</v>
      </c>
    </row>
    <row r="120" spans="1:19" ht="15.75" customHeight="1">
      <c r="A120" s="675" t="s">
        <v>938</v>
      </c>
      <c r="D120" s="309"/>
      <c r="E120" s="316"/>
      <c r="F120" s="330"/>
      <c r="G120" s="714"/>
      <c r="H120" s="715" t="s">
        <v>370</v>
      </c>
      <c r="I120" s="716">
        <v>2011</v>
      </c>
      <c r="J120" s="393">
        <v>0.05</v>
      </c>
      <c r="K120" s="706">
        <v>7560000</v>
      </c>
      <c r="L120" s="737">
        <v>0</v>
      </c>
      <c r="M120" s="701">
        <v>0</v>
      </c>
      <c r="N120" s="705">
        <f t="shared" si="30"/>
        <v>7560000</v>
      </c>
      <c r="O120" s="705">
        <v>1134000</v>
      </c>
      <c r="P120" s="738">
        <v>0</v>
      </c>
      <c r="Q120" s="706">
        <v>0</v>
      </c>
      <c r="R120" s="705">
        <f t="shared" si="31"/>
        <v>1134000</v>
      </c>
      <c r="S120" s="706">
        <f t="shared" si="32"/>
        <v>6426000</v>
      </c>
    </row>
    <row r="121" spans="1:19" ht="15.75" customHeight="1">
      <c r="A121" s="675" t="s">
        <v>938</v>
      </c>
      <c r="D121" s="309"/>
      <c r="E121" s="316"/>
      <c r="F121" s="330"/>
      <c r="G121" s="714"/>
      <c r="H121" s="715" t="s">
        <v>350</v>
      </c>
      <c r="I121" s="716">
        <v>2011</v>
      </c>
      <c r="J121" s="393">
        <v>0.05</v>
      </c>
      <c r="K121" s="706">
        <v>17830000</v>
      </c>
      <c r="L121" s="737">
        <v>0</v>
      </c>
      <c r="M121" s="701">
        <v>0</v>
      </c>
      <c r="N121" s="705">
        <f t="shared" si="30"/>
        <v>17830000</v>
      </c>
      <c r="O121" s="705">
        <v>2674500</v>
      </c>
      <c r="P121" s="738">
        <v>0</v>
      </c>
      <c r="Q121" s="706">
        <v>0</v>
      </c>
      <c r="R121" s="705">
        <f t="shared" si="31"/>
        <v>2674500</v>
      </c>
      <c r="S121" s="706">
        <f t="shared" si="32"/>
        <v>15155500</v>
      </c>
    </row>
    <row r="122" spans="1:19" ht="15.75" customHeight="1">
      <c r="A122" s="675" t="s">
        <v>938</v>
      </c>
      <c r="D122" s="309"/>
      <c r="E122" s="316"/>
      <c r="F122" s="330"/>
      <c r="G122" s="714"/>
      <c r="H122" s="715" t="s">
        <v>371</v>
      </c>
      <c r="I122" s="744">
        <v>2016</v>
      </c>
      <c r="J122" s="393">
        <v>0.05</v>
      </c>
      <c r="K122" s="706">
        <v>142724293</v>
      </c>
      <c r="L122" s="737">
        <v>0</v>
      </c>
      <c r="M122" s="701">
        <v>0</v>
      </c>
      <c r="N122" s="705">
        <f t="shared" si="30"/>
        <v>142724293</v>
      </c>
      <c r="O122" s="705">
        <v>15461798.408333335</v>
      </c>
      <c r="P122" s="738">
        <v>0</v>
      </c>
      <c r="Q122" s="706">
        <v>0</v>
      </c>
      <c r="R122" s="705">
        <f t="shared" si="31"/>
        <v>15461798.408333335</v>
      </c>
      <c r="S122" s="706">
        <f t="shared" si="32"/>
        <v>127262494.59166667</v>
      </c>
    </row>
    <row r="123" spans="1:19" ht="15.75" customHeight="1">
      <c r="D123" s="309"/>
      <c r="E123" s="316"/>
      <c r="F123" s="330"/>
      <c r="G123" s="721"/>
      <c r="H123" s="745" t="s">
        <v>372</v>
      </c>
      <c r="I123" s="744">
        <v>2017</v>
      </c>
      <c r="J123" s="393">
        <v>0.05</v>
      </c>
      <c r="K123" s="706">
        <v>590516824.15999997</v>
      </c>
      <c r="L123" s="737">
        <v>0</v>
      </c>
      <c r="M123" s="701">
        <v>0</v>
      </c>
      <c r="N123" s="705">
        <f t="shared" si="30"/>
        <v>590516824.15999997</v>
      </c>
      <c r="O123" s="706">
        <v>51670227.142000005</v>
      </c>
      <c r="P123" s="738">
        <v>0</v>
      </c>
      <c r="Q123" s="706">
        <v>0</v>
      </c>
      <c r="R123" s="705">
        <f t="shared" si="31"/>
        <v>51670227.142000005</v>
      </c>
      <c r="S123" s="706">
        <f t="shared" si="32"/>
        <v>538846597.01800001</v>
      </c>
    </row>
    <row r="124" spans="1:19" ht="15.75" customHeight="1">
      <c r="D124" s="309"/>
      <c r="E124" s="316"/>
      <c r="F124" s="379"/>
      <c r="G124" s="727"/>
      <c r="H124" s="728" t="s">
        <v>373</v>
      </c>
      <c r="I124" s="746">
        <v>2018</v>
      </c>
      <c r="J124" s="383">
        <v>0.05</v>
      </c>
      <c r="K124" s="707">
        <v>10335000</v>
      </c>
      <c r="L124" s="747">
        <v>0</v>
      </c>
      <c r="M124" s="748">
        <v>0</v>
      </c>
      <c r="N124" s="705">
        <f t="shared" si="30"/>
        <v>10335000</v>
      </c>
      <c r="O124" s="707">
        <v>129187.5</v>
      </c>
      <c r="P124" s="749">
        <v>0</v>
      </c>
      <c r="Q124" s="707">
        <v>0</v>
      </c>
      <c r="R124" s="705">
        <f t="shared" si="31"/>
        <v>129187.5</v>
      </c>
      <c r="S124" s="706">
        <f>N124-R124</f>
        <v>10205812.5</v>
      </c>
    </row>
    <row r="125" spans="1:19" ht="15.75" customHeight="1">
      <c r="A125" s="675" t="s">
        <v>938</v>
      </c>
      <c r="D125" s="387"/>
      <c r="E125" s="388"/>
      <c r="F125" s="1241" t="s">
        <v>967</v>
      </c>
      <c r="G125" s="1242"/>
      <c r="H125" s="1242"/>
      <c r="I125" s="1242"/>
      <c r="J125" s="1243"/>
      <c r="K125" s="708">
        <f>SUM(K117:K124)</f>
        <v>1120396117.1599998</v>
      </c>
      <c r="L125" s="708">
        <f t="shared" ref="L125:S125" si="33">SUM(L117:L124)</f>
        <v>0</v>
      </c>
      <c r="M125" s="708">
        <f t="shared" si="33"/>
        <v>0</v>
      </c>
      <c r="N125" s="708">
        <f t="shared" si="33"/>
        <v>1120396117.1599998</v>
      </c>
      <c r="O125" s="708">
        <f t="shared" si="33"/>
        <v>123784213.05033334</v>
      </c>
      <c r="P125" s="708">
        <f t="shared" si="33"/>
        <v>0</v>
      </c>
      <c r="Q125" s="708">
        <f t="shared" si="33"/>
        <v>0</v>
      </c>
      <c r="R125" s="708">
        <f t="shared" si="33"/>
        <v>123784213.05033334</v>
      </c>
      <c r="S125" s="708">
        <f t="shared" si="33"/>
        <v>996611904.10966671</v>
      </c>
    </row>
    <row r="126" spans="1:19" ht="15.75" customHeight="1">
      <c r="A126" s="675" t="s">
        <v>938</v>
      </c>
      <c r="D126" s="309"/>
      <c r="E126" s="316"/>
      <c r="F126" s="330"/>
      <c r="G126" s="714"/>
      <c r="H126" s="715"/>
      <c r="I126" s="750"/>
      <c r="J126" s="393"/>
      <c r="K126" s="706"/>
      <c r="L126" s="737"/>
      <c r="M126" s="701"/>
      <c r="N126" s="706"/>
      <c r="O126" s="705"/>
      <c r="P126" s="706"/>
      <c r="Q126" s="706"/>
      <c r="R126" s="705"/>
      <c r="S126" s="706"/>
    </row>
    <row r="127" spans="1:19" s="703" customFormat="1" ht="15.75" customHeight="1">
      <c r="A127" s="675" t="s">
        <v>938</v>
      </c>
      <c r="B127" s="675"/>
      <c r="C127" s="675"/>
      <c r="D127" s="309"/>
      <c r="E127" s="1235" t="s">
        <v>968</v>
      </c>
      <c r="F127" s="1236"/>
      <c r="G127" s="1236"/>
      <c r="H127" s="1236"/>
      <c r="I127" s="1236"/>
      <c r="J127" s="1237"/>
      <c r="K127" s="708">
        <f>K79+K93+K103+K114+K125</f>
        <v>4674572617.1599998</v>
      </c>
      <c r="L127" s="708">
        <f t="shared" ref="L127:S127" si="34">L79+L93+L103+L114+L125</f>
        <v>0</v>
      </c>
      <c r="M127" s="708">
        <f t="shared" si="34"/>
        <v>0</v>
      </c>
      <c r="N127" s="708">
        <f t="shared" si="34"/>
        <v>4674572617.1599998</v>
      </c>
      <c r="O127" s="708">
        <f t="shared" si="34"/>
        <v>656088013.05033338</v>
      </c>
      <c r="P127" s="708">
        <f t="shared" si="34"/>
        <v>0</v>
      </c>
      <c r="Q127" s="708">
        <f t="shared" si="34"/>
        <v>0</v>
      </c>
      <c r="R127" s="708">
        <f t="shared" si="34"/>
        <v>656088013.05033338</v>
      </c>
      <c r="S127" s="708">
        <f t="shared" si="34"/>
        <v>4018484604.1096668</v>
      </c>
    </row>
    <row r="128" spans="1:19" ht="15.75" customHeight="1">
      <c r="D128" s="387"/>
      <c r="E128" s="388"/>
      <c r="F128" s="330"/>
      <c r="G128" s="721"/>
      <c r="H128" s="715"/>
      <c r="I128" s="751"/>
      <c r="J128" s="393"/>
      <c r="K128" s="705"/>
      <c r="L128" s="706"/>
      <c r="M128" s="706"/>
      <c r="N128" s="705"/>
      <c r="O128" s="705"/>
      <c r="P128" s="706"/>
      <c r="Q128" s="705"/>
      <c r="R128" s="705"/>
      <c r="S128" s="705"/>
    </row>
    <row r="129" spans="1:19" s="703" customFormat="1" ht="15.75" customHeight="1">
      <c r="A129" s="675" t="s">
        <v>944</v>
      </c>
      <c r="B129" s="675"/>
      <c r="C129" s="675"/>
      <c r="D129" s="309"/>
      <c r="E129" s="316" t="s">
        <v>237</v>
      </c>
      <c r="F129" s="703" t="s">
        <v>374</v>
      </c>
      <c r="G129" s="318"/>
      <c r="H129" s="319"/>
      <c r="I129" s="320"/>
      <c r="J129" s="321"/>
      <c r="K129" s="704"/>
      <c r="L129" s="704"/>
      <c r="M129" s="704"/>
      <c r="N129" s="704"/>
      <c r="O129" s="704"/>
      <c r="P129" s="704"/>
      <c r="Q129" s="704"/>
      <c r="R129" s="704"/>
      <c r="S129" s="704"/>
    </row>
    <row r="130" spans="1:19" ht="15.75" customHeight="1">
      <c r="A130" s="675" t="s">
        <v>944</v>
      </c>
      <c r="D130" s="309"/>
      <c r="E130" s="316"/>
      <c r="F130" s="330"/>
      <c r="G130" s="714"/>
      <c r="H130" s="715" t="s">
        <v>375</v>
      </c>
      <c r="I130" s="716">
        <v>2010</v>
      </c>
      <c r="J130" s="393">
        <v>0.05</v>
      </c>
      <c r="K130" s="752">
        <v>11350000</v>
      </c>
      <c r="L130" s="737">
        <v>0</v>
      </c>
      <c r="M130" s="701">
        <v>0</v>
      </c>
      <c r="N130" s="705">
        <f t="shared" ref="N130:N154" si="35">K130+L130-M130</f>
        <v>11350000</v>
      </c>
      <c r="O130" s="753">
        <v>3404999.9999999972</v>
      </c>
      <c r="P130" s="706">
        <f>N130*J130</f>
        <v>567500</v>
      </c>
      <c r="Q130" s="706">
        <v>0</v>
      </c>
      <c r="R130" s="705">
        <f>O130+P130-Q130</f>
        <v>3972499.9999999972</v>
      </c>
      <c r="S130" s="706">
        <f t="shared" ref="S130:S154" si="36">N130-R130</f>
        <v>7377500.0000000028</v>
      </c>
    </row>
    <row r="131" spans="1:19" ht="15.75" customHeight="1">
      <c r="A131" s="675" t="s">
        <v>944</v>
      </c>
      <c r="D131" s="309"/>
      <c r="E131" s="316"/>
      <c r="F131" s="330"/>
      <c r="G131" s="714"/>
      <c r="H131" s="715" t="s">
        <v>376</v>
      </c>
      <c r="I131" s="716">
        <v>2014</v>
      </c>
      <c r="J131" s="393">
        <v>0.05</v>
      </c>
      <c r="K131" s="752">
        <v>276810000</v>
      </c>
      <c r="L131" s="737">
        <v>0</v>
      </c>
      <c r="M131" s="701">
        <v>0</v>
      </c>
      <c r="N131" s="705">
        <f t="shared" si="35"/>
        <v>276810000</v>
      </c>
      <c r="O131" s="753">
        <v>83043000</v>
      </c>
      <c r="P131" s="706">
        <f t="shared" ref="P131:P154" si="37">N131*J131</f>
        <v>13840500</v>
      </c>
      <c r="Q131" s="706">
        <v>0</v>
      </c>
      <c r="R131" s="705">
        <f t="shared" ref="R131:R154" si="38">O131+P131-Q131</f>
        <v>96883500</v>
      </c>
      <c r="S131" s="706">
        <f t="shared" si="36"/>
        <v>179926500</v>
      </c>
    </row>
    <row r="132" spans="1:19" ht="15.75" customHeight="1">
      <c r="A132" s="675" t="s">
        <v>944</v>
      </c>
      <c r="D132" s="309"/>
      <c r="E132" s="316"/>
      <c r="F132" s="330"/>
      <c r="G132" s="714"/>
      <c r="H132" s="715" t="s">
        <v>377</v>
      </c>
      <c r="I132" s="716">
        <v>2010</v>
      </c>
      <c r="J132" s="393">
        <v>0.05</v>
      </c>
      <c r="K132" s="752">
        <v>29340000</v>
      </c>
      <c r="L132" s="737">
        <v>0</v>
      </c>
      <c r="M132" s="701">
        <v>0</v>
      </c>
      <c r="N132" s="705">
        <f t="shared" si="35"/>
        <v>29340000</v>
      </c>
      <c r="O132" s="753">
        <v>8802000</v>
      </c>
      <c r="P132" s="706">
        <f t="shared" si="37"/>
        <v>1467000</v>
      </c>
      <c r="Q132" s="706">
        <v>0</v>
      </c>
      <c r="R132" s="705">
        <f t="shared" si="38"/>
        <v>10269000</v>
      </c>
      <c r="S132" s="706">
        <f t="shared" si="36"/>
        <v>19071000</v>
      </c>
    </row>
    <row r="133" spans="1:19" ht="15.75" customHeight="1">
      <c r="A133" s="675" t="s">
        <v>944</v>
      </c>
      <c r="D133" s="309"/>
      <c r="E133" s="316"/>
      <c r="F133" s="330"/>
      <c r="G133" s="714"/>
      <c r="H133" s="715" t="s">
        <v>378</v>
      </c>
      <c r="I133" s="716">
        <v>2010</v>
      </c>
      <c r="J133" s="393">
        <v>0.05</v>
      </c>
      <c r="K133" s="752">
        <v>171000000</v>
      </c>
      <c r="L133" s="737">
        <v>0</v>
      </c>
      <c r="M133" s="701">
        <v>0</v>
      </c>
      <c r="N133" s="705">
        <f t="shared" si="35"/>
        <v>171000000</v>
      </c>
      <c r="O133" s="753">
        <v>51300000</v>
      </c>
      <c r="P133" s="706">
        <f t="shared" si="37"/>
        <v>8550000</v>
      </c>
      <c r="Q133" s="706">
        <v>0</v>
      </c>
      <c r="R133" s="705">
        <f t="shared" si="38"/>
        <v>59850000</v>
      </c>
      <c r="S133" s="706">
        <f t="shared" si="36"/>
        <v>111150000</v>
      </c>
    </row>
    <row r="134" spans="1:19" ht="15.75" customHeight="1">
      <c r="A134" s="675" t="s">
        <v>944</v>
      </c>
      <c r="D134" s="309"/>
      <c r="E134" s="316"/>
      <c r="F134" s="330"/>
      <c r="G134" s="714"/>
      <c r="H134" s="715" t="s">
        <v>379</v>
      </c>
      <c r="I134" s="716">
        <v>2010</v>
      </c>
      <c r="J134" s="393">
        <v>0.05</v>
      </c>
      <c r="K134" s="752">
        <v>370800000</v>
      </c>
      <c r="L134" s="737">
        <v>0</v>
      </c>
      <c r="M134" s="701">
        <v>0</v>
      </c>
      <c r="N134" s="705">
        <f t="shared" si="35"/>
        <v>370800000</v>
      </c>
      <c r="O134" s="753">
        <v>111240000</v>
      </c>
      <c r="P134" s="706">
        <f t="shared" si="37"/>
        <v>18540000</v>
      </c>
      <c r="Q134" s="706">
        <v>0</v>
      </c>
      <c r="R134" s="705">
        <f t="shared" si="38"/>
        <v>129780000</v>
      </c>
      <c r="S134" s="706">
        <f t="shared" si="36"/>
        <v>241020000</v>
      </c>
    </row>
    <row r="135" spans="1:19" ht="15.75" customHeight="1">
      <c r="A135" s="675" t="s">
        <v>944</v>
      </c>
      <c r="D135" s="309"/>
      <c r="E135" s="316"/>
      <c r="F135" s="330"/>
      <c r="G135" s="714"/>
      <c r="H135" s="715" t="s">
        <v>350</v>
      </c>
      <c r="I135" s="716">
        <v>2011</v>
      </c>
      <c r="J135" s="393">
        <v>0.05</v>
      </c>
      <c r="K135" s="752">
        <v>101070000</v>
      </c>
      <c r="L135" s="737">
        <v>0</v>
      </c>
      <c r="M135" s="701">
        <v>0</v>
      </c>
      <c r="N135" s="705">
        <f t="shared" si="35"/>
        <v>101070000</v>
      </c>
      <c r="O135" s="753">
        <v>30321000</v>
      </c>
      <c r="P135" s="706">
        <f t="shared" si="37"/>
        <v>5053500</v>
      </c>
      <c r="Q135" s="706">
        <v>0</v>
      </c>
      <c r="R135" s="705">
        <f t="shared" si="38"/>
        <v>35374500</v>
      </c>
      <c r="S135" s="706">
        <f t="shared" si="36"/>
        <v>65695500</v>
      </c>
    </row>
    <row r="136" spans="1:19" ht="15.75" customHeight="1">
      <c r="A136" s="675" t="s">
        <v>944</v>
      </c>
      <c r="D136" s="309"/>
      <c r="E136" s="316"/>
      <c r="F136" s="330"/>
      <c r="G136" s="714"/>
      <c r="H136" s="715" t="s">
        <v>380</v>
      </c>
      <c r="I136" s="716">
        <v>2010</v>
      </c>
      <c r="J136" s="393">
        <v>0.05</v>
      </c>
      <c r="K136" s="752">
        <v>33310000</v>
      </c>
      <c r="L136" s="737">
        <v>0</v>
      </c>
      <c r="M136" s="701">
        <v>0</v>
      </c>
      <c r="N136" s="705">
        <f t="shared" si="35"/>
        <v>33310000</v>
      </c>
      <c r="O136" s="753">
        <v>9993000</v>
      </c>
      <c r="P136" s="706">
        <f t="shared" si="37"/>
        <v>1665500</v>
      </c>
      <c r="Q136" s="706">
        <v>0</v>
      </c>
      <c r="R136" s="705">
        <f t="shared" si="38"/>
        <v>11658500</v>
      </c>
      <c r="S136" s="706">
        <f t="shared" si="36"/>
        <v>21651500</v>
      </c>
    </row>
    <row r="137" spans="1:19" ht="15.75" customHeight="1">
      <c r="A137" s="675" t="s">
        <v>944</v>
      </c>
      <c r="D137" s="309"/>
      <c r="E137" s="316"/>
      <c r="F137" s="330"/>
      <c r="G137" s="714"/>
      <c r="H137" s="715" t="s">
        <v>381</v>
      </c>
      <c r="I137" s="716">
        <v>2010</v>
      </c>
      <c r="J137" s="393">
        <v>0.05</v>
      </c>
      <c r="K137" s="752">
        <v>25900000</v>
      </c>
      <c r="L137" s="737">
        <v>0</v>
      </c>
      <c r="M137" s="701">
        <v>0</v>
      </c>
      <c r="N137" s="705">
        <f t="shared" si="35"/>
        <v>25900000</v>
      </c>
      <c r="O137" s="753">
        <v>7770000.0000000084</v>
      </c>
      <c r="P137" s="706">
        <f t="shared" si="37"/>
        <v>1295000</v>
      </c>
      <c r="Q137" s="706">
        <v>0</v>
      </c>
      <c r="R137" s="705">
        <f t="shared" si="38"/>
        <v>9065000.0000000075</v>
      </c>
      <c r="S137" s="706">
        <f t="shared" si="36"/>
        <v>16834999.999999993</v>
      </c>
    </row>
    <row r="138" spans="1:19" ht="15.75" customHeight="1">
      <c r="A138" s="675" t="s">
        <v>944</v>
      </c>
      <c r="D138" s="309"/>
      <c r="E138" s="316"/>
      <c r="F138" s="330"/>
      <c r="G138" s="714"/>
      <c r="H138" s="715" t="s">
        <v>382</v>
      </c>
      <c r="I138" s="716">
        <v>2014</v>
      </c>
      <c r="J138" s="393">
        <v>0.05</v>
      </c>
      <c r="K138" s="752">
        <v>192220000</v>
      </c>
      <c r="L138" s="737">
        <v>0</v>
      </c>
      <c r="M138" s="701">
        <v>0</v>
      </c>
      <c r="N138" s="705">
        <f t="shared" si="35"/>
        <v>192220000</v>
      </c>
      <c r="O138" s="753">
        <v>57665999.999999948</v>
      </c>
      <c r="P138" s="706">
        <f t="shared" si="37"/>
        <v>9611000</v>
      </c>
      <c r="Q138" s="706">
        <v>0</v>
      </c>
      <c r="R138" s="705">
        <f t="shared" si="38"/>
        <v>67276999.99999994</v>
      </c>
      <c r="S138" s="706">
        <f t="shared" si="36"/>
        <v>124943000.00000006</v>
      </c>
    </row>
    <row r="139" spans="1:19" ht="15.75" customHeight="1">
      <c r="A139" s="675" t="s">
        <v>944</v>
      </c>
      <c r="D139" s="309"/>
      <c r="E139" s="316"/>
      <c r="F139" s="330"/>
      <c r="G139" s="714"/>
      <c r="H139" s="715" t="s">
        <v>383</v>
      </c>
      <c r="I139" s="716">
        <v>2010</v>
      </c>
      <c r="J139" s="393">
        <v>0.05</v>
      </c>
      <c r="K139" s="752">
        <v>691030000</v>
      </c>
      <c r="L139" s="737">
        <v>0</v>
      </c>
      <c r="M139" s="701">
        <v>0</v>
      </c>
      <c r="N139" s="705">
        <f t="shared" si="35"/>
        <v>691030000</v>
      </c>
      <c r="O139" s="753">
        <v>207308999.99999985</v>
      </c>
      <c r="P139" s="706">
        <f t="shared" si="37"/>
        <v>34551500</v>
      </c>
      <c r="Q139" s="706">
        <v>0</v>
      </c>
      <c r="R139" s="705">
        <f t="shared" si="38"/>
        <v>241860499.99999985</v>
      </c>
      <c r="S139" s="706">
        <f t="shared" si="36"/>
        <v>449169500.00000012</v>
      </c>
    </row>
    <row r="140" spans="1:19" ht="15.75" customHeight="1">
      <c r="A140" s="675" t="s">
        <v>944</v>
      </c>
      <c r="D140" s="309"/>
      <c r="E140" s="316"/>
      <c r="F140" s="330"/>
      <c r="G140" s="714"/>
      <c r="H140" s="715" t="s">
        <v>384</v>
      </c>
      <c r="I140" s="716">
        <v>2010</v>
      </c>
      <c r="J140" s="393">
        <v>0.05</v>
      </c>
      <c r="K140" s="752">
        <v>62480000</v>
      </c>
      <c r="L140" s="737">
        <v>0</v>
      </c>
      <c r="M140" s="701">
        <v>0</v>
      </c>
      <c r="N140" s="705">
        <f t="shared" si="35"/>
        <v>62480000</v>
      </c>
      <c r="O140" s="753">
        <v>18744000.000000007</v>
      </c>
      <c r="P140" s="706">
        <f t="shared" si="37"/>
        <v>3124000</v>
      </c>
      <c r="Q140" s="706">
        <v>0</v>
      </c>
      <c r="R140" s="705">
        <f t="shared" si="38"/>
        <v>21868000.000000007</v>
      </c>
      <c r="S140" s="706">
        <f t="shared" si="36"/>
        <v>40611999.999999993</v>
      </c>
    </row>
    <row r="141" spans="1:19" ht="15.75" customHeight="1">
      <c r="A141" s="675" t="s">
        <v>944</v>
      </c>
      <c r="D141" s="309"/>
      <c r="E141" s="316"/>
      <c r="F141" s="330"/>
      <c r="G141" s="714"/>
      <c r="H141" s="715" t="s">
        <v>385</v>
      </c>
      <c r="I141" s="716">
        <v>2011</v>
      </c>
      <c r="J141" s="393">
        <v>0.05</v>
      </c>
      <c r="K141" s="752">
        <v>494980000</v>
      </c>
      <c r="L141" s="737">
        <v>0</v>
      </c>
      <c r="M141" s="701">
        <v>0</v>
      </c>
      <c r="N141" s="705">
        <f t="shared" si="35"/>
        <v>494980000</v>
      </c>
      <c r="O141" s="753">
        <v>148494000.00000006</v>
      </c>
      <c r="P141" s="706">
        <f t="shared" si="37"/>
        <v>24749000</v>
      </c>
      <c r="Q141" s="706">
        <v>0</v>
      </c>
      <c r="R141" s="705">
        <f t="shared" si="38"/>
        <v>173243000.00000006</v>
      </c>
      <c r="S141" s="706">
        <f t="shared" si="36"/>
        <v>321736999.99999994</v>
      </c>
    </row>
    <row r="142" spans="1:19" ht="15.75" customHeight="1">
      <c r="A142" s="675" t="s">
        <v>944</v>
      </c>
      <c r="D142" s="309"/>
      <c r="E142" s="316"/>
      <c r="F142" s="330"/>
      <c r="G142" s="714"/>
      <c r="H142" s="715" t="s">
        <v>313</v>
      </c>
      <c r="I142" s="716">
        <v>2014</v>
      </c>
      <c r="J142" s="393">
        <v>0.05</v>
      </c>
      <c r="K142" s="752">
        <v>82150000</v>
      </c>
      <c r="L142" s="737">
        <v>0</v>
      </c>
      <c r="M142" s="701">
        <v>0</v>
      </c>
      <c r="N142" s="705">
        <f t="shared" si="35"/>
        <v>82150000</v>
      </c>
      <c r="O142" s="753">
        <v>24645000.000000015</v>
      </c>
      <c r="P142" s="706">
        <f t="shared" si="37"/>
        <v>4107500</v>
      </c>
      <c r="Q142" s="706">
        <v>0</v>
      </c>
      <c r="R142" s="705">
        <f t="shared" si="38"/>
        <v>28752500.000000015</v>
      </c>
      <c r="S142" s="706">
        <f t="shared" si="36"/>
        <v>53397499.999999985</v>
      </c>
    </row>
    <row r="143" spans="1:19" ht="15.75" customHeight="1">
      <c r="A143" s="675" t="s">
        <v>944</v>
      </c>
      <c r="D143" s="309"/>
      <c r="E143" s="316"/>
      <c r="F143" s="330"/>
      <c r="G143" s="714"/>
      <c r="H143" s="715" t="s">
        <v>386</v>
      </c>
      <c r="I143" s="716">
        <v>2014</v>
      </c>
      <c r="J143" s="393">
        <v>0.05</v>
      </c>
      <c r="K143" s="752">
        <v>6340000</v>
      </c>
      <c r="L143" s="737">
        <v>0</v>
      </c>
      <c r="M143" s="701">
        <v>0</v>
      </c>
      <c r="N143" s="705">
        <f t="shared" si="35"/>
        <v>6340000</v>
      </c>
      <c r="O143" s="753">
        <v>1902000.0000000019</v>
      </c>
      <c r="P143" s="706">
        <f t="shared" si="37"/>
        <v>317000</v>
      </c>
      <c r="Q143" s="706">
        <v>0</v>
      </c>
      <c r="R143" s="705">
        <f t="shared" si="38"/>
        <v>2219000.0000000019</v>
      </c>
      <c r="S143" s="706">
        <f t="shared" si="36"/>
        <v>4120999.9999999981</v>
      </c>
    </row>
    <row r="144" spans="1:19" ht="15.75" customHeight="1">
      <c r="A144" s="675" t="s">
        <v>944</v>
      </c>
      <c r="D144" s="309"/>
      <c r="E144" s="316"/>
      <c r="F144" s="330"/>
      <c r="G144" s="714"/>
      <c r="H144" s="715" t="s">
        <v>387</v>
      </c>
      <c r="I144" s="716">
        <v>2010</v>
      </c>
      <c r="J144" s="393">
        <v>0.05</v>
      </c>
      <c r="K144" s="752">
        <v>505220000</v>
      </c>
      <c r="L144" s="737">
        <v>0</v>
      </c>
      <c r="M144" s="701">
        <v>0</v>
      </c>
      <c r="N144" s="705">
        <f t="shared" si="35"/>
        <v>505220000</v>
      </c>
      <c r="O144" s="753">
        <v>151565999.99999997</v>
      </c>
      <c r="P144" s="706">
        <f t="shared" si="37"/>
        <v>25261000</v>
      </c>
      <c r="Q144" s="706">
        <v>0</v>
      </c>
      <c r="R144" s="705">
        <f t="shared" si="38"/>
        <v>176826999.99999997</v>
      </c>
      <c r="S144" s="706">
        <f t="shared" si="36"/>
        <v>328393000</v>
      </c>
    </row>
    <row r="145" spans="1:19" ht="15.75" customHeight="1">
      <c r="A145" s="675" t="s">
        <v>944</v>
      </c>
      <c r="D145" s="309"/>
      <c r="E145" s="316"/>
      <c r="F145" s="330"/>
      <c r="G145" s="714"/>
      <c r="H145" s="715" t="s">
        <v>388</v>
      </c>
      <c r="I145" s="716">
        <v>2010</v>
      </c>
      <c r="J145" s="393">
        <v>0.05</v>
      </c>
      <c r="K145" s="752">
        <v>144000000</v>
      </c>
      <c r="L145" s="737">
        <v>0</v>
      </c>
      <c r="M145" s="701">
        <v>0</v>
      </c>
      <c r="N145" s="705">
        <f t="shared" si="35"/>
        <v>144000000</v>
      </c>
      <c r="O145" s="753">
        <v>43200000</v>
      </c>
      <c r="P145" s="706">
        <f t="shared" si="37"/>
        <v>7200000</v>
      </c>
      <c r="Q145" s="706">
        <v>0</v>
      </c>
      <c r="R145" s="705">
        <f t="shared" si="38"/>
        <v>50400000</v>
      </c>
      <c r="S145" s="706">
        <f t="shared" si="36"/>
        <v>93600000</v>
      </c>
    </row>
    <row r="146" spans="1:19" ht="15.75" customHeight="1">
      <c r="A146" s="675" t="s">
        <v>944</v>
      </c>
      <c r="D146" s="309"/>
      <c r="E146" s="316"/>
      <c r="F146" s="330"/>
      <c r="G146" s="714"/>
      <c r="H146" s="715" t="s">
        <v>340</v>
      </c>
      <c r="I146" s="716">
        <v>2014</v>
      </c>
      <c r="J146" s="393">
        <v>0.05</v>
      </c>
      <c r="K146" s="752">
        <v>79900000</v>
      </c>
      <c r="L146" s="737">
        <v>0</v>
      </c>
      <c r="M146" s="701">
        <v>0</v>
      </c>
      <c r="N146" s="705">
        <f t="shared" si="35"/>
        <v>79900000</v>
      </c>
      <c r="O146" s="753">
        <v>23970000.000000015</v>
      </c>
      <c r="P146" s="706">
        <f t="shared" si="37"/>
        <v>3995000</v>
      </c>
      <c r="Q146" s="706">
        <v>0</v>
      </c>
      <c r="R146" s="705">
        <f t="shared" si="38"/>
        <v>27965000.000000015</v>
      </c>
      <c r="S146" s="706">
        <f t="shared" si="36"/>
        <v>51934999.999999985</v>
      </c>
    </row>
    <row r="147" spans="1:19" ht="15.75" customHeight="1">
      <c r="A147" s="675" t="s">
        <v>944</v>
      </c>
      <c r="D147" s="309"/>
      <c r="E147" s="316"/>
      <c r="F147" s="330"/>
      <c r="G147" s="714"/>
      <c r="H147" s="715" t="s">
        <v>389</v>
      </c>
      <c r="I147" s="716">
        <v>2010</v>
      </c>
      <c r="J147" s="393">
        <v>0.05</v>
      </c>
      <c r="K147" s="752">
        <v>514790000</v>
      </c>
      <c r="L147" s="737">
        <v>0</v>
      </c>
      <c r="M147" s="701">
        <v>0</v>
      </c>
      <c r="N147" s="705">
        <f t="shared" si="35"/>
        <v>514790000</v>
      </c>
      <c r="O147" s="753">
        <v>154436999.99999997</v>
      </c>
      <c r="P147" s="706">
        <f t="shared" si="37"/>
        <v>25739500</v>
      </c>
      <c r="Q147" s="706">
        <v>0</v>
      </c>
      <c r="R147" s="705">
        <f t="shared" si="38"/>
        <v>180176499.99999997</v>
      </c>
      <c r="S147" s="706">
        <f t="shared" si="36"/>
        <v>334613500</v>
      </c>
    </row>
    <row r="148" spans="1:19" ht="15.75" customHeight="1">
      <c r="A148" s="675" t="s">
        <v>944</v>
      </c>
      <c r="D148" s="309"/>
      <c r="E148" s="316"/>
      <c r="F148" s="330"/>
      <c r="G148" s="714"/>
      <c r="H148" s="715" t="s">
        <v>390</v>
      </c>
      <c r="I148" s="716">
        <v>2010</v>
      </c>
      <c r="J148" s="393">
        <v>0.05</v>
      </c>
      <c r="K148" s="752">
        <v>156800000</v>
      </c>
      <c r="L148" s="737">
        <v>0</v>
      </c>
      <c r="M148" s="701">
        <v>0</v>
      </c>
      <c r="N148" s="705">
        <f t="shared" si="35"/>
        <v>156800000</v>
      </c>
      <c r="O148" s="753">
        <v>47040000.000000022</v>
      </c>
      <c r="P148" s="706">
        <f t="shared" si="37"/>
        <v>7840000</v>
      </c>
      <c r="Q148" s="706">
        <v>0</v>
      </c>
      <c r="R148" s="705">
        <f t="shared" si="38"/>
        <v>54880000.000000022</v>
      </c>
      <c r="S148" s="706">
        <f t="shared" si="36"/>
        <v>101919999.99999997</v>
      </c>
    </row>
    <row r="149" spans="1:19" ht="15.75" customHeight="1">
      <c r="A149" s="675" t="s">
        <v>944</v>
      </c>
      <c r="D149" s="309"/>
      <c r="E149" s="316"/>
      <c r="F149" s="330"/>
      <c r="G149" s="714"/>
      <c r="H149" s="715" t="s">
        <v>391</v>
      </c>
      <c r="I149" s="716">
        <v>2010</v>
      </c>
      <c r="J149" s="393">
        <v>0.05</v>
      </c>
      <c r="K149" s="752">
        <v>11030000</v>
      </c>
      <c r="L149" s="737">
        <v>0</v>
      </c>
      <c r="M149" s="701">
        <v>0</v>
      </c>
      <c r="N149" s="705">
        <f t="shared" si="35"/>
        <v>11030000</v>
      </c>
      <c r="O149" s="753">
        <v>3309000.0000000028</v>
      </c>
      <c r="P149" s="706">
        <f t="shared" si="37"/>
        <v>551500</v>
      </c>
      <c r="Q149" s="706">
        <v>0</v>
      </c>
      <c r="R149" s="705">
        <f t="shared" si="38"/>
        <v>3860500.0000000028</v>
      </c>
      <c r="S149" s="706">
        <f t="shared" si="36"/>
        <v>7169499.9999999972</v>
      </c>
    </row>
    <row r="150" spans="1:19" ht="15.75" customHeight="1">
      <c r="A150" s="675" t="s">
        <v>944</v>
      </c>
      <c r="D150" s="309"/>
      <c r="E150" s="316"/>
      <c r="F150" s="330"/>
      <c r="G150" s="714"/>
      <c r="H150" s="715" t="s">
        <v>392</v>
      </c>
      <c r="I150" s="716">
        <v>2010</v>
      </c>
      <c r="J150" s="393">
        <v>0.05</v>
      </c>
      <c r="K150" s="752">
        <v>253070000</v>
      </c>
      <c r="L150" s="737">
        <v>0</v>
      </c>
      <c r="M150" s="701">
        <v>0</v>
      </c>
      <c r="N150" s="705">
        <f t="shared" si="35"/>
        <v>253070000</v>
      </c>
      <c r="O150" s="753">
        <v>75921000.000000015</v>
      </c>
      <c r="P150" s="706">
        <f t="shared" si="37"/>
        <v>12653500</v>
      </c>
      <c r="Q150" s="706">
        <v>0</v>
      </c>
      <c r="R150" s="705">
        <f t="shared" si="38"/>
        <v>88574500.000000015</v>
      </c>
      <c r="S150" s="706">
        <f t="shared" si="36"/>
        <v>164495500</v>
      </c>
    </row>
    <row r="151" spans="1:19" ht="15.75" customHeight="1">
      <c r="A151" s="675" t="s">
        <v>944</v>
      </c>
      <c r="D151" s="309"/>
      <c r="E151" s="316"/>
      <c r="F151" s="330"/>
      <c r="G151" s="714"/>
      <c r="H151" s="715" t="s">
        <v>393</v>
      </c>
      <c r="I151" s="716">
        <v>2010</v>
      </c>
      <c r="J151" s="393">
        <v>0.05</v>
      </c>
      <c r="K151" s="752">
        <v>148500000</v>
      </c>
      <c r="L151" s="737">
        <v>0</v>
      </c>
      <c r="M151" s="701">
        <v>0</v>
      </c>
      <c r="N151" s="705">
        <f t="shared" si="35"/>
        <v>148500000</v>
      </c>
      <c r="O151" s="753">
        <v>44550000</v>
      </c>
      <c r="P151" s="706">
        <f t="shared" si="37"/>
        <v>7425000</v>
      </c>
      <c r="Q151" s="706">
        <v>0</v>
      </c>
      <c r="R151" s="705">
        <f t="shared" si="38"/>
        <v>51975000</v>
      </c>
      <c r="S151" s="706">
        <f t="shared" si="36"/>
        <v>96525000</v>
      </c>
    </row>
    <row r="152" spans="1:19" ht="15.75" customHeight="1">
      <c r="A152" s="675" t="s">
        <v>944</v>
      </c>
      <c r="D152" s="309"/>
      <c r="E152" s="316"/>
      <c r="F152" s="330"/>
      <c r="G152" s="714"/>
      <c r="H152" s="715" t="s">
        <v>394</v>
      </c>
      <c r="I152" s="716">
        <v>2012</v>
      </c>
      <c r="J152" s="393">
        <v>0.05</v>
      </c>
      <c r="K152" s="752">
        <v>17850000</v>
      </c>
      <c r="L152" s="737">
        <v>0</v>
      </c>
      <c r="M152" s="701">
        <v>0</v>
      </c>
      <c r="N152" s="705">
        <f t="shared" si="35"/>
        <v>17850000</v>
      </c>
      <c r="O152" s="753">
        <v>5355000</v>
      </c>
      <c r="P152" s="706">
        <f t="shared" si="37"/>
        <v>892500</v>
      </c>
      <c r="Q152" s="706">
        <v>0</v>
      </c>
      <c r="R152" s="705">
        <f t="shared" si="38"/>
        <v>6247500</v>
      </c>
      <c r="S152" s="706">
        <f t="shared" si="36"/>
        <v>11602500</v>
      </c>
    </row>
    <row r="153" spans="1:19" ht="15.75" customHeight="1">
      <c r="D153" s="309"/>
      <c r="E153" s="316"/>
      <c r="F153" s="417"/>
      <c r="G153" s="721"/>
      <c r="H153" s="715" t="s">
        <v>395</v>
      </c>
      <c r="I153" s="754">
        <v>2018</v>
      </c>
      <c r="J153" s="393">
        <v>0.05</v>
      </c>
      <c r="K153" s="752">
        <v>8779850</v>
      </c>
      <c r="L153" s="737">
        <v>0</v>
      </c>
      <c r="M153" s="755">
        <v>0</v>
      </c>
      <c r="N153" s="705">
        <f t="shared" si="35"/>
        <v>8779850</v>
      </c>
      <c r="O153" s="753">
        <v>1316977.4999999998</v>
      </c>
      <c r="P153" s="706">
        <f t="shared" si="37"/>
        <v>438992.5</v>
      </c>
      <c r="Q153" s="706">
        <v>0</v>
      </c>
      <c r="R153" s="705">
        <f t="shared" si="38"/>
        <v>1755969.9999999998</v>
      </c>
      <c r="S153" s="706">
        <f t="shared" si="36"/>
        <v>7023880</v>
      </c>
    </row>
    <row r="154" spans="1:19" ht="15.75" customHeight="1">
      <c r="D154" s="309"/>
      <c r="E154" s="316"/>
      <c r="F154" s="334"/>
      <c r="G154" s="727"/>
      <c r="H154" s="756" t="s">
        <v>396</v>
      </c>
      <c r="I154" s="757">
        <v>2018</v>
      </c>
      <c r="J154" s="383">
        <v>0.05</v>
      </c>
      <c r="K154" s="752">
        <v>10669370</v>
      </c>
      <c r="L154" s="737">
        <v>0</v>
      </c>
      <c r="M154" s="758">
        <v>0</v>
      </c>
      <c r="N154" s="705">
        <f t="shared" si="35"/>
        <v>10669370</v>
      </c>
      <c r="O154" s="753">
        <v>1600405.4999999993</v>
      </c>
      <c r="P154" s="706">
        <f t="shared" si="37"/>
        <v>533468.5</v>
      </c>
      <c r="Q154" s="706">
        <v>0</v>
      </c>
      <c r="R154" s="705">
        <f t="shared" si="38"/>
        <v>2133873.9999999991</v>
      </c>
      <c r="S154" s="706">
        <f t="shared" si="36"/>
        <v>8535496</v>
      </c>
    </row>
    <row r="155" spans="1:19" s="703" customFormat="1" ht="15.75" customHeight="1">
      <c r="A155" s="675" t="s">
        <v>944</v>
      </c>
      <c r="B155" s="675"/>
      <c r="C155" s="675"/>
      <c r="D155" s="309"/>
      <c r="E155" s="1235" t="s">
        <v>969</v>
      </c>
      <c r="F155" s="1236"/>
      <c r="G155" s="1236"/>
      <c r="H155" s="1236"/>
      <c r="I155" s="1236"/>
      <c r="J155" s="1237"/>
      <c r="K155" s="708">
        <f>SUM(K130:K154)</f>
        <v>4399389220</v>
      </c>
      <c r="L155" s="708">
        <f t="shared" ref="L155:S155" si="39">SUM(L130:L154)</f>
        <v>0</v>
      </c>
      <c r="M155" s="708">
        <f t="shared" si="39"/>
        <v>0</v>
      </c>
      <c r="N155" s="708">
        <f t="shared" si="39"/>
        <v>4399389220</v>
      </c>
      <c r="O155" s="708">
        <f t="shared" si="39"/>
        <v>1316899382.9999998</v>
      </c>
      <c r="P155" s="708">
        <f t="shared" si="39"/>
        <v>219969461</v>
      </c>
      <c r="Q155" s="708">
        <f t="shared" si="39"/>
        <v>0</v>
      </c>
      <c r="R155" s="708">
        <f t="shared" si="39"/>
        <v>1536868843.9999998</v>
      </c>
      <c r="S155" s="708">
        <f t="shared" si="39"/>
        <v>2862520376</v>
      </c>
    </row>
    <row r="156" spans="1:19" ht="15.75" customHeight="1">
      <c r="D156" s="309"/>
      <c r="E156" s="316"/>
      <c r="F156" s="330"/>
      <c r="G156" s="714"/>
      <c r="H156" s="715"/>
      <c r="I156" s="751"/>
      <c r="J156" s="393"/>
      <c r="K156" s="706"/>
      <c r="L156" s="737"/>
      <c r="M156" s="701"/>
      <c r="N156" s="706"/>
      <c r="O156" s="705"/>
      <c r="P156" s="706"/>
      <c r="Q156" s="706"/>
      <c r="R156" s="705"/>
      <c r="S156" s="706"/>
    </row>
    <row r="157" spans="1:19" s="703" customFormat="1" ht="15.75" customHeight="1">
      <c r="A157" s="675" t="s">
        <v>946</v>
      </c>
      <c r="B157" s="675"/>
      <c r="C157" s="675"/>
      <c r="D157" s="309"/>
      <c r="E157" s="316" t="s">
        <v>239</v>
      </c>
      <c r="F157" s="703" t="s">
        <v>397</v>
      </c>
      <c r="G157" s="318"/>
      <c r="H157" s="319"/>
      <c r="I157" s="320"/>
      <c r="J157" s="321"/>
      <c r="K157" s="704"/>
      <c r="L157" s="704"/>
      <c r="M157" s="704"/>
      <c r="N157" s="704"/>
      <c r="O157" s="704"/>
      <c r="P157" s="704"/>
      <c r="Q157" s="704"/>
      <c r="R157" s="704"/>
      <c r="S157" s="704"/>
    </row>
    <row r="158" spans="1:19" ht="15.75" customHeight="1">
      <c r="A158" s="675" t="s">
        <v>946</v>
      </c>
      <c r="D158" s="309"/>
      <c r="E158" s="316"/>
      <c r="F158" s="330"/>
      <c r="G158" s="714"/>
      <c r="H158" s="715" t="s">
        <v>1074</v>
      </c>
      <c r="I158" s="716">
        <v>2006</v>
      </c>
      <c r="J158" s="393">
        <v>0.05</v>
      </c>
      <c r="K158" s="706">
        <v>0</v>
      </c>
      <c r="L158" s="737"/>
      <c r="M158" s="701"/>
      <c r="N158" s="705">
        <f>K158+L158-M158</f>
        <v>0</v>
      </c>
      <c r="O158" s="705">
        <v>0</v>
      </c>
      <c r="P158" s="706"/>
      <c r="Q158" s="706"/>
      <c r="R158" s="705">
        <f>O158+P158-Q158</f>
        <v>0</v>
      </c>
      <c r="S158" s="706">
        <f>N158-R158</f>
        <v>0</v>
      </c>
    </row>
    <row r="159" spans="1:19" ht="15.75" customHeight="1">
      <c r="A159" s="675" t="s">
        <v>946</v>
      </c>
      <c r="D159" s="309"/>
      <c r="E159" s="316"/>
      <c r="F159" s="330"/>
      <c r="G159" s="714"/>
      <c r="H159" s="715" t="s">
        <v>1075</v>
      </c>
      <c r="I159" s="716">
        <v>2006</v>
      </c>
      <c r="J159" s="393">
        <v>0.05</v>
      </c>
      <c r="K159" s="706">
        <v>0</v>
      </c>
      <c r="L159" s="737"/>
      <c r="M159" s="701"/>
      <c r="N159" s="705">
        <f>K159+L159-M159</f>
        <v>0</v>
      </c>
      <c r="O159" s="705">
        <v>0</v>
      </c>
      <c r="P159" s="706"/>
      <c r="Q159" s="706"/>
      <c r="R159" s="705">
        <f>O159+P159-Q159</f>
        <v>0</v>
      </c>
      <c r="S159" s="706">
        <f>N159-R159</f>
        <v>0</v>
      </c>
    </row>
    <row r="160" spans="1:19" ht="15.75" customHeight="1">
      <c r="A160" s="675" t="s">
        <v>946</v>
      </c>
      <c r="D160" s="309"/>
      <c r="E160" s="316"/>
      <c r="F160" s="330"/>
      <c r="G160" s="714"/>
      <c r="H160" s="715" t="s">
        <v>1076</v>
      </c>
      <c r="I160" s="724">
        <v>2009</v>
      </c>
      <c r="J160" s="393">
        <v>0.05</v>
      </c>
      <c r="K160" s="706">
        <v>0</v>
      </c>
      <c r="L160" s="737"/>
      <c r="M160" s="701"/>
      <c r="N160" s="705">
        <f>K160+L160-M160</f>
        <v>0</v>
      </c>
      <c r="O160" s="705">
        <v>0</v>
      </c>
      <c r="P160" s="706"/>
      <c r="Q160" s="706"/>
      <c r="R160" s="705">
        <f>O160+P160-Q160</f>
        <v>0</v>
      </c>
      <c r="S160" s="706">
        <f>N160-R160</f>
        <v>0</v>
      </c>
    </row>
    <row r="161" spans="1:19" ht="15.75" customHeight="1">
      <c r="D161" s="309"/>
      <c r="E161" s="316"/>
      <c r="F161" s="379"/>
      <c r="G161" s="759"/>
      <c r="H161" s="743" t="s">
        <v>398</v>
      </c>
      <c r="I161" s="760">
        <v>43708</v>
      </c>
      <c r="J161" s="393">
        <v>0.05</v>
      </c>
      <c r="K161" s="706">
        <v>1039132050</v>
      </c>
      <c r="L161" s="761"/>
      <c r="M161" s="762"/>
      <c r="N161" s="705">
        <f>K161+L161-M161</f>
        <v>1039132050</v>
      </c>
      <c r="O161" s="705">
        <v>121232072.5</v>
      </c>
      <c r="P161" s="706">
        <f>N161*J161</f>
        <v>51956602.5</v>
      </c>
      <c r="Q161" s="709"/>
      <c r="R161" s="705">
        <f>O161+P161-Q161</f>
        <v>173188675</v>
      </c>
      <c r="S161" s="706">
        <f>N161-R161</f>
        <v>865943375</v>
      </c>
    </row>
    <row r="162" spans="1:19" s="703" customFormat="1" ht="15.75" customHeight="1">
      <c r="A162" s="675" t="s">
        <v>946</v>
      </c>
      <c r="B162" s="675"/>
      <c r="C162" s="675"/>
      <c r="D162" s="309"/>
      <c r="E162" s="1235" t="s">
        <v>970</v>
      </c>
      <c r="F162" s="1236"/>
      <c r="G162" s="1236"/>
      <c r="H162" s="1236"/>
      <c r="I162" s="1236"/>
      <c r="J162" s="1237"/>
      <c r="K162" s="708">
        <f>SUM(K158:K161)</f>
        <v>1039132050</v>
      </c>
      <c r="L162" s="708">
        <f t="shared" ref="L162:S162" si="40">SUM(L158:L161)</f>
        <v>0</v>
      </c>
      <c r="M162" s="708">
        <f t="shared" si="40"/>
        <v>0</v>
      </c>
      <c r="N162" s="708">
        <f t="shared" si="40"/>
        <v>1039132050</v>
      </c>
      <c r="O162" s="708">
        <f t="shared" si="40"/>
        <v>121232072.5</v>
      </c>
      <c r="P162" s="708">
        <f t="shared" si="40"/>
        <v>51956602.5</v>
      </c>
      <c r="Q162" s="708">
        <f t="shared" si="40"/>
        <v>0</v>
      </c>
      <c r="R162" s="708">
        <f t="shared" si="40"/>
        <v>173188675</v>
      </c>
      <c r="S162" s="708">
        <f t="shared" si="40"/>
        <v>865943375</v>
      </c>
    </row>
    <row r="163" spans="1:19" ht="15.75" customHeight="1">
      <c r="D163" s="309"/>
      <c r="E163" s="316"/>
      <c r="F163" s="330"/>
      <c r="G163" s="714"/>
      <c r="H163" s="715"/>
      <c r="I163" s="750"/>
      <c r="J163" s="393"/>
      <c r="K163" s="706"/>
      <c r="L163" s="737"/>
      <c r="M163" s="701"/>
      <c r="N163" s="706"/>
      <c r="O163" s="705"/>
      <c r="P163" s="706"/>
      <c r="Q163" s="706"/>
      <c r="R163" s="705"/>
      <c r="S163" s="706"/>
    </row>
    <row r="164" spans="1:19" s="763" customFormat="1" ht="25" customHeight="1">
      <c r="A164" s="675"/>
      <c r="B164" s="675"/>
      <c r="C164" s="675"/>
      <c r="D164" s="1229" t="s">
        <v>971</v>
      </c>
      <c r="E164" s="1230"/>
      <c r="F164" s="1230"/>
      <c r="G164" s="1230"/>
      <c r="H164" s="1230"/>
      <c r="I164" s="1230"/>
      <c r="J164" s="1231"/>
      <c r="K164" s="708">
        <f>K66+K127+K155+K162</f>
        <v>40865217445.240005</v>
      </c>
      <c r="L164" s="708">
        <f t="shared" ref="L164:S164" si="41">L66+L127+L155+L162</f>
        <v>0</v>
      </c>
      <c r="M164" s="708">
        <f t="shared" si="41"/>
        <v>0</v>
      </c>
      <c r="N164" s="708">
        <f t="shared" si="41"/>
        <v>40865217445.240005</v>
      </c>
      <c r="O164" s="708">
        <f t="shared" si="41"/>
        <v>7527880284.7433338</v>
      </c>
      <c r="P164" s="708">
        <f t="shared" si="41"/>
        <v>1809532241.404</v>
      </c>
      <c r="Q164" s="708">
        <f t="shared" si="41"/>
        <v>0</v>
      </c>
      <c r="R164" s="708">
        <f t="shared" si="41"/>
        <v>9337412526.1473351</v>
      </c>
      <c r="S164" s="708">
        <f t="shared" si="41"/>
        <v>31527804919.092667</v>
      </c>
    </row>
    <row r="165" spans="1:19" ht="15.75" customHeight="1">
      <c r="D165" s="309"/>
      <c r="E165" s="316"/>
      <c r="F165" s="302"/>
      <c r="G165" s="426"/>
      <c r="H165" s="345"/>
      <c r="I165" s="427"/>
      <c r="J165" s="428"/>
      <c r="K165" s="764"/>
      <c r="L165" s="764"/>
      <c r="M165" s="764"/>
      <c r="N165" s="764"/>
      <c r="O165" s="764"/>
      <c r="P165" s="764"/>
      <c r="Q165" s="764"/>
      <c r="R165" s="764"/>
      <c r="S165" s="764"/>
    </row>
    <row r="166" spans="1:19" s="703" customFormat="1" ht="15.75" customHeight="1">
      <c r="A166" s="675" t="s">
        <v>935</v>
      </c>
      <c r="B166" s="700" t="s">
        <v>242</v>
      </c>
      <c r="C166" s="700" t="s">
        <v>242</v>
      </c>
      <c r="D166" s="357">
        <v>3</v>
      </c>
      <c r="E166" s="353" t="s">
        <v>242</v>
      </c>
      <c r="F166" s="679"/>
      <c r="G166" s="311"/>
      <c r="H166" s="312"/>
      <c r="I166" s="258"/>
      <c r="J166" s="393"/>
      <c r="K166" s="702"/>
      <c r="L166" s="702"/>
      <c r="M166" s="702"/>
      <c r="N166" s="702"/>
      <c r="O166" s="702"/>
      <c r="P166" s="702"/>
      <c r="Q166" s="702"/>
      <c r="R166" s="702"/>
      <c r="S166" s="702"/>
    </row>
    <row r="167" spans="1:19" s="703" customFormat="1" ht="15.75" customHeight="1">
      <c r="A167" s="675" t="s">
        <v>935</v>
      </c>
      <c r="B167" s="675"/>
      <c r="C167" s="675"/>
      <c r="D167" s="309"/>
      <c r="E167" s="316" t="s">
        <v>848</v>
      </c>
      <c r="F167" s="703" t="s">
        <v>399</v>
      </c>
      <c r="G167" s="311"/>
      <c r="H167" s="312"/>
      <c r="I167" s="258"/>
      <c r="J167" s="393"/>
      <c r="K167" s="702"/>
      <c r="L167" s="702"/>
      <c r="M167" s="702"/>
      <c r="N167" s="702"/>
      <c r="O167" s="702"/>
      <c r="P167" s="702"/>
      <c r="Q167" s="702"/>
      <c r="R167" s="702"/>
      <c r="S167" s="702"/>
    </row>
    <row r="168" spans="1:19" s="703" customFormat="1" ht="15.75" customHeight="1">
      <c r="A168" s="675" t="s">
        <v>935</v>
      </c>
      <c r="B168" s="675"/>
      <c r="C168" s="675"/>
      <c r="D168" s="357"/>
      <c r="E168" s="301"/>
      <c r="F168" s="316" t="s">
        <v>972</v>
      </c>
      <c r="G168" s="311" t="s">
        <v>405</v>
      </c>
      <c r="H168" s="312"/>
      <c r="I168" s="258"/>
      <c r="J168" s="393"/>
      <c r="K168" s="702"/>
      <c r="L168" s="702"/>
      <c r="M168" s="702"/>
      <c r="N168" s="702"/>
      <c r="O168" s="702"/>
      <c r="P168" s="702"/>
      <c r="Q168" s="702"/>
      <c r="R168" s="702"/>
      <c r="S168" s="702"/>
    </row>
    <row r="169" spans="1:19" ht="15.75" customHeight="1">
      <c r="A169" s="675" t="s">
        <v>935</v>
      </c>
      <c r="D169" s="323"/>
      <c r="E169" s="324"/>
      <c r="F169" s="330"/>
      <c r="G169" s="331"/>
      <c r="H169" s="715" t="s">
        <v>175</v>
      </c>
      <c r="I169" s="716">
        <v>2002</v>
      </c>
      <c r="J169" s="430">
        <v>0.125</v>
      </c>
      <c r="K169" s="706">
        <v>222800000</v>
      </c>
      <c r="L169" s="706">
        <v>0</v>
      </c>
      <c r="M169" s="706">
        <v>0</v>
      </c>
      <c r="N169" s="705">
        <f t="shared" ref="N169:N177" si="42">K169+L169-M169</f>
        <v>222800000</v>
      </c>
      <c r="O169" s="705">
        <v>167100000.00000003</v>
      </c>
      <c r="P169" s="706">
        <f t="shared" ref="P169:P177" si="43">N169*J169</f>
        <v>27850000</v>
      </c>
      <c r="Q169" s="706">
        <v>0</v>
      </c>
      <c r="R169" s="705">
        <f>O169+P169-Q169</f>
        <v>194950000.00000003</v>
      </c>
      <c r="S169" s="706">
        <f t="shared" ref="S169:S177" si="44">N169-R169</f>
        <v>27849999.99999997</v>
      </c>
    </row>
    <row r="170" spans="1:19" ht="15.75" customHeight="1">
      <c r="A170" s="675" t="s">
        <v>935</v>
      </c>
      <c r="D170" s="323"/>
      <c r="E170" s="324"/>
      <c r="F170" s="330"/>
      <c r="G170" s="331"/>
      <c r="H170" s="715" t="s">
        <v>175</v>
      </c>
      <c r="I170" s="716">
        <v>2005</v>
      </c>
      <c r="J170" s="430">
        <v>0.125</v>
      </c>
      <c r="K170" s="706">
        <v>68200000</v>
      </c>
      <c r="L170" s="706">
        <v>0</v>
      </c>
      <c r="M170" s="706">
        <v>0</v>
      </c>
      <c r="N170" s="705">
        <f t="shared" si="42"/>
        <v>68200000</v>
      </c>
      <c r="O170" s="705">
        <v>51149999.999999963</v>
      </c>
      <c r="P170" s="706">
        <f t="shared" si="43"/>
        <v>8525000</v>
      </c>
      <c r="Q170" s="706">
        <v>0</v>
      </c>
      <c r="R170" s="705">
        <f t="shared" ref="R170:R177" si="45">O170+P170-Q170</f>
        <v>59674999.999999963</v>
      </c>
      <c r="S170" s="706">
        <f t="shared" si="44"/>
        <v>8525000.0000000373</v>
      </c>
    </row>
    <row r="171" spans="1:19" ht="15.75" customHeight="1">
      <c r="A171" s="675" t="s">
        <v>935</v>
      </c>
      <c r="D171" s="323"/>
      <c r="E171" s="324"/>
      <c r="F171" s="330"/>
      <c r="G171" s="331"/>
      <c r="H171" s="715" t="s">
        <v>175</v>
      </c>
      <c r="I171" s="716">
        <v>2006</v>
      </c>
      <c r="J171" s="430">
        <v>0.125</v>
      </c>
      <c r="K171" s="706">
        <v>68500000</v>
      </c>
      <c r="L171" s="706">
        <v>0</v>
      </c>
      <c r="M171" s="706">
        <v>0</v>
      </c>
      <c r="N171" s="705">
        <f t="shared" si="42"/>
        <v>68500000</v>
      </c>
      <c r="O171" s="705">
        <v>51374999.999999963</v>
      </c>
      <c r="P171" s="706">
        <f t="shared" si="43"/>
        <v>8562500</v>
      </c>
      <c r="Q171" s="706">
        <v>0</v>
      </c>
      <c r="R171" s="705">
        <f t="shared" si="45"/>
        <v>59937499.999999963</v>
      </c>
      <c r="S171" s="706">
        <f t="shared" si="44"/>
        <v>8562500.0000000373</v>
      </c>
    </row>
    <row r="172" spans="1:19" ht="15.75" customHeight="1">
      <c r="A172" s="675" t="s">
        <v>935</v>
      </c>
      <c r="D172" s="323"/>
      <c r="E172" s="324"/>
      <c r="F172" s="330"/>
      <c r="G172" s="331"/>
      <c r="H172" s="715" t="s">
        <v>400</v>
      </c>
      <c r="I172" s="716">
        <v>2009</v>
      </c>
      <c r="J172" s="430">
        <v>0.125</v>
      </c>
      <c r="K172" s="706">
        <v>9900000</v>
      </c>
      <c r="L172" s="706">
        <v>0</v>
      </c>
      <c r="M172" s="706">
        <v>0</v>
      </c>
      <c r="N172" s="705">
        <f t="shared" si="42"/>
        <v>9900000</v>
      </c>
      <c r="O172" s="705">
        <v>7425000</v>
      </c>
      <c r="P172" s="706">
        <f t="shared" si="43"/>
        <v>1237500</v>
      </c>
      <c r="Q172" s="706">
        <v>0</v>
      </c>
      <c r="R172" s="705">
        <f t="shared" si="45"/>
        <v>8662500</v>
      </c>
      <c r="S172" s="706">
        <f t="shared" si="44"/>
        <v>1237500</v>
      </c>
    </row>
    <row r="173" spans="1:19" ht="15.75" customHeight="1">
      <c r="A173" s="675" t="s">
        <v>935</v>
      </c>
      <c r="D173" s="323"/>
      <c r="E173" s="324"/>
      <c r="F173" s="330"/>
      <c r="G173" s="331"/>
      <c r="H173" s="715" t="s">
        <v>401</v>
      </c>
      <c r="I173" s="716">
        <v>2010</v>
      </c>
      <c r="J173" s="430">
        <v>0.125</v>
      </c>
      <c r="K173" s="706">
        <v>9600000</v>
      </c>
      <c r="L173" s="706">
        <v>0</v>
      </c>
      <c r="M173" s="706">
        <v>0</v>
      </c>
      <c r="N173" s="705">
        <f t="shared" si="42"/>
        <v>9600000</v>
      </c>
      <c r="O173" s="705">
        <v>7200000</v>
      </c>
      <c r="P173" s="706">
        <f t="shared" si="43"/>
        <v>1200000</v>
      </c>
      <c r="Q173" s="706">
        <v>0</v>
      </c>
      <c r="R173" s="705">
        <f t="shared" si="45"/>
        <v>8400000</v>
      </c>
      <c r="S173" s="706">
        <f t="shared" si="44"/>
        <v>1200000</v>
      </c>
    </row>
    <row r="174" spans="1:19" ht="15.75" customHeight="1">
      <c r="A174" s="675" t="s">
        <v>935</v>
      </c>
      <c r="D174" s="323"/>
      <c r="E174" s="324"/>
      <c r="F174" s="330"/>
      <c r="G174" s="331"/>
      <c r="H174" s="715" t="s">
        <v>402</v>
      </c>
      <c r="I174" s="716">
        <v>2011</v>
      </c>
      <c r="J174" s="430">
        <v>0.125</v>
      </c>
      <c r="K174" s="706">
        <v>4600000</v>
      </c>
      <c r="L174" s="706">
        <v>0</v>
      </c>
      <c r="M174" s="706">
        <v>0</v>
      </c>
      <c r="N174" s="705">
        <f t="shared" si="42"/>
        <v>4600000</v>
      </c>
      <c r="O174" s="705">
        <v>3449999.9999999967</v>
      </c>
      <c r="P174" s="706">
        <f t="shared" si="43"/>
        <v>575000</v>
      </c>
      <c r="Q174" s="706">
        <v>0</v>
      </c>
      <c r="R174" s="705">
        <f t="shared" si="45"/>
        <v>4024999.9999999967</v>
      </c>
      <c r="S174" s="706">
        <f t="shared" si="44"/>
        <v>575000.00000000326</v>
      </c>
    </row>
    <row r="175" spans="1:19" ht="15.75" customHeight="1">
      <c r="A175" s="675" t="s">
        <v>935</v>
      </c>
      <c r="D175" s="323"/>
      <c r="E175" s="324"/>
      <c r="F175" s="325"/>
      <c r="G175" s="331"/>
      <c r="H175" s="745" t="s">
        <v>403</v>
      </c>
      <c r="I175" s="765">
        <v>2011</v>
      </c>
      <c r="J175" s="432">
        <v>0.125</v>
      </c>
      <c r="K175" s="705">
        <v>7300000</v>
      </c>
      <c r="L175" s="705">
        <v>0</v>
      </c>
      <c r="M175" s="705">
        <v>0</v>
      </c>
      <c r="N175" s="705">
        <f t="shared" si="42"/>
        <v>7300000</v>
      </c>
      <c r="O175" s="705">
        <v>5475000.0000000019</v>
      </c>
      <c r="P175" s="706">
        <f t="shared" si="43"/>
        <v>912500</v>
      </c>
      <c r="Q175" s="706">
        <v>0</v>
      </c>
      <c r="R175" s="705">
        <f t="shared" si="45"/>
        <v>6387500.0000000019</v>
      </c>
      <c r="S175" s="706">
        <f t="shared" si="44"/>
        <v>912499.99999999814</v>
      </c>
    </row>
    <row r="176" spans="1:19" ht="15.75" customHeight="1">
      <c r="A176" s="675" t="s">
        <v>935</v>
      </c>
      <c r="B176" s="675">
        <v>8</v>
      </c>
      <c r="C176" s="675">
        <v>8</v>
      </c>
      <c r="E176" s="324"/>
      <c r="F176" s="325"/>
      <c r="G176" s="344"/>
      <c r="H176" s="766" t="s">
        <v>404</v>
      </c>
      <c r="I176" s="767">
        <v>2015</v>
      </c>
      <c r="J176" s="435">
        <v>0.125</v>
      </c>
      <c r="K176" s="741">
        <v>17000000</v>
      </c>
      <c r="L176" s="768">
        <v>0</v>
      </c>
      <c r="M176" s="717">
        <v>0</v>
      </c>
      <c r="N176" s="705">
        <f t="shared" si="42"/>
        <v>17000000</v>
      </c>
      <c r="O176" s="705">
        <v>13458333.333333345</v>
      </c>
      <c r="P176" s="706">
        <f t="shared" si="43"/>
        <v>2125000</v>
      </c>
      <c r="Q176" s="677">
        <v>0</v>
      </c>
      <c r="R176" s="705">
        <f t="shared" si="45"/>
        <v>15583333.333333345</v>
      </c>
      <c r="S176" s="706">
        <f t="shared" si="44"/>
        <v>1416666.6666666549</v>
      </c>
    </row>
    <row r="177" spans="1:19" ht="15.75" customHeight="1">
      <c r="E177" s="324"/>
      <c r="F177" s="379"/>
      <c r="G177" s="437"/>
      <c r="H177" s="769" t="s">
        <v>404</v>
      </c>
      <c r="I177" s="770">
        <v>43678</v>
      </c>
      <c r="J177" s="440">
        <v>0.125</v>
      </c>
      <c r="K177" s="747">
        <v>24696000</v>
      </c>
      <c r="L177" s="771"/>
      <c r="M177" s="748"/>
      <c r="N177" s="705">
        <f t="shared" si="42"/>
        <v>24696000</v>
      </c>
      <c r="O177" s="707">
        <v>7460250</v>
      </c>
      <c r="P177" s="706">
        <f t="shared" si="43"/>
        <v>3087000</v>
      </c>
      <c r="Q177" s="747">
        <v>0</v>
      </c>
      <c r="R177" s="705">
        <f t="shared" si="45"/>
        <v>10547250</v>
      </c>
      <c r="S177" s="706">
        <f t="shared" si="44"/>
        <v>14148750</v>
      </c>
    </row>
    <row r="178" spans="1:19" ht="15.75" customHeight="1">
      <c r="A178" s="675" t="s">
        <v>935</v>
      </c>
      <c r="D178" s="387"/>
      <c r="E178" s="388"/>
      <c r="F178" s="1241" t="s">
        <v>973</v>
      </c>
      <c r="G178" s="1242"/>
      <c r="H178" s="1242"/>
      <c r="I178" s="1242"/>
      <c r="J178" s="1243"/>
      <c r="K178" s="708">
        <f>SUM(K169:K177)</f>
        <v>432596000</v>
      </c>
      <c r="L178" s="708">
        <f t="shared" ref="L178:S178" si="46">SUM(L169:L177)</f>
        <v>0</v>
      </c>
      <c r="M178" s="708">
        <f t="shared" si="46"/>
        <v>0</v>
      </c>
      <c r="N178" s="708">
        <f t="shared" si="46"/>
        <v>432596000</v>
      </c>
      <c r="O178" s="708">
        <f t="shared" si="46"/>
        <v>314093583.33333331</v>
      </c>
      <c r="P178" s="708">
        <f t="shared" si="46"/>
        <v>54074500</v>
      </c>
      <c r="Q178" s="708">
        <f t="shared" si="46"/>
        <v>0</v>
      </c>
      <c r="R178" s="708">
        <f t="shared" si="46"/>
        <v>368168083.33333331</v>
      </c>
      <c r="S178" s="708">
        <f t="shared" si="46"/>
        <v>64427916.666666701</v>
      </c>
    </row>
    <row r="179" spans="1:19" s="703" customFormat="1" ht="15.75" customHeight="1">
      <c r="A179" s="675" t="s">
        <v>935</v>
      </c>
      <c r="B179" s="675"/>
      <c r="C179" s="675"/>
      <c r="D179" s="309"/>
      <c r="E179" s="1235" t="s">
        <v>974</v>
      </c>
      <c r="F179" s="1236"/>
      <c r="G179" s="1236"/>
      <c r="H179" s="1236"/>
      <c r="I179" s="1236"/>
      <c r="J179" s="1237"/>
      <c r="K179" s="708">
        <f>K178</f>
        <v>432596000</v>
      </c>
      <c r="L179" s="708">
        <f t="shared" ref="L179:S179" si="47">L178</f>
        <v>0</v>
      </c>
      <c r="M179" s="708">
        <f t="shared" si="47"/>
        <v>0</v>
      </c>
      <c r="N179" s="708">
        <f t="shared" si="47"/>
        <v>432596000</v>
      </c>
      <c r="O179" s="708">
        <f t="shared" si="47"/>
        <v>314093583.33333331</v>
      </c>
      <c r="P179" s="708">
        <f t="shared" si="47"/>
        <v>54074500</v>
      </c>
      <c r="Q179" s="708">
        <f t="shared" si="47"/>
        <v>0</v>
      </c>
      <c r="R179" s="708">
        <f t="shared" si="47"/>
        <v>368168083.33333331</v>
      </c>
      <c r="S179" s="708">
        <f t="shared" si="47"/>
        <v>64427916.666666701</v>
      </c>
    </row>
    <row r="180" spans="1:19" ht="15.75" customHeight="1">
      <c r="A180" s="675" t="s">
        <v>938</v>
      </c>
      <c r="D180" s="387"/>
      <c r="E180" s="324"/>
      <c r="F180" s="330"/>
      <c r="G180" s="721"/>
      <c r="H180" s="715"/>
      <c r="I180" s="751"/>
      <c r="J180" s="393"/>
      <c r="K180" s="705"/>
      <c r="L180" s="706"/>
      <c r="M180" s="706"/>
      <c r="N180" s="705"/>
      <c r="O180" s="705"/>
      <c r="P180" s="706"/>
      <c r="Q180" s="705"/>
      <c r="R180" s="705"/>
      <c r="S180" s="705"/>
    </row>
    <row r="181" spans="1:19" s="703" customFormat="1" ht="15.75" customHeight="1">
      <c r="A181" s="675" t="s">
        <v>938</v>
      </c>
      <c r="B181" s="675"/>
      <c r="C181" s="675"/>
      <c r="D181" s="309"/>
      <c r="E181" s="316" t="s">
        <v>975</v>
      </c>
      <c r="F181" s="703" t="s">
        <v>918</v>
      </c>
      <c r="G181" s="311"/>
      <c r="H181" s="312"/>
      <c r="I181" s="258"/>
      <c r="J181" s="393"/>
      <c r="K181" s="702"/>
      <c r="L181" s="702"/>
      <c r="M181" s="702"/>
      <c r="N181" s="702"/>
      <c r="O181" s="702"/>
      <c r="P181" s="702"/>
      <c r="Q181" s="702"/>
      <c r="R181" s="702"/>
      <c r="S181" s="702"/>
    </row>
    <row r="182" spans="1:19" ht="15.75" customHeight="1">
      <c r="A182" s="675" t="s">
        <v>938</v>
      </c>
      <c r="D182" s="323"/>
      <c r="E182" s="324"/>
      <c r="F182" s="330"/>
      <c r="G182" s="331"/>
      <c r="H182" s="715" t="s">
        <v>211</v>
      </c>
      <c r="I182" s="716">
        <v>2012</v>
      </c>
      <c r="J182" s="430">
        <v>0.125</v>
      </c>
      <c r="K182" s="706">
        <v>9200000</v>
      </c>
      <c r="L182" s="706">
        <v>0</v>
      </c>
      <c r="M182" s="706">
        <v>0</v>
      </c>
      <c r="N182" s="705">
        <f t="shared" ref="N182:N188" si="48">K182+L182-M182</f>
        <v>9200000</v>
      </c>
      <c r="O182" s="705">
        <v>3450000.0000000014</v>
      </c>
      <c r="P182" s="738">
        <v>0</v>
      </c>
      <c r="Q182" s="706">
        <v>0</v>
      </c>
      <c r="R182" s="705">
        <f t="shared" ref="R182:R188" si="49">O182+P182-Q182</f>
        <v>3450000.0000000014</v>
      </c>
      <c r="S182" s="706">
        <f t="shared" ref="S182:S188" si="50">N182-R182</f>
        <v>5749999.9999999981</v>
      </c>
    </row>
    <row r="183" spans="1:19" ht="15.75" customHeight="1">
      <c r="A183" s="675" t="s">
        <v>938</v>
      </c>
      <c r="D183" s="323"/>
      <c r="E183" s="324"/>
      <c r="F183" s="330"/>
      <c r="G183" s="331"/>
      <c r="H183" s="715" t="s">
        <v>211</v>
      </c>
      <c r="I183" s="716">
        <v>2014</v>
      </c>
      <c r="J183" s="430">
        <v>0.125</v>
      </c>
      <c r="K183" s="706">
        <v>10800000</v>
      </c>
      <c r="L183" s="706">
        <v>0</v>
      </c>
      <c r="M183" s="706">
        <v>0</v>
      </c>
      <c r="N183" s="705">
        <f t="shared" si="48"/>
        <v>10800000</v>
      </c>
      <c r="O183" s="705">
        <v>4050000</v>
      </c>
      <c r="P183" s="738">
        <v>0</v>
      </c>
      <c r="Q183" s="706">
        <v>0</v>
      </c>
      <c r="R183" s="705">
        <f t="shared" si="49"/>
        <v>4050000</v>
      </c>
      <c r="S183" s="706">
        <f t="shared" si="50"/>
        <v>6750000</v>
      </c>
    </row>
    <row r="184" spans="1:19" ht="15.75" customHeight="1">
      <c r="A184" s="675" t="s">
        <v>938</v>
      </c>
      <c r="D184" s="323"/>
      <c r="E184" s="324"/>
      <c r="F184" s="330"/>
      <c r="G184" s="331"/>
      <c r="H184" s="715" t="s">
        <v>211</v>
      </c>
      <c r="I184" s="716">
        <v>2014</v>
      </c>
      <c r="J184" s="430">
        <v>0.125</v>
      </c>
      <c r="K184" s="706">
        <v>2400000</v>
      </c>
      <c r="L184" s="706">
        <v>0</v>
      </c>
      <c r="M184" s="706">
        <v>0</v>
      </c>
      <c r="N184" s="705">
        <f t="shared" si="48"/>
        <v>2400000</v>
      </c>
      <c r="O184" s="705">
        <v>900000</v>
      </c>
      <c r="P184" s="738">
        <v>0</v>
      </c>
      <c r="Q184" s="706">
        <v>0</v>
      </c>
      <c r="R184" s="705">
        <f t="shared" si="49"/>
        <v>900000</v>
      </c>
      <c r="S184" s="706">
        <f t="shared" si="50"/>
        <v>1500000</v>
      </c>
    </row>
    <row r="185" spans="1:19" ht="15.75" customHeight="1">
      <c r="A185" s="675" t="s">
        <v>938</v>
      </c>
      <c r="D185" s="323"/>
      <c r="E185" s="324"/>
      <c r="F185" s="330"/>
      <c r="G185" s="331"/>
      <c r="H185" s="715" t="s">
        <v>920</v>
      </c>
      <c r="I185" s="716">
        <v>2012</v>
      </c>
      <c r="J185" s="430">
        <v>0.125</v>
      </c>
      <c r="K185" s="706">
        <v>1800000</v>
      </c>
      <c r="L185" s="706">
        <v>0</v>
      </c>
      <c r="M185" s="706">
        <v>0</v>
      </c>
      <c r="N185" s="705">
        <f t="shared" si="48"/>
        <v>1800000</v>
      </c>
      <c r="O185" s="705">
        <v>675000</v>
      </c>
      <c r="P185" s="738">
        <v>0</v>
      </c>
      <c r="Q185" s="706">
        <v>0</v>
      </c>
      <c r="R185" s="705">
        <f t="shared" si="49"/>
        <v>675000</v>
      </c>
      <c r="S185" s="706">
        <f t="shared" si="50"/>
        <v>1125000</v>
      </c>
    </row>
    <row r="186" spans="1:19" ht="15.75" customHeight="1">
      <c r="A186" s="675" t="s">
        <v>938</v>
      </c>
      <c r="D186" s="323"/>
      <c r="E186" s="324"/>
      <c r="F186" s="330"/>
      <c r="G186" s="331"/>
      <c r="H186" s="715" t="s">
        <v>211</v>
      </c>
      <c r="I186" s="716">
        <v>2014</v>
      </c>
      <c r="J186" s="430">
        <v>0.125</v>
      </c>
      <c r="K186" s="706">
        <v>6300000</v>
      </c>
      <c r="L186" s="706">
        <v>0</v>
      </c>
      <c r="M186" s="706">
        <v>0</v>
      </c>
      <c r="N186" s="705">
        <f t="shared" si="48"/>
        <v>6300000</v>
      </c>
      <c r="O186" s="705">
        <v>2362500</v>
      </c>
      <c r="P186" s="738">
        <v>0</v>
      </c>
      <c r="Q186" s="706">
        <v>0</v>
      </c>
      <c r="R186" s="705">
        <f t="shared" si="49"/>
        <v>2362500</v>
      </c>
      <c r="S186" s="706">
        <f t="shared" si="50"/>
        <v>3937500</v>
      </c>
    </row>
    <row r="187" spans="1:19" ht="15.75" customHeight="1">
      <c r="A187" s="675" t="s">
        <v>938</v>
      </c>
      <c r="D187" s="323"/>
      <c r="E187" s="324"/>
      <c r="F187" s="330"/>
      <c r="G187" s="331"/>
      <c r="H187" s="715" t="s">
        <v>211</v>
      </c>
      <c r="I187" s="739">
        <v>2014</v>
      </c>
      <c r="J187" s="430">
        <v>0.125</v>
      </c>
      <c r="K187" s="706">
        <v>2700000</v>
      </c>
      <c r="L187" s="706">
        <v>0</v>
      </c>
      <c r="M187" s="706">
        <v>0</v>
      </c>
      <c r="N187" s="705">
        <f t="shared" si="48"/>
        <v>2700000</v>
      </c>
      <c r="O187" s="705">
        <v>1012500</v>
      </c>
      <c r="P187" s="738">
        <v>0</v>
      </c>
      <c r="Q187" s="706">
        <v>0</v>
      </c>
      <c r="R187" s="705">
        <f t="shared" si="49"/>
        <v>1012500</v>
      </c>
      <c r="S187" s="706">
        <f t="shared" si="50"/>
        <v>1687500</v>
      </c>
    </row>
    <row r="188" spans="1:19" ht="15.75" customHeight="1">
      <c r="A188" s="675" t="s">
        <v>938</v>
      </c>
      <c r="D188" s="323"/>
      <c r="E188" s="324"/>
      <c r="F188" s="330"/>
      <c r="G188" s="331"/>
      <c r="H188" s="715" t="s">
        <v>406</v>
      </c>
      <c r="I188" s="739">
        <v>2020</v>
      </c>
      <c r="J188" s="430">
        <v>0.125</v>
      </c>
      <c r="K188" s="706">
        <v>10663500</v>
      </c>
      <c r="L188" s="706">
        <v>0</v>
      </c>
      <c r="M188" s="706">
        <v>0</v>
      </c>
      <c r="N188" s="705">
        <f t="shared" si="48"/>
        <v>10663500</v>
      </c>
      <c r="O188" s="705">
        <v>0</v>
      </c>
      <c r="P188" s="738">
        <v>0</v>
      </c>
      <c r="Q188" s="706">
        <v>0</v>
      </c>
      <c r="R188" s="705">
        <f t="shared" si="49"/>
        <v>0</v>
      </c>
      <c r="S188" s="706">
        <f t="shared" si="50"/>
        <v>10663500</v>
      </c>
    </row>
    <row r="189" spans="1:19" s="703" customFormat="1" ht="15.75" customHeight="1">
      <c r="A189" s="675" t="s">
        <v>938</v>
      </c>
      <c r="B189" s="675"/>
      <c r="C189" s="675"/>
      <c r="D189" s="309"/>
      <c r="E189" s="1235" t="s">
        <v>976</v>
      </c>
      <c r="F189" s="1236"/>
      <c r="G189" s="1236"/>
      <c r="H189" s="1236"/>
      <c r="I189" s="1236"/>
      <c r="J189" s="1237"/>
      <c r="K189" s="708">
        <f>SUM(K182:K188)</f>
        <v>43863500</v>
      </c>
      <c r="L189" s="708">
        <f t="shared" ref="L189:S189" si="51">SUM(L182:L188)</f>
        <v>0</v>
      </c>
      <c r="M189" s="708">
        <f t="shared" si="51"/>
        <v>0</v>
      </c>
      <c r="N189" s="708">
        <f t="shared" si="51"/>
        <v>43863500</v>
      </c>
      <c r="O189" s="708">
        <f t="shared" si="51"/>
        <v>12450000.000000002</v>
      </c>
      <c r="P189" s="708">
        <f t="shared" si="51"/>
        <v>0</v>
      </c>
      <c r="Q189" s="708">
        <f t="shared" si="51"/>
        <v>0</v>
      </c>
      <c r="R189" s="708">
        <f t="shared" si="51"/>
        <v>12450000.000000002</v>
      </c>
      <c r="S189" s="708">
        <f t="shared" si="51"/>
        <v>31413500</v>
      </c>
    </row>
    <row r="190" spans="1:19" ht="15.75" customHeight="1">
      <c r="A190" s="675" t="s">
        <v>944</v>
      </c>
      <c r="D190" s="323"/>
      <c r="E190" s="324"/>
      <c r="F190" s="330"/>
      <c r="G190" s="331"/>
      <c r="H190" s="715"/>
      <c r="I190" s="751"/>
      <c r="J190" s="393"/>
      <c r="K190" s="706"/>
      <c r="L190" s="706"/>
      <c r="M190" s="706"/>
      <c r="N190" s="706"/>
      <c r="O190" s="705"/>
      <c r="P190" s="706"/>
      <c r="Q190" s="706"/>
      <c r="R190" s="705"/>
      <c r="S190" s="706"/>
    </row>
    <row r="191" spans="1:19" s="703" customFormat="1" ht="15.75" customHeight="1">
      <c r="A191" s="675" t="s">
        <v>944</v>
      </c>
      <c r="B191" s="675"/>
      <c r="C191" s="675"/>
      <c r="D191" s="309"/>
      <c r="E191" s="316" t="s">
        <v>977</v>
      </c>
      <c r="F191" s="703" t="s">
        <v>407</v>
      </c>
      <c r="G191" s="311"/>
      <c r="H191" s="312"/>
      <c r="I191" s="258"/>
      <c r="J191" s="393"/>
      <c r="K191" s="702"/>
      <c r="L191" s="702"/>
      <c r="M191" s="702"/>
      <c r="N191" s="702"/>
      <c r="O191" s="702"/>
      <c r="P191" s="702"/>
      <c r="Q191" s="702"/>
      <c r="R191" s="702"/>
      <c r="S191" s="702"/>
    </row>
    <row r="192" spans="1:19" ht="15.75" customHeight="1">
      <c r="A192" s="675" t="s">
        <v>944</v>
      </c>
      <c r="D192" s="323"/>
      <c r="E192" s="324"/>
      <c r="F192" s="330"/>
      <c r="G192" s="331"/>
      <c r="H192" s="715" t="s">
        <v>211</v>
      </c>
      <c r="I192" s="716">
        <v>2010</v>
      </c>
      <c r="J192" s="430">
        <v>0.125</v>
      </c>
      <c r="K192" s="706">
        <v>47970401.652503371</v>
      </c>
      <c r="L192" s="706">
        <v>0</v>
      </c>
      <c r="M192" s="706">
        <v>0</v>
      </c>
      <c r="N192" s="705">
        <f t="shared" ref="N192:N203" si="52">K192+L192-M192</f>
        <v>47970401.652503371</v>
      </c>
      <c r="O192" s="705">
        <v>35977801.239377514</v>
      </c>
      <c r="P192" s="706">
        <f t="shared" ref="P192:P203" si="53">N192*J192</f>
        <v>5996300.2065629214</v>
      </c>
      <c r="Q192" s="706"/>
      <c r="R192" s="705">
        <f>O192+P192-Q192</f>
        <v>41974101.445940435</v>
      </c>
      <c r="S192" s="706">
        <f t="shared" ref="S192:S203" si="54">N192-R192</f>
        <v>5996300.2065629363</v>
      </c>
    </row>
    <row r="193" spans="1:19" ht="15.75" customHeight="1">
      <c r="A193" s="675" t="s">
        <v>944</v>
      </c>
      <c r="D193" s="323"/>
      <c r="E193" s="324"/>
      <c r="F193" s="330"/>
      <c r="G193" s="331"/>
      <c r="H193" s="715" t="s">
        <v>408</v>
      </c>
      <c r="I193" s="716">
        <v>2010</v>
      </c>
      <c r="J193" s="430">
        <v>0.125</v>
      </c>
      <c r="K193" s="706">
        <v>4551689.9081968768</v>
      </c>
      <c r="L193" s="706">
        <v>0</v>
      </c>
      <c r="M193" s="706">
        <v>0</v>
      </c>
      <c r="N193" s="705">
        <f t="shared" si="52"/>
        <v>4551689.9081968768</v>
      </c>
      <c r="O193" s="705">
        <v>3413767.4311476601</v>
      </c>
      <c r="P193" s="706">
        <f t="shared" si="53"/>
        <v>568961.23852460959</v>
      </c>
      <c r="Q193" s="706"/>
      <c r="R193" s="705">
        <f t="shared" ref="R193:R203" si="55">O193+P193-Q193</f>
        <v>3982728.6696722698</v>
      </c>
      <c r="S193" s="706">
        <f t="shared" si="54"/>
        <v>568961.23852460692</v>
      </c>
    </row>
    <row r="194" spans="1:19" ht="15.75" customHeight="1">
      <c r="A194" s="675" t="s">
        <v>944</v>
      </c>
      <c r="D194" s="323"/>
      <c r="E194" s="324"/>
      <c r="F194" s="330"/>
      <c r="G194" s="331"/>
      <c r="H194" s="715" t="s">
        <v>409</v>
      </c>
      <c r="I194" s="716">
        <v>2010</v>
      </c>
      <c r="J194" s="430">
        <v>0.125</v>
      </c>
      <c r="K194" s="706">
        <v>630420.43789576215</v>
      </c>
      <c r="L194" s="706">
        <v>0</v>
      </c>
      <c r="M194" s="706">
        <v>0</v>
      </c>
      <c r="N194" s="705">
        <f t="shared" si="52"/>
        <v>630420.43789576215</v>
      </c>
      <c r="O194" s="705">
        <v>472815.32842182141</v>
      </c>
      <c r="P194" s="706">
        <f t="shared" si="53"/>
        <v>78802.554736970269</v>
      </c>
      <c r="Q194" s="706"/>
      <c r="R194" s="705">
        <f t="shared" si="55"/>
        <v>551617.88315879169</v>
      </c>
      <c r="S194" s="706">
        <f t="shared" si="54"/>
        <v>78802.554736970458</v>
      </c>
    </row>
    <row r="195" spans="1:19" ht="15.75" customHeight="1">
      <c r="A195" s="675" t="s">
        <v>944</v>
      </c>
      <c r="D195" s="323"/>
      <c r="E195" s="324"/>
      <c r="F195" s="330"/>
      <c r="G195" s="331"/>
      <c r="H195" s="715" t="s">
        <v>410</v>
      </c>
      <c r="I195" s="716">
        <v>2010</v>
      </c>
      <c r="J195" s="430">
        <v>0.125</v>
      </c>
      <c r="K195" s="706">
        <v>608681.8021062531</v>
      </c>
      <c r="L195" s="706">
        <v>0</v>
      </c>
      <c r="M195" s="706">
        <v>0</v>
      </c>
      <c r="N195" s="705">
        <f t="shared" si="52"/>
        <v>608681.8021062531</v>
      </c>
      <c r="O195" s="705">
        <v>456511.35157969058</v>
      </c>
      <c r="P195" s="706">
        <f t="shared" si="53"/>
        <v>76085.225263281638</v>
      </c>
      <c r="Q195" s="706"/>
      <c r="R195" s="705">
        <f t="shared" si="55"/>
        <v>532596.57684297219</v>
      </c>
      <c r="S195" s="706">
        <f t="shared" si="54"/>
        <v>76085.22526328091</v>
      </c>
    </row>
    <row r="196" spans="1:19" ht="15.75" customHeight="1">
      <c r="A196" s="675" t="s">
        <v>944</v>
      </c>
      <c r="D196" s="323"/>
      <c r="E196" s="324"/>
      <c r="F196" s="330"/>
      <c r="G196" s="331"/>
      <c r="H196" s="715" t="s">
        <v>411</v>
      </c>
      <c r="I196" s="716">
        <v>2011</v>
      </c>
      <c r="J196" s="430">
        <v>0.125</v>
      </c>
      <c r="K196" s="706">
        <v>986236.51245979429</v>
      </c>
      <c r="L196" s="706">
        <v>0</v>
      </c>
      <c r="M196" s="706">
        <v>0</v>
      </c>
      <c r="N196" s="705">
        <f t="shared" si="52"/>
        <v>986236.51245979429</v>
      </c>
      <c r="O196" s="705">
        <v>739677.38434484683</v>
      </c>
      <c r="P196" s="706">
        <f t="shared" si="53"/>
        <v>123279.56405747429</v>
      </c>
      <c r="Q196" s="706"/>
      <c r="R196" s="705">
        <f t="shared" si="55"/>
        <v>862956.94840232108</v>
      </c>
      <c r="S196" s="706">
        <f t="shared" si="54"/>
        <v>123279.56405747321</v>
      </c>
    </row>
    <row r="197" spans="1:19" ht="15.75" customHeight="1">
      <c r="A197" s="675" t="s">
        <v>944</v>
      </c>
      <c r="D197" s="323"/>
      <c r="E197" s="324"/>
      <c r="F197" s="330"/>
      <c r="G197" s="331"/>
      <c r="H197" s="715" t="s">
        <v>412</v>
      </c>
      <c r="I197" s="716">
        <v>2012</v>
      </c>
      <c r="J197" s="430">
        <v>0.125</v>
      </c>
      <c r="K197" s="706">
        <v>2524636.8039354011</v>
      </c>
      <c r="L197" s="706">
        <v>0</v>
      </c>
      <c r="M197" s="706">
        <v>0</v>
      </c>
      <c r="N197" s="705">
        <f t="shared" si="52"/>
        <v>2524636.8039354011</v>
      </c>
      <c r="O197" s="705">
        <v>1893477.6029515527</v>
      </c>
      <c r="P197" s="706">
        <f t="shared" si="53"/>
        <v>315579.60049192514</v>
      </c>
      <c r="Q197" s="706"/>
      <c r="R197" s="705">
        <f t="shared" si="55"/>
        <v>2209057.2034434779</v>
      </c>
      <c r="S197" s="706">
        <f t="shared" si="54"/>
        <v>315579.60049192328</v>
      </c>
    </row>
    <row r="198" spans="1:19" ht="15.75" customHeight="1">
      <c r="A198" s="675" t="s">
        <v>944</v>
      </c>
      <c r="D198" s="323"/>
      <c r="E198" s="324"/>
      <c r="F198" s="330"/>
      <c r="G198" s="331"/>
      <c r="H198" s="715" t="s">
        <v>413</v>
      </c>
      <c r="I198" s="716">
        <v>2013</v>
      </c>
      <c r="J198" s="430">
        <v>0.125</v>
      </c>
      <c r="K198" s="706">
        <v>304028.02706696541</v>
      </c>
      <c r="L198" s="706">
        <v>0</v>
      </c>
      <c r="M198" s="706">
        <v>0</v>
      </c>
      <c r="N198" s="705">
        <f t="shared" si="52"/>
        <v>304028.02706696541</v>
      </c>
      <c r="O198" s="705">
        <v>228021.02030022416</v>
      </c>
      <c r="P198" s="706">
        <f t="shared" si="53"/>
        <v>38003.503383370677</v>
      </c>
      <c r="Q198" s="706"/>
      <c r="R198" s="705">
        <f t="shared" si="55"/>
        <v>266024.52368359483</v>
      </c>
      <c r="S198" s="706">
        <f t="shared" si="54"/>
        <v>38003.503383370582</v>
      </c>
    </row>
    <row r="199" spans="1:19" ht="15.75" customHeight="1">
      <c r="A199" s="675" t="s">
        <v>944</v>
      </c>
      <c r="D199" s="323"/>
      <c r="E199" s="324"/>
      <c r="F199" s="330"/>
      <c r="G199" s="331"/>
      <c r="H199" s="715" t="s">
        <v>413</v>
      </c>
      <c r="I199" s="716">
        <v>2013</v>
      </c>
      <c r="J199" s="430">
        <v>0.125</v>
      </c>
      <c r="K199" s="706">
        <v>962755.41904539044</v>
      </c>
      <c r="L199" s="706">
        <v>0</v>
      </c>
      <c r="M199" s="706">
        <v>0</v>
      </c>
      <c r="N199" s="705">
        <f t="shared" si="52"/>
        <v>962755.41904539044</v>
      </c>
      <c r="O199" s="705">
        <v>722066.56428404211</v>
      </c>
      <c r="P199" s="706">
        <f t="shared" si="53"/>
        <v>120344.42738067381</v>
      </c>
      <c r="Q199" s="706"/>
      <c r="R199" s="705">
        <f t="shared" si="55"/>
        <v>842410.99166471593</v>
      </c>
      <c r="S199" s="706">
        <f t="shared" si="54"/>
        <v>120344.42738067452</v>
      </c>
    </row>
    <row r="200" spans="1:19" ht="15.75" customHeight="1">
      <c r="A200" s="675" t="s">
        <v>944</v>
      </c>
      <c r="D200" s="323"/>
      <c r="E200" s="324"/>
      <c r="F200" s="330"/>
      <c r="G200" s="331"/>
      <c r="H200" s="715" t="s">
        <v>414</v>
      </c>
      <c r="I200" s="716">
        <v>2013</v>
      </c>
      <c r="J200" s="430">
        <v>0.125</v>
      </c>
      <c r="K200" s="706">
        <v>970457.46239775361</v>
      </c>
      <c r="L200" s="706">
        <v>0</v>
      </c>
      <c r="M200" s="706">
        <v>0</v>
      </c>
      <c r="N200" s="705">
        <f t="shared" si="52"/>
        <v>970457.46239775361</v>
      </c>
      <c r="O200" s="705">
        <v>727843.09679831518</v>
      </c>
      <c r="P200" s="706">
        <f t="shared" si="53"/>
        <v>121307.1827997192</v>
      </c>
      <c r="Q200" s="706"/>
      <c r="R200" s="705">
        <f t="shared" si="55"/>
        <v>849150.27959803434</v>
      </c>
      <c r="S200" s="706">
        <f t="shared" si="54"/>
        <v>121307.18279971927</v>
      </c>
    </row>
    <row r="201" spans="1:19" ht="15.75" customHeight="1">
      <c r="A201" s="675" t="s">
        <v>944</v>
      </c>
      <c r="D201" s="323"/>
      <c r="E201" s="324"/>
      <c r="F201" s="330"/>
      <c r="G201" s="331"/>
      <c r="H201" s="715" t="s">
        <v>211</v>
      </c>
      <c r="I201" s="746">
        <v>2016</v>
      </c>
      <c r="J201" s="430">
        <v>0.125</v>
      </c>
      <c r="K201" s="706">
        <v>6500000</v>
      </c>
      <c r="L201" s="706">
        <v>0</v>
      </c>
      <c r="M201" s="706">
        <v>0</v>
      </c>
      <c r="N201" s="705">
        <f t="shared" si="52"/>
        <v>6500000</v>
      </c>
      <c r="O201" s="705">
        <v>4468750.0000000028</v>
      </c>
      <c r="P201" s="706">
        <f t="shared" si="53"/>
        <v>812500</v>
      </c>
      <c r="Q201" s="706"/>
      <c r="R201" s="705">
        <f t="shared" si="55"/>
        <v>5281250.0000000028</v>
      </c>
      <c r="S201" s="706">
        <f t="shared" si="54"/>
        <v>1218749.9999999972</v>
      </c>
    </row>
    <row r="202" spans="1:19" ht="15.75" customHeight="1">
      <c r="A202" s="675" t="s">
        <v>944</v>
      </c>
      <c r="D202" s="323"/>
      <c r="E202" s="324"/>
      <c r="F202" s="330"/>
      <c r="G202" s="331"/>
      <c r="H202" s="442" t="s">
        <v>415</v>
      </c>
      <c r="I202" s="443">
        <v>2020</v>
      </c>
      <c r="J202" s="772">
        <v>0.125</v>
      </c>
      <c r="K202" s="445">
        <v>1544000</v>
      </c>
      <c r="L202" s="706">
        <v>0</v>
      </c>
      <c r="M202" s="706">
        <v>0</v>
      </c>
      <c r="N202" s="705">
        <f t="shared" si="52"/>
        <v>1544000</v>
      </c>
      <c r="O202" s="705">
        <v>321666.66666666669</v>
      </c>
      <c r="P202" s="706">
        <f t="shared" si="53"/>
        <v>193000</v>
      </c>
      <c r="Q202" s="706"/>
      <c r="R202" s="705">
        <f t="shared" si="55"/>
        <v>514666.66666666669</v>
      </c>
      <c r="S202" s="706">
        <f t="shared" si="54"/>
        <v>1029333.3333333333</v>
      </c>
    </row>
    <row r="203" spans="1:19" ht="15.75" customHeight="1">
      <c r="A203" s="675" t="s">
        <v>944</v>
      </c>
      <c r="D203" s="323"/>
      <c r="E203" s="324"/>
      <c r="F203" s="330"/>
      <c r="G203" s="331"/>
      <c r="H203" s="446" t="s">
        <v>406</v>
      </c>
      <c r="I203" s="262">
        <v>2020</v>
      </c>
      <c r="J203" s="772">
        <v>0.125</v>
      </c>
      <c r="K203" s="447">
        <v>468772957</v>
      </c>
      <c r="L203" s="706">
        <v>0</v>
      </c>
      <c r="M203" s="706">
        <v>0</v>
      </c>
      <c r="N203" s="705">
        <f t="shared" si="52"/>
        <v>468772957</v>
      </c>
      <c r="O203" s="705">
        <v>14649154.9</v>
      </c>
      <c r="P203" s="706">
        <f t="shared" si="53"/>
        <v>58596619.625</v>
      </c>
      <c r="Q203" s="706"/>
      <c r="R203" s="705">
        <f t="shared" si="55"/>
        <v>73245774.525000006</v>
      </c>
      <c r="S203" s="706">
        <f t="shared" si="54"/>
        <v>395527182.47500002</v>
      </c>
    </row>
    <row r="204" spans="1:19" s="703" customFormat="1" ht="15.75" customHeight="1">
      <c r="A204" s="675" t="s">
        <v>944</v>
      </c>
      <c r="B204" s="675"/>
      <c r="C204" s="675"/>
      <c r="D204" s="309"/>
      <c r="E204" s="1235" t="s">
        <v>978</v>
      </c>
      <c r="F204" s="1236"/>
      <c r="G204" s="1236"/>
      <c r="H204" s="1236"/>
      <c r="I204" s="1236"/>
      <c r="J204" s="1237"/>
      <c r="K204" s="708">
        <f>SUM(K192:K203)</f>
        <v>536326265.02560759</v>
      </c>
      <c r="L204" s="708">
        <f t="shared" ref="L204:S204" si="56">SUM(L192:L203)</f>
        <v>0</v>
      </c>
      <c r="M204" s="708">
        <f t="shared" si="56"/>
        <v>0</v>
      </c>
      <c r="N204" s="708">
        <f t="shared" si="56"/>
        <v>536326265.02560759</v>
      </c>
      <c r="O204" s="708">
        <f t="shared" si="56"/>
        <v>64071552.585872322</v>
      </c>
      <c r="P204" s="708">
        <f t="shared" si="56"/>
        <v>67040783.128200948</v>
      </c>
      <c r="Q204" s="708">
        <f t="shared" si="56"/>
        <v>0</v>
      </c>
      <c r="R204" s="708">
        <f t="shared" si="56"/>
        <v>131112335.71407327</v>
      </c>
      <c r="S204" s="708">
        <f t="shared" si="56"/>
        <v>405213929.31153429</v>
      </c>
    </row>
    <row r="205" spans="1:19" ht="15.75" customHeight="1">
      <c r="D205" s="387"/>
      <c r="E205" s="388"/>
      <c r="F205" s="330"/>
      <c r="G205" s="727"/>
      <c r="H205" s="732"/>
      <c r="I205" s="733"/>
      <c r="J205" s="364"/>
      <c r="K205" s="705"/>
      <c r="L205" s="706"/>
      <c r="M205" s="706"/>
      <c r="N205" s="705"/>
      <c r="O205" s="705"/>
      <c r="P205" s="706"/>
      <c r="Q205" s="705"/>
      <c r="R205" s="705"/>
      <c r="S205" s="705"/>
    </row>
    <row r="206" spans="1:19" s="763" customFormat="1" ht="25" customHeight="1">
      <c r="A206" s="675"/>
      <c r="B206" s="675"/>
      <c r="C206" s="675"/>
      <c r="D206" s="1229" t="s">
        <v>979</v>
      </c>
      <c r="E206" s="1230"/>
      <c r="F206" s="1230"/>
      <c r="G206" s="1230"/>
      <c r="H206" s="1230"/>
      <c r="I206" s="1230"/>
      <c r="J206" s="1231"/>
      <c r="K206" s="708">
        <f>K179+K189+K204</f>
        <v>1012785765.0256076</v>
      </c>
      <c r="L206" s="708">
        <f t="shared" ref="L206:S206" si="57">L179+L189+L204</f>
        <v>0</v>
      </c>
      <c r="M206" s="708">
        <f t="shared" si="57"/>
        <v>0</v>
      </c>
      <c r="N206" s="708">
        <f t="shared" si="57"/>
        <v>1012785765.0256076</v>
      </c>
      <c r="O206" s="708">
        <f>O179+O189+O204</f>
        <v>390615135.91920567</v>
      </c>
      <c r="P206" s="708">
        <f t="shared" si="57"/>
        <v>121115283.12820095</v>
      </c>
      <c r="Q206" s="708">
        <f t="shared" si="57"/>
        <v>0</v>
      </c>
      <c r="R206" s="708">
        <f t="shared" si="57"/>
        <v>511730419.04740655</v>
      </c>
      <c r="S206" s="708">
        <f t="shared" si="57"/>
        <v>501055345.97820097</v>
      </c>
    </row>
    <row r="207" spans="1:19" ht="15.75" customHeight="1">
      <c r="D207" s="323"/>
      <c r="E207" s="324"/>
      <c r="F207" s="302"/>
      <c r="G207" s="303"/>
      <c r="H207" s="448"/>
      <c r="I207" s="354"/>
      <c r="J207" s="396"/>
      <c r="K207" s="711"/>
      <c r="L207" s="711"/>
      <c r="M207" s="711"/>
      <c r="N207" s="711"/>
      <c r="O207" s="711"/>
      <c r="P207" s="711"/>
      <c r="Q207" s="711"/>
      <c r="R207" s="711"/>
      <c r="S207" s="711"/>
    </row>
    <row r="208" spans="1:19" s="703" customFormat="1" ht="15.75" customHeight="1">
      <c r="A208" s="675" t="s">
        <v>935</v>
      </c>
      <c r="B208" s="700" t="s">
        <v>980</v>
      </c>
      <c r="C208" s="700" t="s">
        <v>980</v>
      </c>
      <c r="D208" s="357">
        <v>4</v>
      </c>
      <c r="E208" s="353" t="s">
        <v>980</v>
      </c>
      <c r="G208" s="311"/>
      <c r="H208" s="312"/>
      <c r="I208" s="258"/>
      <c r="J208" s="393"/>
      <c r="K208" s="702"/>
      <c r="L208" s="702"/>
      <c r="M208" s="702"/>
      <c r="N208" s="702"/>
      <c r="O208" s="702"/>
      <c r="P208" s="702"/>
      <c r="Q208" s="702"/>
      <c r="R208" s="702"/>
      <c r="S208" s="702"/>
    </row>
    <row r="209" spans="1:19" s="703" customFormat="1" ht="15.75" customHeight="1">
      <c r="A209" s="675" t="s">
        <v>935</v>
      </c>
      <c r="B209" s="675"/>
      <c r="C209" s="675"/>
      <c r="D209" s="309"/>
      <c r="E209" s="316" t="s">
        <v>854</v>
      </c>
      <c r="F209" s="703" t="s">
        <v>416</v>
      </c>
      <c r="G209" s="311"/>
      <c r="H209" s="312"/>
      <c r="I209" s="258"/>
      <c r="J209" s="393"/>
      <c r="K209" s="702"/>
      <c r="L209" s="702"/>
      <c r="M209" s="702"/>
      <c r="N209" s="702"/>
      <c r="O209" s="702"/>
      <c r="P209" s="702"/>
      <c r="Q209" s="702"/>
      <c r="R209" s="702"/>
      <c r="S209" s="702"/>
    </row>
    <row r="210" spans="1:19" s="703" customFormat="1" ht="15.75" customHeight="1">
      <c r="A210" s="675" t="s">
        <v>935</v>
      </c>
      <c r="B210" s="675"/>
      <c r="C210" s="675"/>
      <c r="D210" s="357"/>
      <c r="E210" s="301"/>
      <c r="F210" s="316" t="s">
        <v>981</v>
      </c>
      <c r="G210" s="311" t="s">
        <v>405</v>
      </c>
      <c r="H210" s="312"/>
      <c r="I210" s="258"/>
      <c r="J210" s="393"/>
      <c r="K210" s="702"/>
      <c r="L210" s="702"/>
      <c r="M210" s="702"/>
      <c r="N210" s="702"/>
      <c r="O210" s="702"/>
      <c r="P210" s="702"/>
      <c r="Q210" s="702"/>
      <c r="R210" s="702"/>
      <c r="S210" s="702"/>
    </row>
    <row r="211" spans="1:19" ht="15.75" customHeight="1">
      <c r="A211" s="675" t="s">
        <v>935</v>
      </c>
      <c r="D211" s="309"/>
      <c r="E211" s="316"/>
      <c r="F211" s="353"/>
      <c r="G211" s="311"/>
      <c r="H211" s="715" t="s">
        <v>418</v>
      </c>
      <c r="I211" s="716">
        <v>2010</v>
      </c>
      <c r="J211" s="393">
        <v>0.25</v>
      </c>
      <c r="K211" s="706">
        <v>261140000</v>
      </c>
      <c r="L211" s="706">
        <v>0</v>
      </c>
      <c r="M211" s="706">
        <v>0</v>
      </c>
      <c r="N211" s="705">
        <f>K211+L211-M211</f>
        <v>261140000</v>
      </c>
      <c r="O211" s="705">
        <v>261140000</v>
      </c>
      <c r="P211" s="706">
        <v>0</v>
      </c>
      <c r="Q211" s="706">
        <v>0</v>
      </c>
      <c r="R211" s="705">
        <f>O211+P211-Q211</f>
        <v>261140000</v>
      </c>
      <c r="S211" s="706">
        <f>N211-R211</f>
        <v>0</v>
      </c>
    </row>
    <row r="212" spans="1:19" ht="15.75" customHeight="1">
      <c r="A212" s="675" t="s">
        <v>935</v>
      </c>
      <c r="D212" s="309"/>
      <c r="E212" s="316"/>
      <c r="F212" s="353"/>
      <c r="G212" s="311"/>
      <c r="H212" s="715" t="s">
        <v>419</v>
      </c>
      <c r="I212" s="716">
        <v>2011</v>
      </c>
      <c r="J212" s="393">
        <v>0.25</v>
      </c>
      <c r="K212" s="706">
        <v>312013000</v>
      </c>
      <c r="L212" s="706">
        <v>0</v>
      </c>
      <c r="M212" s="706">
        <v>0</v>
      </c>
      <c r="N212" s="705">
        <f>K212+L212-M212</f>
        <v>312013000</v>
      </c>
      <c r="O212" s="705">
        <v>312013000</v>
      </c>
      <c r="P212" s="706">
        <v>0</v>
      </c>
      <c r="Q212" s="706">
        <v>0</v>
      </c>
      <c r="R212" s="705">
        <f>O212+P212-Q212</f>
        <v>312013000</v>
      </c>
      <c r="S212" s="706">
        <f>N212-R212</f>
        <v>0</v>
      </c>
    </row>
    <row r="213" spans="1:19" ht="15.75" customHeight="1">
      <c r="A213" s="675" t="s">
        <v>935</v>
      </c>
      <c r="D213" s="309"/>
      <c r="E213" s="316"/>
      <c r="F213" s="353"/>
      <c r="G213" s="311"/>
      <c r="H213" s="743" t="s">
        <v>420</v>
      </c>
      <c r="I213" s="765">
        <v>2011</v>
      </c>
      <c r="J213" s="396">
        <v>0.25</v>
      </c>
      <c r="K213" s="706">
        <v>215914000</v>
      </c>
      <c r="L213" s="706">
        <v>0</v>
      </c>
      <c r="M213" s="706">
        <v>0</v>
      </c>
      <c r="N213" s="705">
        <f>K213+L213-M213</f>
        <v>215914000</v>
      </c>
      <c r="O213" s="705">
        <v>215914000</v>
      </c>
      <c r="P213" s="706">
        <v>0</v>
      </c>
      <c r="Q213" s="706">
        <v>0</v>
      </c>
      <c r="R213" s="705">
        <f>O213+P213-Q213</f>
        <v>215914000</v>
      </c>
      <c r="S213" s="706">
        <f>N213-R213</f>
        <v>0</v>
      </c>
    </row>
    <row r="214" spans="1:19" ht="15.75" customHeight="1">
      <c r="D214" s="309"/>
      <c r="E214" s="316"/>
      <c r="F214" s="449"/>
      <c r="G214" s="450"/>
      <c r="H214" s="728" t="s">
        <v>421</v>
      </c>
      <c r="I214" s="773">
        <v>2019</v>
      </c>
      <c r="J214" s="396">
        <v>0.25</v>
      </c>
      <c r="K214" s="706">
        <v>181518750</v>
      </c>
      <c r="L214" s="709"/>
      <c r="M214" s="709"/>
      <c r="N214" s="705">
        <f>K214+L214-M214</f>
        <v>181518750</v>
      </c>
      <c r="O214" s="705">
        <v>109788316.77083333</v>
      </c>
      <c r="P214" s="706">
        <f>N214*J214</f>
        <v>45379687.5</v>
      </c>
      <c r="Q214" s="709">
        <v>0</v>
      </c>
      <c r="R214" s="705">
        <f>O214+P214-Q214</f>
        <v>155168004.27083331</v>
      </c>
      <c r="S214" s="706">
        <f>N214-R214</f>
        <v>26350745.729166687</v>
      </c>
    </row>
    <row r="215" spans="1:19" ht="15.75" customHeight="1">
      <c r="A215" s="675" t="s">
        <v>935</v>
      </c>
      <c r="D215" s="387"/>
      <c r="E215" s="388"/>
      <c r="F215" s="1241" t="s">
        <v>982</v>
      </c>
      <c r="G215" s="1242"/>
      <c r="H215" s="1242"/>
      <c r="I215" s="1242"/>
      <c r="J215" s="1243"/>
      <c r="K215" s="708">
        <f>SUM(K211:K214)</f>
        <v>970585750</v>
      </c>
      <c r="L215" s="708">
        <f t="shared" ref="L215:S215" si="58">SUM(L211:L214)</f>
        <v>0</v>
      </c>
      <c r="M215" s="708">
        <f t="shared" si="58"/>
        <v>0</v>
      </c>
      <c r="N215" s="708">
        <f t="shared" si="58"/>
        <v>970585750</v>
      </c>
      <c r="O215" s="708">
        <f t="shared" si="58"/>
        <v>898855316.77083337</v>
      </c>
      <c r="P215" s="708">
        <f t="shared" si="58"/>
        <v>45379687.5</v>
      </c>
      <c r="Q215" s="708">
        <f t="shared" si="58"/>
        <v>0</v>
      </c>
      <c r="R215" s="708">
        <f t="shared" si="58"/>
        <v>944235004.27083325</v>
      </c>
      <c r="S215" s="708">
        <f t="shared" si="58"/>
        <v>26350745.729166687</v>
      </c>
    </row>
    <row r="216" spans="1:19" s="703" customFormat="1" ht="15.75" customHeight="1">
      <c r="A216" s="675" t="s">
        <v>935</v>
      </c>
      <c r="B216" s="675"/>
      <c r="C216" s="675"/>
      <c r="D216" s="309"/>
      <c r="E216" s="1235" t="s">
        <v>983</v>
      </c>
      <c r="F216" s="1236"/>
      <c r="G216" s="1236"/>
      <c r="H216" s="1236"/>
      <c r="I216" s="1236"/>
      <c r="J216" s="1237"/>
      <c r="K216" s="708">
        <f>K215</f>
        <v>970585750</v>
      </c>
      <c r="L216" s="708">
        <f t="shared" ref="L216:S216" si="59">L215</f>
        <v>0</v>
      </c>
      <c r="M216" s="708">
        <f t="shared" si="59"/>
        <v>0</v>
      </c>
      <c r="N216" s="708">
        <f t="shared" si="59"/>
        <v>970585750</v>
      </c>
      <c r="O216" s="708">
        <f t="shared" si="59"/>
        <v>898855316.77083337</v>
      </c>
      <c r="P216" s="708">
        <f t="shared" si="59"/>
        <v>45379687.5</v>
      </c>
      <c r="Q216" s="708">
        <f t="shared" si="59"/>
        <v>0</v>
      </c>
      <c r="R216" s="708">
        <f t="shared" si="59"/>
        <v>944235004.27083325</v>
      </c>
      <c r="S216" s="708">
        <f t="shared" si="59"/>
        <v>26350745.729166687</v>
      </c>
    </row>
    <row r="217" spans="1:19" ht="15.75" customHeight="1">
      <c r="D217" s="387"/>
      <c r="E217" s="324"/>
      <c r="F217" s="330"/>
      <c r="G217" s="721"/>
      <c r="H217" s="715"/>
      <c r="I217" s="751"/>
      <c r="J217" s="393"/>
      <c r="K217" s="705"/>
      <c r="L217" s="706"/>
      <c r="M217" s="706"/>
      <c r="N217" s="705"/>
      <c r="O217" s="705"/>
      <c r="P217" s="706"/>
      <c r="Q217" s="705"/>
      <c r="R217" s="705"/>
      <c r="S217" s="705"/>
    </row>
    <row r="218" spans="1:19" s="703" customFormat="1" ht="15.75" customHeight="1">
      <c r="A218" s="675" t="s">
        <v>938</v>
      </c>
      <c r="B218" s="675"/>
      <c r="C218" s="675"/>
      <c r="D218" s="309"/>
      <c r="E218" s="316" t="s">
        <v>871</v>
      </c>
      <c r="F218" s="703" t="s">
        <v>423</v>
      </c>
      <c r="G218" s="311"/>
      <c r="H218" s="312"/>
      <c r="I218" s="258"/>
      <c r="J218" s="393"/>
      <c r="K218" s="702"/>
      <c r="L218" s="702"/>
      <c r="M218" s="702"/>
      <c r="N218" s="702"/>
      <c r="O218" s="702"/>
      <c r="P218" s="702"/>
      <c r="Q218" s="702"/>
      <c r="R218" s="702"/>
      <c r="S218" s="702"/>
    </row>
    <row r="219" spans="1:19" ht="15.75" customHeight="1">
      <c r="A219" s="675" t="s">
        <v>938</v>
      </c>
      <c r="D219" s="309"/>
      <c r="E219" s="316"/>
      <c r="F219" s="353"/>
      <c r="G219" s="311"/>
      <c r="H219" s="715" t="s">
        <v>418</v>
      </c>
      <c r="I219" s="716">
        <v>2014</v>
      </c>
      <c r="J219" s="393">
        <v>0.25</v>
      </c>
      <c r="K219" s="706">
        <v>125361500</v>
      </c>
      <c r="L219" s="706">
        <v>0</v>
      </c>
      <c r="M219" s="706">
        <v>0</v>
      </c>
      <c r="N219" s="705">
        <f t="shared" ref="N219:N225" si="60">K219+L219-M219</f>
        <v>125361500</v>
      </c>
      <c r="O219" s="705">
        <v>94021125.00000003</v>
      </c>
      <c r="P219" s="738">
        <v>0</v>
      </c>
      <c r="Q219" s="706">
        <v>0</v>
      </c>
      <c r="R219" s="705">
        <f t="shared" ref="R219:R225" si="61">O219+P219-Q219</f>
        <v>94021125.00000003</v>
      </c>
      <c r="S219" s="706">
        <f t="shared" ref="S219:S225" si="62">N219-R219</f>
        <v>31340374.99999997</v>
      </c>
    </row>
    <row r="220" spans="1:19" ht="15.75" customHeight="1">
      <c r="A220" s="675" t="s">
        <v>938</v>
      </c>
      <c r="D220" s="309"/>
      <c r="E220" s="316"/>
      <c r="F220" s="353"/>
      <c r="G220" s="311"/>
      <c r="H220" s="715" t="s">
        <v>424</v>
      </c>
      <c r="I220" s="716">
        <v>2005</v>
      </c>
      <c r="J220" s="393">
        <v>0.25</v>
      </c>
      <c r="K220" s="706">
        <v>117276000</v>
      </c>
      <c r="L220" s="706">
        <v>0</v>
      </c>
      <c r="M220" s="706">
        <v>0</v>
      </c>
      <c r="N220" s="705">
        <f t="shared" si="60"/>
        <v>117276000</v>
      </c>
      <c r="O220" s="705">
        <v>87957000</v>
      </c>
      <c r="P220" s="738">
        <v>0</v>
      </c>
      <c r="Q220" s="706">
        <v>0</v>
      </c>
      <c r="R220" s="705">
        <f t="shared" si="61"/>
        <v>87957000</v>
      </c>
      <c r="S220" s="706">
        <f t="shared" si="62"/>
        <v>29319000</v>
      </c>
    </row>
    <row r="221" spans="1:19" ht="15.75" customHeight="1">
      <c r="A221" s="675" t="s">
        <v>938</v>
      </c>
      <c r="D221" s="309"/>
      <c r="E221" s="316"/>
      <c r="F221" s="353"/>
      <c r="G221" s="311"/>
      <c r="H221" s="715" t="s">
        <v>425</v>
      </c>
      <c r="I221" s="716">
        <v>2005</v>
      </c>
      <c r="J221" s="393">
        <v>0.25</v>
      </c>
      <c r="K221" s="706">
        <v>4909530000</v>
      </c>
      <c r="L221" s="706">
        <v>0</v>
      </c>
      <c r="M221" s="706">
        <v>0</v>
      </c>
      <c r="N221" s="705">
        <f t="shared" si="60"/>
        <v>4909530000</v>
      </c>
      <c r="O221" s="705">
        <v>3682147500</v>
      </c>
      <c r="P221" s="738">
        <v>0</v>
      </c>
      <c r="Q221" s="706">
        <v>0</v>
      </c>
      <c r="R221" s="705">
        <f t="shared" si="61"/>
        <v>3682147500</v>
      </c>
      <c r="S221" s="706">
        <f t="shared" si="62"/>
        <v>1227382500</v>
      </c>
    </row>
    <row r="222" spans="1:19" ht="15.75" customHeight="1">
      <c r="D222" s="309"/>
      <c r="E222" s="316"/>
      <c r="F222" s="353"/>
      <c r="G222" s="311"/>
      <c r="H222" s="715" t="s">
        <v>426</v>
      </c>
      <c r="I222" s="453">
        <v>2015</v>
      </c>
      <c r="J222" s="393">
        <v>0.25</v>
      </c>
      <c r="K222" s="706">
        <v>8590909</v>
      </c>
      <c r="L222" s="706">
        <v>0</v>
      </c>
      <c r="M222" s="706">
        <v>0</v>
      </c>
      <c r="N222" s="705">
        <f t="shared" si="60"/>
        <v>8590909</v>
      </c>
      <c r="O222" s="705">
        <v>6443182</v>
      </c>
      <c r="P222" s="738">
        <v>0</v>
      </c>
      <c r="Q222" s="706">
        <v>0</v>
      </c>
      <c r="R222" s="705">
        <f t="shared" si="61"/>
        <v>6443182</v>
      </c>
      <c r="S222" s="706">
        <f t="shared" si="62"/>
        <v>2147727</v>
      </c>
    </row>
    <row r="223" spans="1:19" ht="15.75" customHeight="1">
      <c r="A223" s="675" t="s">
        <v>938</v>
      </c>
      <c r="D223" s="309"/>
      <c r="E223" s="316"/>
      <c r="F223" s="353"/>
      <c r="G223" s="311"/>
      <c r="H223" s="715" t="s">
        <v>427</v>
      </c>
      <c r="I223" s="744">
        <v>2016</v>
      </c>
      <c r="J223" s="393">
        <v>0.25</v>
      </c>
      <c r="K223" s="706">
        <v>27595946</v>
      </c>
      <c r="L223" s="706">
        <v>0</v>
      </c>
      <c r="M223" s="706">
        <v>0</v>
      </c>
      <c r="N223" s="705">
        <f t="shared" si="60"/>
        <v>27595946</v>
      </c>
      <c r="O223" s="705">
        <v>16097635.16666666</v>
      </c>
      <c r="P223" s="738">
        <v>0</v>
      </c>
      <c r="Q223" s="706">
        <v>0</v>
      </c>
      <c r="R223" s="705">
        <f t="shared" si="61"/>
        <v>16097635.16666666</v>
      </c>
      <c r="S223" s="706">
        <f t="shared" si="62"/>
        <v>11498310.83333334</v>
      </c>
    </row>
    <row r="224" spans="1:19" ht="15.75" customHeight="1">
      <c r="D224" s="309"/>
      <c r="E224" s="316"/>
      <c r="F224" s="454"/>
      <c r="G224" s="311"/>
      <c r="H224" s="715" t="s">
        <v>428</v>
      </c>
      <c r="I224" s="744" t="s">
        <v>430</v>
      </c>
      <c r="J224" s="393">
        <v>0.25</v>
      </c>
      <c r="K224" s="706">
        <v>77464120</v>
      </c>
      <c r="L224" s="706">
        <v>0</v>
      </c>
      <c r="M224" s="706">
        <v>0</v>
      </c>
      <c r="N224" s="705">
        <f t="shared" si="60"/>
        <v>77464120</v>
      </c>
      <c r="O224" s="705">
        <v>6455343.333333333</v>
      </c>
      <c r="P224" s="738">
        <v>0</v>
      </c>
      <c r="Q224" s="706">
        <v>0</v>
      </c>
      <c r="R224" s="705">
        <f t="shared" si="61"/>
        <v>6455343.333333333</v>
      </c>
      <c r="S224" s="706">
        <f t="shared" si="62"/>
        <v>71008776.666666672</v>
      </c>
    </row>
    <row r="225" spans="1:19" ht="15.75" customHeight="1">
      <c r="D225" s="309"/>
      <c r="E225" s="316"/>
      <c r="F225" s="455"/>
      <c r="G225" s="450"/>
      <c r="H225" s="756" t="s">
        <v>429</v>
      </c>
      <c r="I225" s="746" t="s">
        <v>431</v>
      </c>
      <c r="J225" s="383">
        <v>0.25</v>
      </c>
      <c r="K225" s="706">
        <v>342750014</v>
      </c>
      <c r="L225" s="706">
        <v>0</v>
      </c>
      <c r="M225" s="706">
        <v>0</v>
      </c>
      <c r="N225" s="705">
        <f t="shared" si="60"/>
        <v>342750014</v>
      </c>
      <c r="O225" s="705">
        <v>21421875.875</v>
      </c>
      <c r="P225" s="738">
        <v>0</v>
      </c>
      <c r="Q225" s="706">
        <v>0</v>
      </c>
      <c r="R225" s="705">
        <f t="shared" si="61"/>
        <v>21421875.875</v>
      </c>
      <c r="S225" s="706">
        <f t="shared" si="62"/>
        <v>321328138.125</v>
      </c>
    </row>
    <row r="226" spans="1:19" s="703" customFormat="1" ht="15.75" customHeight="1">
      <c r="A226" s="675" t="s">
        <v>938</v>
      </c>
      <c r="B226" s="675"/>
      <c r="C226" s="675"/>
      <c r="D226" s="309"/>
      <c r="E226" s="1235" t="s">
        <v>984</v>
      </c>
      <c r="F226" s="1236"/>
      <c r="G226" s="1236"/>
      <c r="H226" s="1236"/>
      <c r="I226" s="1236"/>
      <c r="J226" s="1237"/>
      <c r="K226" s="708">
        <f>SUM(K219:K225)</f>
        <v>5608568489</v>
      </c>
      <c r="L226" s="708">
        <f t="shared" ref="L226:S226" si="63">SUM(L219:L225)</f>
        <v>0</v>
      </c>
      <c r="M226" s="708">
        <f t="shared" si="63"/>
        <v>0</v>
      </c>
      <c r="N226" s="708">
        <f t="shared" si="63"/>
        <v>5608568489</v>
      </c>
      <c r="O226" s="708">
        <f t="shared" si="63"/>
        <v>3914543661.375</v>
      </c>
      <c r="P226" s="708">
        <f t="shared" si="63"/>
        <v>0</v>
      </c>
      <c r="Q226" s="708">
        <f t="shared" si="63"/>
        <v>0</v>
      </c>
      <c r="R226" s="708">
        <f t="shared" si="63"/>
        <v>3914543661.375</v>
      </c>
      <c r="S226" s="708">
        <f t="shared" si="63"/>
        <v>1694024827.625</v>
      </c>
    </row>
    <row r="227" spans="1:19" ht="15.75" customHeight="1">
      <c r="D227" s="309"/>
      <c r="E227" s="316"/>
      <c r="F227" s="353"/>
      <c r="G227" s="311"/>
      <c r="H227" s="715"/>
      <c r="I227" s="751"/>
      <c r="J227" s="393"/>
      <c r="K227" s="706"/>
      <c r="L227" s="706"/>
      <c r="M227" s="706"/>
      <c r="N227" s="706"/>
      <c r="O227" s="705"/>
      <c r="P227" s="706"/>
      <c r="Q227" s="706"/>
      <c r="R227" s="705"/>
      <c r="S227" s="706"/>
    </row>
    <row r="228" spans="1:19" s="703" customFormat="1" ht="15.75" customHeight="1">
      <c r="A228" s="675" t="s">
        <v>944</v>
      </c>
      <c r="B228" s="675"/>
      <c r="C228" s="675"/>
      <c r="D228" s="309"/>
      <c r="E228" s="316" t="s">
        <v>985</v>
      </c>
      <c r="F228" s="703" t="s">
        <v>432</v>
      </c>
      <c r="G228" s="311"/>
      <c r="H228" s="312"/>
      <c r="I228" s="258"/>
      <c r="J228" s="393"/>
      <c r="K228" s="702"/>
      <c r="L228" s="702"/>
      <c r="M228" s="702"/>
      <c r="N228" s="702"/>
      <c r="O228" s="702"/>
      <c r="P228" s="706"/>
      <c r="Q228" s="702"/>
      <c r="R228" s="702"/>
      <c r="S228" s="702"/>
    </row>
    <row r="229" spans="1:19" ht="15.75" customHeight="1">
      <c r="A229" s="675" t="s">
        <v>944</v>
      </c>
      <c r="D229" s="309"/>
      <c r="E229" s="316"/>
      <c r="F229" s="353"/>
      <c r="G229" s="311"/>
      <c r="H229" s="715" t="s">
        <v>433</v>
      </c>
      <c r="I229" s="716">
        <v>2014</v>
      </c>
      <c r="J229" s="393">
        <v>0.25</v>
      </c>
      <c r="K229" s="706">
        <v>12800000</v>
      </c>
      <c r="L229" s="706">
        <v>0</v>
      </c>
      <c r="M229" s="706">
        <v>0</v>
      </c>
      <c r="N229" s="705">
        <f t="shared" ref="N229:N238" si="64">K229+L229-M229</f>
        <v>12800000</v>
      </c>
      <c r="O229" s="753">
        <v>12799999.999999994</v>
      </c>
      <c r="P229" s="705">
        <v>0</v>
      </c>
      <c r="Q229" s="706">
        <v>0</v>
      </c>
      <c r="R229" s="705">
        <f>O229+P229-Q229</f>
        <v>12799999.999999994</v>
      </c>
      <c r="S229" s="706">
        <f t="shared" ref="S229:S238" si="65">N229-R229</f>
        <v>0</v>
      </c>
    </row>
    <row r="230" spans="1:19" ht="15.75" customHeight="1">
      <c r="A230" s="675" t="s">
        <v>944</v>
      </c>
      <c r="D230" s="309"/>
      <c r="E230" s="316"/>
      <c r="F230" s="353"/>
      <c r="G230" s="311"/>
      <c r="H230" s="715" t="s">
        <v>424</v>
      </c>
      <c r="I230" s="716">
        <v>2014</v>
      </c>
      <c r="J230" s="393">
        <v>0.25</v>
      </c>
      <c r="K230" s="706">
        <v>58973000</v>
      </c>
      <c r="L230" s="706">
        <v>0</v>
      </c>
      <c r="M230" s="706">
        <v>0</v>
      </c>
      <c r="N230" s="705">
        <f t="shared" si="64"/>
        <v>58973000</v>
      </c>
      <c r="O230" s="753">
        <v>58972999.999999963</v>
      </c>
      <c r="P230" s="705">
        <v>0</v>
      </c>
      <c r="Q230" s="706">
        <v>0</v>
      </c>
      <c r="R230" s="705">
        <f t="shared" ref="R230:R238" si="66">O230+P230-Q230</f>
        <v>58972999.999999963</v>
      </c>
      <c r="S230" s="706">
        <f t="shared" si="65"/>
        <v>0</v>
      </c>
    </row>
    <row r="231" spans="1:19" ht="15.75" customHeight="1">
      <c r="A231" s="675" t="s">
        <v>944</v>
      </c>
      <c r="D231" s="309"/>
      <c r="E231" s="316"/>
      <c r="F231" s="353"/>
      <c r="G231" s="311"/>
      <c r="H231" s="715" t="s">
        <v>425</v>
      </c>
      <c r="I231" s="716">
        <v>2010</v>
      </c>
      <c r="J231" s="393">
        <v>0.25</v>
      </c>
      <c r="K231" s="706">
        <v>7780483000</v>
      </c>
      <c r="L231" s="706">
        <v>0</v>
      </c>
      <c r="M231" s="706">
        <v>0</v>
      </c>
      <c r="N231" s="705">
        <f t="shared" si="64"/>
        <v>7780483000</v>
      </c>
      <c r="O231" s="753">
        <v>7780482999.9999952</v>
      </c>
      <c r="P231" s="705">
        <v>0</v>
      </c>
      <c r="Q231" s="706">
        <v>0</v>
      </c>
      <c r="R231" s="705">
        <f t="shared" si="66"/>
        <v>7780482999.9999952</v>
      </c>
      <c r="S231" s="706">
        <f t="shared" si="65"/>
        <v>0</v>
      </c>
    </row>
    <row r="232" spans="1:19" ht="15.75" customHeight="1">
      <c r="D232" s="309"/>
      <c r="E232" s="316"/>
      <c r="F232" s="353"/>
      <c r="G232" s="311"/>
      <c r="H232" s="715" t="s">
        <v>434</v>
      </c>
      <c r="I232" s="744">
        <v>2016</v>
      </c>
      <c r="J232" s="393">
        <v>0.25</v>
      </c>
      <c r="K232" s="706">
        <v>781963636.36000001</v>
      </c>
      <c r="L232" s="706">
        <v>0</v>
      </c>
      <c r="M232" s="706">
        <v>0</v>
      </c>
      <c r="N232" s="705">
        <f t="shared" si="64"/>
        <v>781963636.36000001</v>
      </c>
      <c r="O232" s="753">
        <v>781963636.00000036</v>
      </c>
      <c r="P232" s="705">
        <v>0</v>
      </c>
      <c r="Q232" s="706">
        <v>0</v>
      </c>
      <c r="R232" s="705">
        <f t="shared" si="66"/>
        <v>781963636.00000036</v>
      </c>
      <c r="S232" s="706">
        <f t="shared" si="65"/>
        <v>0.35999965667724609</v>
      </c>
    </row>
    <row r="233" spans="1:19" ht="15.75" customHeight="1">
      <c r="A233" s="675" t="s">
        <v>944</v>
      </c>
      <c r="D233" s="309"/>
      <c r="E233" s="316"/>
      <c r="F233" s="353"/>
      <c r="G233" s="311"/>
      <c r="H233" s="715" t="s">
        <v>434</v>
      </c>
      <c r="I233" s="744">
        <v>2016</v>
      </c>
      <c r="J233" s="393">
        <v>0.25</v>
      </c>
      <c r="K233" s="706">
        <v>977454545</v>
      </c>
      <c r="L233" s="706">
        <v>0</v>
      </c>
      <c r="M233" s="706">
        <v>0</v>
      </c>
      <c r="N233" s="705">
        <f t="shared" si="64"/>
        <v>977454545</v>
      </c>
      <c r="O233" s="753">
        <v>977454545</v>
      </c>
      <c r="P233" s="705">
        <v>0</v>
      </c>
      <c r="Q233" s="706">
        <v>0</v>
      </c>
      <c r="R233" s="705">
        <f t="shared" si="66"/>
        <v>977454545</v>
      </c>
      <c r="S233" s="706">
        <f t="shared" si="65"/>
        <v>0</v>
      </c>
    </row>
    <row r="234" spans="1:19" s="703" customFormat="1" ht="15.75" customHeight="1">
      <c r="A234" s="675" t="s">
        <v>944</v>
      </c>
      <c r="B234" s="675"/>
      <c r="C234" s="675"/>
      <c r="D234" s="309"/>
      <c r="E234" s="316"/>
      <c r="F234" s="456"/>
      <c r="G234" s="318"/>
      <c r="H234" s="723" t="s">
        <v>434</v>
      </c>
      <c r="I234" s="774">
        <v>2016</v>
      </c>
      <c r="J234" s="377">
        <v>0.25</v>
      </c>
      <c r="K234" s="705">
        <v>390981965</v>
      </c>
      <c r="L234" s="705">
        <v>0</v>
      </c>
      <c r="M234" s="705">
        <v>0</v>
      </c>
      <c r="N234" s="705">
        <f t="shared" si="64"/>
        <v>390981965</v>
      </c>
      <c r="O234" s="753">
        <v>390981965.00000018</v>
      </c>
      <c r="P234" s="705">
        <v>0</v>
      </c>
      <c r="Q234" s="705">
        <v>0</v>
      </c>
      <c r="R234" s="705">
        <f t="shared" si="66"/>
        <v>390981965.00000018</v>
      </c>
      <c r="S234" s="706">
        <f t="shared" si="65"/>
        <v>0</v>
      </c>
    </row>
    <row r="235" spans="1:19" s="703" customFormat="1" ht="15.75" customHeight="1">
      <c r="A235" s="675"/>
      <c r="B235" s="675"/>
      <c r="C235" s="675"/>
      <c r="D235" s="309"/>
      <c r="E235" s="316"/>
      <c r="F235" s="353"/>
      <c r="G235" s="311"/>
      <c r="H235" s="745" t="s">
        <v>435</v>
      </c>
      <c r="I235" s="775">
        <v>43529</v>
      </c>
      <c r="J235" s="366">
        <v>0.25</v>
      </c>
      <c r="K235" s="706">
        <v>25130378</v>
      </c>
      <c r="L235" s="706"/>
      <c r="M235" s="706"/>
      <c r="N235" s="705">
        <f t="shared" si="64"/>
        <v>25130378</v>
      </c>
      <c r="O235" s="752">
        <v>17800684.41666666</v>
      </c>
      <c r="P235" s="706">
        <f>N235*J235</f>
        <v>6282594.5</v>
      </c>
      <c r="Q235" s="706"/>
      <c r="R235" s="705">
        <f t="shared" si="66"/>
        <v>24083278.91666666</v>
      </c>
      <c r="S235" s="706">
        <f t="shared" si="65"/>
        <v>1047099.0833333395</v>
      </c>
    </row>
    <row r="236" spans="1:19" s="703" customFormat="1" ht="15.75" customHeight="1">
      <c r="A236" s="675"/>
      <c r="B236" s="675"/>
      <c r="C236" s="675"/>
      <c r="D236" s="309"/>
      <c r="E236" s="316"/>
      <c r="F236" s="456"/>
      <c r="G236" s="318"/>
      <c r="H236" s="725" t="s">
        <v>429</v>
      </c>
      <c r="I236" s="776">
        <v>43647</v>
      </c>
      <c r="J236" s="374">
        <v>0.25</v>
      </c>
      <c r="K236" s="705">
        <v>53842496</v>
      </c>
      <c r="L236" s="705"/>
      <c r="M236" s="705"/>
      <c r="N236" s="705">
        <f t="shared" si="64"/>
        <v>53842496</v>
      </c>
      <c r="O236" s="753">
        <v>33651560.000000015</v>
      </c>
      <c r="P236" s="706">
        <f>N236*J236</f>
        <v>13460624</v>
      </c>
      <c r="Q236" s="705"/>
      <c r="R236" s="705">
        <f t="shared" si="66"/>
        <v>47112184.000000015</v>
      </c>
      <c r="S236" s="705">
        <f t="shared" si="65"/>
        <v>6730311.9999999851</v>
      </c>
    </row>
    <row r="237" spans="1:19" s="703" customFormat="1" ht="15.75" customHeight="1">
      <c r="A237" s="675"/>
      <c r="B237" s="675"/>
      <c r="C237" s="675"/>
      <c r="D237" s="309"/>
      <c r="E237" s="316"/>
      <c r="F237" s="353"/>
      <c r="G237" s="311"/>
      <c r="H237" s="777" t="s">
        <v>436</v>
      </c>
      <c r="I237" s="778">
        <v>2020</v>
      </c>
      <c r="J237" s="779">
        <v>0.25</v>
      </c>
      <c r="K237" s="706">
        <v>507156352</v>
      </c>
      <c r="L237" s="752"/>
      <c r="M237" s="706"/>
      <c r="N237" s="706">
        <f t="shared" si="64"/>
        <v>507156352</v>
      </c>
      <c r="O237" s="706">
        <v>126789087.99999999</v>
      </c>
      <c r="P237" s="706">
        <f>N237*J237</f>
        <v>126789088</v>
      </c>
      <c r="Q237" s="706"/>
      <c r="R237" s="706">
        <f t="shared" si="66"/>
        <v>253578176</v>
      </c>
      <c r="S237" s="706">
        <f t="shared" si="65"/>
        <v>253578176</v>
      </c>
    </row>
    <row r="238" spans="1:19" s="703" customFormat="1" ht="15.75" customHeight="1">
      <c r="A238" s="675"/>
      <c r="B238" s="675"/>
      <c r="C238" s="675"/>
      <c r="D238" s="309"/>
      <c r="E238" s="316"/>
      <c r="F238" s="353"/>
      <c r="G238" s="261"/>
      <c r="H238" s="777" t="s">
        <v>437</v>
      </c>
      <c r="I238" s="778">
        <v>44718</v>
      </c>
      <c r="J238" s="779">
        <v>0.25</v>
      </c>
      <c r="K238" s="706"/>
      <c r="L238" s="752">
        <v>41754400</v>
      </c>
      <c r="M238" s="706"/>
      <c r="N238" s="706">
        <f t="shared" si="64"/>
        <v>41754400</v>
      </c>
      <c r="O238" s="706"/>
      <c r="P238" s="706">
        <f>N238*J238/2</f>
        <v>5219300</v>
      </c>
      <c r="Q238" s="706"/>
      <c r="R238" s="706">
        <f t="shared" si="66"/>
        <v>5219300</v>
      </c>
      <c r="S238" s="706">
        <f t="shared" si="65"/>
        <v>36535100</v>
      </c>
    </row>
    <row r="239" spans="1:19" s="703" customFormat="1" ht="15.75" customHeight="1">
      <c r="A239" s="675"/>
      <c r="B239" s="675"/>
      <c r="C239" s="675"/>
      <c r="D239" s="309"/>
      <c r="E239" s="316"/>
      <c r="F239" s="600"/>
      <c r="G239" s="627"/>
      <c r="H239" s="780"/>
      <c r="I239" s="781"/>
      <c r="J239" s="782"/>
      <c r="K239" s="783"/>
      <c r="L239" s="784"/>
      <c r="M239" s="783"/>
      <c r="N239" s="709"/>
      <c r="O239" s="783"/>
      <c r="P239" s="709"/>
      <c r="Q239" s="783"/>
      <c r="R239" s="709"/>
      <c r="S239" s="709"/>
    </row>
    <row r="240" spans="1:19" ht="15.75" customHeight="1">
      <c r="A240" s="675" t="s">
        <v>944</v>
      </c>
      <c r="D240" s="309"/>
      <c r="E240" s="1235" t="s">
        <v>986</v>
      </c>
      <c r="F240" s="1236"/>
      <c r="G240" s="1236"/>
      <c r="H240" s="1236"/>
      <c r="I240" s="1236"/>
      <c r="J240" s="1237"/>
      <c r="K240" s="708">
        <f>SUM(K229:K239)</f>
        <v>10588785372.360001</v>
      </c>
      <c r="L240" s="708">
        <f t="shared" ref="L240:S240" si="67">SUM(L229:L239)</f>
        <v>41754400</v>
      </c>
      <c r="M240" s="708">
        <f t="shared" si="67"/>
        <v>0</v>
      </c>
      <c r="N240" s="708">
        <f t="shared" si="67"/>
        <v>10630539772.360001</v>
      </c>
      <c r="O240" s="708">
        <f t="shared" si="67"/>
        <v>10180897478.416662</v>
      </c>
      <c r="P240" s="708">
        <f t="shared" si="67"/>
        <v>151751606.5</v>
      </c>
      <c r="Q240" s="708">
        <f t="shared" si="67"/>
        <v>0</v>
      </c>
      <c r="R240" s="708">
        <f t="shared" si="67"/>
        <v>10332649084.916662</v>
      </c>
      <c r="S240" s="708">
        <f t="shared" si="67"/>
        <v>297890687.44333297</v>
      </c>
    </row>
    <row r="241" spans="1:19" s="763" customFormat="1" ht="25" customHeight="1">
      <c r="A241" s="675"/>
      <c r="B241" s="675"/>
      <c r="C241" s="675"/>
      <c r="D241" s="309"/>
      <c r="E241" s="316"/>
      <c r="F241" s="353"/>
      <c r="G241" s="311"/>
      <c r="H241" s="715"/>
      <c r="I241" s="716"/>
      <c r="J241" s="393"/>
      <c r="K241" s="706"/>
      <c r="L241" s="706"/>
      <c r="M241" s="706"/>
      <c r="N241" s="706"/>
      <c r="O241" s="705"/>
      <c r="P241" s="706"/>
      <c r="Q241" s="706"/>
      <c r="R241" s="705"/>
      <c r="S241" s="706"/>
    </row>
    <row r="242" spans="1:19" ht="15.75" customHeight="1">
      <c r="D242" s="1229" t="s">
        <v>987</v>
      </c>
      <c r="E242" s="1230"/>
      <c r="F242" s="1230"/>
      <c r="G242" s="1230"/>
      <c r="H242" s="1230"/>
      <c r="I242" s="1230"/>
      <c r="J242" s="1231"/>
      <c r="K242" s="708">
        <f>K216+K226+K240</f>
        <v>17167939611.360001</v>
      </c>
      <c r="L242" s="708">
        <f t="shared" ref="L242:S242" si="68">L216+L226+L240</f>
        <v>41754400</v>
      </c>
      <c r="M242" s="708">
        <f t="shared" si="68"/>
        <v>0</v>
      </c>
      <c r="N242" s="708">
        <f t="shared" si="68"/>
        <v>17209694011.360001</v>
      </c>
      <c r="O242" s="708">
        <f t="shared" si="68"/>
        <v>14994296456.562496</v>
      </c>
      <c r="P242" s="708">
        <f t="shared" si="68"/>
        <v>197131294</v>
      </c>
      <c r="Q242" s="708">
        <f t="shared" si="68"/>
        <v>0</v>
      </c>
      <c r="R242" s="708">
        <f t="shared" si="68"/>
        <v>15191427750.562496</v>
      </c>
      <c r="S242" s="708">
        <f t="shared" si="68"/>
        <v>2018266260.7974997</v>
      </c>
    </row>
    <row r="243" spans="1:19" ht="15.75" customHeight="1">
      <c r="D243" s="309"/>
      <c r="E243" s="316"/>
      <c r="F243" s="353"/>
      <c r="G243" s="311"/>
      <c r="H243" s="332"/>
      <c r="I243" s="354"/>
      <c r="J243" s="393"/>
      <c r="K243" s="712"/>
      <c r="L243" s="712"/>
      <c r="M243" s="712"/>
      <c r="N243" s="712"/>
      <c r="O243" s="712"/>
      <c r="P243" s="712"/>
      <c r="Q243" s="712"/>
      <c r="R243" s="712"/>
      <c r="S243" s="712"/>
    </row>
    <row r="244" spans="1:19" ht="15.75" customHeight="1">
      <c r="A244" s="675" t="s">
        <v>935</v>
      </c>
      <c r="B244" s="700" t="s">
        <v>988</v>
      </c>
      <c r="C244" s="700" t="s">
        <v>988</v>
      </c>
      <c r="D244" s="357">
        <v>5</v>
      </c>
      <c r="E244" s="353" t="s">
        <v>988</v>
      </c>
      <c r="F244" s="703"/>
      <c r="G244" s="311"/>
      <c r="H244" s="312"/>
      <c r="I244" s="258"/>
      <c r="J244" s="393"/>
      <c r="K244" s="712"/>
      <c r="L244" s="712"/>
      <c r="M244" s="712"/>
      <c r="N244" s="712"/>
      <c r="O244" s="712"/>
      <c r="P244" s="712"/>
      <c r="Q244" s="712"/>
      <c r="R244" s="712"/>
      <c r="S244" s="712"/>
    </row>
    <row r="245" spans="1:19" ht="15.75" customHeight="1">
      <c r="A245" s="675" t="s">
        <v>935</v>
      </c>
      <c r="D245" s="309"/>
      <c r="E245" s="316" t="s">
        <v>989</v>
      </c>
      <c r="F245" s="703" t="s">
        <v>990</v>
      </c>
      <c r="G245" s="311"/>
      <c r="H245" s="312"/>
      <c r="I245" s="258"/>
      <c r="J245" s="393"/>
      <c r="K245" s="712"/>
      <c r="L245" s="712"/>
      <c r="M245" s="712"/>
      <c r="N245" s="712"/>
      <c r="O245" s="712"/>
      <c r="P245" s="712"/>
      <c r="Q245" s="712"/>
      <c r="R245" s="712"/>
      <c r="S245" s="712"/>
    </row>
    <row r="246" spans="1:19" ht="15.75" customHeight="1">
      <c r="A246" s="675" t="s">
        <v>935</v>
      </c>
      <c r="D246" s="357"/>
      <c r="E246" s="301"/>
      <c r="F246" s="466" t="s">
        <v>991</v>
      </c>
      <c r="G246" s="311" t="s">
        <v>405</v>
      </c>
      <c r="H246" s="312"/>
      <c r="I246" s="258"/>
      <c r="J246" s="393"/>
      <c r="K246" s="712"/>
      <c r="L246" s="712"/>
      <c r="M246" s="712"/>
      <c r="N246" s="712"/>
      <c r="O246" s="712"/>
      <c r="P246" s="712"/>
      <c r="Q246" s="712"/>
      <c r="R246" s="712"/>
      <c r="S246" s="712"/>
    </row>
    <row r="247" spans="1:19" ht="15.75" customHeight="1">
      <c r="A247" s="675" t="s">
        <v>935</v>
      </c>
      <c r="D247" s="309"/>
      <c r="E247" s="316"/>
      <c r="F247" s="466"/>
      <c r="G247" s="467" t="s">
        <v>992</v>
      </c>
      <c r="H247" s="468" t="s">
        <v>439</v>
      </c>
      <c r="I247" s="258"/>
      <c r="J247" s="393"/>
      <c r="K247" s="701"/>
      <c r="L247" s="701"/>
      <c r="M247" s="701"/>
      <c r="N247" s="701"/>
      <c r="O247" s="701"/>
      <c r="P247" s="701"/>
      <c r="Q247" s="701"/>
      <c r="R247" s="701"/>
      <c r="S247" s="701"/>
    </row>
    <row r="248" spans="1:19" ht="15.75" customHeight="1">
      <c r="A248" s="675" t="s">
        <v>935</v>
      </c>
      <c r="D248" s="323"/>
      <c r="E248" s="324"/>
      <c r="F248" s="469"/>
      <c r="G248" s="470"/>
      <c r="H248" s="745" t="s">
        <v>441</v>
      </c>
      <c r="I248" s="716">
        <v>2004</v>
      </c>
      <c r="J248" s="471">
        <v>0.125</v>
      </c>
      <c r="K248" s="752">
        <v>1176000000</v>
      </c>
      <c r="L248" s="706">
        <v>0</v>
      </c>
      <c r="M248" s="706">
        <v>0</v>
      </c>
      <c r="N248" s="705">
        <f>K248+L248-M248</f>
        <v>1176000000</v>
      </c>
      <c r="O248" s="719">
        <v>759500000</v>
      </c>
      <c r="P248" s="706">
        <f>N248*J248</f>
        <v>147000000</v>
      </c>
      <c r="Q248" s="706">
        <v>0</v>
      </c>
      <c r="R248" s="705">
        <f>O248+P248-Q248</f>
        <v>906500000</v>
      </c>
      <c r="S248" s="706">
        <f>N248-R248</f>
        <v>269500000</v>
      </c>
    </row>
    <row r="249" spans="1:19" ht="15.75" customHeight="1">
      <c r="A249" s="675" t="s">
        <v>935</v>
      </c>
      <c r="D249" s="309"/>
      <c r="E249" s="316"/>
      <c r="F249" s="466"/>
      <c r="G249" s="473"/>
      <c r="H249" s="725" t="s">
        <v>442</v>
      </c>
      <c r="I249" s="739">
        <v>2005</v>
      </c>
      <c r="J249" s="471">
        <v>0.125</v>
      </c>
      <c r="K249" s="753">
        <v>868700000</v>
      </c>
      <c r="L249" s="705">
        <v>0</v>
      </c>
      <c r="M249" s="705">
        <v>0</v>
      </c>
      <c r="N249" s="705">
        <f>K249+L249-M249</f>
        <v>868700000</v>
      </c>
      <c r="O249" s="719">
        <v>561035416.65999949</v>
      </c>
      <c r="P249" s="706">
        <f>N249*J249</f>
        <v>108587500</v>
      </c>
      <c r="Q249" s="705">
        <v>0</v>
      </c>
      <c r="R249" s="705">
        <f>O249+P249-Q249</f>
        <v>669622916.65999949</v>
      </c>
      <c r="S249" s="706">
        <f>N249-R249</f>
        <v>199077083.34000051</v>
      </c>
    </row>
    <row r="250" spans="1:19" ht="15.75" customHeight="1">
      <c r="A250" s="675" t="s">
        <v>935</v>
      </c>
      <c r="D250" s="309"/>
      <c r="E250" s="316"/>
      <c r="F250" s="466"/>
      <c r="G250" s="1236" t="s">
        <v>993</v>
      </c>
      <c r="H250" s="1236"/>
      <c r="I250" s="1236"/>
      <c r="J250" s="1237"/>
      <c r="K250" s="708">
        <f>SUM(K248:K249)</f>
        <v>2044700000</v>
      </c>
      <c r="L250" s="708">
        <f t="shared" ref="L250:S250" si="69">SUM(L248:L249)</f>
        <v>0</v>
      </c>
      <c r="M250" s="708">
        <f t="shared" si="69"/>
        <v>0</v>
      </c>
      <c r="N250" s="708">
        <f t="shared" si="69"/>
        <v>2044700000</v>
      </c>
      <c r="O250" s="708">
        <f t="shared" si="69"/>
        <v>1320535416.6599994</v>
      </c>
      <c r="P250" s="708">
        <f>SUM(P248:P249)</f>
        <v>255587500</v>
      </c>
      <c r="Q250" s="708">
        <f t="shared" si="69"/>
        <v>0</v>
      </c>
      <c r="R250" s="708">
        <f>SUM(R248:R249)</f>
        <v>1576122916.6599994</v>
      </c>
      <c r="S250" s="708">
        <f t="shared" si="69"/>
        <v>468577083.34000051</v>
      </c>
    </row>
    <row r="251" spans="1:19" s="703" customFormat="1" ht="15.75" customHeight="1">
      <c r="A251" s="675" t="s">
        <v>935</v>
      </c>
      <c r="B251" s="675"/>
      <c r="C251" s="675"/>
      <c r="D251" s="309"/>
      <c r="E251" s="316"/>
      <c r="F251" s="466"/>
      <c r="G251" s="474" t="s">
        <v>994</v>
      </c>
      <c r="H251" s="475" t="s">
        <v>443</v>
      </c>
      <c r="I251" s="476"/>
      <c r="J251" s="396"/>
      <c r="K251" s="785"/>
      <c r="L251" s="785"/>
      <c r="M251" s="785"/>
      <c r="N251" s="785"/>
      <c r="O251" s="785"/>
      <c r="P251" s="785"/>
      <c r="Q251" s="785"/>
      <c r="R251" s="785"/>
      <c r="S251" s="785"/>
    </row>
    <row r="252" spans="1:19" s="703" customFormat="1" ht="15.75" customHeight="1">
      <c r="A252" s="675" t="s">
        <v>935</v>
      </c>
      <c r="B252" s="675"/>
      <c r="C252" s="675"/>
      <c r="D252" s="309"/>
      <c r="E252" s="316"/>
      <c r="F252" s="466"/>
      <c r="G252" s="467"/>
      <c r="H252" s="745" t="s">
        <v>445</v>
      </c>
      <c r="I252" s="716">
        <v>2002</v>
      </c>
      <c r="J252" s="471">
        <v>0.125</v>
      </c>
      <c r="K252" s="752">
        <v>1792100000</v>
      </c>
      <c r="L252" s="706">
        <v>0</v>
      </c>
      <c r="M252" s="706">
        <v>0</v>
      </c>
      <c r="N252" s="705">
        <f t="shared" ref="N252:N259" si="70">K252+L252-M252</f>
        <v>1792100000</v>
      </c>
      <c r="O252" s="719">
        <v>1157397916.6666672</v>
      </c>
      <c r="P252" s="706">
        <f t="shared" ref="P252:P259" si="71">N252*J252</f>
        <v>224012500</v>
      </c>
      <c r="Q252" s="706">
        <v>0</v>
      </c>
      <c r="R252" s="705">
        <f>O252+P252-Q252</f>
        <v>1381410416.6666672</v>
      </c>
      <c r="S252" s="706">
        <f t="shared" ref="S252:S259" si="72">N252-R252</f>
        <v>410689583.33333278</v>
      </c>
    </row>
    <row r="253" spans="1:19" s="703" customFormat="1" ht="15.75" customHeight="1">
      <c r="A253" s="675" t="s">
        <v>935</v>
      </c>
      <c r="B253" s="675"/>
      <c r="C253" s="675"/>
      <c r="D253" s="309"/>
      <c r="E253" s="316"/>
      <c r="F253" s="466"/>
      <c r="G253" s="467"/>
      <c r="H253" s="745" t="s">
        <v>445</v>
      </c>
      <c r="I253" s="716">
        <v>2005</v>
      </c>
      <c r="J253" s="471">
        <v>0.125</v>
      </c>
      <c r="K253" s="752">
        <v>406100000</v>
      </c>
      <c r="L253" s="706">
        <v>0</v>
      </c>
      <c r="M253" s="706">
        <v>0</v>
      </c>
      <c r="N253" s="705">
        <f t="shared" si="70"/>
        <v>406100000</v>
      </c>
      <c r="O253" s="719">
        <v>262272916.66666687</v>
      </c>
      <c r="P253" s="706">
        <f t="shared" si="71"/>
        <v>50762500</v>
      </c>
      <c r="Q253" s="706">
        <v>0</v>
      </c>
      <c r="R253" s="705">
        <f t="shared" ref="R253:R259" si="73">O253+P253-Q253</f>
        <v>313035416.66666687</v>
      </c>
      <c r="S253" s="706">
        <f t="shared" si="72"/>
        <v>93064583.333333135</v>
      </c>
    </row>
    <row r="254" spans="1:19" s="703" customFormat="1" ht="15.75" customHeight="1">
      <c r="A254" s="675" t="s">
        <v>935</v>
      </c>
      <c r="B254" s="675"/>
      <c r="C254" s="675"/>
      <c r="D254" s="309"/>
      <c r="E254" s="316"/>
      <c r="F254" s="466"/>
      <c r="G254" s="467"/>
      <c r="H254" s="745" t="s">
        <v>445</v>
      </c>
      <c r="I254" s="716">
        <v>2006</v>
      </c>
      <c r="J254" s="471">
        <v>0.125</v>
      </c>
      <c r="K254" s="752">
        <v>113600000</v>
      </c>
      <c r="L254" s="706">
        <v>0</v>
      </c>
      <c r="M254" s="706">
        <v>0</v>
      </c>
      <c r="N254" s="705">
        <f t="shared" si="70"/>
        <v>113600000</v>
      </c>
      <c r="O254" s="719">
        <v>73366666.666666701</v>
      </c>
      <c r="P254" s="706">
        <f t="shared" si="71"/>
        <v>14200000</v>
      </c>
      <c r="Q254" s="706">
        <v>0</v>
      </c>
      <c r="R254" s="705">
        <f t="shared" si="73"/>
        <v>87566666.666666701</v>
      </c>
      <c r="S254" s="706">
        <f t="shared" si="72"/>
        <v>26033333.333333299</v>
      </c>
    </row>
    <row r="255" spans="1:19" ht="15.75" customHeight="1">
      <c r="A255" s="675" t="s">
        <v>935</v>
      </c>
      <c r="D255" s="309"/>
      <c r="E255" s="316"/>
      <c r="F255" s="466"/>
      <c r="G255" s="473"/>
      <c r="H255" s="725" t="s">
        <v>445</v>
      </c>
      <c r="I255" s="724">
        <v>2007</v>
      </c>
      <c r="J255" s="478">
        <v>0.125</v>
      </c>
      <c r="K255" s="752">
        <v>6500000</v>
      </c>
      <c r="L255" s="706">
        <v>0</v>
      </c>
      <c r="M255" s="706">
        <v>0</v>
      </c>
      <c r="N255" s="705">
        <f t="shared" si="70"/>
        <v>6500000</v>
      </c>
      <c r="O255" s="719">
        <v>4197916.6666666707</v>
      </c>
      <c r="P255" s="706">
        <f t="shared" si="71"/>
        <v>812500</v>
      </c>
      <c r="Q255" s="706">
        <v>0</v>
      </c>
      <c r="R255" s="705">
        <f t="shared" si="73"/>
        <v>5010416.6666666707</v>
      </c>
      <c r="S255" s="706">
        <f t="shared" si="72"/>
        <v>1489583.3333333293</v>
      </c>
    </row>
    <row r="256" spans="1:19" ht="15.75" customHeight="1">
      <c r="D256" s="309"/>
      <c r="E256" s="316"/>
      <c r="F256" s="786"/>
      <c r="G256" s="787"/>
      <c r="H256" s="481" t="s">
        <v>446</v>
      </c>
      <c r="I256" s="482" t="s">
        <v>450</v>
      </c>
      <c r="J256" s="483">
        <v>0.125</v>
      </c>
      <c r="K256" s="706">
        <v>437778900</v>
      </c>
      <c r="L256" s="706">
        <v>0</v>
      </c>
      <c r="M256" s="706">
        <v>0</v>
      </c>
      <c r="N256" s="706">
        <f t="shared" si="70"/>
        <v>437778900</v>
      </c>
      <c r="O256" s="706">
        <v>9120393.75</v>
      </c>
      <c r="P256" s="706">
        <f t="shared" si="71"/>
        <v>54722362.5</v>
      </c>
      <c r="Q256" s="706"/>
      <c r="R256" s="705">
        <f t="shared" si="73"/>
        <v>63842756.25</v>
      </c>
      <c r="S256" s="706">
        <f t="shared" si="72"/>
        <v>373936143.75</v>
      </c>
    </row>
    <row r="257" spans="1:19" ht="15.75" customHeight="1">
      <c r="D257" s="309"/>
      <c r="E257" s="316"/>
      <c r="F257" s="786"/>
      <c r="G257" s="787"/>
      <c r="H257" s="481" t="s">
        <v>447</v>
      </c>
      <c r="I257" s="482" t="s">
        <v>450</v>
      </c>
      <c r="J257" s="483">
        <v>0.125</v>
      </c>
      <c r="K257" s="706">
        <v>429283800</v>
      </c>
      <c r="L257" s="706">
        <v>0</v>
      </c>
      <c r="M257" s="706">
        <v>0</v>
      </c>
      <c r="N257" s="706">
        <f t="shared" si="70"/>
        <v>429283800</v>
      </c>
      <c r="O257" s="706">
        <v>8943412.5</v>
      </c>
      <c r="P257" s="706">
        <f t="shared" si="71"/>
        <v>53660475</v>
      </c>
      <c r="Q257" s="706"/>
      <c r="R257" s="705">
        <f t="shared" si="73"/>
        <v>62603887.5</v>
      </c>
      <c r="S257" s="706">
        <f t="shared" si="72"/>
        <v>366679912.5</v>
      </c>
    </row>
    <row r="258" spans="1:19" ht="15.75" customHeight="1">
      <c r="D258" s="309"/>
      <c r="E258" s="316"/>
      <c r="F258" s="786"/>
      <c r="G258" s="787"/>
      <c r="H258" s="481" t="s">
        <v>448</v>
      </c>
      <c r="I258" s="482" t="s">
        <v>450</v>
      </c>
      <c r="J258" s="483">
        <v>0.125</v>
      </c>
      <c r="K258" s="706">
        <v>7898914340</v>
      </c>
      <c r="L258" s="706">
        <v>0</v>
      </c>
      <c r="M258" s="706">
        <v>0</v>
      </c>
      <c r="N258" s="706">
        <f t="shared" si="70"/>
        <v>7898914340</v>
      </c>
      <c r="O258" s="706">
        <v>164560715.4166666</v>
      </c>
      <c r="P258" s="706">
        <f t="shared" si="71"/>
        <v>987364292.5</v>
      </c>
      <c r="Q258" s="706"/>
      <c r="R258" s="705">
        <f t="shared" si="73"/>
        <v>1151925007.9166665</v>
      </c>
      <c r="S258" s="706">
        <f t="shared" si="72"/>
        <v>6746989332.083334</v>
      </c>
    </row>
    <row r="259" spans="1:19" ht="15.75" customHeight="1">
      <c r="D259" s="309"/>
      <c r="E259" s="316"/>
      <c r="F259" s="786"/>
      <c r="G259" s="787"/>
      <c r="H259" s="481" t="s">
        <v>449</v>
      </c>
      <c r="I259" s="482" t="s">
        <v>450</v>
      </c>
      <c r="J259" s="483">
        <v>0.125</v>
      </c>
      <c r="K259" s="706">
        <v>149509500</v>
      </c>
      <c r="L259" s="706">
        <v>0</v>
      </c>
      <c r="M259" s="706">
        <v>0</v>
      </c>
      <c r="N259" s="706">
        <f t="shared" si="70"/>
        <v>149509500</v>
      </c>
      <c r="O259" s="706">
        <v>3114781.25</v>
      </c>
      <c r="P259" s="706">
        <f t="shared" si="71"/>
        <v>18688687.5</v>
      </c>
      <c r="Q259" s="706"/>
      <c r="R259" s="705">
        <f t="shared" si="73"/>
        <v>21803468.75</v>
      </c>
      <c r="S259" s="706">
        <f t="shared" si="72"/>
        <v>127706031.25</v>
      </c>
    </row>
    <row r="260" spans="1:19" ht="15.75" customHeight="1">
      <c r="A260" s="675" t="s">
        <v>935</v>
      </c>
      <c r="D260" s="309"/>
      <c r="E260" s="316"/>
      <c r="F260" s="466"/>
      <c r="G260" s="1236" t="s">
        <v>995</v>
      </c>
      <c r="H260" s="1236"/>
      <c r="I260" s="1236"/>
      <c r="J260" s="1237"/>
      <c r="K260" s="708">
        <f>SUM(K252:K259)</f>
        <v>11233786540</v>
      </c>
      <c r="L260" s="708">
        <f t="shared" ref="L260:S260" si="74">SUM(L252:L259)</f>
        <v>0</v>
      </c>
      <c r="M260" s="708">
        <f t="shared" si="74"/>
        <v>0</v>
      </c>
      <c r="N260" s="708">
        <f t="shared" si="74"/>
        <v>11233786540</v>
      </c>
      <c r="O260" s="708">
        <f t="shared" si="74"/>
        <v>1682974719.583334</v>
      </c>
      <c r="P260" s="708">
        <f t="shared" si="74"/>
        <v>1404223317.5</v>
      </c>
      <c r="Q260" s="708">
        <f t="shared" si="74"/>
        <v>0</v>
      </c>
      <c r="R260" s="708">
        <f>SUM(R252:R259)</f>
        <v>3087198037.083334</v>
      </c>
      <c r="S260" s="708">
        <f t="shared" si="74"/>
        <v>8146588502.916666</v>
      </c>
    </row>
    <row r="261" spans="1:19" s="703" customFormat="1" ht="15.75" customHeight="1">
      <c r="A261" s="675" t="s">
        <v>935</v>
      </c>
      <c r="B261" s="675"/>
      <c r="C261" s="675"/>
      <c r="D261" s="309"/>
      <c r="E261" s="316"/>
      <c r="F261" s="466"/>
      <c r="G261" s="474" t="s">
        <v>996</v>
      </c>
      <c r="H261" s="475" t="s">
        <v>453</v>
      </c>
      <c r="I261" s="485"/>
      <c r="J261" s="486"/>
      <c r="K261" s="702"/>
      <c r="L261" s="702"/>
      <c r="M261" s="702"/>
      <c r="N261" s="702"/>
      <c r="O261" s="702"/>
      <c r="P261" s="702"/>
      <c r="Q261" s="702"/>
      <c r="R261" s="702"/>
      <c r="S261" s="702"/>
    </row>
    <row r="262" spans="1:19" ht="15.75" customHeight="1">
      <c r="A262" s="675" t="s">
        <v>935</v>
      </c>
      <c r="D262" s="309"/>
      <c r="E262" s="316"/>
      <c r="F262" s="466"/>
      <c r="G262" s="467"/>
      <c r="H262" s="788" t="s">
        <v>455</v>
      </c>
      <c r="I262" s="716">
        <v>2002</v>
      </c>
      <c r="J262" s="471">
        <v>0.125</v>
      </c>
      <c r="K262" s="752">
        <v>825700000</v>
      </c>
      <c r="L262" s="706">
        <v>0</v>
      </c>
      <c r="M262" s="706">
        <v>0</v>
      </c>
      <c r="N262" s="705">
        <f>K262+L262-M262</f>
        <v>825700000</v>
      </c>
      <c r="O262" s="719">
        <v>533264583.33333373</v>
      </c>
      <c r="P262" s="706">
        <f>N262*J262</f>
        <v>103212500</v>
      </c>
      <c r="Q262" s="706">
        <v>0</v>
      </c>
      <c r="R262" s="705">
        <f>O262+P262-Q262</f>
        <v>636477083.33333373</v>
      </c>
      <c r="S262" s="706">
        <f>N262-R262</f>
        <v>189222916.66666627</v>
      </c>
    </row>
    <row r="263" spans="1:19" ht="15.75" customHeight="1">
      <c r="A263" s="675" t="s">
        <v>935</v>
      </c>
      <c r="D263" s="309"/>
      <c r="E263" s="316"/>
      <c r="F263" s="466"/>
      <c r="G263" s="467"/>
      <c r="H263" s="788" t="s">
        <v>456</v>
      </c>
      <c r="I263" s="716">
        <v>2002</v>
      </c>
      <c r="J263" s="471">
        <v>0.125</v>
      </c>
      <c r="K263" s="752">
        <v>70900000</v>
      </c>
      <c r="L263" s="706">
        <v>0</v>
      </c>
      <c r="M263" s="706">
        <v>0</v>
      </c>
      <c r="N263" s="705">
        <f>K263+L263-M263</f>
        <v>70900000</v>
      </c>
      <c r="O263" s="719">
        <v>45789583.333333321</v>
      </c>
      <c r="P263" s="706">
        <f>N263*J263</f>
        <v>8862500</v>
      </c>
      <c r="Q263" s="706">
        <v>0</v>
      </c>
      <c r="R263" s="705">
        <f>O263+P263-Q263</f>
        <v>54652083.333333321</v>
      </c>
      <c r="S263" s="706">
        <f>N263-R263</f>
        <v>16247916.666666679</v>
      </c>
    </row>
    <row r="264" spans="1:19" ht="15.75" customHeight="1">
      <c r="A264" s="675" t="s">
        <v>935</v>
      </c>
      <c r="D264" s="309"/>
      <c r="E264" s="316"/>
      <c r="F264" s="466"/>
      <c r="G264" s="467"/>
      <c r="H264" s="788" t="s">
        <v>457</v>
      </c>
      <c r="I264" s="716">
        <v>2005</v>
      </c>
      <c r="J264" s="471">
        <v>0.125</v>
      </c>
      <c r="K264" s="752">
        <v>441100000</v>
      </c>
      <c r="L264" s="706">
        <v>0</v>
      </c>
      <c r="M264" s="706">
        <v>0</v>
      </c>
      <c r="N264" s="705">
        <f>K264+L264-M264</f>
        <v>441100000</v>
      </c>
      <c r="O264" s="719">
        <v>284877083.33333313</v>
      </c>
      <c r="P264" s="706">
        <f>N264*J264</f>
        <v>55137500</v>
      </c>
      <c r="Q264" s="706">
        <v>0</v>
      </c>
      <c r="R264" s="705">
        <f>O264+P264-Q264</f>
        <v>340014583.33333313</v>
      </c>
      <c r="S264" s="706">
        <f>N264-R264</f>
        <v>101085416.66666687</v>
      </c>
    </row>
    <row r="265" spans="1:19" ht="15.75" customHeight="1">
      <c r="A265" s="675" t="s">
        <v>935</v>
      </c>
      <c r="D265" s="309"/>
      <c r="E265" s="316"/>
      <c r="F265" s="466"/>
      <c r="G265" s="473"/>
      <c r="H265" s="788" t="s">
        <v>458</v>
      </c>
      <c r="I265" s="724">
        <v>2012</v>
      </c>
      <c r="J265" s="478">
        <v>0.125</v>
      </c>
      <c r="K265" s="752">
        <v>176900000</v>
      </c>
      <c r="L265" s="706">
        <v>0</v>
      </c>
      <c r="M265" s="706">
        <v>0</v>
      </c>
      <c r="N265" s="705">
        <f>K265+L265-M265</f>
        <v>176900000</v>
      </c>
      <c r="O265" s="719">
        <v>114247916.66666658</v>
      </c>
      <c r="P265" s="706">
        <f>N265*J265</f>
        <v>22112500</v>
      </c>
      <c r="Q265" s="706">
        <v>0</v>
      </c>
      <c r="R265" s="705">
        <f>O265+P265-Q265</f>
        <v>136360416.66666657</v>
      </c>
      <c r="S265" s="706">
        <f>N265-R265</f>
        <v>40539583.333333433</v>
      </c>
    </row>
    <row r="266" spans="1:19" ht="15.75" customHeight="1">
      <c r="A266" s="675" t="s">
        <v>935</v>
      </c>
      <c r="D266" s="309"/>
      <c r="E266" s="316"/>
      <c r="F266" s="466"/>
      <c r="G266" s="1236" t="s">
        <v>997</v>
      </c>
      <c r="H266" s="1236"/>
      <c r="I266" s="1236"/>
      <c r="J266" s="1237"/>
      <c r="K266" s="708">
        <f>SUM(K262:K265)</f>
        <v>1514600000</v>
      </c>
      <c r="L266" s="708">
        <f t="shared" ref="L266:S266" si="75">SUM(L262:L265)</f>
        <v>0</v>
      </c>
      <c r="M266" s="708">
        <f t="shared" si="75"/>
        <v>0</v>
      </c>
      <c r="N266" s="708">
        <f t="shared" si="75"/>
        <v>1514600000</v>
      </c>
      <c r="O266" s="708">
        <f t="shared" si="75"/>
        <v>978179166.66666687</v>
      </c>
      <c r="P266" s="708">
        <f>SUM(P262:P265)</f>
        <v>189325000</v>
      </c>
      <c r="Q266" s="708">
        <f t="shared" si="75"/>
        <v>0</v>
      </c>
      <c r="R266" s="708">
        <f>SUM(R262:R265)</f>
        <v>1167504166.6666667</v>
      </c>
      <c r="S266" s="708">
        <f t="shared" si="75"/>
        <v>347095833.33333325</v>
      </c>
    </row>
    <row r="267" spans="1:19" ht="15.75" customHeight="1">
      <c r="A267" s="675" t="s">
        <v>935</v>
      </c>
      <c r="D267" s="309"/>
      <c r="E267" s="316"/>
      <c r="F267" s="466"/>
      <c r="G267" s="474" t="s">
        <v>998</v>
      </c>
      <c r="H267" s="475" t="s">
        <v>459</v>
      </c>
      <c r="I267" s="488"/>
      <c r="J267" s="396"/>
      <c r="K267" s="701"/>
      <c r="L267" s="706"/>
      <c r="M267" s="701"/>
      <c r="N267" s="701"/>
      <c r="O267" s="701"/>
      <c r="P267" s="701"/>
      <c r="Q267" s="701"/>
      <c r="R267" s="701"/>
      <c r="S267" s="701"/>
    </row>
    <row r="268" spans="1:19" ht="15.75" customHeight="1">
      <c r="A268" s="675" t="s">
        <v>935</v>
      </c>
      <c r="D268" s="323"/>
      <c r="E268" s="324"/>
      <c r="F268" s="469"/>
      <c r="G268" s="470"/>
      <c r="H268" s="743" t="s">
        <v>461</v>
      </c>
      <c r="I268" s="724">
        <v>2002</v>
      </c>
      <c r="J268" s="471">
        <v>0.125</v>
      </c>
      <c r="K268" s="752">
        <v>1400000</v>
      </c>
      <c r="L268" s="706">
        <v>0</v>
      </c>
      <c r="M268" s="706">
        <v>0</v>
      </c>
      <c r="N268" s="705">
        <f>K268+L268-M268</f>
        <v>1400000</v>
      </c>
      <c r="O268" s="719">
        <v>904166.66666666733</v>
      </c>
      <c r="P268" s="706">
        <f>N268*J268</f>
        <v>175000</v>
      </c>
      <c r="Q268" s="706">
        <v>0</v>
      </c>
      <c r="R268" s="705">
        <f>O268+P268-Q268</f>
        <v>1079166.6666666674</v>
      </c>
      <c r="S268" s="706">
        <f>N268-R268</f>
        <v>320833.33333333256</v>
      </c>
    </row>
    <row r="269" spans="1:19" ht="15.75" customHeight="1">
      <c r="A269" s="675" t="s">
        <v>935</v>
      </c>
      <c r="D269" s="323"/>
      <c r="E269" s="324"/>
      <c r="F269" s="469"/>
      <c r="G269" s="489"/>
      <c r="H269" s="725" t="s">
        <v>461</v>
      </c>
      <c r="I269" s="739">
        <v>2005</v>
      </c>
      <c r="J269" s="471">
        <v>0.125</v>
      </c>
      <c r="K269" s="752">
        <v>2600000</v>
      </c>
      <c r="L269" s="706">
        <v>0</v>
      </c>
      <c r="M269" s="706">
        <v>0</v>
      </c>
      <c r="N269" s="705">
        <f>K269+L269-M269</f>
        <v>2600000</v>
      </c>
      <c r="O269" s="719">
        <v>1679166.6666666653</v>
      </c>
      <c r="P269" s="706">
        <f>N269*J269</f>
        <v>325000</v>
      </c>
      <c r="Q269" s="706">
        <v>0</v>
      </c>
      <c r="R269" s="705">
        <f>O269+P269-Q269</f>
        <v>2004166.6666666653</v>
      </c>
      <c r="S269" s="706">
        <f>N269-R269</f>
        <v>595833.33333333465</v>
      </c>
    </row>
    <row r="270" spans="1:19" ht="15.75" customHeight="1">
      <c r="A270" s="675" t="s">
        <v>935</v>
      </c>
      <c r="D270" s="309"/>
      <c r="E270" s="316"/>
      <c r="F270" s="466"/>
      <c r="G270" s="1236" t="s">
        <v>999</v>
      </c>
      <c r="H270" s="1236"/>
      <c r="I270" s="1236"/>
      <c r="J270" s="1237"/>
      <c r="K270" s="708">
        <f>SUM(K268:K269)</f>
        <v>4000000</v>
      </c>
      <c r="L270" s="708">
        <f t="shared" ref="L270:S270" si="76">SUM(L268:L269)</f>
        <v>0</v>
      </c>
      <c r="M270" s="708">
        <f t="shared" si="76"/>
        <v>0</v>
      </c>
      <c r="N270" s="708">
        <f t="shared" si="76"/>
        <v>4000000</v>
      </c>
      <c r="O270" s="708">
        <f t="shared" si="76"/>
        <v>2583333.3333333326</v>
      </c>
      <c r="P270" s="708">
        <f>SUM(P268:P269)</f>
        <v>500000</v>
      </c>
      <c r="Q270" s="708">
        <f t="shared" si="76"/>
        <v>0</v>
      </c>
      <c r="R270" s="708">
        <f>SUM(R268:R269)</f>
        <v>3083333.333333333</v>
      </c>
      <c r="S270" s="708">
        <f t="shared" si="76"/>
        <v>916666.66666666721</v>
      </c>
    </row>
    <row r="271" spans="1:19" ht="15.75" customHeight="1">
      <c r="A271" s="675" t="s">
        <v>935</v>
      </c>
      <c r="D271" s="309"/>
      <c r="E271" s="316"/>
      <c r="F271" s="466"/>
      <c r="G271" s="474" t="s">
        <v>1000</v>
      </c>
      <c r="H271" s="490" t="s">
        <v>462</v>
      </c>
      <c r="I271" s="491"/>
      <c r="J271" s="396"/>
      <c r="K271" s="712"/>
      <c r="L271" s="712"/>
      <c r="M271" s="712"/>
      <c r="N271" s="712"/>
      <c r="O271" s="712"/>
      <c r="P271" s="712"/>
      <c r="Q271" s="712"/>
      <c r="R271" s="712"/>
      <c r="S271" s="712"/>
    </row>
    <row r="272" spans="1:19" ht="15.75" customHeight="1">
      <c r="A272" s="675" t="s">
        <v>935</v>
      </c>
      <c r="D272" s="323"/>
      <c r="E272" s="324"/>
      <c r="F272" s="469"/>
      <c r="G272" s="489"/>
      <c r="H272" s="725" t="s">
        <v>464</v>
      </c>
      <c r="I272" s="724">
        <v>2002</v>
      </c>
      <c r="J272" s="471">
        <v>0.125</v>
      </c>
      <c r="K272" s="752">
        <v>3922000000</v>
      </c>
      <c r="L272" s="706">
        <v>0</v>
      </c>
      <c r="M272" s="706">
        <v>0</v>
      </c>
      <c r="N272" s="705">
        <f>K272+L272-M272</f>
        <v>3922000000</v>
      </c>
      <c r="O272" s="719">
        <v>2532958333.333334</v>
      </c>
      <c r="P272" s="706">
        <f>N272*J272</f>
        <v>490250000</v>
      </c>
      <c r="Q272" s="706">
        <v>0</v>
      </c>
      <c r="R272" s="705">
        <f>O272+P272-Q272</f>
        <v>3023208333.333334</v>
      </c>
      <c r="S272" s="706">
        <f>N272-R272</f>
        <v>898791666.66666603</v>
      </c>
    </row>
    <row r="273" spans="1:19" ht="15.75" customHeight="1">
      <c r="A273" s="675" t="s">
        <v>935</v>
      </c>
      <c r="D273" s="309"/>
      <c r="E273" s="316"/>
      <c r="F273" s="466"/>
      <c r="G273" s="1236" t="s">
        <v>1001</v>
      </c>
      <c r="H273" s="1236"/>
      <c r="I273" s="1236"/>
      <c r="J273" s="1237"/>
      <c r="K273" s="708">
        <f>SUM(K272)</f>
        <v>3922000000</v>
      </c>
      <c r="L273" s="708">
        <f t="shared" ref="L273:S273" si="77">SUM(L272)</f>
        <v>0</v>
      </c>
      <c r="M273" s="708">
        <f t="shared" si="77"/>
        <v>0</v>
      </c>
      <c r="N273" s="708">
        <f t="shared" si="77"/>
        <v>3922000000</v>
      </c>
      <c r="O273" s="708">
        <f t="shared" si="77"/>
        <v>2532958333.333334</v>
      </c>
      <c r="P273" s="708">
        <f>SUM(P272)</f>
        <v>490250000</v>
      </c>
      <c r="Q273" s="708">
        <f t="shared" si="77"/>
        <v>0</v>
      </c>
      <c r="R273" s="708">
        <f>SUM(R272)</f>
        <v>3023208333.333334</v>
      </c>
      <c r="S273" s="708">
        <f t="shared" si="77"/>
        <v>898791666.66666603</v>
      </c>
    </row>
    <row r="274" spans="1:19" s="703" customFormat="1" ht="15.75" customHeight="1">
      <c r="A274" s="675" t="s">
        <v>935</v>
      </c>
      <c r="B274" s="675"/>
      <c r="C274" s="675"/>
      <c r="D274" s="309"/>
      <c r="E274" s="316"/>
      <c r="F274" s="466"/>
      <c r="G274" s="474" t="s">
        <v>1002</v>
      </c>
      <c r="H274" s="490" t="s">
        <v>465</v>
      </c>
      <c r="I274" s="492"/>
      <c r="J274" s="486"/>
      <c r="K274" s="702"/>
      <c r="L274" s="702"/>
      <c r="M274" s="702"/>
      <c r="N274" s="702"/>
      <c r="O274" s="702"/>
      <c r="P274" s="702"/>
      <c r="Q274" s="702"/>
      <c r="R274" s="702"/>
      <c r="S274" s="702"/>
    </row>
    <row r="275" spans="1:19" ht="15.75" customHeight="1">
      <c r="A275" s="675" t="s">
        <v>935</v>
      </c>
      <c r="D275" s="309"/>
      <c r="E275" s="316"/>
      <c r="F275" s="466"/>
      <c r="G275" s="467"/>
      <c r="H275" s="725" t="s">
        <v>467</v>
      </c>
      <c r="I275" s="765">
        <v>2002</v>
      </c>
      <c r="J275" s="471">
        <v>0.125</v>
      </c>
      <c r="K275" s="752">
        <v>52800000</v>
      </c>
      <c r="L275" s="706">
        <v>0</v>
      </c>
      <c r="M275" s="706">
        <v>0</v>
      </c>
      <c r="N275" s="705">
        <f t="shared" ref="N275:N280" si="78">K275+L275-M275</f>
        <v>52800000</v>
      </c>
      <c r="O275" s="719">
        <v>34100000</v>
      </c>
      <c r="P275" s="706">
        <f t="shared" ref="P275:P280" si="79">N275*J275</f>
        <v>6600000</v>
      </c>
      <c r="Q275" s="706">
        <v>0</v>
      </c>
      <c r="R275" s="705">
        <f t="shared" ref="R275:R280" si="80">O275+P275-Q275</f>
        <v>40700000</v>
      </c>
      <c r="S275" s="706">
        <f t="shared" ref="S275:S280" si="81">N275-R275</f>
        <v>12100000</v>
      </c>
    </row>
    <row r="276" spans="1:19" ht="15.75" customHeight="1">
      <c r="A276" s="675" t="s">
        <v>935</v>
      </c>
      <c r="D276" s="309"/>
      <c r="E276" s="316"/>
      <c r="F276" s="466"/>
      <c r="G276" s="467"/>
      <c r="H276" s="745" t="s">
        <v>468</v>
      </c>
      <c r="I276" s="716">
        <v>2002</v>
      </c>
      <c r="J276" s="471">
        <v>0.125</v>
      </c>
      <c r="K276" s="752">
        <v>252600000</v>
      </c>
      <c r="L276" s="706">
        <v>0</v>
      </c>
      <c r="M276" s="706">
        <v>0</v>
      </c>
      <c r="N276" s="705">
        <f t="shared" si="78"/>
        <v>252600000</v>
      </c>
      <c r="O276" s="719">
        <v>163137500</v>
      </c>
      <c r="P276" s="706">
        <f t="shared" si="79"/>
        <v>31575000</v>
      </c>
      <c r="Q276" s="706">
        <v>0</v>
      </c>
      <c r="R276" s="705">
        <f t="shared" si="80"/>
        <v>194712500</v>
      </c>
      <c r="S276" s="706">
        <f t="shared" si="81"/>
        <v>57887500</v>
      </c>
    </row>
    <row r="277" spans="1:19" ht="15.75" customHeight="1">
      <c r="A277" s="675" t="s">
        <v>935</v>
      </c>
      <c r="D277" s="309"/>
      <c r="E277" s="316"/>
      <c r="F277" s="466"/>
      <c r="G277" s="467"/>
      <c r="H277" s="745" t="s">
        <v>469</v>
      </c>
      <c r="I277" s="716">
        <v>2003</v>
      </c>
      <c r="J277" s="471">
        <v>0.125</v>
      </c>
      <c r="K277" s="752">
        <v>74900000</v>
      </c>
      <c r="L277" s="706">
        <v>0</v>
      </c>
      <c r="M277" s="706">
        <v>0</v>
      </c>
      <c r="N277" s="705">
        <f t="shared" si="78"/>
        <v>74900000</v>
      </c>
      <c r="O277" s="719">
        <v>48372916.666666687</v>
      </c>
      <c r="P277" s="706">
        <f t="shared" si="79"/>
        <v>9362500</v>
      </c>
      <c r="Q277" s="706">
        <v>0</v>
      </c>
      <c r="R277" s="705">
        <f t="shared" si="80"/>
        <v>57735416.666666687</v>
      </c>
      <c r="S277" s="706">
        <f t="shared" si="81"/>
        <v>17164583.333333313</v>
      </c>
    </row>
    <row r="278" spans="1:19" ht="15.75" customHeight="1">
      <c r="A278" s="675" t="s">
        <v>935</v>
      </c>
      <c r="D278" s="309"/>
      <c r="E278" s="316"/>
      <c r="F278" s="466"/>
      <c r="G278" s="467"/>
      <c r="H278" s="745" t="s">
        <v>470</v>
      </c>
      <c r="I278" s="716">
        <v>2005</v>
      </c>
      <c r="J278" s="471">
        <v>0.125</v>
      </c>
      <c r="K278" s="752">
        <v>86200000</v>
      </c>
      <c r="L278" s="706">
        <v>0</v>
      </c>
      <c r="M278" s="706">
        <v>0</v>
      </c>
      <c r="N278" s="705">
        <f t="shared" si="78"/>
        <v>86200000</v>
      </c>
      <c r="O278" s="719">
        <v>55670833.333333299</v>
      </c>
      <c r="P278" s="706">
        <f t="shared" si="79"/>
        <v>10775000</v>
      </c>
      <c r="Q278" s="706">
        <v>0</v>
      </c>
      <c r="R278" s="705">
        <f t="shared" si="80"/>
        <v>66445833.333333299</v>
      </c>
      <c r="S278" s="706">
        <f t="shared" si="81"/>
        <v>19754166.666666701</v>
      </c>
    </row>
    <row r="279" spans="1:19" ht="15.75" customHeight="1">
      <c r="A279" s="675" t="s">
        <v>935</v>
      </c>
      <c r="D279" s="309"/>
      <c r="E279" s="316"/>
      <c r="F279" s="466"/>
      <c r="G279" s="467"/>
      <c r="H279" s="745" t="s">
        <v>471</v>
      </c>
      <c r="I279" s="716">
        <v>2008</v>
      </c>
      <c r="J279" s="471">
        <v>0.125</v>
      </c>
      <c r="K279" s="752">
        <v>4600000</v>
      </c>
      <c r="L279" s="706">
        <v>0</v>
      </c>
      <c r="M279" s="706">
        <v>0</v>
      </c>
      <c r="N279" s="705">
        <f t="shared" si="78"/>
        <v>4600000</v>
      </c>
      <c r="O279" s="719">
        <v>2970833.3333333321</v>
      </c>
      <c r="P279" s="706">
        <f t="shared" si="79"/>
        <v>575000</v>
      </c>
      <c r="Q279" s="706">
        <v>0</v>
      </c>
      <c r="R279" s="705">
        <f t="shared" si="80"/>
        <v>3545833.3333333321</v>
      </c>
      <c r="S279" s="706">
        <f t="shared" si="81"/>
        <v>1054166.6666666679</v>
      </c>
    </row>
    <row r="280" spans="1:19" ht="15.75" customHeight="1">
      <c r="A280" s="675" t="s">
        <v>935</v>
      </c>
      <c r="D280" s="309"/>
      <c r="E280" s="316"/>
      <c r="F280" s="466"/>
      <c r="G280" s="473"/>
      <c r="H280" s="725" t="s">
        <v>472</v>
      </c>
      <c r="I280" s="724">
        <v>2008</v>
      </c>
      <c r="J280" s="471">
        <v>0.125</v>
      </c>
      <c r="K280" s="752">
        <v>155200000</v>
      </c>
      <c r="L280" s="706">
        <v>0</v>
      </c>
      <c r="M280" s="706">
        <v>0</v>
      </c>
      <c r="N280" s="705">
        <f t="shared" si="78"/>
        <v>155200000</v>
      </c>
      <c r="O280" s="719">
        <v>100233333.33333339</v>
      </c>
      <c r="P280" s="706">
        <f t="shared" si="79"/>
        <v>19400000</v>
      </c>
      <c r="Q280" s="706">
        <v>0</v>
      </c>
      <c r="R280" s="705">
        <f t="shared" si="80"/>
        <v>119633333.33333339</v>
      </c>
      <c r="S280" s="706">
        <f t="shared" si="81"/>
        <v>35566666.666666612</v>
      </c>
    </row>
    <row r="281" spans="1:19" ht="15.75" customHeight="1">
      <c r="A281" s="675" t="s">
        <v>935</v>
      </c>
      <c r="D281" s="309"/>
      <c r="E281" s="316"/>
      <c r="F281" s="466"/>
      <c r="G281" s="1236" t="s">
        <v>1003</v>
      </c>
      <c r="H281" s="1236"/>
      <c r="I281" s="1236"/>
      <c r="J281" s="1237"/>
      <c r="K281" s="708">
        <f>SUM(K275:K280)</f>
        <v>626300000</v>
      </c>
      <c r="L281" s="708">
        <f t="shared" ref="L281:S281" si="82">SUM(L275:L280)</f>
        <v>0</v>
      </c>
      <c r="M281" s="708">
        <f t="shared" si="82"/>
        <v>0</v>
      </c>
      <c r="N281" s="708">
        <f t="shared" si="82"/>
        <v>626300000</v>
      </c>
      <c r="O281" s="708">
        <f t="shared" si="82"/>
        <v>404485416.66666669</v>
      </c>
      <c r="P281" s="708">
        <f>SUM(P275:P280)</f>
        <v>78287500</v>
      </c>
      <c r="Q281" s="708"/>
      <c r="R281" s="708">
        <f>SUM(R275:R280)</f>
        <v>482772916.66666669</v>
      </c>
      <c r="S281" s="708">
        <f t="shared" si="82"/>
        <v>143527083.33333331</v>
      </c>
    </row>
    <row r="282" spans="1:19" ht="15.75" customHeight="1">
      <c r="A282" s="675" t="s">
        <v>935</v>
      </c>
      <c r="D282" s="309"/>
      <c r="E282" s="316"/>
      <c r="F282" s="466"/>
      <c r="G282" s="474" t="s">
        <v>1004</v>
      </c>
      <c r="H282" s="475" t="s">
        <v>473</v>
      </c>
      <c r="I282" s="354"/>
      <c r="J282" s="396"/>
      <c r="K282" s="712"/>
      <c r="L282" s="712"/>
      <c r="M282" s="712"/>
      <c r="N282" s="712"/>
      <c r="O282" s="712"/>
      <c r="P282" s="712"/>
      <c r="Q282" s="712"/>
      <c r="R282" s="712"/>
      <c r="S282" s="712"/>
    </row>
    <row r="283" spans="1:19" ht="15.75" customHeight="1">
      <c r="A283" s="675" t="s">
        <v>935</v>
      </c>
      <c r="D283" s="309"/>
      <c r="E283" s="316"/>
      <c r="F283" s="466"/>
      <c r="G283" s="467"/>
      <c r="H283" s="745" t="s">
        <v>174</v>
      </c>
      <c r="I283" s="716">
        <v>2002</v>
      </c>
      <c r="J283" s="471">
        <v>0.125</v>
      </c>
      <c r="K283" s="752">
        <v>1715900000</v>
      </c>
      <c r="L283" s="706">
        <v>0</v>
      </c>
      <c r="M283" s="706">
        <v>0</v>
      </c>
      <c r="N283" s="705">
        <f t="shared" ref="N283:N319" si="83">K283+L283-M283</f>
        <v>1715900000</v>
      </c>
      <c r="O283" s="719">
        <v>1108185416.6666675</v>
      </c>
      <c r="P283" s="706">
        <f t="shared" ref="P283:P319" si="84">N283*J283</f>
        <v>214487500</v>
      </c>
      <c r="Q283" s="706">
        <v>0</v>
      </c>
      <c r="R283" s="705">
        <f t="shared" ref="R283:R319" si="85">O283+P283-Q283</f>
        <v>1322672916.6666675</v>
      </c>
      <c r="S283" s="706">
        <f t="shared" ref="S283:S319" si="86">N283-R283</f>
        <v>393227083.33333254</v>
      </c>
    </row>
    <row r="284" spans="1:19" ht="15.75" customHeight="1">
      <c r="A284" s="675" t="s">
        <v>935</v>
      </c>
      <c r="D284" s="309"/>
      <c r="E284" s="316"/>
      <c r="F284" s="466"/>
      <c r="G284" s="467"/>
      <c r="H284" s="789" t="s">
        <v>174</v>
      </c>
      <c r="I284" s="716">
        <v>2006</v>
      </c>
      <c r="J284" s="471">
        <v>0.125</v>
      </c>
      <c r="K284" s="752">
        <v>1590000000</v>
      </c>
      <c r="L284" s="706">
        <v>0</v>
      </c>
      <c r="M284" s="706">
        <v>0</v>
      </c>
      <c r="N284" s="705">
        <f t="shared" si="83"/>
        <v>1590000000</v>
      </c>
      <c r="O284" s="719">
        <v>1026875000</v>
      </c>
      <c r="P284" s="706">
        <f t="shared" si="84"/>
        <v>198750000</v>
      </c>
      <c r="Q284" s="706">
        <v>0</v>
      </c>
      <c r="R284" s="705">
        <f t="shared" si="85"/>
        <v>1225625000</v>
      </c>
      <c r="S284" s="706">
        <f t="shared" si="86"/>
        <v>364375000</v>
      </c>
    </row>
    <row r="285" spans="1:19" ht="15.75" customHeight="1">
      <c r="A285" s="675" t="s">
        <v>935</v>
      </c>
      <c r="D285" s="309"/>
      <c r="E285" s="316"/>
      <c r="F285" s="466"/>
      <c r="G285" s="467"/>
      <c r="H285" s="790" t="s">
        <v>174</v>
      </c>
      <c r="I285" s="750">
        <v>2007</v>
      </c>
      <c r="J285" s="471">
        <v>0.125</v>
      </c>
      <c r="K285" s="752">
        <v>168100000</v>
      </c>
      <c r="L285" s="706">
        <v>0</v>
      </c>
      <c r="M285" s="706">
        <v>0</v>
      </c>
      <c r="N285" s="705">
        <f t="shared" si="83"/>
        <v>168100000</v>
      </c>
      <c r="O285" s="719">
        <v>108564583.33333342</v>
      </c>
      <c r="P285" s="706">
        <f t="shared" si="84"/>
        <v>21012500</v>
      </c>
      <c r="Q285" s="706">
        <v>0</v>
      </c>
      <c r="R285" s="705">
        <f t="shared" si="85"/>
        <v>129577083.33333342</v>
      </c>
      <c r="S285" s="706">
        <f t="shared" si="86"/>
        <v>38522916.666666582</v>
      </c>
    </row>
    <row r="286" spans="1:19" ht="15.75" customHeight="1">
      <c r="A286" s="675" t="s">
        <v>935</v>
      </c>
      <c r="D286" s="309"/>
      <c r="E286" s="316"/>
      <c r="F286" s="786"/>
      <c r="G286" s="787"/>
      <c r="H286" s="791" t="s">
        <v>475</v>
      </c>
      <c r="I286" s="792">
        <v>2008</v>
      </c>
      <c r="J286" s="471">
        <v>0.125</v>
      </c>
      <c r="K286" s="752">
        <v>39300000</v>
      </c>
      <c r="L286" s="706">
        <v>0</v>
      </c>
      <c r="M286" s="706">
        <v>0</v>
      </c>
      <c r="N286" s="705">
        <f t="shared" si="83"/>
        <v>39300000</v>
      </c>
      <c r="O286" s="719">
        <v>25381250</v>
      </c>
      <c r="P286" s="706">
        <f t="shared" si="84"/>
        <v>4912500</v>
      </c>
      <c r="Q286" s="706">
        <v>0</v>
      </c>
      <c r="R286" s="705">
        <f t="shared" si="85"/>
        <v>30293750</v>
      </c>
      <c r="S286" s="706">
        <f t="shared" si="86"/>
        <v>9006250</v>
      </c>
    </row>
    <row r="287" spans="1:19" ht="15.75" customHeight="1">
      <c r="A287" s="675" t="s">
        <v>935</v>
      </c>
      <c r="D287" s="309"/>
      <c r="E287" s="316"/>
      <c r="F287" s="786"/>
      <c r="G287" s="787"/>
      <c r="H287" s="793" t="s">
        <v>476</v>
      </c>
      <c r="I287" s="740">
        <v>2008</v>
      </c>
      <c r="J287" s="471">
        <v>0.125</v>
      </c>
      <c r="K287" s="752">
        <v>20800000</v>
      </c>
      <c r="L287" s="706">
        <v>0</v>
      </c>
      <c r="M287" s="706">
        <v>0</v>
      </c>
      <c r="N287" s="705">
        <f t="shared" si="83"/>
        <v>20800000</v>
      </c>
      <c r="O287" s="719">
        <v>13433333.333333325</v>
      </c>
      <c r="P287" s="706">
        <f t="shared" si="84"/>
        <v>2600000</v>
      </c>
      <c r="Q287" s="706">
        <v>0</v>
      </c>
      <c r="R287" s="705">
        <f t="shared" si="85"/>
        <v>16033333.333333325</v>
      </c>
      <c r="S287" s="706">
        <f t="shared" si="86"/>
        <v>4766666.6666666754</v>
      </c>
    </row>
    <row r="288" spans="1:19" ht="15.75" customHeight="1">
      <c r="A288" s="675" t="s">
        <v>935</v>
      </c>
      <c r="D288" s="309"/>
      <c r="E288" s="316"/>
      <c r="F288" s="786"/>
      <c r="G288" s="787"/>
      <c r="H288" s="790" t="s">
        <v>477</v>
      </c>
      <c r="I288" s="740">
        <v>2008</v>
      </c>
      <c r="J288" s="471">
        <v>0.125</v>
      </c>
      <c r="K288" s="752">
        <v>10500000</v>
      </c>
      <c r="L288" s="706">
        <v>0</v>
      </c>
      <c r="M288" s="706">
        <v>0</v>
      </c>
      <c r="N288" s="705">
        <f t="shared" si="83"/>
        <v>10500000</v>
      </c>
      <c r="O288" s="719">
        <v>6781250</v>
      </c>
      <c r="P288" s="706">
        <f t="shared" si="84"/>
        <v>1312500</v>
      </c>
      <c r="Q288" s="706">
        <v>0</v>
      </c>
      <c r="R288" s="705">
        <f t="shared" si="85"/>
        <v>8093750</v>
      </c>
      <c r="S288" s="706">
        <f t="shared" si="86"/>
        <v>2406250</v>
      </c>
    </row>
    <row r="289" spans="1:19" ht="15.75" customHeight="1">
      <c r="A289" s="675" t="s">
        <v>935</v>
      </c>
      <c r="D289" s="309"/>
      <c r="E289" s="316"/>
      <c r="F289" s="786"/>
      <c r="G289" s="787"/>
      <c r="H289" s="791" t="s">
        <v>478</v>
      </c>
      <c r="I289" s="740">
        <v>2009</v>
      </c>
      <c r="J289" s="471">
        <v>0.125</v>
      </c>
      <c r="K289" s="752">
        <v>7900000</v>
      </c>
      <c r="L289" s="706">
        <v>0</v>
      </c>
      <c r="M289" s="706">
        <v>0</v>
      </c>
      <c r="N289" s="705">
        <f t="shared" si="83"/>
        <v>7900000</v>
      </c>
      <c r="O289" s="719">
        <v>5102083.333333333</v>
      </c>
      <c r="P289" s="706">
        <f t="shared" si="84"/>
        <v>987500</v>
      </c>
      <c r="Q289" s="706">
        <v>0</v>
      </c>
      <c r="R289" s="705">
        <f t="shared" si="85"/>
        <v>6089583.333333333</v>
      </c>
      <c r="S289" s="706">
        <f t="shared" si="86"/>
        <v>1810416.666666667</v>
      </c>
    </row>
    <row r="290" spans="1:19" ht="15.75" customHeight="1">
      <c r="A290" s="675" t="s">
        <v>935</v>
      </c>
      <c r="D290" s="309"/>
      <c r="E290" s="316"/>
      <c r="F290" s="786"/>
      <c r="G290" s="787"/>
      <c r="H290" s="793" t="s">
        <v>479</v>
      </c>
      <c r="I290" s="750">
        <v>2009</v>
      </c>
      <c r="J290" s="471">
        <v>0.125</v>
      </c>
      <c r="K290" s="752">
        <v>97100000</v>
      </c>
      <c r="L290" s="706">
        <v>0</v>
      </c>
      <c r="M290" s="706">
        <v>0</v>
      </c>
      <c r="N290" s="705">
        <f t="shared" si="83"/>
        <v>97100000</v>
      </c>
      <c r="O290" s="719">
        <v>62710416.666666709</v>
      </c>
      <c r="P290" s="706">
        <f t="shared" si="84"/>
        <v>12137500</v>
      </c>
      <c r="Q290" s="706">
        <v>0</v>
      </c>
      <c r="R290" s="705">
        <f t="shared" si="85"/>
        <v>74847916.666666716</v>
      </c>
      <c r="S290" s="706">
        <f t="shared" si="86"/>
        <v>22252083.333333284</v>
      </c>
    </row>
    <row r="291" spans="1:19" ht="15.75" customHeight="1">
      <c r="A291" s="675" t="s">
        <v>935</v>
      </c>
      <c r="D291" s="309"/>
      <c r="E291" s="316"/>
      <c r="F291" s="786"/>
      <c r="G291" s="787"/>
      <c r="H291" s="790" t="s">
        <v>480</v>
      </c>
      <c r="I291" s="792">
        <v>2011</v>
      </c>
      <c r="J291" s="471">
        <v>0.125</v>
      </c>
      <c r="K291" s="752">
        <v>4800000</v>
      </c>
      <c r="L291" s="706">
        <v>0</v>
      </c>
      <c r="M291" s="706">
        <v>0</v>
      </c>
      <c r="N291" s="705">
        <f t="shared" si="83"/>
        <v>4800000</v>
      </c>
      <c r="O291" s="719">
        <v>3100000</v>
      </c>
      <c r="P291" s="706">
        <f t="shared" si="84"/>
        <v>600000</v>
      </c>
      <c r="Q291" s="706">
        <v>0</v>
      </c>
      <c r="R291" s="705">
        <f t="shared" si="85"/>
        <v>3700000</v>
      </c>
      <c r="S291" s="706">
        <f t="shared" si="86"/>
        <v>1100000</v>
      </c>
    </row>
    <row r="292" spans="1:19" ht="15.75" customHeight="1">
      <c r="A292" s="675" t="s">
        <v>935</v>
      </c>
      <c r="D292" s="309"/>
      <c r="E292" s="316"/>
      <c r="F292" s="786"/>
      <c r="G292" s="787"/>
      <c r="H292" s="791" t="s">
        <v>481</v>
      </c>
      <c r="I292" s="750">
        <v>2012</v>
      </c>
      <c r="J292" s="471">
        <v>0.125</v>
      </c>
      <c r="K292" s="752">
        <v>5000000</v>
      </c>
      <c r="L292" s="706">
        <v>0</v>
      </c>
      <c r="M292" s="706">
        <v>0</v>
      </c>
      <c r="N292" s="705">
        <f t="shared" si="83"/>
        <v>5000000</v>
      </c>
      <c r="O292" s="719">
        <v>3229166.6666666684</v>
      </c>
      <c r="P292" s="706">
        <f t="shared" si="84"/>
        <v>625000</v>
      </c>
      <c r="Q292" s="706">
        <v>0</v>
      </c>
      <c r="R292" s="705">
        <f t="shared" si="85"/>
        <v>3854166.6666666684</v>
      </c>
      <c r="S292" s="706">
        <f t="shared" si="86"/>
        <v>1145833.3333333316</v>
      </c>
    </row>
    <row r="293" spans="1:19" ht="15.75" customHeight="1">
      <c r="A293" s="675" t="s">
        <v>935</v>
      </c>
      <c r="D293" s="309"/>
      <c r="E293" s="316"/>
      <c r="F293" s="786"/>
      <c r="G293" s="787"/>
      <c r="H293" s="790" t="s">
        <v>482</v>
      </c>
      <c r="I293" s="792">
        <v>2012</v>
      </c>
      <c r="J293" s="471">
        <v>0.125</v>
      </c>
      <c r="K293" s="752">
        <v>248145455</v>
      </c>
      <c r="L293" s="706">
        <v>0</v>
      </c>
      <c r="M293" s="706">
        <v>0</v>
      </c>
      <c r="N293" s="705">
        <f t="shared" si="83"/>
        <v>248145455</v>
      </c>
      <c r="O293" s="719">
        <v>106302272.8645833</v>
      </c>
      <c r="P293" s="706">
        <f t="shared" si="84"/>
        <v>31018181.875</v>
      </c>
      <c r="Q293" s="706">
        <v>0</v>
      </c>
      <c r="R293" s="705">
        <f t="shared" si="85"/>
        <v>137320454.73958331</v>
      </c>
      <c r="S293" s="706">
        <f t="shared" si="86"/>
        <v>110825000.26041669</v>
      </c>
    </row>
    <row r="294" spans="1:19" ht="15.75" customHeight="1">
      <c r="A294" s="675" t="s">
        <v>935</v>
      </c>
      <c r="D294" s="309"/>
      <c r="E294" s="316"/>
      <c r="F294" s="786"/>
      <c r="G294" s="787"/>
      <c r="H294" s="790" t="s">
        <v>483</v>
      </c>
      <c r="I294" s="750">
        <v>2013</v>
      </c>
      <c r="J294" s="471">
        <v>0.125</v>
      </c>
      <c r="K294" s="752">
        <v>9200000</v>
      </c>
      <c r="L294" s="706">
        <v>0</v>
      </c>
      <c r="M294" s="706">
        <v>0</v>
      </c>
      <c r="N294" s="705">
        <f t="shared" si="83"/>
        <v>9200000</v>
      </c>
      <c r="O294" s="719">
        <v>5941666.6666666642</v>
      </c>
      <c r="P294" s="706">
        <f t="shared" si="84"/>
        <v>1150000</v>
      </c>
      <c r="Q294" s="706">
        <v>0</v>
      </c>
      <c r="R294" s="705">
        <f t="shared" si="85"/>
        <v>7091666.6666666642</v>
      </c>
      <c r="S294" s="706">
        <f t="shared" si="86"/>
        <v>2108333.3333333358</v>
      </c>
    </row>
    <row r="295" spans="1:19" ht="15.75" customHeight="1">
      <c r="A295" s="675" t="s">
        <v>935</v>
      </c>
      <c r="D295" s="309"/>
      <c r="E295" s="316"/>
      <c r="F295" s="786"/>
      <c r="G295" s="787"/>
      <c r="H295" s="790" t="s">
        <v>484</v>
      </c>
      <c r="I295" s="792">
        <v>2013</v>
      </c>
      <c r="J295" s="471">
        <v>0.125</v>
      </c>
      <c r="K295" s="752">
        <v>36200000</v>
      </c>
      <c r="L295" s="706">
        <v>0</v>
      </c>
      <c r="M295" s="706">
        <v>0</v>
      </c>
      <c r="N295" s="705">
        <f t="shared" si="83"/>
        <v>36200000</v>
      </c>
      <c r="O295" s="719">
        <v>23379166.666666657</v>
      </c>
      <c r="P295" s="706">
        <f t="shared" si="84"/>
        <v>4525000</v>
      </c>
      <c r="Q295" s="706">
        <v>0</v>
      </c>
      <c r="R295" s="705">
        <f t="shared" si="85"/>
        <v>27904166.666666657</v>
      </c>
      <c r="S295" s="706">
        <f t="shared" si="86"/>
        <v>8295833.3333333433</v>
      </c>
    </row>
    <row r="296" spans="1:19" ht="15.75" customHeight="1">
      <c r="A296" s="675" t="s">
        <v>935</v>
      </c>
      <c r="D296" s="309"/>
      <c r="E296" s="316"/>
      <c r="F296" s="786"/>
      <c r="G296" s="787"/>
      <c r="H296" s="793" t="s">
        <v>485</v>
      </c>
      <c r="I296" s="740">
        <v>2013</v>
      </c>
      <c r="J296" s="471">
        <v>0.125</v>
      </c>
      <c r="K296" s="752">
        <v>28000000</v>
      </c>
      <c r="L296" s="706">
        <v>0</v>
      </c>
      <c r="M296" s="706">
        <v>0</v>
      </c>
      <c r="N296" s="705">
        <f t="shared" si="83"/>
        <v>28000000</v>
      </c>
      <c r="O296" s="719">
        <v>18083333.333333321</v>
      </c>
      <c r="P296" s="706">
        <f t="shared" si="84"/>
        <v>3500000</v>
      </c>
      <c r="Q296" s="706">
        <v>0</v>
      </c>
      <c r="R296" s="705">
        <f t="shared" si="85"/>
        <v>21583333.333333321</v>
      </c>
      <c r="S296" s="706">
        <f t="shared" si="86"/>
        <v>6416666.6666666791</v>
      </c>
    </row>
    <row r="297" spans="1:19" ht="15.75" customHeight="1">
      <c r="A297" s="675" t="s">
        <v>935</v>
      </c>
      <c r="D297" s="309"/>
      <c r="E297" s="316"/>
      <c r="F297" s="786"/>
      <c r="G297" s="787"/>
      <c r="H297" s="790" t="s">
        <v>486</v>
      </c>
      <c r="I297" s="740">
        <v>2014</v>
      </c>
      <c r="J297" s="471">
        <v>0.125</v>
      </c>
      <c r="K297" s="752">
        <v>32100000</v>
      </c>
      <c r="L297" s="706">
        <v>0</v>
      </c>
      <c r="M297" s="706">
        <v>0</v>
      </c>
      <c r="N297" s="705">
        <f t="shared" si="83"/>
        <v>32100000</v>
      </c>
      <c r="O297" s="719">
        <v>20731250</v>
      </c>
      <c r="P297" s="706">
        <f t="shared" si="84"/>
        <v>4012500</v>
      </c>
      <c r="Q297" s="706">
        <v>0</v>
      </c>
      <c r="R297" s="705">
        <f t="shared" si="85"/>
        <v>24743750</v>
      </c>
      <c r="S297" s="706">
        <f t="shared" si="86"/>
        <v>7356250</v>
      </c>
    </row>
    <row r="298" spans="1:19" ht="15.75" customHeight="1">
      <c r="A298" s="675" t="s">
        <v>935</v>
      </c>
      <c r="D298" s="309"/>
      <c r="E298" s="316"/>
      <c r="F298" s="786"/>
      <c r="G298" s="787"/>
      <c r="H298" s="791" t="s">
        <v>487</v>
      </c>
      <c r="I298" s="740">
        <v>2014</v>
      </c>
      <c r="J298" s="471">
        <v>0.125</v>
      </c>
      <c r="K298" s="752">
        <v>16500000</v>
      </c>
      <c r="L298" s="706">
        <v>0</v>
      </c>
      <c r="M298" s="706">
        <v>0</v>
      </c>
      <c r="N298" s="705">
        <f t="shared" si="83"/>
        <v>16500000</v>
      </c>
      <c r="O298" s="719">
        <v>10656250</v>
      </c>
      <c r="P298" s="706">
        <f t="shared" si="84"/>
        <v>2062500</v>
      </c>
      <c r="Q298" s="706">
        <v>0</v>
      </c>
      <c r="R298" s="705">
        <f t="shared" si="85"/>
        <v>12718750</v>
      </c>
      <c r="S298" s="706">
        <f t="shared" si="86"/>
        <v>3781250</v>
      </c>
    </row>
    <row r="299" spans="1:19" ht="15.75" customHeight="1">
      <c r="A299" s="675" t="s">
        <v>935</v>
      </c>
      <c r="D299" s="309"/>
      <c r="E299" s="316"/>
      <c r="F299" s="786"/>
      <c r="G299" s="787"/>
      <c r="H299" s="790" t="s">
        <v>487</v>
      </c>
      <c r="I299" s="740">
        <v>2014</v>
      </c>
      <c r="J299" s="471">
        <v>0.125</v>
      </c>
      <c r="K299" s="752">
        <v>8600000</v>
      </c>
      <c r="L299" s="706">
        <v>0</v>
      </c>
      <c r="M299" s="706">
        <v>0</v>
      </c>
      <c r="N299" s="705">
        <f t="shared" si="83"/>
        <v>8600000</v>
      </c>
      <c r="O299" s="719">
        <v>5554166.666666666</v>
      </c>
      <c r="P299" s="706">
        <f t="shared" si="84"/>
        <v>1075000</v>
      </c>
      <c r="Q299" s="706">
        <v>0</v>
      </c>
      <c r="R299" s="705">
        <f t="shared" si="85"/>
        <v>6629166.666666666</v>
      </c>
      <c r="S299" s="706">
        <f t="shared" si="86"/>
        <v>1970833.333333334</v>
      </c>
    </row>
    <row r="300" spans="1:19" ht="15.75" customHeight="1">
      <c r="A300" s="675" t="s">
        <v>935</v>
      </c>
      <c r="D300" s="309"/>
      <c r="E300" s="316"/>
      <c r="F300" s="786"/>
      <c r="G300" s="787"/>
      <c r="H300" s="790" t="s">
        <v>488</v>
      </c>
      <c r="I300" s="750">
        <v>2014</v>
      </c>
      <c r="J300" s="471">
        <v>0.125</v>
      </c>
      <c r="K300" s="752">
        <v>186300000</v>
      </c>
      <c r="L300" s="706">
        <v>0</v>
      </c>
      <c r="M300" s="706">
        <v>0</v>
      </c>
      <c r="N300" s="705">
        <f t="shared" si="83"/>
        <v>186300000</v>
      </c>
      <c r="O300" s="719">
        <v>120318750</v>
      </c>
      <c r="P300" s="706">
        <f t="shared" si="84"/>
        <v>23287500</v>
      </c>
      <c r="Q300" s="706">
        <v>0</v>
      </c>
      <c r="R300" s="705">
        <f t="shared" si="85"/>
        <v>143606250</v>
      </c>
      <c r="S300" s="706">
        <f t="shared" si="86"/>
        <v>42693750</v>
      </c>
    </row>
    <row r="301" spans="1:19" ht="15.75" customHeight="1">
      <c r="A301" s="675" t="s">
        <v>935</v>
      </c>
      <c r="B301" s="675">
        <v>2</v>
      </c>
      <c r="C301" s="675">
        <v>2</v>
      </c>
      <c r="D301" s="309"/>
      <c r="E301" s="316"/>
      <c r="F301" s="786"/>
      <c r="G301" s="794"/>
      <c r="H301" s="499" t="s">
        <v>489</v>
      </c>
      <c r="I301" s="795">
        <v>42061</v>
      </c>
      <c r="J301" s="471">
        <v>0.125</v>
      </c>
      <c r="K301" s="796">
        <v>3000000</v>
      </c>
      <c r="L301" s="705">
        <v>0</v>
      </c>
      <c r="M301" s="705">
        <v>0</v>
      </c>
      <c r="N301" s="705">
        <f t="shared" si="83"/>
        <v>3000000</v>
      </c>
      <c r="O301" s="719">
        <v>2212500</v>
      </c>
      <c r="P301" s="706">
        <f t="shared" si="84"/>
        <v>375000</v>
      </c>
      <c r="Q301" s="705">
        <v>0</v>
      </c>
      <c r="R301" s="705">
        <f t="shared" si="85"/>
        <v>2587500</v>
      </c>
      <c r="S301" s="706">
        <f t="shared" si="86"/>
        <v>412500</v>
      </c>
    </row>
    <row r="302" spans="1:19" ht="15.75" customHeight="1">
      <c r="A302" s="675" t="s">
        <v>935</v>
      </c>
      <c r="B302" s="675">
        <v>3</v>
      </c>
      <c r="C302" s="675">
        <v>3</v>
      </c>
      <c r="D302" s="309"/>
      <c r="E302" s="316"/>
      <c r="F302" s="786"/>
      <c r="G302" s="794"/>
      <c r="H302" s="501" t="s">
        <v>490</v>
      </c>
      <c r="I302" s="795">
        <v>42086</v>
      </c>
      <c r="J302" s="471">
        <v>0.125</v>
      </c>
      <c r="K302" s="796">
        <v>1344000</v>
      </c>
      <c r="L302" s="705">
        <v>0</v>
      </c>
      <c r="M302" s="705">
        <v>0</v>
      </c>
      <c r="N302" s="705">
        <f t="shared" si="83"/>
        <v>1344000</v>
      </c>
      <c r="O302" s="719">
        <v>980000</v>
      </c>
      <c r="P302" s="706">
        <f t="shared" si="84"/>
        <v>168000</v>
      </c>
      <c r="Q302" s="705">
        <v>0</v>
      </c>
      <c r="R302" s="705">
        <f t="shared" si="85"/>
        <v>1148000</v>
      </c>
      <c r="S302" s="706">
        <f t="shared" si="86"/>
        <v>196000</v>
      </c>
    </row>
    <row r="303" spans="1:19" ht="15.75" customHeight="1">
      <c r="A303" s="675" t="s">
        <v>935</v>
      </c>
      <c r="B303" s="675">
        <v>4</v>
      </c>
      <c r="C303" s="675">
        <v>4</v>
      </c>
      <c r="D303" s="309"/>
      <c r="E303" s="316"/>
      <c r="F303" s="786"/>
      <c r="G303" s="794"/>
      <c r="H303" s="501" t="s">
        <v>491</v>
      </c>
      <c r="I303" s="795">
        <v>42114</v>
      </c>
      <c r="J303" s="471">
        <v>0.125</v>
      </c>
      <c r="K303" s="796">
        <v>3800000</v>
      </c>
      <c r="L303" s="705">
        <v>0</v>
      </c>
      <c r="M303" s="705">
        <v>0</v>
      </c>
      <c r="N303" s="705">
        <f t="shared" si="83"/>
        <v>3800000</v>
      </c>
      <c r="O303" s="719">
        <v>2739166.666666667</v>
      </c>
      <c r="P303" s="706">
        <f t="shared" si="84"/>
        <v>475000</v>
      </c>
      <c r="Q303" s="705">
        <v>0</v>
      </c>
      <c r="R303" s="705">
        <f t="shared" si="85"/>
        <v>3214166.666666667</v>
      </c>
      <c r="S303" s="706">
        <f t="shared" si="86"/>
        <v>585833.33333333302</v>
      </c>
    </row>
    <row r="304" spans="1:19" ht="15.75" customHeight="1">
      <c r="A304" s="675" t="s">
        <v>935</v>
      </c>
      <c r="B304" s="675">
        <v>8</v>
      </c>
      <c r="C304" s="675">
        <v>8</v>
      </c>
      <c r="D304" s="309"/>
      <c r="E304" s="316"/>
      <c r="F304" s="786"/>
      <c r="G304" s="794"/>
      <c r="H304" s="501" t="s">
        <v>492</v>
      </c>
      <c r="I304" s="795">
        <v>42240</v>
      </c>
      <c r="J304" s="471">
        <v>0.125</v>
      </c>
      <c r="K304" s="796">
        <v>15300000</v>
      </c>
      <c r="L304" s="705">
        <v>0</v>
      </c>
      <c r="M304" s="705">
        <v>0</v>
      </c>
      <c r="N304" s="705">
        <f t="shared" si="83"/>
        <v>15300000</v>
      </c>
      <c r="O304" s="719">
        <v>10518750</v>
      </c>
      <c r="P304" s="706">
        <f t="shared" si="84"/>
        <v>1912500</v>
      </c>
      <c r="Q304" s="705">
        <v>0</v>
      </c>
      <c r="R304" s="705">
        <f t="shared" si="85"/>
        <v>12431250</v>
      </c>
      <c r="S304" s="706">
        <f t="shared" si="86"/>
        <v>2868750</v>
      </c>
    </row>
    <row r="305" spans="1:19" ht="15.75" customHeight="1">
      <c r="A305" s="675" t="s">
        <v>935</v>
      </c>
      <c r="B305" s="675">
        <v>8</v>
      </c>
      <c r="C305" s="675">
        <v>8</v>
      </c>
      <c r="D305" s="309"/>
      <c r="E305" s="316"/>
      <c r="F305" s="786"/>
      <c r="G305" s="794"/>
      <c r="H305" s="501" t="s">
        <v>493</v>
      </c>
      <c r="I305" s="795">
        <v>42247</v>
      </c>
      <c r="J305" s="471">
        <v>0.125</v>
      </c>
      <c r="K305" s="718">
        <v>5300000</v>
      </c>
      <c r="L305" s="705">
        <v>0</v>
      </c>
      <c r="M305" s="705">
        <v>0</v>
      </c>
      <c r="N305" s="705">
        <f t="shared" si="83"/>
        <v>5300000</v>
      </c>
      <c r="O305" s="719">
        <v>3643750.0000000028</v>
      </c>
      <c r="P305" s="706">
        <f t="shared" si="84"/>
        <v>662500</v>
      </c>
      <c r="Q305" s="705">
        <v>0</v>
      </c>
      <c r="R305" s="705">
        <f t="shared" si="85"/>
        <v>4306250.0000000028</v>
      </c>
      <c r="S305" s="706">
        <f t="shared" si="86"/>
        <v>993749.99999999721</v>
      </c>
    </row>
    <row r="306" spans="1:19" ht="15.75" customHeight="1">
      <c r="A306" s="675" t="s">
        <v>935</v>
      </c>
      <c r="B306" s="675">
        <v>8</v>
      </c>
      <c r="C306" s="675">
        <v>8</v>
      </c>
      <c r="D306" s="309"/>
      <c r="E306" s="316"/>
      <c r="F306" s="786"/>
      <c r="G306" s="794"/>
      <c r="H306" s="501" t="s">
        <v>494</v>
      </c>
      <c r="I306" s="795">
        <v>42594</v>
      </c>
      <c r="J306" s="471">
        <v>0.125</v>
      </c>
      <c r="K306" s="718">
        <v>8600000</v>
      </c>
      <c r="L306" s="705">
        <v>0</v>
      </c>
      <c r="M306" s="705">
        <v>0</v>
      </c>
      <c r="N306" s="705">
        <f t="shared" si="83"/>
        <v>8600000</v>
      </c>
      <c r="O306" s="797">
        <v>4927083.3333333349</v>
      </c>
      <c r="P306" s="706">
        <f t="shared" si="84"/>
        <v>1075000</v>
      </c>
      <c r="Q306" s="705">
        <v>0</v>
      </c>
      <c r="R306" s="705">
        <f t="shared" si="85"/>
        <v>6002083.3333333349</v>
      </c>
      <c r="S306" s="706">
        <f t="shared" si="86"/>
        <v>2597916.6666666651</v>
      </c>
    </row>
    <row r="307" spans="1:19" ht="15.75" customHeight="1">
      <c r="A307" s="675" t="s">
        <v>935</v>
      </c>
      <c r="B307" s="675">
        <v>8</v>
      </c>
      <c r="C307" s="675">
        <v>8</v>
      </c>
      <c r="D307" s="309"/>
      <c r="E307" s="316"/>
      <c r="F307" s="786"/>
      <c r="G307" s="787"/>
      <c r="H307" s="502" t="s">
        <v>495</v>
      </c>
      <c r="I307" s="798">
        <v>42630</v>
      </c>
      <c r="J307" s="471">
        <v>0.125</v>
      </c>
      <c r="K307" s="718">
        <v>15925000</v>
      </c>
      <c r="L307" s="705">
        <v>0</v>
      </c>
      <c r="M307" s="705">
        <v>0</v>
      </c>
      <c r="N307" s="705">
        <f t="shared" si="83"/>
        <v>15925000</v>
      </c>
      <c r="O307" s="797">
        <v>8791927.0833333395</v>
      </c>
      <c r="P307" s="706">
        <f t="shared" si="84"/>
        <v>1990625</v>
      </c>
      <c r="Q307" s="705">
        <v>0</v>
      </c>
      <c r="R307" s="705">
        <f t="shared" si="85"/>
        <v>10782552.08333334</v>
      </c>
      <c r="S307" s="706">
        <f t="shared" si="86"/>
        <v>5142447.9166666605</v>
      </c>
    </row>
    <row r="308" spans="1:19" ht="15.75" customHeight="1">
      <c r="D308" s="309"/>
      <c r="E308" s="316"/>
      <c r="F308" s="786"/>
      <c r="G308" s="787"/>
      <c r="H308" s="502" t="s">
        <v>496</v>
      </c>
      <c r="I308" s="798">
        <v>42818</v>
      </c>
      <c r="J308" s="471">
        <v>0.125</v>
      </c>
      <c r="K308" s="718">
        <v>31272800</v>
      </c>
      <c r="L308" s="705">
        <v>0</v>
      </c>
      <c r="M308" s="705">
        <v>0</v>
      </c>
      <c r="N308" s="705">
        <f t="shared" si="83"/>
        <v>31272800</v>
      </c>
      <c r="O308" s="797">
        <v>15310641.666666675</v>
      </c>
      <c r="P308" s="706">
        <f t="shared" si="84"/>
        <v>3909100</v>
      </c>
      <c r="Q308" s="705">
        <v>0</v>
      </c>
      <c r="R308" s="705">
        <f t="shared" si="85"/>
        <v>19219741.666666675</v>
      </c>
      <c r="S308" s="706">
        <f t="shared" si="86"/>
        <v>12053058.333333325</v>
      </c>
    </row>
    <row r="309" spans="1:19" ht="15.75" customHeight="1">
      <c r="D309" s="309"/>
      <c r="E309" s="316"/>
      <c r="F309" s="786"/>
      <c r="G309" s="787"/>
      <c r="H309" s="502" t="s">
        <v>497</v>
      </c>
      <c r="I309" s="798">
        <v>42818</v>
      </c>
      <c r="J309" s="471">
        <v>0.125</v>
      </c>
      <c r="K309" s="718">
        <v>130971776</v>
      </c>
      <c r="L309" s="705">
        <v>0</v>
      </c>
      <c r="M309" s="705">
        <v>0</v>
      </c>
      <c r="N309" s="705">
        <f t="shared" si="83"/>
        <v>130971776</v>
      </c>
      <c r="O309" s="797">
        <v>64121598.666666694</v>
      </c>
      <c r="P309" s="706">
        <f t="shared" si="84"/>
        <v>16371472</v>
      </c>
      <c r="Q309" s="705">
        <v>0</v>
      </c>
      <c r="R309" s="705">
        <f t="shared" si="85"/>
        <v>80493070.666666687</v>
      </c>
      <c r="S309" s="706">
        <f t="shared" si="86"/>
        <v>50478705.333333313</v>
      </c>
    </row>
    <row r="310" spans="1:19" ht="15.75" customHeight="1">
      <c r="D310" s="309"/>
      <c r="E310" s="316"/>
      <c r="F310" s="786"/>
      <c r="G310" s="787"/>
      <c r="H310" s="502" t="s">
        <v>498</v>
      </c>
      <c r="I310" s="798">
        <v>42818</v>
      </c>
      <c r="J310" s="471">
        <v>0.125</v>
      </c>
      <c r="K310" s="718">
        <v>363957360</v>
      </c>
      <c r="L310" s="705">
        <v>0</v>
      </c>
      <c r="M310" s="705">
        <v>0</v>
      </c>
      <c r="N310" s="705">
        <f t="shared" si="83"/>
        <v>363957360</v>
      </c>
      <c r="O310" s="797">
        <v>178187457.5</v>
      </c>
      <c r="P310" s="706">
        <f t="shared" si="84"/>
        <v>45494670</v>
      </c>
      <c r="Q310" s="705">
        <v>0</v>
      </c>
      <c r="R310" s="705">
        <f t="shared" si="85"/>
        <v>223682127.5</v>
      </c>
      <c r="S310" s="706">
        <f t="shared" si="86"/>
        <v>140275232.5</v>
      </c>
    </row>
    <row r="311" spans="1:19" ht="15.75" customHeight="1">
      <c r="D311" s="309"/>
      <c r="E311" s="316"/>
      <c r="F311" s="786"/>
      <c r="G311" s="787"/>
      <c r="H311" s="502" t="s">
        <v>499</v>
      </c>
      <c r="I311" s="798">
        <v>42818</v>
      </c>
      <c r="J311" s="471">
        <v>0.125</v>
      </c>
      <c r="K311" s="718">
        <v>251472000</v>
      </c>
      <c r="L311" s="705">
        <v>0</v>
      </c>
      <c r="M311" s="705">
        <v>0</v>
      </c>
      <c r="N311" s="705">
        <f t="shared" si="83"/>
        <v>251472000</v>
      </c>
      <c r="O311" s="797">
        <v>123116500</v>
      </c>
      <c r="P311" s="706">
        <f t="shared" si="84"/>
        <v>31434000</v>
      </c>
      <c r="Q311" s="705">
        <v>0</v>
      </c>
      <c r="R311" s="705">
        <f t="shared" si="85"/>
        <v>154550500</v>
      </c>
      <c r="S311" s="706">
        <f t="shared" si="86"/>
        <v>96921500</v>
      </c>
    </row>
    <row r="312" spans="1:19" ht="15.75" customHeight="1">
      <c r="D312" s="309"/>
      <c r="E312" s="316"/>
      <c r="F312" s="786"/>
      <c r="G312" s="787"/>
      <c r="H312" s="502" t="s">
        <v>500</v>
      </c>
      <c r="I312" s="798">
        <v>42818</v>
      </c>
      <c r="J312" s="471">
        <v>0.125</v>
      </c>
      <c r="K312" s="718">
        <v>42937232</v>
      </c>
      <c r="L312" s="705">
        <v>0</v>
      </c>
      <c r="M312" s="705">
        <v>0</v>
      </c>
      <c r="N312" s="705">
        <f t="shared" si="83"/>
        <v>42937232</v>
      </c>
      <c r="O312" s="797">
        <v>21021353.166666664</v>
      </c>
      <c r="P312" s="706">
        <f t="shared" si="84"/>
        <v>5367154</v>
      </c>
      <c r="Q312" s="705">
        <v>0</v>
      </c>
      <c r="R312" s="705">
        <f t="shared" si="85"/>
        <v>26388507.166666664</v>
      </c>
      <c r="S312" s="706">
        <f t="shared" si="86"/>
        <v>16548724.833333336</v>
      </c>
    </row>
    <row r="313" spans="1:19" ht="15.75" customHeight="1">
      <c r="D313" s="309"/>
      <c r="E313" s="316"/>
      <c r="F313" s="786"/>
      <c r="G313" s="794"/>
      <c r="H313" s="501" t="s">
        <v>501</v>
      </c>
      <c r="I313" s="799">
        <v>42881</v>
      </c>
      <c r="J313" s="478">
        <v>0.125</v>
      </c>
      <c r="K313" s="718">
        <v>30940000</v>
      </c>
      <c r="L313" s="705">
        <v>0</v>
      </c>
      <c r="M313" s="705">
        <v>0</v>
      </c>
      <c r="N313" s="705">
        <f t="shared" si="83"/>
        <v>30940000</v>
      </c>
      <c r="O313" s="797">
        <v>14503124.999999994</v>
      </c>
      <c r="P313" s="706">
        <f t="shared" si="84"/>
        <v>3867500</v>
      </c>
      <c r="Q313" s="705">
        <v>0</v>
      </c>
      <c r="R313" s="705">
        <f t="shared" si="85"/>
        <v>18370624.999999993</v>
      </c>
      <c r="S313" s="706">
        <f t="shared" si="86"/>
        <v>12569375.000000007</v>
      </c>
    </row>
    <row r="314" spans="1:19" ht="15.75" customHeight="1">
      <c r="D314" s="309"/>
      <c r="E314" s="316"/>
      <c r="F314" s="786"/>
      <c r="G314" s="800"/>
      <c r="H314" s="506" t="s">
        <v>502</v>
      </c>
      <c r="I314" s="801">
        <v>43678</v>
      </c>
      <c r="J314" s="471">
        <v>0.125</v>
      </c>
      <c r="K314" s="796">
        <v>244900000</v>
      </c>
      <c r="L314" s="705">
        <v>0</v>
      </c>
      <c r="M314" s="706">
        <v>0</v>
      </c>
      <c r="N314" s="705">
        <f t="shared" si="83"/>
        <v>244900000</v>
      </c>
      <c r="O314" s="797">
        <v>48469791.666666672</v>
      </c>
      <c r="P314" s="706">
        <f t="shared" si="84"/>
        <v>30612500</v>
      </c>
      <c r="Q314" s="706">
        <v>0</v>
      </c>
      <c r="R314" s="705">
        <f t="shared" si="85"/>
        <v>79082291.666666672</v>
      </c>
      <c r="S314" s="706">
        <f t="shared" si="86"/>
        <v>165817708.33333331</v>
      </c>
    </row>
    <row r="315" spans="1:19" ht="15.75" customHeight="1">
      <c r="D315" s="309"/>
      <c r="E315" s="316"/>
      <c r="F315" s="786"/>
      <c r="G315" s="800"/>
      <c r="H315" s="506" t="s">
        <v>503</v>
      </c>
      <c r="I315" s="801">
        <v>43770</v>
      </c>
      <c r="J315" s="471">
        <v>0.125</v>
      </c>
      <c r="K315" s="796">
        <v>1035300</v>
      </c>
      <c r="L315" s="705">
        <v>0</v>
      </c>
      <c r="M315" s="706">
        <v>0</v>
      </c>
      <c r="N315" s="705">
        <f t="shared" si="83"/>
        <v>1035300</v>
      </c>
      <c r="O315" s="797">
        <v>172550</v>
      </c>
      <c r="P315" s="706">
        <f t="shared" si="84"/>
        <v>129412.5</v>
      </c>
      <c r="Q315" s="706">
        <v>0</v>
      </c>
      <c r="R315" s="705">
        <f t="shared" si="85"/>
        <v>301962.5</v>
      </c>
      <c r="S315" s="706">
        <f t="shared" si="86"/>
        <v>733337.5</v>
      </c>
    </row>
    <row r="316" spans="1:19" ht="15.75" customHeight="1">
      <c r="D316" s="309"/>
      <c r="E316" s="316"/>
      <c r="F316" s="786"/>
      <c r="G316" s="802"/>
      <c r="H316" s="510" t="s">
        <v>504</v>
      </c>
      <c r="I316" s="803">
        <v>43770</v>
      </c>
      <c r="J316" s="478">
        <v>0.125</v>
      </c>
      <c r="K316" s="718">
        <v>4687273</v>
      </c>
      <c r="L316" s="705">
        <v>0</v>
      </c>
      <c r="M316" s="705">
        <v>0</v>
      </c>
      <c r="N316" s="705">
        <f t="shared" si="83"/>
        <v>4687273</v>
      </c>
      <c r="O316" s="797">
        <v>781212.16666666663</v>
      </c>
      <c r="P316" s="706">
        <f t="shared" si="84"/>
        <v>585909.125</v>
      </c>
      <c r="Q316" s="705">
        <v>0</v>
      </c>
      <c r="R316" s="705">
        <f t="shared" si="85"/>
        <v>1367121.2916666665</v>
      </c>
      <c r="S316" s="705">
        <f t="shared" si="86"/>
        <v>3320151.7083333335</v>
      </c>
    </row>
    <row r="317" spans="1:19" ht="15.75" customHeight="1">
      <c r="D317" s="309"/>
      <c r="E317" s="316"/>
      <c r="F317" s="786"/>
      <c r="G317" s="787"/>
      <c r="H317" s="481" t="s">
        <v>505</v>
      </c>
      <c r="I317" s="482">
        <v>43874</v>
      </c>
      <c r="J317" s="430">
        <v>0.125</v>
      </c>
      <c r="K317" s="706">
        <v>4500000</v>
      </c>
      <c r="L317" s="705">
        <v>0</v>
      </c>
      <c r="M317" s="706">
        <v>0</v>
      </c>
      <c r="N317" s="706">
        <f t="shared" si="83"/>
        <v>4500000</v>
      </c>
      <c r="O317" s="797">
        <v>609375</v>
      </c>
      <c r="P317" s="706">
        <f t="shared" si="84"/>
        <v>562500</v>
      </c>
      <c r="Q317" s="706">
        <v>0</v>
      </c>
      <c r="R317" s="705">
        <f t="shared" si="85"/>
        <v>1171875</v>
      </c>
      <c r="S317" s="706">
        <f t="shared" si="86"/>
        <v>3328125</v>
      </c>
    </row>
    <row r="318" spans="1:19" ht="15.75" customHeight="1">
      <c r="D318" s="309"/>
      <c r="E318" s="316"/>
      <c r="F318" s="786"/>
      <c r="G318" s="787"/>
      <c r="H318" s="481" t="s">
        <v>506</v>
      </c>
      <c r="I318" s="482">
        <v>43922</v>
      </c>
      <c r="J318" s="430">
        <v>0.125</v>
      </c>
      <c r="K318" s="706">
        <v>1750000</v>
      </c>
      <c r="L318" s="705">
        <v>0</v>
      </c>
      <c r="M318" s="706">
        <v>0</v>
      </c>
      <c r="N318" s="706">
        <f t="shared" si="83"/>
        <v>1750000</v>
      </c>
      <c r="O318" s="797">
        <v>200520.8333333334</v>
      </c>
      <c r="P318" s="706">
        <f t="shared" si="84"/>
        <v>218750</v>
      </c>
      <c r="Q318" s="706">
        <v>0</v>
      </c>
      <c r="R318" s="705">
        <f t="shared" si="85"/>
        <v>419270.83333333337</v>
      </c>
      <c r="S318" s="706">
        <f t="shared" si="86"/>
        <v>1330729.1666666665</v>
      </c>
    </row>
    <row r="319" spans="1:19" ht="15.75" customHeight="1">
      <c r="D319" s="309"/>
      <c r="E319" s="316"/>
      <c r="F319" s="786"/>
      <c r="G319" s="794"/>
      <c r="H319" s="513" t="s">
        <v>507</v>
      </c>
      <c r="I319" s="514">
        <v>44449</v>
      </c>
      <c r="J319" s="515">
        <v>0.125</v>
      </c>
      <c r="K319" s="705">
        <v>7950000</v>
      </c>
      <c r="L319" s="705">
        <v>0</v>
      </c>
      <c r="M319" s="706">
        <v>0</v>
      </c>
      <c r="N319" s="705">
        <f t="shared" si="83"/>
        <v>7950000</v>
      </c>
      <c r="O319" s="705">
        <v>331250</v>
      </c>
      <c r="P319" s="706">
        <f t="shared" si="84"/>
        <v>993750</v>
      </c>
      <c r="Q319" s="705"/>
      <c r="R319" s="705">
        <f t="shared" si="85"/>
        <v>1325000</v>
      </c>
      <c r="S319" s="705">
        <f t="shared" si="86"/>
        <v>6625000</v>
      </c>
    </row>
    <row r="320" spans="1:19" ht="15.75" customHeight="1">
      <c r="A320" s="675" t="s">
        <v>935</v>
      </c>
      <c r="D320" s="309"/>
      <c r="E320" s="316"/>
      <c r="F320" s="466"/>
      <c r="G320" s="1236" t="s">
        <v>1005</v>
      </c>
      <c r="H320" s="1236"/>
      <c r="I320" s="1236"/>
      <c r="J320" s="1237"/>
      <c r="K320" s="708">
        <f t="shared" ref="K320:S320" si="87">SUM(K283:K319)</f>
        <v>5394088196</v>
      </c>
      <c r="L320" s="708">
        <f t="shared" si="87"/>
        <v>0</v>
      </c>
      <c r="M320" s="708">
        <f t="shared" si="87"/>
        <v>0</v>
      </c>
      <c r="N320" s="708">
        <f t="shared" si="87"/>
        <v>5394088196</v>
      </c>
      <c r="O320" s="708">
        <f t="shared" si="87"/>
        <v>3174967908.947917</v>
      </c>
      <c r="P320" s="708">
        <f>SUM(P283:P319)</f>
        <v>674261024.5</v>
      </c>
      <c r="Q320" s="708">
        <f t="shared" si="87"/>
        <v>0</v>
      </c>
      <c r="R320" s="708">
        <f t="shared" si="87"/>
        <v>3849228933.447917</v>
      </c>
      <c r="S320" s="708">
        <f t="shared" si="87"/>
        <v>1544859262.5520823</v>
      </c>
    </row>
    <row r="321" spans="1:19" ht="15.75" customHeight="1">
      <c r="A321" s="675" t="s">
        <v>935</v>
      </c>
      <c r="D321" s="309"/>
      <c r="E321" s="316"/>
      <c r="F321" s="1288" t="s">
        <v>1006</v>
      </c>
      <c r="G321" s="1289"/>
      <c r="H321" s="1289"/>
      <c r="I321" s="1289"/>
      <c r="J321" s="1290"/>
      <c r="K321" s="708">
        <f t="shared" ref="K321:S321" si="88">K250+K260+K266+K270+K273+K281+K320</f>
        <v>24739474736</v>
      </c>
      <c r="L321" s="708">
        <f t="shared" si="88"/>
        <v>0</v>
      </c>
      <c r="M321" s="708">
        <f t="shared" si="88"/>
        <v>0</v>
      </c>
      <c r="N321" s="708">
        <f t="shared" si="88"/>
        <v>24739474736</v>
      </c>
      <c r="O321" s="708">
        <f t="shared" si="88"/>
        <v>10096684295.191252</v>
      </c>
      <c r="P321" s="708">
        <f t="shared" si="88"/>
        <v>3092434342</v>
      </c>
      <c r="Q321" s="708">
        <f t="shared" si="88"/>
        <v>0</v>
      </c>
      <c r="R321" s="708">
        <f t="shared" si="88"/>
        <v>13189118637.19125</v>
      </c>
      <c r="S321" s="708">
        <f t="shared" si="88"/>
        <v>11550356098.808748</v>
      </c>
    </row>
    <row r="322" spans="1:19" ht="15.75" customHeight="1">
      <c r="A322" s="675" t="s">
        <v>935</v>
      </c>
      <c r="D322" s="387"/>
      <c r="E322" s="388"/>
      <c r="F322" s="466" t="s">
        <v>1007</v>
      </c>
      <c r="G322" s="730" t="s">
        <v>323</v>
      </c>
      <c r="H322" s="804"/>
      <c r="I322" s="391"/>
      <c r="J322" s="396"/>
      <c r="K322" s="711"/>
      <c r="L322" s="711"/>
      <c r="M322" s="711"/>
      <c r="N322" s="711"/>
      <c r="O322" s="711"/>
      <c r="P322" s="711"/>
      <c r="Q322" s="711"/>
      <c r="R322" s="711"/>
      <c r="S322" s="711"/>
    </row>
    <row r="323" spans="1:19" ht="15.75" customHeight="1">
      <c r="A323" s="675" t="s">
        <v>935</v>
      </c>
      <c r="D323" s="517"/>
      <c r="E323" s="518"/>
      <c r="F323" s="466"/>
      <c r="G323" s="519"/>
      <c r="H323" s="805" t="s">
        <v>508</v>
      </c>
      <c r="I323" s="750">
        <v>2008</v>
      </c>
      <c r="J323" s="471">
        <v>0.125</v>
      </c>
      <c r="K323" s="752">
        <v>26600000</v>
      </c>
      <c r="L323" s="706">
        <v>0</v>
      </c>
      <c r="M323" s="706">
        <v>0</v>
      </c>
      <c r="N323" s="705">
        <f t="shared" ref="N323:N339" si="89">K323+L323-M323</f>
        <v>26600000</v>
      </c>
      <c r="O323" s="719">
        <v>19950000</v>
      </c>
      <c r="P323" s="706">
        <f t="shared" ref="P323:P339" si="90">N323*J323</f>
        <v>3325000</v>
      </c>
      <c r="Q323" s="706">
        <v>0</v>
      </c>
      <c r="R323" s="705">
        <f>O323+P323-Q323</f>
        <v>23275000</v>
      </c>
      <c r="S323" s="706">
        <f t="shared" ref="S323:S339" si="91">N323-R323</f>
        <v>3325000</v>
      </c>
    </row>
    <row r="324" spans="1:19" s="703" customFormat="1" ht="15.75" customHeight="1">
      <c r="A324" s="675" t="s">
        <v>935</v>
      </c>
      <c r="B324" s="675"/>
      <c r="C324" s="675"/>
      <c r="D324" s="517"/>
      <c r="E324" s="518"/>
      <c r="F324" s="469"/>
      <c r="G324" s="519"/>
      <c r="H324" s="806" t="s">
        <v>509</v>
      </c>
      <c r="I324" s="792">
        <v>2009</v>
      </c>
      <c r="J324" s="471">
        <v>0.125</v>
      </c>
      <c r="K324" s="752">
        <v>3200000</v>
      </c>
      <c r="L324" s="706">
        <v>0</v>
      </c>
      <c r="M324" s="706">
        <v>0</v>
      </c>
      <c r="N324" s="705">
        <f t="shared" si="89"/>
        <v>3200000</v>
      </c>
      <c r="O324" s="719">
        <v>2399999.9999999995</v>
      </c>
      <c r="P324" s="706">
        <f t="shared" si="90"/>
        <v>400000</v>
      </c>
      <c r="Q324" s="706">
        <v>0</v>
      </c>
      <c r="R324" s="705">
        <f t="shared" ref="R324:R339" si="92">O324+P324-Q324</f>
        <v>2799999.9999999995</v>
      </c>
      <c r="S324" s="706">
        <f t="shared" si="91"/>
        <v>400000.00000000047</v>
      </c>
    </row>
    <row r="325" spans="1:19" s="703" customFormat="1" ht="15.75" customHeight="1">
      <c r="A325" s="675" t="s">
        <v>935</v>
      </c>
      <c r="B325" s="675"/>
      <c r="C325" s="675"/>
      <c r="D325" s="517"/>
      <c r="E325" s="518"/>
      <c r="F325" s="469"/>
      <c r="G325" s="519"/>
      <c r="H325" s="806" t="s">
        <v>510</v>
      </c>
      <c r="I325" s="740">
        <v>2009</v>
      </c>
      <c r="J325" s="471">
        <v>0.125</v>
      </c>
      <c r="K325" s="752">
        <v>5700000</v>
      </c>
      <c r="L325" s="706">
        <v>0</v>
      </c>
      <c r="M325" s="706">
        <v>0</v>
      </c>
      <c r="N325" s="705">
        <f t="shared" si="89"/>
        <v>5700000</v>
      </c>
      <c r="O325" s="719">
        <v>4275000</v>
      </c>
      <c r="P325" s="706">
        <f t="shared" si="90"/>
        <v>712500</v>
      </c>
      <c r="Q325" s="706">
        <v>0</v>
      </c>
      <c r="R325" s="705">
        <f t="shared" si="92"/>
        <v>4987500</v>
      </c>
      <c r="S325" s="706">
        <f t="shared" si="91"/>
        <v>712500</v>
      </c>
    </row>
    <row r="326" spans="1:19" s="703" customFormat="1" ht="15.75" customHeight="1">
      <c r="A326" s="675" t="s">
        <v>935</v>
      </c>
      <c r="B326" s="675"/>
      <c r="C326" s="675"/>
      <c r="D326" s="517"/>
      <c r="E326" s="518"/>
      <c r="F326" s="469"/>
      <c r="G326" s="519"/>
      <c r="H326" s="806" t="s">
        <v>479</v>
      </c>
      <c r="I326" s="740">
        <v>2009</v>
      </c>
      <c r="J326" s="471">
        <v>0.125</v>
      </c>
      <c r="K326" s="752">
        <v>102400000</v>
      </c>
      <c r="L326" s="706">
        <v>0</v>
      </c>
      <c r="M326" s="706">
        <v>0</v>
      </c>
      <c r="N326" s="705">
        <f t="shared" si="89"/>
        <v>102400000</v>
      </c>
      <c r="O326" s="719">
        <v>76799999.999999985</v>
      </c>
      <c r="P326" s="706">
        <f t="shared" si="90"/>
        <v>12800000</v>
      </c>
      <c r="Q326" s="706">
        <v>0</v>
      </c>
      <c r="R326" s="705">
        <f t="shared" si="92"/>
        <v>89599999.999999985</v>
      </c>
      <c r="S326" s="706">
        <f t="shared" si="91"/>
        <v>12800000.000000015</v>
      </c>
    </row>
    <row r="327" spans="1:19" s="703" customFormat="1" ht="15.75" customHeight="1">
      <c r="A327" s="675" t="s">
        <v>935</v>
      </c>
      <c r="B327" s="675"/>
      <c r="C327" s="675"/>
      <c r="D327" s="517"/>
      <c r="E327" s="518"/>
      <c r="F327" s="469"/>
      <c r="G327" s="519"/>
      <c r="H327" s="807" t="s">
        <v>511</v>
      </c>
      <c r="I327" s="740">
        <v>2010</v>
      </c>
      <c r="J327" s="471">
        <v>0.125</v>
      </c>
      <c r="K327" s="752">
        <v>9000000</v>
      </c>
      <c r="L327" s="706">
        <v>0</v>
      </c>
      <c r="M327" s="706">
        <v>0</v>
      </c>
      <c r="N327" s="705">
        <f t="shared" si="89"/>
        <v>9000000</v>
      </c>
      <c r="O327" s="719">
        <v>6750000</v>
      </c>
      <c r="P327" s="706">
        <f t="shared" si="90"/>
        <v>1125000</v>
      </c>
      <c r="Q327" s="706">
        <v>0</v>
      </c>
      <c r="R327" s="705">
        <f t="shared" si="92"/>
        <v>7875000</v>
      </c>
      <c r="S327" s="706">
        <f t="shared" si="91"/>
        <v>1125000</v>
      </c>
    </row>
    <row r="328" spans="1:19" s="703" customFormat="1" ht="15.75" customHeight="1">
      <c r="A328" s="675" t="s">
        <v>935</v>
      </c>
      <c r="B328" s="675"/>
      <c r="C328" s="675"/>
      <c r="D328" s="517"/>
      <c r="E328" s="518"/>
      <c r="F328" s="469"/>
      <c r="G328" s="519"/>
      <c r="H328" s="808" t="s">
        <v>512</v>
      </c>
      <c r="I328" s="750">
        <v>2012</v>
      </c>
      <c r="J328" s="471">
        <v>0.125</v>
      </c>
      <c r="K328" s="752">
        <v>92500000</v>
      </c>
      <c r="L328" s="706">
        <v>0</v>
      </c>
      <c r="M328" s="706">
        <v>0</v>
      </c>
      <c r="N328" s="705">
        <f t="shared" si="89"/>
        <v>92500000</v>
      </c>
      <c r="O328" s="719">
        <v>69374999.99999994</v>
      </c>
      <c r="P328" s="706">
        <f t="shared" si="90"/>
        <v>11562500</v>
      </c>
      <c r="Q328" s="706">
        <v>0</v>
      </c>
      <c r="R328" s="705">
        <f t="shared" si="92"/>
        <v>80937499.99999994</v>
      </c>
      <c r="S328" s="706">
        <f t="shared" si="91"/>
        <v>11562500.00000006</v>
      </c>
    </row>
    <row r="329" spans="1:19" s="703" customFormat="1" ht="15.75" customHeight="1">
      <c r="A329" s="675" t="s">
        <v>935</v>
      </c>
      <c r="B329" s="675"/>
      <c r="C329" s="675"/>
      <c r="D329" s="517"/>
      <c r="E329" s="518"/>
      <c r="F329" s="469"/>
      <c r="G329" s="519"/>
      <c r="H329" s="806" t="s">
        <v>513</v>
      </c>
      <c r="I329" s="740">
        <v>2010</v>
      </c>
      <c r="J329" s="471">
        <v>0.125</v>
      </c>
      <c r="K329" s="752">
        <v>41900000</v>
      </c>
      <c r="L329" s="706">
        <v>0</v>
      </c>
      <c r="M329" s="706">
        <v>0</v>
      </c>
      <c r="N329" s="705">
        <f t="shared" si="89"/>
        <v>41900000</v>
      </c>
      <c r="O329" s="719">
        <v>31424999.999999966</v>
      </c>
      <c r="P329" s="706">
        <f t="shared" si="90"/>
        <v>5237500</v>
      </c>
      <c r="Q329" s="706">
        <v>0</v>
      </c>
      <c r="R329" s="705">
        <f t="shared" si="92"/>
        <v>36662499.99999997</v>
      </c>
      <c r="S329" s="706">
        <f t="shared" si="91"/>
        <v>5237500.0000000298</v>
      </c>
    </row>
    <row r="330" spans="1:19" s="703" customFormat="1" ht="15.75" customHeight="1">
      <c r="A330" s="675" t="s">
        <v>935</v>
      </c>
      <c r="B330" s="675"/>
      <c r="C330" s="675"/>
      <c r="D330" s="517"/>
      <c r="E330" s="518"/>
      <c r="F330" s="469"/>
      <c r="G330" s="519"/>
      <c r="H330" s="807" t="s">
        <v>514</v>
      </c>
      <c r="I330" s="740">
        <v>2011</v>
      </c>
      <c r="J330" s="471">
        <v>0.125</v>
      </c>
      <c r="K330" s="752">
        <v>18600000</v>
      </c>
      <c r="L330" s="706">
        <v>0</v>
      </c>
      <c r="M330" s="706">
        <v>0</v>
      </c>
      <c r="N330" s="705">
        <f t="shared" si="89"/>
        <v>18600000</v>
      </c>
      <c r="O330" s="719">
        <v>13950000</v>
      </c>
      <c r="P330" s="706">
        <f t="shared" si="90"/>
        <v>2325000</v>
      </c>
      <c r="Q330" s="706">
        <v>0</v>
      </c>
      <c r="R330" s="705">
        <f t="shared" si="92"/>
        <v>16275000</v>
      </c>
      <c r="S330" s="706">
        <f t="shared" si="91"/>
        <v>2325000</v>
      </c>
    </row>
    <row r="331" spans="1:19" s="703" customFormat="1" ht="15.75" customHeight="1">
      <c r="A331" s="675" t="s">
        <v>935</v>
      </c>
      <c r="B331" s="675"/>
      <c r="C331" s="675"/>
      <c r="D331" s="517"/>
      <c r="E331" s="518"/>
      <c r="F331" s="469"/>
      <c r="G331" s="519"/>
      <c r="H331" s="808" t="s">
        <v>515</v>
      </c>
      <c r="I331" s="750">
        <v>2011</v>
      </c>
      <c r="J331" s="471">
        <v>0.125</v>
      </c>
      <c r="K331" s="752">
        <v>9600000</v>
      </c>
      <c r="L331" s="706">
        <v>0</v>
      </c>
      <c r="M331" s="706">
        <v>0</v>
      </c>
      <c r="N331" s="705">
        <f t="shared" si="89"/>
        <v>9600000</v>
      </c>
      <c r="O331" s="719">
        <v>7200000</v>
      </c>
      <c r="P331" s="706">
        <f t="shared" si="90"/>
        <v>1200000</v>
      </c>
      <c r="Q331" s="706">
        <v>0</v>
      </c>
      <c r="R331" s="705">
        <f t="shared" si="92"/>
        <v>8400000</v>
      </c>
      <c r="S331" s="706">
        <f t="shared" si="91"/>
        <v>1200000</v>
      </c>
    </row>
    <row r="332" spans="1:19" s="703" customFormat="1" ht="15.75" customHeight="1">
      <c r="A332" s="675" t="s">
        <v>935</v>
      </c>
      <c r="B332" s="675"/>
      <c r="C332" s="675"/>
      <c r="D332" s="517"/>
      <c r="E332" s="518"/>
      <c r="F332" s="469"/>
      <c r="G332" s="519"/>
      <c r="H332" s="805" t="s">
        <v>516</v>
      </c>
      <c r="I332" s="750">
        <v>2011</v>
      </c>
      <c r="J332" s="471">
        <v>0.125</v>
      </c>
      <c r="K332" s="752">
        <v>74200000</v>
      </c>
      <c r="L332" s="706">
        <v>0</v>
      </c>
      <c r="M332" s="706">
        <v>0</v>
      </c>
      <c r="N332" s="705">
        <f t="shared" si="89"/>
        <v>74200000</v>
      </c>
      <c r="O332" s="719">
        <v>55649999.999999948</v>
      </c>
      <c r="P332" s="706">
        <f t="shared" si="90"/>
        <v>9275000</v>
      </c>
      <c r="Q332" s="706">
        <v>0</v>
      </c>
      <c r="R332" s="705">
        <f t="shared" si="92"/>
        <v>64924999.999999948</v>
      </c>
      <c r="S332" s="706">
        <f t="shared" si="91"/>
        <v>9275000.0000000522</v>
      </c>
    </row>
    <row r="333" spans="1:19" s="703" customFormat="1" ht="15.75" customHeight="1">
      <c r="A333" s="675" t="s">
        <v>935</v>
      </c>
      <c r="B333" s="675"/>
      <c r="C333" s="675"/>
      <c r="D333" s="517"/>
      <c r="E333" s="518"/>
      <c r="F333" s="469"/>
      <c r="G333" s="519"/>
      <c r="H333" s="805" t="s">
        <v>517</v>
      </c>
      <c r="I333" s="809">
        <v>2011</v>
      </c>
      <c r="J333" s="471">
        <v>0.125</v>
      </c>
      <c r="K333" s="752">
        <v>4800000</v>
      </c>
      <c r="L333" s="706">
        <v>0</v>
      </c>
      <c r="M333" s="706">
        <v>0</v>
      </c>
      <c r="N333" s="705">
        <f t="shared" si="89"/>
        <v>4800000</v>
      </c>
      <c r="O333" s="719">
        <v>3600000</v>
      </c>
      <c r="P333" s="706">
        <f t="shared" si="90"/>
        <v>600000</v>
      </c>
      <c r="Q333" s="706">
        <v>0</v>
      </c>
      <c r="R333" s="705">
        <f t="shared" si="92"/>
        <v>4200000</v>
      </c>
      <c r="S333" s="706">
        <f t="shared" si="91"/>
        <v>600000</v>
      </c>
    </row>
    <row r="334" spans="1:19" s="703" customFormat="1" ht="15.75" customHeight="1">
      <c r="A334" s="675" t="s">
        <v>935</v>
      </c>
      <c r="B334" s="675"/>
      <c r="C334" s="675"/>
      <c r="D334" s="517"/>
      <c r="E334" s="518"/>
      <c r="F334" s="469"/>
      <c r="G334" s="519"/>
      <c r="H334" s="806" t="s">
        <v>518</v>
      </c>
      <c r="I334" s="792">
        <v>2011</v>
      </c>
      <c r="J334" s="471">
        <v>0.125</v>
      </c>
      <c r="K334" s="752">
        <v>14300000</v>
      </c>
      <c r="L334" s="706">
        <v>0</v>
      </c>
      <c r="M334" s="706">
        <v>0</v>
      </c>
      <c r="N334" s="705">
        <f t="shared" si="89"/>
        <v>14300000</v>
      </c>
      <c r="O334" s="719">
        <v>10725000.000000002</v>
      </c>
      <c r="P334" s="706">
        <f t="shared" si="90"/>
        <v>1787500</v>
      </c>
      <c r="Q334" s="706">
        <v>0</v>
      </c>
      <c r="R334" s="705">
        <f t="shared" si="92"/>
        <v>12512500.000000002</v>
      </c>
      <c r="S334" s="706">
        <f t="shared" si="91"/>
        <v>1787499.9999999981</v>
      </c>
    </row>
    <row r="335" spans="1:19" s="703" customFormat="1" ht="15.75" customHeight="1">
      <c r="A335" s="675" t="s">
        <v>935</v>
      </c>
      <c r="B335" s="675"/>
      <c r="C335" s="675"/>
      <c r="D335" s="517"/>
      <c r="E335" s="518"/>
      <c r="F335" s="469"/>
      <c r="G335" s="519"/>
      <c r="H335" s="808" t="s">
        <v>519</v>
      </c>
      <c r="I335" s="750">
        <v>2011</v>
      </c>
      <c r="J335" s="471">
        <v>0.125</v>
      </c>
      <c r="K335" s="752">
        <v>15900000</v>
      </c>
      <c r="L335" s="706">
        <v>0</v>
      </c>
      <c r="M335" s="706">
        <v>0</v>
      </c>
      <c r="N335" s="705">
        <f t="shared" si="89"/>
        <v>15900000</v>
      </c>
      <c r="O335" s="719">
        <v>11925000</v>
      </c>
      <c r="P335" s="706">
        <f t="shared" si="90"/>
        <v>1987500</v>
      </c>
      <c r="Q335" s="706">
        <v>0</v>
      </c>
      <c r="R335" s="705">
        <f t="shared" si="92"/>
        <v>13912500</v>
      </c>
      <c r="S335" s="706">
        <f t="shared" si="91"/>
        <v>1987500</v>
      </c>
    </row>
    <row r="336" spans="1:19" s="703" customFormat="1" ht="15.75" customHeight="1">
      <c r="A336" s="675" t="s">
        <v>935</v>
      </c>
      <c r="B336" s="675"/>
      <c r="C336" s="675"/>
      <c r="D336" s="517"/>
      <c r="E336" s="518"/>
      <c r="F336" s="469"/>
      <c r="G336" s="519"/>
      <c r="H336" s="806" t="s">
        <v>520</v>
      </c>
      <c r="I336" s="750">
        <v>2011</v>
      </c>
      <c r="J336" s="471">
        <v>0.125</v>
      </c>
      <c r="K336" s="752">
        <v>287200000</v>
      </c>
      <c r="L336" s="706">
        <v>0</v>
      </c>
      <c r="M336" s="706">
        <v>0</v>
      </c>
      <c r="N336" s="705">
        <f t="shared" si="89"/>
        <v>287200000</v>
      </c>
      <c r="O336" s="719">
        <v>215399999.99999982</v>
      </c>
      <c r="P336" s="706">
        <f t="shared" si="90"/>
        <v>35900000</v>
      </c>
      <c r="Q336" s="706">
        <v>0</v>
      </c>
      <c r="R336" s="705">
        <f t="shared" si="92"/>
        <v>251299999.99999982</v>
      </c>
      <c r="S336" s="706">
        <f t="shared" si="91"/>
        <v>35900000.000000179</v>
      </c>
    </row>
    <row r="337" spans="1:19" s="675" customFormat="1" ht="15.75" customHeight="1">
      <c r="A337" s="675" t="s">
        <v>935</v>
      </c>
      <c r="D337" s="517"/>
      <c r="E337" s="518"/>
      <c r="F337" s="469"/>
      <c r="G337" s="525"/>
      <c r="H337" s="805" t="s">
        <v>521</v>
      </c>
      <c r="I337" s="740">
        <v>2012</v>
      </c>
      <c r="J337" s="478">
        <v>0.125</v>
      </c>
      <c r="K337" s="753">
        <v>12300000</v>
      </c>
      <c r="L337" s="705">
        <v>0</v>
      </c>
      <c r="M337" s="705">
        <v>0</v>
      </c>
      <c r="N337" s="705">
        <f t="shared" si="89"/>
        <v>12300000</v>
      </c>
      <c r="O337" s="719">
        <v>9225000</v>
      </c>
      <c r="P337" s="706">
        <f t="shared" si="90"/>
        <v>1537500</v>
      </c>
      <c r="Q337" s="705">
        <v>0</v>
      </c>
      <c r="R337" s="705">
        <f t="shared" si="92"/>
        <v>10762500</v>
      </c>
      <c r="S337" s="706">
        <f t="shared" si="91"/>
        <v>1537500</v>
      </c>
    </row>
    <row r="338" spans="1:19" s="675" customFormat="1" ht="15.75" customHeight="1">
      <c r="D338" s="517"/>
      <c r="E338" s="518"/>
      <c r="F338" s="469"/>
      <c r="G338" s="526"/>
      <c r="H338" s="806" t="s">
        <v>522</v>
      </c>
      <c r="I338" s="810">
        <v>43191</v>
      </c>
      <c r="J338" s="471">
        <v>0.125</v>
      </c>
      <c r="K338" s="752">
        <v>7090000</v>
      </c>
      <c r="L338" s="706">
        <v>0</v>
      </c>
      <c r="M338" s="706">
        <v>0</v>
      </c>
      <c r="N338" s="705">
        <f t="shared" si="89"/>
        <v>7090000</v>
      </c>
      <c r="O338" s="797">
        <v>3323437.4999999986</v>
      </c>
      <c r="P338" s="706">
        <f t="shared" si="90"/>
        <v>886250</v>
      </c>
      <c r="Q338" s="706">
        <v>0</v>
      </c>
      <c r="R338" s="705">
        <f t="shared" si="92"/>
        <v>4209687.4999999981</v>
      </c>
      <c r="S338" s="706">
        <f t="shared" si="91"/>
        <v>2880312.5000000019</v>
      </c>
    </row>
    <row r="339" spans="1:19" s="675" customFormat="1" ht="15.75" customHeight="1">
      <c r="D339" s="517"/>
      <c r="E339" s="518"/>
      <c r="F339" s="528"/>
      <c r="G339" s="529"/>
      <c r="H339" s="811" t="s">
        <v>523</v>
      </c>
      <c r="I339" s="760">
        <v>43340</v>
      </c>
      <c r="J339" s="531">
        <v>0.125</v>
      </c>
      <c r="K339" s="812">
        <v>235086250</v>
      </c>
      <c r="L339" s="707">
        <v>0</v>
      </c>
      <c r="M339" s="707">
        <v>0</v>
      </c>
      <c r="N339" s="705">
        <f t="shared" si="89"/>
        <v>235086250</v>
      </c>
      <c r="O339" s="813">
        <v>100401419.27083337</v>
      </c>
      <c r="P339" s="706">
        <f t="shared" si="90"/>
        <v>29385781.25</v>
      </c>
      <c r="Q339" s="707">
        <v>0</v>
      </c>
      <c r="R339" s="705">
        <f t="shared" si="92"/>
        <v>129787200.52083337</v>
      </c>
      <c r="S339" s="706">
        <f t="shared" si="91"/>
        <v>105299049.47916663</v>
      </c>
    </row>
    <row r="340" spans="1:19" ht="15.75" customHeight="1">
      <c r="A340" s="675" t="s">
        <v>935</v>
      </c>
      <c r="D340" s="534"/>
      <c r="E340" s="535"/>
      <c r="F340" s="1241" t="s">
        <v>1008</v>
      </c>
      <c r="G340" s="1242"/>
      <c r="H340" s="1242"/>
      <c r="I340" s="1242"/>
      <c r="J340" s="1243"/>
      <c r="K340" s="814">
        <f>SUM(K323:K339)</f>
        <v>960376250</v>
      </c>
      <c r="L340" s="814">
        <f t="shared" ref="L340:S340" si="93">SUM(L323:L339)</f>
        <v>0</v>
      </c>
      <c r="M340" s="814">
        <f t="shared" si="93"/>
        <v>0</v>
      </c>
      <c r="N340" s="814">
        <f t="shared" si="93"/>
        <v>960376250</v>
      </c>
      <c r="O340" s="814">
        <f>SUM(O323:O339)</f>
        <v>642374856.77083313</v>
      </c>
      <c r="P340" s="814">
        <f>SUM(P323:P339)</f>
        <v>120047031.25</v>
      </c>
      <c r="Q340" s="814">
        <f t="shared" si="93"/>
        <v>0</v>
      </c>
      <c r="R340" s="814">
        <f>SUM(R323:R339)</f>
        <v>762421888.02083302</v>
      </c>
      <c r="S340" s="814">
        <f t="shared" si="93"/>
        <v>197954361.97916695</v>
      </c>
    </row>
    <row r="341" spans="1:19" ht="15.75" customHeight="1">
      <c r="A341" s="675" t="s">
        <v>935</v>
      </c>
      <c r="D341" s="538"/>
      <c r="E341" s="539"/>
      <c r="F341" s="466" t="s">
        <v>1077</v>
      </c>
      <c r="G341" s="730" t="s">
        <v>328</v>
      </c>
      <c r="H341" s="734"/>
      <c r="I341" s="815"/>
      <c r="J341" s="399"/>
      <c r="K341" s="735"/>
      <c r="L341" s="735"/>
      <c r="M341" s="735"/>
      <c r="N341" s="735"/>
      <c r="O341" s="735"/>
      <c r="P341" s="735"/>
      <c r="Q341" s="735"/>
      <c r="R341" s="735"/>
      <c r="S341" s="735"/>
    </row>
    <row r="342" spans="1:19" ht="15.75" customHeight="1">
      <c r="A342" s="675" t="s">
        <v>935</v>
      </c>
      <c r="D342" s="538"/>
      <c r="E342" s="539"/>
      <c r="F342" s="466"/>
      <c r="G342" s="540"/>
      <c r="H342" s="715" t="s">
        <v>1078</v>
      </c>
      <c r="I342" s="716">
        <v>2012</v>
      </c>
      <c r="J342" s="430">
        <v>0.125</v>
      </c>
      <c r="K342" s="706">
        <v>0</v>
      </c>
      <c r="L342" s="706">
        <v>0</v>
      </c>
      <c r="M342" s="706"/>
      <c r="N342" s="706">
        <v>0</v>
      </c>
      <c r="O342" s="705">
        <v>0</v>
      </c>
      <c r="P342" s="706"/>
      <c r="Q342" s="706"/>
      <c r="R342" s="705">
        <v>0</v>
      </c>
      <c r="S342" s="706">
        <v>0</v>
      </c>
    </row>
    <row r="343" spans="1:19" ht="15.75" customHeight="1">
      <c r="A343" s="675" t="s">
        <v>935</v>
      </c>
      <c r="D343" s="538"/>
      <c r="E343" s="539"/>
      <c r="F343" s="466"/>
      <c r="G343" s="540"/>
      <c r="H343" s="816" t="s">
        <v>1079</v>
      </c>
      <c r="I343" s="817">
        <v>2012</v>
      </c>
      <c r="J343" s="430">
        <v>0.125</v>
      </c>
      <c r="K343" s="706">
        <v>0</v>
      </c>
      <c r="L343" s="706">
        <v>0</v>
      </c>
      <c r="M343" s="706"/>
      <c r="N343" s="706">
        <v>0</v>
      </c>
      <c r="O343" s="705">
        <v>0</v>
      </c>
      <c r="P343" s="706"/>
      <c r="Q343" s="706"/>
      <c r="R343" s="705">
        <v>0</v>
      </c>
      <c r="S343" s="706">
        <v>0</v>
      </c>
    </row>
    <row r="344" spans="1:19" ht="15.75" customHeight="1">
      <c r="A344" s="675" t="s">
        <v>935</v>
      </c>
      <c r="D344" s="538"/>
      <c r="E344" s="539"/>
      <c r="F344" s="466"/>
      <c r="G344" s="540"/>
      <c r="H344" s="715" t="s">
        <v>1080</v>
      </c>
      <c r="I344" s="716">
        <v>2012</v>
      </c>
      <c r="J344" s="430">
        <v>0.125</v>
      </c>
      <c r="K344" s="706">
        <v>0</v>
      </c>
      <c r="L344" s="706">
        <v>0</v>
      </c>
      <c r="M344" s="706"/>
      <c r="N344" s="706">
        <v>0</v>
      </c>
      <c r="O344" s="705">
        <v>0</v>
      </c>
      <c r="P344" s="706"/>
      <c r="Q344" s="706"/>
      <c r="R344" s="705">
        <v>0</v>
      </c>
      <c r="S344" s="706">
        <v>0</v>
      </c>
    </row>
    <row r="345" spans="1:19" ht="15.75" customHeight="1">
      <c r="A345" s="675" t="s">
        <v>935</v>
      </c>
      <c r="D345" s="538"/>
      <c r="E345" s="539"/>
      <c r="F345" s="466"/>
      <c r="G345" s="540"/>
      <c r="H345" s="715" t="s">
        <v>1081</v>
      </c>
      <c r="I345" s="716">
        <v>2012</v>
      </c>
      <c r="J345" s="430">
        <v>0.125</v>
      </c>
      <c r="K345" s="706">
        <v>0</v>
      </c>
      <c r="L345" s="706">
        <v>0</v>
      </c>
      <c r="M345" s="706"/>
      <c r="N345" s="706">
        <v>0</v>
      </c>
      <c r="O345" s="705">
        <v>0</v>
      </c>
      <c r="P345" s="706"/>
      <c r="Q345" s="706"/>
      <c r="R345" s="705">
        <v>0</v>
      </c>
      <c r="S345" s="706">
        <v>0</v>
      </c>
    </row>
    <row r="346" spans="1:19" ht="15.75" customHeight="1">
      <c r="A346" s="675" t="s">
        <v>935</v>
      </c>
      <c r="D346" s="538"/>
      <c r="E346" s="539"/>
      <c r="F346" s="466"/>
      <c r="G346" s="540"/>
      <c r="H346" s="715" t="s">
        <v>1082</v>
      </c>
      <c r="I346" s="716">
        <v>2012</v>
      </c>
      <c r="J346" s="430">
        <v>0.125</v>
      </c>
      <c r="K346" s="706">
        <v>0</v>
      </c>
      <c r="L346" s="706">
        <v>0</v>
      </c>
      <c r="M346" s="706"/>
      <c r="N346" s="706">
        <v>0</v>
      </c>
      <c r="O346" s="705">
        <v>0</v>
      </c>
      <c r="P346" s="706"/>
      <c r="Q346" s="706"/>
      <c r="R346" s="705">
        <v>0</v>
      </c>
      <c r="S346" s="706">
        <v>0</v>
      </c>
    </row>
    <row r="347" spans="1:19" ht="15.75" customHeight="1">
      <c r="A347" s="675" t="s">
        <v>935</v>
      </c>
      <c r="D347" s="538"/>
      <c r="E347" s="539"/>
      <c r="F347" s="466"/>
      <c r="G347" s="540"/>
      <c r="H347" s="715" t="s">
        <v>1083</v>
      </c>
      <c r="I347" s="716">
        <v>2013</v>
      </c>
      <c r="J347" s="430">
        <v>0.125</v>
      </c>
      <c r="K347" s="706">
        <v>0</v>
      </c>
      <c r="L347" s="706">
        <v>0</v>
      </c>
      <c r="M347" s="706"/>
      <c r="N347" s="706">
        <v>0</v>
      </c>
      <c r="O347" s="705">
        <v>0</v>
      </c>
      <c r="P347" s="706"/>
      <c r="Q347" s="706"/>
      <c r="R347" s="705">
        <v>0</v>
      </c>
      <c r="S347" s="706">
        <v>0</v>
      </c>
    </row>
    <row r="348" spans="1:19" ht="15.75" customHeight="1">
      <c r="A348" s="675" t="s">
        <v>935</v>
      </c>
      <c r="D348" s="538"/>
      <c r="E348" s="539"/>
      <c r="F348" s="466"/>
      <c r="G348" s="540"/>
      <c r="H348" s="715" t="s">
        <v>1084</v>
      </c>
      <c r="I348" s="765">
        <v>2013</v>
      </c>
      <c r="J348" s="430">
        <v>0.125</v>
      </c>
      <c r="K348" s="706">
        <v>0</v>
      </c>
      <c r="L348" s="706">
        <v>0</v>
      </c>
      <c r="M348" s="706"/>
      <c r="N348" s="706">
        <v>0</v>
      </c>
      <c r="O348" s="705">
        <v>0</v>
      </c>
      <c r="P348" s="706"/>
      <c r="Q348" s="706"/>
      <c r="R348" s="705">
        <v>0</v>
      </c>
      <c r="S348" s="706">
        <v>0</v>
      </c>
    </row>
    <row r="349" spans="1:19" ht="15.75" customHeight="1">
      <c r="A349" s="675" t="s">
        <v>935</v>
      </c>
      <c r="D349" s="538"/>
      <c r="E349" s="539"/>
      <c r="F349" s="466"/>
      <c r="G349" s="540"/>
      <c r="H349" s="715" t="s">
        <v>1085</v>
      </c>
      <c r="I349" s="716">
        <v>2013</v>
      </c>
      <c r="J349" s="430">
        <v>0.125</v>
      </c>
      <c r="K349" s="706">
        <v>0</v>
      </c>
      <c r="L349" s="720">
        <v>0</v>
      </c>
      <c r="M349" s="706"/>
      <c r="N349" s="706">
        <v>0</v>
      </c>
      <c r="O349" s="705">
        <v>0</v>
      </c>
      <c r="P349" s="706"/>
      <c r="Q349" s="706"/>
      <c r="R349" s="705">
        <v>0</v>
      </c>
      <c r="S349" s="706">
        <v>0</v>
      </c>
    </row>
    <row r="350" spans="1:19" ht="15.75" customHeight="1">
      <c r="A350" s="675" t="s">
        <v>935</v>
      </c>
      <c r="D350" s="538"/>
      <c r="E350" s="539"/>
      <c r="F350" s="466"/>
      <c r="G350" s="540"/>
      <c r="H350" s="816" t="s">
        <v>1086</v>
      </c>
      <c r="I350" s="817">
        <v>2013</v>
      </c>
      <c r="J350" s="430">
        <v>0.125</v>
      </c>
      <c r="K350" s="706">
        <v>0</v>
      </c>
      <c r="L350" s="720">
        <v>0</v>
      </c>
      <c r="M350" s="706"/>
      <c r="N350" s="706">
        <v>0</v>
      </c>
      <c r="O350" s="705">
        <v>0</v>
      </c>
      <c r="P350" s="706"/>
      <c r="Q350" s="706"/>
      <c r="R350" s="705">
        <v>0</v>
      </c>
      <c r="S350" s="706">
        <v>0</v>
      </c>
    </row>
    <row r="351" spans="1:19" ht="15.75" customHeight="1">
      <c r="A351" s="675" t="s">
        <v>935</v>
      </c>
      <c r="D351" s="538"/>
      <c r="E351" s="539"/>
      <c r="F351" s="466"/>
      <c r="G351" s="540"/>
      <c r="H351" s="715" t="s">
        <v>1087</v>
      </c>
      <c r="I351" s="765">
        <v>2012</v>
      </c>
      <c r="J351" s="430">
        <v>0.125</v>
      </c>
      <c r="K351" s="706">
        <v>0</v>
      </c>
      <c r="L351" s="720">
        <v>0</v>
      </c>
      <c r="M351" s="706"/>
      <c r="N351" s="706">
        <v>0</v>
      </c>
      <c r="O351" s="705">
        <v>0</v>
      </c>
      <c r="P351" s="706"/>
      <c r="Q351" s="706"/>
      <c r="R351" s="705">
        <v>0</v>
      </c>
      <c r="S351" s="706">
        <v>0</v>
      </c>
    </row>
    <row r="352" spans="1:19" ht="15.75" customHeight="1">
      <c r="A352" s="675" t="s">
        <v>935</v>
      </c>
      <c r="D352" s="538"/>
      <c r="E352" s="539"/>
      <c r="F352" s="466"/>
      <c r="G352" s="818"/>
      <c r="H352" s="732" t="s">
        <v>1088</v>
      </c>
      <c r="I352" s="739">
        <v>2012</v>
      </c>
      <c r="J352" s="430">
        <v>0.125</v>
      </c>
      <c r="K352" s="706">
        <v>0</v>
      </c>
      <c r="L352" s="706">
        <v>0</v>
      </c>
      <c r="M352" s="706"/>
      <c r="N352" s="706">
        <v>0</v>
      </c>
      <c r="O352" s="705">
        <v>0</v>
      </c>
      <c r="P352" s="706"/>
      <c r="Q352" s="706"/>
      <c r="R352" s="705">
        <v>0</v>
      </c>
      <c r="S352" s="706">
        <v>0</v>
      </c>
    </row>
    <row r="353" spans="1:19" s="703" customFormat="1" ht="15.75" customHeight="1">
      <c r="A353" s="679" t="s">
        <v>935</v>
      </c>
      <c r="B353" s="675"/>
      <c r="C353" s="675"/>
      <c r="D353" s="570"/>
      <c r="E353" s="571"/>
      <c r="F353" s="1244" t="s">
        <v>1089</v>
      </c>
      <c r="G353" s="1245"/>
      <c r="H353" s="1245"/>
      <c r="I353" s="1245"/>
      <c r="J353" s="1246"/>
      <c r="K353" s="819">
        <f>SUM(K342:K352)</f>
        <v>0</v>
      </c>
      <c r="L353" s="819">
        <f t="shared" ref="L353:S353" si="94">SUM(L342:L352)</f>
        <v>0</v>
      </c>
      <c r="M353" s="819">
        <f t="shared" si="94"/>
        <v>0</v>
      </c>
      <c r="N353" s="819">
        <f t="shared" si="94"/>
        <v>0</v>
      </c>
      <c r="O353" s="819">
        <f t="shared" si="94"/>
        <v>0</v>
      </c>
      <c r="P353" s="819">
        <f t="shared" si="94"/>
        <v>0</v>
      </c>
      <c r="Q353" s="819">
        <f t="shared" si="94"/>
        <v>0</v>
      </c>
      <c r="R353" s="819">
        <f>SUM(R342:R352)</f>
        <v>0</v>
      </c>
      <c r="S353" s="819">
        <f t="shared" si="94"/>
        <v>0</v>
      </c>
    </row>
    <row r="354" spans="1:19" ht="15.75" customHeight="1">
      <c r="A354" s="675" t="s">
        <v>935</v>
      </c>
      <c r="D354" s="309"/>
      <c r="E354" s="1235" t="s">
        <v>1009</v>
      </c>
      <c r="F354" s="1236"/>
      <c r="G354" s="1236"/>
      <c r="H354" s="1236"/>
      <c r="I354" s="1236"/>
      <c r="J354" s="1237"/>
      <c r="K354" s="708">
        <f>K321+K340+K353</f>
        <v>25699850986</v>
      </c>
      <c r="L354" s="708">
        <f t="shared" ref="L354:Q354" si="95">L321+L340+L353</f>
        <v>0</v>
      </c>
      <c r="M354" s="708">
        <f t="shared" si="95"/>
        <v>0</v>
      </c>
      <c r="N354" s="708">
        <f t="shared" si="95"/>
        <v>25699850986</v>
      </c>
      <c r="O354" s="708">
        <f t="shared" si="95"/>
        <v>10739059151.962086</v>
      </c>
      <c r="P354" s="708">
        <f>P321+P340+P353</f>
        <v>3212481373.25</v>
      </c>
      <c r="Q354" s="708">
        <f t="shared" si="95"/>
        <v>0</v>
      </c>
      <c r="R354" s="708">
        <f>R321+R340+R353</f>
        <v>13951540525.212082</v>
      </c>
      <c r="S354" s="708">
        <f>S321+S340+S353</f>
        <v>11748310460.787914</v>
      </c>
    </row>
    <row r="355" spans="1:19" ht="15.75" customHeight="1">
      <c r="D355" s="387"/>
      <c r="E355" s="324"/>
      <c r="F355" s="330"/>
      <c r="G355" s="721"/>
      <c r="H355" s="715"/>
      <c r="I355" s="716"/>
      <c r="J355" s="393"/>
      <c r="K355" s="705"/>
      <c r="L355" s="706"/>
      <c r="M355" s="706"/>
      <c r="N355" s="705"/>
      <c r="O355" s="705"/>
      <c r="P355" s="706"/>
      <c r="Q355" s="705"/>
      <c r="R355" s="705"/>
      <c r="S355" s="705"/>
    </row>
    <row r="356" spans="1:19" ht="15.75" customHeight="1">
      <c r="A356" s="675" t="s">
        <v>938</v>
      </c>
      <c r="D356" s="309"/>
      <c r="E356" s="316" t="s">
        <v>1010</v>
      </c>
      <c r="F356" s="703" t="s">
        <v>1011</v>
      </c>
      <c r="G356" s="311"/>
      <c r="H356" s="312"/>
      <c r="I356" s="537"/>
      <c r="J356" s="393"/>
      <c r="K356" s="712"/>
      <c r="L356" s="712"/>
      <c r="M356" s="712"/>
      <c r="N356" s="712"/>
      <c r="O356" s="712"/>
      <c r="P356" s="712"/>
      <c r="Q356" s="712"/>
      <c r="R356" s="712"/>
      <c r="S356" s="712"/>
    </row>
    <row r="357" spans="1:19" ht="15.75" customHeight="1">
      <c r="A357" s="675" t="s">
        <v>938</v>
      </c>
      <c r="D357" s="538"/>
      <c r="E357" s="539"/>
      <c r="F357" s="466"/>
      <c r="G357" s="540"/>
      <c r="H357" s="715" t="s">
        <v>525</v>
      </c>
      <c r="I357" s="716">
        <v>2005</v>
      </c>
      <c r="J357" s="430">
        <v>0.125</v>
      </c>
      <c r="K357" s="706">
        <v>70800000</v>
      </c>
      <c r="L357" s="706">
        <v>0</v>
      </c>
      <c r="M357" s="706">
        <v>0</v>
      </c>
      <c r="N357" s="705">
        <f t="shared" ref="N357:N420" si="96">K357+L357-M357</f>
        <v>70800000</v>
      </c>
      <c r="O357" s="705">
        <v>26550000</v>
      </c>
      <c r="P357" s="738">
        <v>0</v>
      </c>
      <c r="Q357" s="706">
        <v>0</v>
      </c>
      <c r="R357" s="705">
        <f t="shared" ref="R357:R420" si="97">O357+P357-Q357</f>
        <v>26550000</v>
      </c>
      <c r="S357" s="706">
        <f t="shared" ref="S357:S420" si="98">N357-R357</f>
        <v>44250000</v>
      </c>
    </row>
    <row r="358" spans="1:19" ht="15.75" customHeight="1">
      <c r="A358" s="675" t="s">
        <v>938</v>
      </c>
      <c r="D358" s="538"/>
      <c r="E358" s="539"/>
      <c r="F358" s="466"/>
      <c r="G358" s="540"/>
      <c r="H358" s="715" t="s">
        <v>526</v>
      </c>
      <c r="I358" s="716">
        <v>2005</v>
      </c>
      <c r="J358" s="430">
        <v>0.125</v>
      </c>
      <c r="K358" s="706">
        <v>30700000</v>
      </c>
      <c r="L358" s="706">
        <v>0</v>
      </c>
      <c r="M358" s="706">
        <v>0</v>
      </c>
      <c r="N358" s="705">
        <f t="shared" si="96"/>
        <v>30700000</v>
      </c>
      <c r="O358" s="705">
        <v>11512500.000000004</v>
      </c>
      <c r="P358" s="738">
        <v>0</v>
      </c>
      <c r="Q358" s="706">
        <v>0</v>
      </c>
      <c r="R358" s="705">
        <f t="shared" si="97"/>
        <v>11512500.000000004</v>
      </c>
      <c r="S358" s="706">
        <f t="shared" si="98"/>
        <v>19187499.999999996</v>
      </c>
    </row>
    <row r="359" spans="1:19" ht="15.75" customHeight="1">
      <c r="A359" s="675" t="s">
        <v>938</v>
      </c>
      <c r="D359" s="538"/>
      <c r="E359" s="539"/>
      <c r="F359" s="466"/>
      <c r="G359" s="540"/>
      <c r="H359" s="715" t="s">
        <v>527</v>
      </c>
      <c r="I359" s="716">
        <v>2005</v>
      </c>
      <c r="J359" s="430">
        <v>0.125</v>
      </c>
      <c r="K359" s="706">
        <v>7500000</v>
      </c>
      <c r="L359" s="706">
        <v>0</v>
      </c>
      <c r="M359" s="706">
        <v>0</v>
      </c>
      <c r="N359" s="705">
        <f t="shared" si="96"/>
        <v>7500000</v>
      </c>
      <c r="O359" s="705">
        <v>2812500</v>
      </c>
      <c r="P359" s="738">
        <v>0</v>
      </c>
      <c r="Q359" s="706">
        <v>0</v>
      </c>
      <c r="R359" s="705">
        <f t="shared" si="97"/>
        <v>2812500</v>
      </c>
      <c r="S359" s="706">
        <f t="shared" si="98"/>
        <v>4687500</v>
      </c>
    </row>
    <row r="360" spans="1:19" ht="15.75" customHeight="1">
      <c r="A360" s="675" t="s">
        <v>938</v>
      </c>
      <c r="D360" s="538"/>
      <c r="E360" s="539"/>
      <c r="F360" s="466"/>
      <c r="G360" s="540"/>
      <c r="H360" s="715" t="s">
        <v>528</v>
      </c>
      <c r="I360" s="716">
        <v>2005</v>
      </c>
      <c r="J360" s="430">
        <v>0.125</v>
      </c>
      <c r="K360" s="706">
        <v>1200000</v>
      </c>
      <c r="L360" s="706">
        <v>0</v>
      </c>
      <c r="M360" s="706">
        <v>0</v>
      </c>
      <c r="N360" s="705">
        <f t="shared" si="96"/>
        <v>1200000</v>
      </c>
      <c r="O360" s="705">
        <v>450000</v>
      </c>
      <c r="P360" s="738">
        <v>0</v>
      </c>
      <c r="Q360" s="706">
        <v>0</v>
      </c>
      <c r="R360" s="705">
        <f t="shared" si="97"/>
        <v>450000</v>
      </c>
      <c r="S360" s="706">
        <f t="shared" si="98"/>
        <v>750000</v>
      </c>
    </row>
    <row r="361" spans="1:19" ht="15.75" customHeight="1">
      <c r="A361" s="675" t="s">
        <v>938</v>
      </c>
      <c r="D361" s="538"/>
      <c r="E361" s="539"/>
      <c r="F361" s="466"/>
      <c r="G361" s="540"/>
      <c r="H361" s="715" t="s">
        <v>529</v>
      </c>
      <c r="I361" s="716">
        <v>2005</v>
      </c>
      <c r="J361" s="430">
        <v>0.125</v>
      </c>
      <c r="K361" s="706">
        <v>100000</v>
      </c>
      <c r="L361" s="706">
        <v>0</v>
      </c>
      <c r="M361" s="706">
        <v>0</v>
      </c>
      <c r="N361" s="705">
        <f t="shared" si="96"/>
        <v>100000</v>
      </c>
      <c r="O361" s="705">
        <v>37500.000000000007</v>
      </c>
      <c r="P361" s="738">
        <v>0</v>
      </c>
      <c r="Q361" s="706">
        <v>0</v>
      </c>
      <c r="R361" s="705">
        <f t="shared" si="97"/>
        <v>37500.000000000007</v>
      </c>
      <c r="S361" s="706">
        <f t="shared" si="98"/>
        <v>62499.999999999993</v>
      </c>
    </row>
    <row r="362" spans="1:19" ht="15.75" customHeight="1">
      <c r="A362" s="675" t="s">
        <v>938</v>
      </c>
      <c r="D362" s="538"/>
      <c r="E362" s="539"/>
      <c r="F362" s="466"/>
      <c r="G362" s="540"/>
      <c r="H362" s="715" t="s">
        <v>530</v>
      </c>
      <c r="I362" s="716">
        <v>2005</v>
      </c>
      <c r="J362" s="430">
        <v>0.125</v>
      </c>
      <c r="K362" s="706">
        <v>2400000</v>
      </c>
      <c r="L362" s="706">
        <v>0</v>
      </c>
      <c r="M362" s="706">
        <v>0</v>
      </c>
      <c r="N362" s="705">
        <f t="shared" si="96"/>
        <v>2400000</v>
      </c>
      <c r="O362" s="705">
        <v>900000</v>
      </c>
      <c r="P362" s="738">
        <v>0</v>
      </c>
      <c r="Q362" s="706">
        <v>0</v>
      </c>
      <c r="R362" s="705">
        <f t="shared" si="97"/>
        <v>900000</v>
      </c>
      <c r="S362" s="706">
        <f t="shared" si="98"/>
        <v>1500000</v>
      </c>
    </row>
    <row r="363" spans="1:19" ht="15.75" customHeight="1">
      <c r="A363" s="675" t="s">
        <v>938</v>
      </c>
      <c r="D363" s="538"/>
      <c r="E363" s="539"/>
      <c r="F363" s="466"/>
      <c r="G363" s="540"/>
      <c r="H363" s="715" t="s">
        <v>530</v>
      </c>
      <c r="I363" s="716">
        <v>2014</v>
      </c>
      <c r="J363" s="430">
        <v>0.125</v>
      </c>
      <c r="K363" s="706">
        <v>7300000</v>
      </c>
      <c r="L363" s="706">
        <v>0</v>
      </c>
      <c r="M363" s="706">
        <v>0</v>
      </c>
      <c r="N363" s="705">
        <f t="shared" si="96"/>
        <v>7300000</v>
      </c>
      <c r="O363" s="705">
        <v>2737500.0000000009</v>
      </c>
      <c r="P363" s="738">
        <v>0</v>
      </c>
      <c r="Q363" s="706">
        <v>0</v>
      </c>
      <c r="R363" s="705">
        <f t="shared" si="97"/>
        <v>2737500.0000000009</v>
      </c>
      <c r="S363" s="706">
        <f t="shared" si="98"/>
        <v>4562499.9999999991</v>
      </c>
    </row>
    <row r="364" spans="1:19" ht="15.75" customHeight="1">
      <c r="A364" s="675" t="s">
        <v>938</v>
      </c>
      <c r="D364" s="538"/>
      <c r="E364" s="539"/>
      <c r="F364" s="466"/>
      <c r="G364" s="540"/>
      <c r="H364" s="715" t="s">
        <v>531</v>
      </c>
      <c r="I364" s="716">
        <v>2005</v>
      </c>
      <c r="J364" s="430">
        <v>0.125</v>
      </c>
      <c r="K364" s="706">
        <v>700000</v>
      </c>
      <c r="L364" s="706">
        <v>0</v>
      </c>
      <c r="M364" s="706">
        <v>0</v>
      </c>
      <c r="N364" s="705">
        <f t="shared" si="96"/>
        <v>700000</v>
      </c>
      <c r="O364" s="705">
        <v>262500</v>
      </c>
      <c r="P364" s="738">
        <v>0</v>
      </c>
      <c r="Q364" s="706">
        <v>0</v>
      </c>
      <c r="R364" s="705">
        <f t="shared" si="97"/>
        <v>262500</v>
      </c>
      <c r="S364" s="706">
        <f t="shared" si="98"/>
        <v>437500</v>
      </c>
    </row>
    <row r="365" spans="1:19" ht="15.75" customHeight="1">
      <c r="A365" s="675" t="s">
        <v>938</v>
      </c>
      <c r="D365" s="538"/>
      <c r="E365" s="539"/>
      <c r="F365" s="466"/>
      <c r="G365" s="540"/>
      <c r="H365" s="715" t="s">
        <v>532</v>
      </c>
      <c r="I365" s="716">
        <v>2005</v>
      </c>
      <c r="J365" s="430">
        <v>0.125</v>
      </c>
      <c r="K365" s="706">
        <v>400000</v>
      </c>
      <c r="L365" s="706">
        <v>0</v>
      </c>
      <c r="M365" s="706">
        <v>0</v>
      </c>
      <c r="N365" s="705">
        <f t="shared" si="96"/>
        <v>400000</v>
      </c>
      <c r="O365" s="705">
        <v>150000.00000000003</v>
      </c>
      <c r="P365" s="738">
        <v>0</v>
      </c>
      <c r="Q365" s="706">
        <v>0</v>
      </c>
      <c r="R365" s="705">
        <f t="shared" si="97"/>
        <v>150000.00000000003</v>
      </c>
      <c r="S365" s="706">
        <f t="shared" si="98"/>
        <v>249999.99999999997</v>
      </c>
    </row>
    <row r="366" spans="1:19" ht="15.75" customHeight="1">
      <c r="A366" s="675" t="s">
        <v>938</v>
      </c>
      <c r="D366" s="538"/>
      <c r="E366" s="539"/>
      <c r="F366" s="466"/>
      <c r="G366" s="540"/>
      <c r="H366" s="715" t="s">
        <v>532</v>
      </c>
      <c r="I366" s="716">
        <v>2005</v>
      </c>
      <c r="J366" s="430">
        <v>0.125</v>
      </c>
      <c r="K366" s="706">
        <v>300000</v>
      </c>
      <c r="L366" s="706">
        <v>0</v>
      </c>
      <c r="M366" s="706">
        <v>0</v>
      </c>
      <c r="N366" s="705">
        <f t="shared" si="96"/>
        <v>300000</v>
      </c>
      <c r="O366" s="705">
        <v>112500</v>
      </c>
      <c r="P366" s="738">
        <v>0</v>
      </c>
      <c r="Q366" s="706">
        <v>0</v>
      </c>
      <c r="R366" s="705">
        <f t="shared" si="97"/>
        <v>112500</v>
      </c>
      <c r="S366" s="706">
        <f t="shared" si="98"/>
        <v>187500</v>
      </c>
    </row>
    <row r="367" spans="1:19" ht="15.75" customHeight="1">
      <c r="A367" s="675" t="s">
        <v>938</v>
      </c>
      <c r="D367" s="538"/>
      <c r="E367" s="539"/>
      <c r="F367" s="466"/>
      <c r="G367" s="540"/>
      <c r="H367" s="715" t="s">
        <v>533</v>
      </c>
      <c r="I367" s="716">
        <v>2005</v>
      </c>
      <c r="J367" s="430">
        <v>0.125</v>
      </c>
      <c r="K367" s="706">
        <v>300000</v>
      </c>
      <c r="L367" s="706">
        <v>0</v>
      </c>
      <c r="M367" s="706">
        <v>0</v>
      </c>
      <c r="N367" s="705">
        <f t="shared" si="96"/>
        <v>300000</v>
      </c>
      <c r="O367" s="705">
        <v>112500</v>
      </c>
      <c r="P367" s="738">
        <v>0</v>
      </c>
      <c r="Q367" s="706">
        <v>0</v>
      </c>
      <c r="R367" s="705">
        <f t="shared" si="97"/>
        <v>112500</v>
      </c>
      <c r="S367" s="706">
        <f t="shared" si="98"/>
        <v>187500</v>
      </c>
    </row>
    <row r="368" spans="1:19" ht="15.75" customHeight="1">
      <c r="A368" s="675" t="s">
        <v>938</v>
      </c>
      <c r="D368" s="538"/>
      <c r="E368" s="539"/>
      <c r="F368" s="466"/>
      <c r="G368" s="540"/>
      <c r="H368" s="715" t="s">
        <v>534</v>
      </c>
      <c r="I368" s="716">
        <v>2005</v>
      </c>
      <c r="J368" s="430">
        <v>0.125</v>
      </c>
      <c r="K368" s="706">
        <v>7300000</v>
      </c>
      <c r="L368" s="706">
        <v>0</v>
      </c>
      <c r="M368" s="706">
        <v>0</v>
      </c>
      <c r="N368" s="705">
        <f t="shared" si="96"/>
        <v>7300000</v>
      </c>
      <c r="O368" s="705">
        <v>2737500.0000000009</v>
      </c>
      <c r="P368" s="738">
        <v>0</v>
      </c>
      <c r="Q368" s="706">
        <v>0</v>
      </c>
      <c r="R368" s="705">
        <f t="shared" si="97"/>
        <v>2737500.0000000009</v>
      </c>
      <c r="S368" s="706">
        <f t="shared" si="98"/>
        <v>4562499.9999999991</v>
      </c>
    </row>
    <row r="369" spans="1:19" ht="15.75" customHeight="1">
      <c r="A369" s="675" t="s">
        <v>938</v>
      </c>
      <c r="D369" s="538"/>
      <c r="E369" s="539"/>
      <c r="F369" s="466"/>
      <c r="G369" s="540"/>
      <c r="H369" s="715" t="s">
        <v>535</v>
      </c>
      <c r="I369" s="716">
        <v>2005</v>
      </c>
      <c r="J369" s="430">
        <v>0.125</v>
      </c>
      <c r="K369" s="706">
        <v>600000</v>
      </c>
      <c r="L369" s="706">
        <v>0</v>
      </c>
      <c r="M369" s="706">
        <v>0</v>
      </c>
      <c r="N369" s="705">
        <f t="shared" si="96"/>
        <v>600000</v>
      </c>
      <c r="O369" s="705">
        <v>225000</v>
      </c>
      <c r="P369" s="738">
        <v>0</v>
      </c>
      <c r="Q369" s="706">
        <v>0</v>
      </c>
      <c r="R369" s="705">
        <f t="shared" si="97"/>
        <v>225000</v>
      </c>
      <c r="S369" s="706">
        <f t="shared" si="98"/>
        <v>375000</v>
      </c>
    </row>
    <row r="370" spans="1:19" ht="15.75" customHeight="1">
      <c r="A370" s="675" t="s">
        <v>938</v>
      </c>
      <c r="D370" s="538"/>
      <c r="E370" s="539"/>
      <c r="F370" s="466"/>
      <c r="G370" s="540"/>
      <c r="H370" s="715" t="s">
        <v>536</v>
      </c>
      <c r="I370" s="716">
        <v>2005</v>
      </c>
      <c r="J370" s="430">
        <v>0.125</v>
      </c>
      <c r="K370" s="706">
        <v>1500000</v>
      </c>
      <c r="L370" s="706">
        <v>0</v>
      </c>
      <c r="M370" s="706">
        <v>0</v>
      </c>
      <c r="N370" s="705">
        <f t="shared" si="96"/>
        <v>1500000</v>
      </c>
      <c r="O370" s="705">
        <v>562500</v>
      </c>
      <c r="P370" s="738">
        <v>0</v>
      </c>
      <c r="Q370" s="706">
        <v>0</v>
      </c>
      <c r="R370" s="705">
        <f t="shared" si="97"/>
        <v>562500</v>
      </c>
      <c r="S370" s="706">
        <f t="shared" si="98"/>
        <v>937500</v>
      </c>
    </row>
    <row r="371" spans="1:19" ht="15.75" customHeight="1">
      <c r="A371" s="675" t="s">
        <v>938</v>
      </c>
      <c r="D371" s="538"/>
      <c r="E371" s="539"/>
      <c r="F371" s="466"/>
      <c r="G371" s="540"/>
      <c r="H371" s="715" t="s">
        <v>537</v>
      </c>
      <c r="I371" s="716">
        <v>2008</v>
      </c>
      <c r="J371" s="430">
        <v>0.125</v>
      </c>
      <c r="K371" s="706">
        <v>1000000</v>
      </c>
      <c r="L371" s="706">
        <v>0</v>
      </c>
      <c r="M371" s="706">
        <v>0</v>
      </c>
      <c r="N371" s="705">
        <f t="shared" si="96"/>
        <v>1000000</v>
      </c>
      <c r="O371" s="705">
        <v>374999.99999999988</v>
      </c>
      <c r="P371" s="738">
        <v>0</v>
      </c>
      <c r="Q371" s="706">
        <v>0</v>
      </c>
      <c r="R371" s="705">
        <f t="shared" si="97"/>
        <v>374999.99999999988</v>
      </c>
      <c r="S371" s="706">
        <f t="shared" si="98"/>
        <v>625000.00000000012</v>
      </c>
    </row>
    <row r="372" spans="1:19" ht="15.75" customHeight="1">
      <c r="A372" s="675" t="s">
        <v>938</v>
      </c>
      <c r="D372" s="538"/>
      <c r="E372" s="539"/>
      <c r="F372" s="466"/>
      <c r="G372" s="540"/>
      <c r="H372" s="715" t="s">
        <v>537</v>
      </c>
      <c r="I372" s="716">
        <v>2014</v>
      </c>
      <c r="J372" s="430">
        <v>0.125</v>
      </c>
      <c r="K372" s="706">
        <v>600000</v>
      </c>
      <c r="L372" s="706">
        <v>0</v>
      </c>
      <c r="M372" s="706">
        <v>0</v>
      </c>
      <c r="N372" s="705">
        <f t="shared" si="96"/>
        <v>600000</v>
      </c>
      <c r="O372" s="705">
        <v>225000</v>
      </c>
      <c r="P372" s="738">
        <v>0</v>
      </c>
      <c r="Q372" s="706">
        <v>0</v>
      </c>
      <c r="R372" s="705">
        <f t="shared" si="97"/>
        <v>225000</v>
      </c>
      <c r="S372" s="706">
        <f t="shared" si="98"/>
        <v>375000</v>
      </c>
    </row>
    <row r="373" spans="1:19" ht="15.75" customHeight="1">
      <c r="A373" s="675" t="s">
        <v>938</v>
      </c>
      <c r="D373" s="538"/>
      <c r="E373" s="539"/>
      <c r="F373" s="466"/>
      <c r="G373" s="540"/>
      <c r="H373" s="715" t="s">
        <v>538</v>
      </c>
      <c r="I373" s="716">
        <v>2008</v>
      </c>
      <c r="J373" s="430">
        <v>0.125</v>
      </c>
      <c r="K373" s="706">
        <v>2000000</v>
      </c>
      <c r="L373" s="706">
        <v>0</v>
      </c>
      <c r="M373" s="706">
        <v>0</v>
      </c>
      <c r="N373" s="705">
        <f t="shared" si="96"/>
        <v>2000000</v>
      </c>
      <c r="O373" s="705">
        <v>749999.99999999977</v>
      </c>
      <c r="P373" s="738">
        <v>0</v>
      </c>
      <c r="Q373" s="706">
        <v>0</v>
      </c>
      <c r="R373" s="705">
        <f t="shared" si="97"/>
        <v>749999.99999999977</v>
      </c>
      <c r="S373" s="706">
        <f t="shared" si="98"/>
        <v>1250000.0000000002</v>
      </c>
    </row>
    <row r="374" spans="1:19" ht="15.75" customHeight="1">
      <c r="A374" s="675" t="s">
        <v>938</v>
      </c>
      <c r="D374" s="538"/>
      <c r="E374" s="539"/>
      <c r="F374" s="466"/>
      <c r="G374" s="540"/>
      <c r="H374" s="715" t="s">
        <v>539</v>
      </c>
      <c r="I374" s="716">
        <v>2008</v>
      </c>
      <c r="J374" s="430">
        <v>0.125</v>
      </c>
      <c r="K374" s="706">
        <v>228800000</v>
      </c>
      <c r="L374" s="706">
        <v>0</v>
      </c>
      <c r="M374" s="706">
        <v>0</v>
      </c>
      <c r="N374" s="705">
        <f t="shared" si="96"/>
        <v>228800000</v>
      </c>
      <c r="O374" s="705">
        <v>85800000.000000015</v>
      </c>
      <c r="P374" s="738">
        <v>0</v>
      </c>
      <c r="Q374" s="706">
        <v>0</v>
      </c>
      <c r="R374" s="705">
        <f t="shared" si="97"/>
        <v>85800000.000000015</v>
      </c>
      <c r="S374" s="706">
        <f t="shared" si="98"/>
        <v>143000000</v>
      </c>
    </row>
    <row r="375" spans="1:19" ht="15.75" customHeight="1">
      <c r="A375" s="675" t="s">
        <v>938</v>
      </c>
      <c r="D375" s="538"/>
      <c r="E375" s="539"/>
      <c r="F375" s="466"/>
      <c r="G375" s="540"/>
      <c r="H375" s="715" t="s">
        <v>540</v>
      </c>
      <c r="I375" s="716">
        <v>2009</v>
      </c>
      <c r="J375" s="430">
        <v>0.125</v>
      </c>
      <c r="K375" s="706">
        <v>4900000</v>
      </c>
      <c r="L375" s="706">
        <v>0</v>
      </c>
      <c r="M375" s="706">
        <v>0</v>
      </c>
      <c r="N375" s="705">
        <f t="shared" si="96"/>
        <v>4900000</v>
      </c>
      <c r="O375" s="705">
        <v>1837500</v>
      </c>
      <c r="P375" s="738">
        <v>0</v>
      </c>
      <c r="Q375" s="706">
        <v>0</v>
      </c>
      <c r="R375" s="705">
        <f t="shared" si="97"/>
        <v>1837500</v>
      </c>
      <c r="S375" s="706">
        <f t="shared" si="98"/>
        <v>3062500</v>
      </c>
    </row>
    <row r="376" spans="1:19" ht="15.75" customHeight="1">
      <c r="A376" s="675" t="s">
        <v>938</v>
      </c>
      <c r="D376" s="538"/>
      <c r="E376" s="539"/>
      <c r="F376" s="466"/>
      <c r="G376" s="540"/>
      <c r="H376" s="715" t="s">
        <v>541</v>
      </c>
      <c r="I376" s="716">
        <v>2009</v>
      </c>
      <c r="J376" s="430">
        <v>0.125</v>
      </c>
      <c r="K376" s="706">
        <v>9300000</v>
      </c>
      <c r="L376" s="706">
        <v>0</v>
      </c>
      <c r="M376" s="706">
        <v>0</v>
      </c>
      <c r="N376" s="705">
        <f t="shared" si="96"/>
        <v>9300000</v>
      </c>
      <c r="O376" s="705">
        <v>3487500</v>
      </c>
      <c r="P376" s="738">
        <v>0</v>
      </c>
      <c r="Q376" s="706">
        <v>0</v>
      </c>
      <c r="R376" s="705">
        <f t="shared" si="97"/>
        <v>3487500</v>
      </c>
      <c r="S376" s="706">
        <f t="shared" si="98"/>
        <v>5812500</v>
      </c>
    </row>
    <row r="377" spans="1:19" ht="15.75" customHeight="1">
      <c r="A377" s="675" t="s">
        <v>938</v>
      </c>
      <c r="D377" s="538"/>
      <c r="E377" s="539"/>
      <c r="F377" s="466"/>
      <c r="G377" s="540"/>
      <c r="H377" s="715" t="s">
        <v>542</v>
      </c>
      <c r="I377" s="716">
        <v>2009</v>
      </c>
      <c r="J377" s="430">
        <v>0.125</v>
      </c>
      <c r="K377" s="706">
        <v>25300000</v>
      </c>
      <c r="L377" s="706">
        <v>0</v>
      </c>
      <c r="M377" s="706">
        <v>0</v>
      </c>
      <c r="N377" s="705">
        <f t="shared" si="96"/>
        <v>25300000</v>
      </c>
      <c r="O377" s="705">
        <v>9487500.0000000019</v>
      </c>
      <c r="P377" s="738">
        <v>0</v>
      </c>
      <c r="Q377" s="706">
        <v>0</v>
      </c>
      <c r="R377" s="705">
        <f t="shared" si="97"/>
        <v>9487500.0000000019</v>
      </c>
      <c r="S377" s="706">
        <f t="shared" si="98"/>
        <v>15812499.999999998</v>
      </c>
    </row>
    <row r="378" spans="1:19" ht="15.75" customHeight="1">
      <c r="A378" s="675" t="s">
        <v>938</v>
      </c>
      <c r="D378" s="538"/>
      <c r="E378" s="539"/>
      <c r="F378" s="466"/>
      <c r="G378" s="540"/>
      <c r="H378" s="715" t="s">
        <v>543</v>
      </c>
      <c r="I378" s="716">
        <v>2011</v>
      </c>
      <c r="J378" s="430">
        <v>0.125</v>
      </c>
      <c r="K378" s="706">
        <v>4500000</v>
      </c>
      <c r="L378" s="706">
        <v>0</v>
      </c>
      <c r="M378" s="706">
        <v>0</v>
      </c>
      <c r="N378" s="705">
        <f t="shared" si="96"/>
        <v>4500000</v>
      </c>
      <c r="O378" s="705">
        <v>1687500</v>
      </c>
      <c r="P378" s="738">
        <v>0</v>
      </c>
      <c r="Q378" s="706">
        <v>0</v>
      </c>
      <c r="R378" s="705">
        <f t="shared" si="97"/>
        <v>1687500</v>
      </c>
      <c r="S378" s="706">
        <f t="shared" si="98"/>
        <v>2812500</v>
      </c>
    </row>
    <row r="379" spans="1:19" ht="15.75" customHeight="1">
      <c r="A379" s="675" t="s">
        <v>938</v>
      </c>
      <c r="D379" s="538"/>
      <c r="E379" s="539"/>
      <c r="F379" s="466"/>
      <c r="G379" s="540"/>
      <c r="H379" s="715" t="s">
        <v>409</v>
      </c>
      <c r="I379" s="716">
        <v>2009</v>
      </c>
      <c r="J379" s="430">
        <v>0.125</v>
      </c>
      <c r="K379" s="706">
        <v>1000000</v>
      </c>
      <c r="L379" s="706">
        <v>0</v>
      </c>
      <c r="M379" s="706">
        <v>0</v>
      </c>
      <c r="N379" s="705">
        <f t="shared" si="96"/>
        <v>1000000</v>
      </c>
      <c r="O379" s="705">
        <v>374999.99999999988</v>
      </c>
      <c r="P379" s="738">
        <v>0</v>
      </c>
      <c r="Q379" s="706">
        <v>0</v>
      </c>
      <c r="R379" s="705">
        <f t="shared" si="97"/>
        <v>374999.99999999988</v>
      </c>
      <c r="S379" s="706">
        <f t="shared" si="98"/>
        <v>625000.00000000012</v>
      </c>
    </row>
    <row r="380" spans="1:19" ht="15.75" customHeight="1">
      <c r="A380" s="675" t="s">
        <v>938</v>
      </c>
      <c r="D380" s="538"/>
      <c r="E380" s="539"/>
      <c r="F380" s="466"/>
      <c r="G380" s="540"/>
      <c r="H380" s="715" t="s">
        <v>544</v>
      </c>
      <c r="I380" s="716">
        <v>2009</v>
      </c>
      <c r="J380" s="430">
        <v>0.125</v>
      </c>
      <c r="K380" s="706">
        <v>53400000</v>
      </c>
      <c r="L380" s="706">
        <v>0</v>
      </c>
      <c r="M380" s="706">
        <v>0</v>
      </c>
      <c r="N380" s="705">
        <f t="shared" si="96"/>
        <v>53400000</v>
      </c>
      <c r="O380" s="705">
        <v>20025000</v>
      </c>
      <c r="P380" s="738">
        <v>0</v>
      </c>
      <c r="Q380" s="706">
        <v>0</v>
      </c>
      <c r="R380" s="705">
        <f t="shared" si="97"/>
        <v>20025000</v>
      </c>
      <c r="S380" s="706">
        <f t="shared" si="98"/>
        <v>33375000</v>
      </c>
    </row>
    <row r="381" spans="1:19" ht="15.75" customHeight="1">
      <c r="A381" s="675" t="s">
        <v>938</v>
      </c>
      <c r="D381" s="538"/>
      <c r="E381" s="539"/>
      <c r="F381" s="466"/>
      <c r="G381" s="540"/>
      <c r="H381" s="715" t="s">
        <v>545</v>
      </c>
      <c r="I381" s="716">
        <v>2009</v>
      </c>
      <c r="J381" s="430">
        <v>0.125</v>
      </c>
      <c r="K381" s="706">
        <v>2300000</v>
      </c>
      <c r="L381" s="706">
        <v>0</v>
      </c>
      <c r="M381" s="706">
        <v>0</v>
      </c>
      <c r="N381" s="705">
        <f t="shared" si="96"/>
        <v>2300000</v>
      </c>
      <c r="O381" s="705">
        <v>862499.99999999988</v>
      </c>
      <c r="P381" s="738">
        <v>0</v>
      </c>
      <c r="Q381" s="706">
        <v>0</v>
      </c>
      <c r="R381" s="705">
        <f t="shared" si="97"/>
        <v>862499.99999999988</v>
      </c>
      <c r="S381" s="706">
        <f t="shared" si="98"/>
        <v>1437500</v>
      </c>
    </row>
    <row r="382" spans="1:19" ht="15.75" customHeight="1">
      <c r="A382" s="675" t="s">
        <v>938</v>
      </c>
      <c r="D382" s="538"/>
      <c r="E382" s="539"/>
      <c r="F382" s="466"/>
      <c r="G382" s="540"/>
      <c r="H382" s="715" t="s">
        <v>546</v>
      </c>
      <c r="I382" s="716">
        <v>2005</v>
      </c>
      <c r="J382" s="430">
        <v>0.125</v>
      </c>
      <c r="K382" s="706">
        <v>8200000</v>
      </c>
      <c r="L382" s="706">
        <v>0</v>
      </c>
      <c r="M382" s="706">
        <v>0</v>
      </c>
      <c r="N382" s="705">
        <f t="shared" si="96"/>
        <v>8200000</v>
      </c>
      <c r="O382" s="705">
        <v>3075000.0000000009</v>
      </c>
      <c r="P382" s="738">
        <v>0</v>
      </c>
      <c r="Q382" s="706">
        <v>0</v>
      </c>
      <c r="R382" s="705">
        <f t="shared" si="97"/>
        <v>3075000.0000000009</v>
      </c>
      <c r="S382" s="706">
        <f t="shared" si="98"/>
        <v>5124999.9999999991</v>
      </c>
    </row>
    <row r="383" spans="1:19" ht="15.75" customHeight="1">
      <c r="A383" s="675" t="s">
        <v>938</v>
      </c>
      <c r="D383" s="538"/>
      <c r="E383" s="539"/>
      <c r="F383" s="466"/>
      <c r="G383" s="540"/>
      <c r="H383" s="715" t="s">
        <v>547</v>
      </c>
      <c r="I383" s="716">
        <v>2010</v>
      </c>
      <c r="J383" s="430">
        <v>0.125</v>
      </c>
      <c r="K383" s="706">
        <v>10500000</v>
      </c>
      <c r="L383" s="706">
        <v>0</v>
      </c>
      <c r="M383" s="706">
        <v>0</v>
      </c>
      <c r="N383" s="705">
        <f t="shared" si="96"/>
        <v>10500000</v>
      </c>
      <c r="O383" s="705">
        <v>3937500</v>
      </c>
      <c r="P383" s="738">
        <v>0</v>
      </c>
      <c r="Q383" s="706">
        <v>0</v>
      </c>
      <c r="R383" s="705">
        <f t="shared" si="97"/>
        <v>3937500</v>
      </c>
      <c r="S383" s="706">
        <f t="shared" si="98"/>
        <v>6562500</v>
      </c>
    </row>
    <row r="384" spans="1:19" ht="15.75" customHeight="1">
      <c r="A384" s="675" t="s">
        <v>938</v>
      </c>
      <c r="D384" s="538"/>
      <c r="E384" s="539"/>
      <c r="F384" s="466"/>
      <c r="G384" s="540"/>
      <c r="H384" s="715" t="s">
        <v>548</v>
      </c>
      <c r="I384" s="716">
        <v>2010</v>
      </c>
      <c r="J384" s="430">
        <v>0.125</v>
      </c>
      <c r="K384" s="706">
        <v>9800000</v>
      </c>
      <c r="L384" s="706">
        <v>0</v>
      </c>
      <c r="M384" s="706">
        <v>0</v>
      </c>
      <c r="N384" s="705">
        <f t="shared" si="96"/>
        <v>9800000</v>
      </c>
      <c r="O384" s="705">
        <v>3675000</v>
      </c>
      <c r="P384" s="738">
        <v>0</v>
      </c>
      <c r="Q384" s="706">
        <v>0</v>
      </c>
      <c r="R384" s="705">
        <f t="shared" si="97"/>
        <v>3675000</v>
      </c>
      <c r="S384" s="706">
        <f t="shared" si="98"/>
        <v>6125000</v>
      </c>
    </row>
    <row r="385" spans="1:19" ht="15.75" customHeight="1">
      <c r="A385" s="675" t="s">
        <v>938</v>
      </c>
      <c r="D385" s="538"/>
      <c r="E385" s="539"/>
      <c r="F385" s="466"/>
      <c r="G385" s="540"/>
      <c r="H385" s="715" t="s">
        <v>549</v>
      </c>
      <c r="I385" s="716">
        <v>2011</v>
      </c>
      <c r="J385" s="430">
        <v>0.125</v>
      </c>
      <c r="K385" s="706">
        <v>14500000</v>
      </c>
      <c r="L385" s="706">
        <v>0</v>
      </c>
      <c r="M385" s="706">
        <v>0</v>
      </c>
      <c r="N385" s="705">
        <f t="shared" si="96"/>
        <v>14500000</v>
      </c>
      <c r="O385" s="705">
        <v>5437499.9999999981</v>
      </c>
      <c r="P385" s="738">
        <v>0</v>
      </c>
      <c r="Q385" s="706">
        <v>0</v>
      </c>
      <c r="R385" s="705">
        <f t="shared" si="97"/>
        <v>5437499.9999999981</v>
      </c>
      <c r="S385" s="706">
        <f t="shared" si="98"/>
        <v>9062500.0000000019</v>
      </c>
    </row>
    <row r="386" spans="1:19" ht="15.75" customHeight="1">
      <c r="A386" s="675" t="s">
        <v>938</v>
      </c>
      <c r="D386" s="538"/>
      <c r="E386" s="539"/>
      <c r="F386" s="466"/>
      <c r="G386" s="540"/>
      <c r="H386" s="715" t="s">
        <v>550</v>
      </c>
      <c r="I386" s="716">
        <v>2011</v>
      </c>
      <c r="J386" s="430">
        <v>0.125</v>
      </c>
      <c r="K386" s="706">
        <v>188400000</v>
      </c>
      <c r="L386" s="706">
        <v>0</v>
      </c>
      <c r="M386" s="706">
        <v>0</v>
      </c>
      <c r="N386" s="705">
        <f t="shared" si="96"/>
        <v>188400000</v>
      </c>
      <c r="O386" s="705">
        <v>70650000</v>
      </c>
      <c r="P386" s="738">
        <v>0</v>
      </c>
      <c r="Q386" s="706">
        <v>0</v>
      </c>
      <c r="R386" s="705">
        <f t="shared" si="97"/>
        <v>70650000</v>
      </c>
      <c r="S386" s="706">
        <f t="shared" si="98"/>
        <v>117750000</v>
      </c>
    </row>
    <row r="387" spans="1:19" ht="15.75" customHeight="1">
      <c r="A387" s="675" t="s">
        <v>938</v>
      </c>
      <c r="D387" s="538"/>
      <c r="E387" s="539"/>
      <c r="F387" s="466"/>
      <c r="G387" s="540"/>
      <c r="H387" s="715" t="s">
        <v>551</v>
      </c>
      <c r="I387" s="716">
        <v>2011</v>
      </c>
      <c r="J387" s="430">
        <v>0.125</v>
      </c>
      <c r="K387" s="706">
        <v>47800000</v>
      </c>
      <c r="L387" s="706">
        <v>0</v>
      </c>
      <c r="M387" s="706">
        <v>0</v>
      </c>
      <c r="N387" s="705">
        <f t="shared" si="96"/>
        <v>47800000</v>
      </c>
      <c r="O387" s="705">
        <v>17925000</v>
      </c>
      <c r="P387" s="738">
        <v>0</v>
      </c>
      <c r="Q387" s="706">
        <v>0</v>
      </c>
      <c r="R387" s="705">
        <f t="shared" si="97"/>
        <v>17925000</v>
      </c>
      <c r="S387" s="706">
        <f t="shared" si="98"/>
        <v>29875000</v>
      </c>
    </row>
    <row r="388" spans="1:19" ht="15.75" customHeight="1">
      <c r="A388" s="675" t="s">
        <v>938</v>
      </c>
      <c r="D388" s="538"/>
      <c r="E388" s="539"/>
      <c r="F388" s="466"/>
      <c r="G388" s="540"/>
      <c r="H388" s="715" t="s">
        <v>552</v>
      </c>
      <c r="I388" s="716">
        <v>2011</v>
      </c>
      <c r="J388" s="430">
        <v>0.125</v>
      </c>
      <c r="K388" s="706">
        <v>88300000</v>
      </c>
      <c r="L388" s="706">
        <v>0</v>
      </c>
      <c r="M388" s="706">
        <v>0</v>
      </c>
      <c r="N388" s="705">
        <f t="shared" si="96"/>
        <v>88300000</v>
      </c>
      <c r="O388" s="705">
        <v>33112500.000000004</v>
      </c>
      <c r="P388" s="738">
        <v>0</v>
      </c>
      <c r="Q388" s="706">
        <v>0</v>
      </c>
      <c r="R388" s="705">
        <f t="shared" si="97"/>
        <v>33112500.000000004</v>
      </c>
      <c r="S388" s="706">
        <f t="shared" si="98"/>
        <v>55187500</v>
      </c>
    </row>
    <row r="389" spans="1:19" ht="15.75" customHeight="1">
      <c r="A389" s="675" t="s">
        <v>938</v>
      </c>
      <c r="D389" s="538"/>
      <c r="E389" s="539"/>
      <c r="F389" s="466"/>
      <c r="G389" s="540"/>
      <c r="H389" s="715" t="s">
        <v>553</v>
      </c>
      <c r="I389" s="716">
        <v>2011</v>
      </c>
      <c r="J389" s="430">
        <v>0.125</v>
      </c>
      <c r="K389" s="706">
        <v>12500000</v>
      </c>
      <c r="L389" s="706">
        <v>0</v>
      </c>
      <c r="M389" s="706">
        <v>0</v>
      </c>
      <c r="N389" s="705">
        <f t="shared" si="96"/>
        <v>12500000</v>
      </c>
      <c r="O389" s="705">
        <v>4687500</v>
      </c>
      <c r="P389" s="738">
        <v>0</v>
      </c>
      <c r="Q389" s="706">
        <v>0</v>
      </c>
      <c r="R389" s="705">
        <f t="shared" si="97"/>
        <v>4687500</v>
      </c>
      <c r="S389" s="706">
        <f t="shared" si="98"/>
        <v>7812500</v>
      </c>
    </row>
    <row r="390" spans="1:19" ht="15.75" customHeight="1">
      <c r="A390" s="675" t="s">
        <v>938</v>
      </c>
      <c r="D390" s="538"/>
      <c r="E390" s="539"/>
      <c r="F390" s="466"/>
      <c r="G390" s="540"/>
      <c r="H390" s="715" t="s">
        <v>554</v>
      </c>
      <c r="I390" s="716">
        <v>2011</v>
      </c>
      <c r="J390" s="430">
        <v>0.125</v>
      </c>
      <c r="K390" s="706">
        <v>12500000</v>
      </c>
      <c r="L390" s="706">
        <v>0</v>
      </c>
      <c r="M390" s="706">
        <v>0</v>
      </c>
      <c r="N390" s="705">
        <f t="shared" si="96"/>
        <v>12500000</v>
      </c>
      <c r="O390" s="705">
        <v>4687500</v>
      </c>
      <c r="P390" s="738">
        <v>0</v>
      </c>
      <c r="Q390" s="706">
        <v>0</v>
      </c>
      <c r="R390" s="705">
        <f t="shared" si="97"/>
        <v>4687500</v>
      </c>
      <c r="S390" s="706">
        <f t="shared" si="98"/>
        <v>7812500</v>
      </c>
    </row>
    <row r="391" spans="1:19" ht="15.75" customHeight="1">
      <c r="A391" s="675" t="s">
        <v>938</v>
      </c>
      <c r="D391" s="538"/>
      <c r="E391" s="539"/>
      <c r="F391" s="466"/>
      <c r="G391" s="540"/>
      <c r="H391" s="715" t="s">
        <v>555</v>
      </c>
      <c r="I391" s="716">
        <v>2011</v>
      </c>
      <c r="J391" s="430">
        <v>0.125</v>
      </c>
      <c r="K391" s="706">
        <v>277800000</v>
      </c>
      <c r="L391" s="706">
        <v>0</v>
      </c>
      <c r="M391" s="706">
        <v>0</v>
      </c>
      <c r="N391" s="705">
        <f t="shared" si="96"/>
        <v>277800000</v>
      </c>
      <c r="O391" s="705">
        <v>104175000</v>
      </c>
      <c r="P391" s="738">
        <v>0</v>
      </c>
      <c r="Q391" s="706">
        <v>0</v>
      </c>
      <c r="R391" s="705">
        <f t="shared" si="97"/>
        <v>104175000</v>
      </c>
      <c r="S391" s="706">
        <f t="shared" si="98"/>
        <v>173625000</v>
      </c>
    </row>
    <row r="392" spans="1:19" ht="15.75" customHeight="1">
      <c r="A392" s="675" t="s">
        <v>938</v>
      </c>
      <c r="D392" s="538"/>
      <c r="E392" s="539"/>
      <c r="F392" s="466"/>
      <c r="G392" s="540"/>
      <c r="H392" s="715" t="s">
        <v>556</v>
      </c>
      <c r="I392" s="716">
        <v>2011</v>
      </c>
      <c r="J392" s="430">
        <v>0.125</v>
      </c>
      <c r="K392" s="706">
        <v>9600000</v>
      </c>
      <c r="L392" s="706">
        <v>0</v>
      </c>
      <c r="M392" s="706">
        <v>0</v>
      </c>
      <c r="N392" s="705">
        <f t="shared" si="96"/>
        <v>9600000</v>
      </c>
      <c r="O392" s="705">
        <v>3600000</v>
      </c>
      <c r="P392" s="738">
        <v>0</v>
      </c>
      <c r="Q392" s="706">
        <v>0</v>
      </c>
      <c r="R392" s="705">
        <f t="shared" si="97"/>
        <v>3600000</v>
      </c>
      <c r="S392" s="706">
        <f t="shared" si="98"/>
        <v>6000000</v>
      </c>
    </row>
    <row r="393" spans="1:19" ht="15.75" customHeight="1">
      <c r="A393" s="675" t="s">
        <v>938</v>
      </c>
      <c r="D393" s="538"/>
      <c r="E393" s="539"/>
      <c r="F393" s="466"/>
      <c r="G393" s="540"/>
      <c r="H393" s="715" t="s">
        <v>557</v>
      </c>
      <c r="I393" s="716">
        <v>2011</v>
      </c>
      <c r="J393" s="430">
        <v>0.125</v>
      </c>
      <c r="K393" s="706">
        <v>45900000</v>
      </c>
      <c r="L393" s="706">
        <v>0</v>
      </c>
      <c r="M393" s="706">
        <v>0</v>
      </c>
      <c r="N393" s="705">
        <f t="shared" si="96"/>
        <v>45900000</v>
      </c>
      <c r="O393" s="705">
        <v>17212500</v>
      </c>
      <c r="P393" s="738">
        <v>0</v>
      </c>
      <c r="Q393" s="706">
        <v>0</v>
      </c>
      <c r="R393" s="705">
        <f t="shared" si="97"/>
        <v>17212500</v>
      </c>
      <c r="S393" s="706">
        <f t="shared" si="98"/>
        <v>28687500</v>
      </c>
    </row>
    <row r="394" spans="1:19" ht="15.75" customHeight="1">
      <c r="A394" s="675" t="s">
        <v>938</v>
      </c>
      <c r="D394" s="538"/>
      <c r="E394" s="539"/>
      <c r="F394" s="466"/>
      <c r="G394" s="540"/>
      <c r="H394" s="715" t="s">
        <v>558</v>
      </c>
      <c r="I394" s="716">
        <v>2011</v>
      </c>
      <c r="J394" s="430">
        <v>0.125</v>
      </c>
      <c r="K394" s="706">
        <v>15200000</v>
      </c>
      <c r="L394" s="706">
        <v>0</v>
      </c>
      <c r="M394" s="706">
        <v>0</v>
      </c>
      <c r="N394" s="705">
        <f t="shared" si="96"/>
        <v>15200000</v>
      </c>
      <c r="O394" s="705">
        <v>5700000.0000000019</v>
      </c>
      <c r="P394" s="738">
        <v>0</v>
      </c>
      <c r="Q394" s="706">
        <v>0</v>
      </c>
      <c r="R394" s="705">
        <f t="shared" si="97"/>
        <v>5700000.0000000019</v>
      </c>
      <c r="S394" s="706">
        <f t="shared" si="98"/>
        <v>9499999.9999999981</v>
      </c>
    </row>
    <row r="395" spans="1:19" ht="15.75" customHeight="1">
      <c r="A395" s="675" t="s">
        <v>938</v>
      </c>
      <c r="D395" s="538"/>
      <c r="E395" s="539"/>
      <c r="F395" s="466"/>
      <c r="G395" s="540"/>
      <c r="H395" s="715" t="s">
        <v>559</v>
      </c>
      <c r="I395" s="716">
        <v>2011</v>
      </c>
      <c r="J395" s="430">
        <v>0.125</v>
      </c>
      <c r="K395" s="706">
        <v>6200000</v>
      </c>
      <c r="L395" s="706">
        <v>0</v>
      </c>
      <c r="M395" s="706">
        <v>0</v>
      </c>
      <c r="N395" s="705">
        <f t="shared" si="96"/>
        <v>6200000</v>
      </c>
      <c r="O395" s="705">
        <v>2325000</v>
      </c>
      <c r="P395" s="738">
        <v>0</v>
      </c>
      <c r="Q395" s="706">
        <v>0</v>
      </c>
      <c r="R395" s="705">
        <f t="shared" si="97"/>
        <v>2325000</v>
      </c>
      <c r="S395" s="706">
        <f t="shared" si="98"/>
        <v>3875000</v>
      </c>
    </row>
    <row r="396" spans="1:19" ht="15.75" customHeight="1">
      <c r="A396" s="675" t="s">
        <v>938</v>
      </c>
      <c r="D396" s="538"/>
      <c r="E396" s="539"/>
      <c r="F396" s="466"/>
      <c r="G396" s="540"/>
      <c r="H396" s="715" t="s">
        <v>560</v>
      </c>
      <c r="I396" s="716">
        <v>2011</v>
      </c>
      <c r="J396" s="430">
        <v>0.125</v>
      </c>
      <c r="K396" s="706">
        <v>19100000</v>
      </c>
      <c r="L396" s="706">
        <v>0</v>
      </c>
      <c r="M396" s="706">
        <v>0</v>
      </c>
      <c r="N396" s="705">
        <f t="shared" si="96"/>
        <v>19100000</v>
      </c>
      <c r="O396" s="705">
        <v>7162500.0000000009</v>
      </c>
      <c r="P396" s="738">
        <v>0</v>
      </c>
      <c r="Q396" s="706">
        <v>0</v>
      </c>
      <c r="R396" s="705">
        <f t="shared" si="97"/>
        <v>7162500.0000000009</v>
      </c>
      <c r="S396" s="706">
        <f t="shared" si="98"/>
        <v>11937500</v>
      </c>
    </row>
    <row r="397" spans="1:19" ht="15.75" customHeight="1">
      <c r="A397" s="675" t="s">
        <v>938</v>
      </c>
      <c r="D397" s="538"/>
      <c r="E397" s="539"/>
      <c r="F397" s="466"/>
      <c r="G397" s="540"/>
      <c r="H397" s="715" t="s">
        <v>561</v>
      </c>
      <c r="I397" s="716">
        <v>2011</v>
      </c>
      <c r="J397" s="430">
        <v>0.125</v>
      </c>
      <c r="K397" s="706">
        <v>10000000</v>
      </c>
      <c r="L397" s="706">
        <v>0</v>
      </c>
      <c r="M397" s="706">
        <v>0</v>
      </c>
      <c r="N397" s="705">
        <f t="shared" si="96"/>
        <v>10000000</v>
      </c>
      <c r="O397" s="705">
        <v>3750000</v>
      </c>
      <c r="P397" s="738">
        <v>0</v>
      </c>
      <c r="Q397" s="706">
        <v>0</v>
      </c>
      <c r="R397" s="705">
        <f t="shared" si="97"/>
        <v>3750000</v>
      </c>
      <c r="S397" s="706">
        <f t="shared" si="98"/>
        <v>6250000</v>
      </c>
    </row>
    <row r="398" spans="1:19" ht="15.75" customHeight="1">
      <c r="A398" s="675" t="s">
        <v>938</v>
      </c>
      <c r="D398" s="538"/>
      <c r="E398" s="539"/>
      <c r="F398" s="466"/>
      <c r="G398" s="540"/>
      <c r="H398" s="715" t="s">
        <v>562</v>
      </c>
      <c r="I398" s="716">
        <v>2011</v>
      </c>
      <c r="J398" s="430">
        <v>0.125</v>
      </c>
      <c r="K398" s="706">
        <v>237700000</v>
      </c>
      <c r="L398" s="706">
        <v>0</v>
      </c>
      <c r="M398" s="706">
        <v>0</v>
      </c>
      <c r="N398" s="705">
        <f t="shared" si="96"/>
        <v>237700000</v>
      </c>
      <c r="O398" s="705">
        <v>89137499.99999997</v>
      </c>
      <c r="P398" s="738">
        <v>0</v>
      </c>
      <c r="Q398" s="706">
        <v>0</v>
      </c>
      <c r="R398" s="705">
        <f t="shared" si="97"/>
        <v>89137499.99999997</v>
      </c>
      <c r="S398" s="706">
        <f t="shared" si="98"/>
        <v>148562500.00000003</v>
      </c>
    </row>
    <row r="399" spans="1:19" ht="15.75" customHeight="1">
      <c r="A399" s="675" t="s">
        <v>938</v>
      </c>
      <c r="D399" s="538"/>
      <c r="E399" s="539"/>
      <c r="F399" s="466"/>
      <c r="G399" s="540"/>
      <c r="H399" s="715" t="s">
        <v>563</v>
      </c>
      <c r="I399" s="716">
        <v>2011</v>
      </c>
      <c r="J399" s="430">
        <v>0.125</v>
      </c>
      <c r="K399" s="706">
        <v>20900000</v>
      </c>
      <c r="L399" s="706">
        <v>0</v>
      </c>
      <c r="M399" s="706">
        <v>0</v>
      </c>
      <c r="N399" s="705">
        <f t="shared" si="96"/>
        <v>20900000</v>
      </c>
      <c r="O399" s="705">
        <v>7837500</v>
      </c>
      <c r="P399" s="738">
        <v>0</v>
      </c>
      <c r="Q399" s="706">
        <v>0</v>
      </c>
      <c r="R399" s="705">
        <f t="shared" si="97"/>
        <v>7837500</v>
      </c>
      <c r="S399" s="706">
        <f t="shared" si="98"/>
        <v>13062500</v>
      </c>
    </row>
    <row r="400" spans="1:19" ht="15.75" customHeight="1">
      <c r="A400" s="675" t="s">
        <v>938</v>
      </c>
      <c r="D400" s="538"/>
      <c r="E400" s="539"/>
      <c r="F400" s="466"/>
      <c r="G400" s="540"/>
      <c r="H400" s="715" t="s">
        <v>564</v>
      </c>
      <c r="I400" s="716">
        <v>2011</v>
      </c>
      <c r="J400" s="430">
        <v>0.125</v>
      </c>
      <c r="K400" s="706">
        <v>17100000</v>
      </c>
      <c r="L400" s="706">
        <v>0</v>
      </c>
      <c r="M400" s="706">
        <v>0</v>
      </c>
      <c r="N400" s="705">
        <f t="shared" si="96"/>
        <v>17100000</v>
      </c>
      <c r="O400" s="705">
        <v>6412500</v>
      </c>
      <c r="P400" s="738">
        <v>0</v>
      </c>
      <c r="Q400" s="706">
        <v>0</v>
      </c>
      <c r="R400" s="705">
        <f t="shared" si="97"/>
        <v>6412500</v>
      </c>
      <c r="S400" s="706">
        <f t="shared" si="98"/>
        <v>10687500</v>
      </c>
    </row>
    <row r="401" spans="1:19" ht="15.75" customHeight="1">
      <c r="A401" s="675" t="s">
        <v>938</v>
      </c>
      <c r="D401" s="538"/>
      <c r="E401" s="539"/>
      <c r="F401" s="466"/>
      <c r="G401" s="540"/>
      <c r="H401" s="715" t="s">
        <v>565</v>
      </c>
      <c r="I401" s="716">
        <v>2011</v>
      </c>
      <c r="J401" s="430">
        <v>0.125</v>
      </c>
      <c r="K401" s="706">
        <v>18100000</v>
      </c>
      <c r="L401" s="706">
        <v>0</v>
      </c>
      <c r="M401" s="706">
        <v>0</v>
      </c>
      <c r="N401" s="705">
        <f t="shared" si="96"/>
        <v>18100000</v>
      </c>
      <c r="O401" s="705">
        <v>6787499.9999999991</v>
      </c>
      <c r="P401" s="738">
        <v>0</v>
      </c>
      <c r="Q401" s="706">
        <v>0</v>
      </c>
      <c r="R401" s="705">
        <f t="shared" si="97"/>
        <v>6787499.9999999991</v>
      </c>
      <c r="S401" s="706">
        <f t="shared" si="98"/>
        <v>11312500</v>
      </c>
    </row>
    <row r="402" spans="1:19" ht="15.75" customHeight="1">
      <c r="A402" s="675" t="s">
        <v>938</v>
      </c>
      <c r="D402" s="538"/>
      <c r="E402" s="539"/>
      <c r="F402" s="466"/>
      <c r="G402" s="540"/>
      <c r="H402" s="715" t="s">
        <v>566</v>
      </c>
      <c r="I402" s="716">
        <v>2011</v>
      </c>
      <c r="J402" s="430">
        <v>0.125</v>
      </c>
      <c r="K402" s="706">
        <v>36500000</v>
      </c>
      <c r="L402" s="706">
        <v>0</v>
      </c>
      <c r="M402" s="706">
        <v>0</v>
      </c>
      <c r="N402" s="705">
        <f t="shared" si="96"/>
        <v>36500000</v>
      </c>
      <c r="O402" s="705">
        <v>13687499.999999998</v>
      </c>
      <c r="P402" s="738">
        <v>0</v>
      </c>
      <c r="Q402" s="706">
        <v>0</v>
      </c>
      <c r="R402" s="705">
        <f t="shared" si="97"/>
        <v>13687499.999999998</v>
      </c>
      <c r="S402" s="706">
        <f t="shared" si="98"/>
        <v>22812500</v>
      </c>
    </row>
    <row r="403" spans="1:19" ht="15.75" customHeight="1">
      <c r="A403" s="675" t="s">
        <v>938</v>
      </c>
      <c r="D403" s="538"/>
      <c r="E403" s="539"/>
      <c r="F403" s="466"/>
      <c r="G403" s="540"/>
      <c r="H403" s="715" t="s">
        <v>567</v>
      </c>
      <c r="I403" s="716">
        <v>2011</v>
      </c>
      <c r="J403" s="430">
        <v>0.125</v>
      </c>
      <c r="K403" s="706">
        <v>7400000</v>
      </c>
      <c r="L403" s="706">
        <v>0</v>
      </c>
      <c r="M403" s="706">
        <v>0</v>
      </c>
      <c r="N403" s="705">
        <f t="shared" si="96"/>
        <v>7400000</v>
      </c>
      <c r="O403" s="705">
        <v>2774999.9999999991</v>
      </c>
      <c r="P403" s="738">
        <v>0</v>
      </c>
      <c r="Q403" s="706">
        <v>0</v>
      </c>
      <c r="R403" s="705">
        <f t="shared" si="97"/>
        <v>2774999.9999999991</v>
      </c>
      <c r="S403" s="706">
        <f t="shared" si="98"/>
        <v>4625000.0000000009</v>
      </c>
    </row>
    <row r="404" spans="1:19" ht="15.75" customHeight="1">
      <c r="A404" s="675" t="s">
        <v>938</v>
      </c>
      <c r="D404" s="538"/>
      <c r="E404" s="539"/>
      <c r="F404" s="466"/>
      <c r="G404" s="540"/>
      <c r="H404" s="715" t="s">
        <v>568</v>
      </c>
      <c r="I404" s="716">
        <v>2011</v>
      </c>
      <c r="J404" s="430">
        <v>0.125</v>
      </c>
      <c r="K404" s="706">
        <v>6900000</v>
      </c>
      <c r="L404" s="706">
        <v>0</v>
      </c>
      <c r="M404" s="706">
        <v>0</v>
      </c>
      <c r="N404" s="705">
        <f t="shared" si="96"/>
        <v>6900000</v>
      </c>
      <c r="O404" s="705">
        <v>2587500</v>
      </c>
      <c r="P404" s="738">
        <v>0</v>
      </c>
      <c r="Q404" s="706">
        <v>0</v>
      </c>
      <c r="R404" s="705">
        <f t="shared" si="97"/>
        <v>2587500</v>
      </c>
      <c r="S404" s="706">
        <f t="shared" si="98"/>
        <v>4312500</v>
      </c>
    </row>
    <row r="405" spans="1:19" ht="15.75" customHeight="1">
      <c r="A405" s="675" t="s">
        <v>938</v>
      </c>
      <c r="D405" s="538"/>
      <c r="E405" s="539"/>
      <c r="F405" s="466"/>
      <c r="G405" s="540"/>
      <c r="H405" s="715" t="s">
        <v>569</v>
      </c>
      <c r="I405" s="716">
        <v>2011</v>
      </c>
      <c r="J405" s="430">
        <v>0.125</v>
      </c>
      <c r="K405" s="706">
        <v>41500000</v>
      </c>
      <c r="L405" s="706">
        <v>0</v>
      </c>
      <c r="M405" s="706">
        <v>0</v>
      </c>
      <c r="N405" s="705">
        <f t="shared" si="96"/>
        <v>41500000</v>
      </c>
      <c r="O405" s="705">
        <v>15562500</v>
      </c>
      <c r="P405" s="738">
        <v>0</v>
      </c>
      <c r="Q405" s="706">
        <v>0</v>
      </c>
      <c r="R405" s="705">
        <f t="shared" si="97"/>
        <v>15562500</v>
      </c>
      <c r="S405" s="706">
        <f t="shared" si="98"/>
        <v>25937500</v>
      </c>
    </row>
    <row r="406" spans="1:19" ht="15.75" customHeight="1">
      <c r="A406" s="675" t="s">
        <v>938</v>
      </c>
      <c r="D406" s="538"/>
      <c r="E406" s="539"/>
      <c r="F406" s="466"/>
      <c r="G406" s="540"/>
      <c r="H406" s="715" t="s">
        <v>569</v>
      </c>
      <c r="I406" s="716">
        <v>2014</v>
      </c>
      <c r="J406" s="430">
        <v>0.125</v>
      </c>
      <c r="K406" s="706">
        <v>10400000</v>
      </c>
      <c r="L406" s="706">
        <v>0</v>
      </c>
      <c r="M406" s="706">
        <v>0</v>
      </c>
      <c r="N406" s="705">
        <f t="shared" si="96"/>
        <v>10400000</v>
      </c>
      <c r="O406" s="705">
        <v>3900000</v>
      </c>
      <c r="P406" s="738">
        <v>0</v>
      </c>
      <c r="Q406" s="706">
        <v>0</v>
      </c>
      <c r="R406" s="705">
        <f t="shared" si="97"/>
        <v>3900000</v>
      </c>
      <c r="S406" s="706">
        <f t="shared" si="98"/>
        <v>6500000</v>
      </c>
    </row>
    <row r="407" spans="1:19" ht="15.75" customHeight="1">
      <c r="A407" s="675" t="s">
        <v>938</v>
      </c>
      <c r="D407" s="538"/>
      <c r="E407" s="539"/>
      <c r="F407" s="466"/>
      <c r="G407" s="540"/>
      <c r="H407" s="715" t="s">
        <v>569</v>
      </c>
      <c r="I407" s="716">
        <v>2014</v>
      </c>
      <c r="J407" s="430">
        <v>0.125</v>
      </c>
      <c r="K407" s="706">
        <v>9300000</v>
      </c>
      <c r="L407" s="706">
        <v>0</v>
      </c>
      <c r="M407" s="706">
        <v>0</v>
      </c>
      <c r="N407" s="705">
        <f t="shared" si="96"/>
        <v>9300000</v>
      </c>
      <c r="O407" s="705">
        <v>3487500</v>
      </c>
      <c r="P407" s="738">
        <v>0</v>
      </c>
      <c r="Q407" s="706">
        <v>0</v>
      </c>
      <c r="R407" s="705">
        <f t="shared" si="97"/>
        <v>3487500</v>
      </c>
      <c r="S407" s="706">
        <f t="shared" si="98"/>
        <v>5812500</v>
      </c>
    </row>
    <row r="408" spans="1:19" ht="15.75" customHeight="1">
      <c r="A408" s="675" t="s">
        <v>938</v>
      </c>
      <c r="D408" s="538"/>
      <c r="E408" s="539"/>
      <c r="F408" s="466"/>
      <c r="G408" s="540"/>
      <c r="H408" s="715" t="s">
        <v>570</v>
      </c>
      <c r="I408" s="716">
        <v>2011</v>
      </c>
      <c r="J408" s="430">
        <v>0.125</v>
      </c>
      <c r="K408" s="706">
        <v>32600000</v>
      </c>
      <c r="L408" s="706">
        <v>0</v>
      </c>
      <c r="M408" s="706">
        <v>0</v>
      </c>
      <c r="N408" s="705">
        <f t="shared" si="96"/>
        <v>32600000</v>
      </c>
      <c r="O408" s="705">
        <v>12224999.999999996</v>
      </c>
      <c r="P408" s="738">
        <v>0</v>
      </c>
      <c r="Q408" s="706">
        <v>0</v>
      </c>
      <c r="R408" s="705">
        <f t="shared" si="97"/>
        <v>12224999.999999996</v>
      </c>
      <c r="S408" s="706">
        <f t="shared" si="98"/>
        <v>20375000.000000004</v>
      </c>
    </row>
    <row r="409" spans="1:19" ht="15.75" customHeight="1">
      <c r="A409" s="675" t="s">
        <v>938</v>
      </c>
      <c r="D409" s="538"/>
      <c r="E409" s="539"/>
      <c r="F409" s="466"/>
      <c r="G409" s="540"/>
      <c r="H409" s="715" t="s">
        <v>571</v>
      </c>
      <c r="I409" s="716">
        <v>2011</v>
      </c>
      <c r="J409" s="430">
        <v>0.125</v>
      </c>
      <c r="K409" s="706">
        <v>19800000</v>
      </c>
      <c r="L409" s="706">
        <v>0</v>
      </c>
      <c r="M409" s="706">
        <v>0</v>
      </c>
      <c r="N409" s="705">
        <f t="shared" si="96"/>
        <v>19800000</v>
      </c>
      <c r="O409" s="705">
        <v>7425000</v>
      </c>
      <c r="P409" s="738">
        <v>0</v>
      </c>
      <c r="Q409" s="706">
        <v>0</v>
      </c>
      <c r="R409" s="705">
        <f t="shared" si="97"/>
        <v>7425000</v>
      </c>
      <c r="S409" s="706">
        <f t="shared" si="98"/>
        <v>12375000</v>
      </c>
    </row>
    <row r="410" spans="1:19" ht="15.75" customHeight="1">
      <c r="A410" s="675" t="s">
        <v>938</v>
      </c>
      <c r="D410" s="538"/>
      <c r="E410" s="539"/>
      <c r="F410" s="466"/>
      <c r="G410" s="540"/>
      <c r="H410" s="715" t="s">
        <v>572</v>
      </c>
      <c r="I410" s="716">
        <v>2012</v>
      </c>
      <c r="J410" s="430">
        <v>0.125</v>
      </c>
      <c r="K410" s="706">
        <v>21700000</v>
      </c>
      <c r="L410" s="706">
        <v>0</v>
      </c>
      <c r="M410" s="706">
        <v>0</v>
      </c>
      <c r="N410" s="705">
        <f t="shared" si="96"/>
        <v>21700000</v>
      </c>
      <c r="O410" s="705">
        <v>8137500.0000000009</v>
      </c>
      <c r="P410" s="738">
        <v>0</v>
      </c>
      <c r="Q410" s="706">
        <v>0</v>
      </c>
      <c r="R410" s="705">
        <f t="shared" si="97"/>
        <v>8137500.0000000009</v>
      </c>
      <c r="S410" s="706">
        <f t="shared" si="98"/>
        <v>13562500</v>
      </c>
    </row>
    <row r="411" spans="1:19" ht="15.75" customHeight="1">
      <c r="A411" s="675" t="s">
        <v>938</v>
      </c>
      <c r="D411" s="538"/>
      <c r="E411" s="539"/>
      <c r="F411" s="466"/>
      <c r="G411" s="540"/>
      <c r="H411" s="715" t="s">
        <v>573</v>
      </c>
      <c r="I411" s="716">
        <v>2012</v>
      </c>
      <c r="J411" s="430">
        <v>0.125</v>
      </c>
      <c r="K411" s="706">
        <v>262100000</v>
      </c>
      <c r="L411" s="706">
        <v>0</v>
      </c>
      <c r="M411" s="706">
        <v>0</v>
      </c>
      <c r="N411" s="705">
        <f t="shared" si="96"/>
        <v>262100000</v>
      </c>
      <c r="O411" s="705">
        <v>98287500.00000003</v>
      </c>
      <c r="P411" s="738">
        <v>0</v>
      </c>
      <c r="Q411" s="706">
        <v>0</v>
      </c>
      <c r="R411" s="705">
        <f t="shared" si="97"/>
        <v>98287500.00000003</v>
      </c>
      <c r="S411" s="706">
        <f t="shared" si="98"/>
        <v>163812499.99999997</v>
      </c>
    </row>
    <row r="412" spans="1:19" ht="15.75" customHeight="1">
      <c r="A412" s="675" t="s">
        <v>938</v>
      </c>
      <c r="D412" s="538"/>
      <c r="E412" s="539"/>
      <c r="F412" s="466"/>
      <c r="G412" s="540"/>
      <c r="H412" s="715" t="s">
        <v>573</v>
      </c>
      <c r="I412" s="716">
        <v>2014</v>
      </c>
      <c r="J412" s="430">
        <v>0.125</v>
      </c>
      <c r="K412" s="706">
        <v>10800000</v>
      </c>
      <c r="L412" s="706">
        <v>0</v>
      </c>
      <c r="M412" s="706">
        <v>0</v>
      </c>
      <c r="N412" s="705">
        <f t="shared" si="96"/>
        <v>10800000</v>
      </c>
      <c r="O412" s="705">
        <v>4050000</v>
      </c>
      <c r="P412" s="738">
        <v>0</v>
      </c>
      <c r="Q412" s="706">
        <v>0</v>
      </c>
      <c r="R412" s="705">
        <f t="shared" si="97"/>
        <v>4050000</v>
      </c>
      <c r="S412" s="706">
        <f t="shared" si="98"/>
        <v>6750000</v>
      </c>
    </row>
    <row r="413" spans="1:19" ht="15.75" customHeight="1">
      <c r="A413" s="675" t="s">
        <v>938</v>
      </c>
      <c r="D413" s="538"/>
      <c r="E413" s="539"/>
      <c r="F413" s="466"/>
      <c r="G413" s="540"/>
      <c r="H413" s="715" t="s">
        <v>574</v>
      </c>
      <c r="I413" s="716">
        <v>2013</v>
      </c>
      <c r="J413" s="430">
        <v>0.125</v>
      </c>
      <c r="K413" s="706">
        <v>11400000</v>
      </c>
      <c r="L413" s="706">
        <v>0</v>
      </c>
      <c r="M413" s="706">
        <v>0</v>
      </c>
      <c r="N413" s="705">
        <f t="shared" si="96"/>
        <v>11400000</v>
      </c>
      <c r="O413" s="705">
        <v>4275000</v>
      </c>
      <c r="P413" s="738">
        <v>0</v>
      </c>
      <c r="Q413" s="706">
        <v>0</v>
      </c>
      <c r="R413" s="705">
        <f t="shared" si="97"/>
        <v>4275000</v>
      </c>
      <c r="S413" s="706">
        <f t="shared" si="98"/>
        <v>7125000</v>
      </c>
    </row>
    <row r="414" spans="1:19" ht="15.75" customHeight="1">
      <c r="A414" s="675" t="s">
        <v>938</v>
      </c>
      <c r="D414" s="538"/>
      <c r="E414" s="539"/>
      <c r="F414" s="466"/>
      <c r="G414" s="540"/>
      <c r="H414" s="715" t="s">
        <v>575</v>
      </c>
      <c r="I414" s="716">
        <v>2013</v>
      </c>
      <c r="J414" s="430">
        <v>0.125</v>
      </c>
      <c r="K414" s="706">
        <v>181200000</v>
      </c>
      <c r="L414" s="706">
        <v>0</v>
      </c>
      <c r="M414" s="706">
        <v>0</v>
      </c>
      <c r="N414" s="705">
        <f t="shared" si="96"/>
        <v>181200000</v>
      </c>
      <c r="O414" s="705">
        <v>67950000</v>
      </c>
      <c r="P414" s="738">
        <v>0</v>
      </c>
      <c r="Q414" s="706">
        <v>0</v>
      </c>
      <c r="R414" s="705">
        <f t="shared" si="97"/>
        <v>67950000</v>
      </c>
      <c r="S414" s="706">
        <f t="shared" si="98"/>
        <v>113250000</v>
      </c>
    </row>
    <row r="415" spans="1:19" ht="15.75" customHeight="1">
      <c r="A415" s="675" t="s">
        <v>938</v>
      </c>
      <c r="D415" s="538"/>
      <c r="E415" s="539"/>
      <c r="F415" s="466"/>
      <c r="G415" s="540"/>
      <c r="H415" s="715" t="s">
        <v>558</v>
      </c>
      <c r="I415" s="716">
        <v>2013</v>
      </c>
      <c r="J415" s="430">
        <v>0.125</v>
      </c>
      <c r="K415" s="706">
        <v>145800000</v>
      </c>
      <c r="L415" s="706">
        <v>0</v>
      </c>
      <c r="M415" s="706">
        <v>0</v>
      </c>
      <c r="N415" s="705">
        <f t="shared" si="96"/>
        <v>145800000</v>
      </c>
      <c r="O415" s="705">
        <v>54675000</v>
      </c>
      <c r="P415" s="738">
        <v>0</v>
      </c>
      <c r="Q415" s="706">
        <v>0</v>
      </c>
      <c r="R415" s="705">
        <f t="shared" si="97"/>
        <v>54675000</v>
      </c>
      <c r="S415" s="706">
        <f t="shared" si="98"/>
        <v>91125000</v>
      </c>
    </row>
    <row r="416" spans="1:19" ht="15.75" customHeight="1">
      <c r="A416" s="675" t="s">
        <v>938</v>
      </c>
      <c r="D416" s="538"/>
      <c r="E416" s="539"/>
      <c r="F416" s="466"/>
      <c r="G416" s="540"/>
      <c r="H416" s="715" t="s">
        <v>576</v>
      </c>
      <c r="I416" s="716">
        <v>2013</v>
      </c>
      <c r="J416" s="430">
        <v>0.125</v>
      </c>
      <c r="K416" s="706">
        <v>8300000</v>
      </c>
      <c r="L416" s="706">
        <v>0</v>
      </c>
      <c r="M416" s="706">
        <v>0</v>
      </c>
      <c r="N416" s="705">
        <f t="shared" si="96"/>
        <v>8300000</v>
      </c>
      <c r="O416" s="705">
        <v>3112499.9999999991</v>
      </c>
      <c r="P416" s="738">
        <v>0</v>
      </c>
      <c r="Q416" s="706">
        <v>0</v>
      </c>
      <c r="R416" s="705">
        <f t="shared" si="97"/>
        <v>3112499.9999999991</v>
      </c>
      <c r="S416" s="706">
        <f t="shared" si="98"/>
        <v>5187500.0000000009</v>
      </c>
    </row>
    <row r="417" spans="1:19" ht="15.75" customHeight="1">
      <c r="A417" s="675" t="s">
        <v>938</v>
      </c>
      <c r="D417" s="538"/>
      <c r="E417" s="539"/>
      <c r="F417" s="466"/>
      <c r="G417" s="540"/>
      <c r="H417" s="715" t="s">
        <v>577</v>
      </c>
      <c r="I417" s="716">
        <v>2014</v>
      </c>
      <c r="J417" s="430">
        <v>0.125</v>
      </c>
      <c r="K417" s="706">
        <v>12500000</v>
      </c>
      <c r="L417" s="706">
        <v>0</v>
      </c>
      <c r="M417" s="706">
        <v>0</v>
      </c>
      <c r="N417" s="705">
        <f t="shared" si="96"/>
        <v>12500000</v>
      </c>
      <c r="O417" s="705">
        <v>4687500</v>
      </c>
      <c r="P417" s="738">
        <v>0</v>
      </c>
      <c r="Q417" s="706">
        <v>0</v>
      </c>
      <c r="R417" s="705">
        <f t="shared" si="97"/>
        <v>4687500</v>
      </c>
      <c r="S417" s="706">
        <f t="shared" si="98"/>
        <v>7812500</v>
      </c>
    </row>
    <row r="418" spans="1:19" ht="15.75" customHeight="1">
      <c r="A418" s="675" t="s">
        <v>938</v>
      </c>
      <c r="D418" s="538"/>
      <c r="E418" s="539"/>
      <c r="F418" s="466"/>
      <c r="G418" s="540"/>
      <c r="H418" s="715" t="s">
        <v>578</v>
      </c>
      <c r="I418" s="716">
        <v>2014</v>
      </c>
      <c r="J418" s="430">
        <v>0.125</v>
      </c>
      <c r="K418" s="706">
        <v>183300000</v>
      </c>
      <c r="L418" s="706">
        <v>0</v>
      </c>
      <c r="M418" s="706">
        <v>0</v>
      </c>
      <c r="N418" s="705">
        <f t="shared" si="96"/>
        <v>183300000</v>
      </c>
      <c r="O418" s="705">
        <v>68737500</v>
      </c>
      <c r="P418" s="738">
        <v>0</v>
      </c>
      <c r="Q418" s="706">
        <v>0</v>
      </c>
      <c r="R418" s="705">
        <f t="shared" si="97"/>
        <v>68737500</v>
      </c>
      <c r="S418" s="706">
        <f t="shared" si="98"/>
        <v>114562500</v>
      </c>
    </row>
    <row r="419" spans="1:19" ht="15.75" customHeight="1">
      <c r="A419" s="675" t="s">
        <v>938</v>
      </c>
      <c r="D419" s="538"/>
      <c r="E419" s="539"/>
      <c r="F419" s="466"/>
      <c r="G419" s="540"/>
      <c r="H419" s="715" t="s">
        <v>579</v>
      </c>
      <c r="I419" s="716">
        <v>2014</v>
      </c>
      <c r="J419" s="430">
        <v>0.125</v>
      </c>
      <c r="K419" s="706">
        <v>15800000</v>
      </c>
      <c r="L419" s="706">
        <v>0</v>
      </c>
      <c r="M419" s="706">
        <v>0</v>
      </c>
      <c r="N419" s="705">
        <f t="shared" si="96"/>
        <v>15800000</v>
      </c>
      <c r="O419" s="705">
        <v>5925000.0000000019</v>
      </c>
      <c r="P419" s="738">
        <v>0</v>
      </c>
      <c r="Q419" s="706">
        <v>0</v>
      </c>
      <c r="R419" s="705">
        <f t="shared" si="97"/>
        <v>5925000.0000000019</v>
      </c>
      <c r="S419" s="706">
        <f t="shared" si="98"/>
        <v>9874999.9999999981</v>
      </c>
    </row>
    <row r="420" spans="1:19" ht="15.75" customHeight="1">
      <c r="A420" s="675" t="s">
        <v>938</v>
      </c>
      <c r="D420" s="538"/>
      <c r="E420" s="539"/>
      <c r="F420" s="466"/>
      <c r="G420" s="540"/>
      <c r="H420" s="715" t="s">
        <v>580</v>
      </c>
      <c r="I420" s="716">
        <v>2014</v>
      </c>
      <c r="J420" s="430">
        <v>0.125</v>
      </c>
      <c r="K420" s="706">
        <v>5300000</v>
      </c>
      <c r="L420" s="706">
        <v>0</v>
      </c>
      <c r="M420" s="706">
        <v>0</v>
      </c>
      <c r="N420" s="705">
        <f t="shared" si="96"/>
        <v>5300000</v>
      </c>
      <c r="O420" s="705">
        <v>1987499.9999999998</v>
      </c>
      <c r="P420" s="738">
        <v>0</v>
      </c>
      <c r="Q420" s="706">
        <v>0</v>
      </c>
      <c r="R420" s="705">
        <f t="shared" si="97"/>
        <v>1987499.9999999998</v>
      </c>
      <c r="S420" s="706">
        <f t="shared" si="98"/>
        <v>3312500</v>
      </c>
    </row>
    <row r="421" spans="1:19" ht="15.75" customHeight="1">
      <c r="A421" s="675" t="s">
        <v>938</v>
      </c>
      <c r="D421" s="538"/>
      <c r="E421" s="539"/>
      <c r="F421" s="466"/>
      <c r="G421" s="540"/>
      <c r="H421" s="715" t="s">
        <v>581</v>
      </c>
      <c r="I421" s="716">
        <v>2014</v>
      </c>
      <c r="J421" s="430">
        <v>0.125</v>
      </c>
      <c r="K421" s="706">
        <v>14400000</v>
      </c>
      <c r="L421" s="706">
        <v>0</v>
      </c>
      <c r="M421" s="706">
        <v>0</v>
      </c>
      <c r="N421" s="705">
        <f t="shared" ref="N421:N484" si="99">K421+L421-M421</f>
        <v>14400000</v>
      </c>
      <c r="O421" s="705">
        <v>5400000</v>
      </c>
      <c r="P421" s="738">
        <v>0</v>
      </c>
      <c r="Q421" s="706">
        <v>0</v>
      </c>
      <c r="R421" s="705">
        <f t="shared" ref="R421:R484" si="100">O421+P421-Q421</f>
        <v>5400000</v>
      </c>
      <c r="S421" s="706">
        <f t="shared" ref="S421:S484" si="101">N421-R421</f>
        <v>9000000</v>
      </c>
    </row>
    <row r="422" spans="1:19" ht="15.75" customHeight="1">
      <c r="A422" s="675" t="s">
        <v>938</v>
      </c>
      <c r="D422" s="538"/>
      <c r="E422" s="539"/>
      <c r="F422" s="466"/>
      <c r="G422" s="540"/>
      <c r="H422" s="715" t="s">
        <v>581</v>
      </c>
      <c r="I422" s="716">
        <v>2014</v>
      </c>
      <c r="J422" s="430">
        <v>0.125</v>
      </c>
      <c r="K422" s="706">
        <v>22300000</v>
      </c>
      <c r="L422" s="706">
        <v>0</v>
      </c>
      <c r="M422" s="706">
        <v>0</v>
      </c>
      <c r="N422" s="705">
        <f t="shared" si="99"/>
        <v>22300000</v>
      </c>
      <c r="O422" s="705">
        <v>8362500.0000000009</v>
      </c>
      <c r="P422" s="738">
        <v>0</v>
      </c>
      <c r="Q422" s="706">
        <v>0</v>
      </c>
      <c r="R422" s="705">
        <f t="shared" si="100"/>
        <v>8362500.0000000009</v>
      </c>
      <c r="S422" s="706">
        <f t="shared" si="101"/>
        <v>13937500</v>
      </c>
    </row>
    <row r="423" spans="1:19" ht="15.75" customHeight="1">
      <c r="A423" s="675" t="s">
        <v>938</v>
      </c>
      <c r="D423" s="538"/>
      <c r="E423" s="539"/>
      <c r="F423" s="466"/>
      <c r="G423" s="540"/>
      <c r="H423" s="715" t="s">
        <v>581</v>
      </c>
      <c r="I423" s="716">
        <v>2014</v>
      </c>
      <c r="J423" s="430">
        <v>0.125</v>
      </c>
      <c r="K423" s="706">
        <v>68300000</v>
      </c>
      <c r="L423" s="706">
        <v>0</v>
      </c>
      <c r="M423" s="706">
        <v>0</v>
      </c>
      <c r="N423" s="705">
        <f t="shared" si="99"/>
        <v>68300000</v>
      </c>
      <c r="O423" s="705">
        <v>25612500.000000004</v>
      </c>
      <c r="P423" s="738">
        <v>0</v>
      </c>
      <c r="Q423" s="706">
        <v>0</v>
      </c>
      <c r="R423" s="705">
        <f t="shared" si="100"/>
        <v>25612500.000000004</v>
      </c>
      <c r="S423" s="706">
        <f t="shared" si="101"/>
        <v>42687500</v>
      </c>
    </row>
    <row r="424" spans="1:19" ht="15.75" customHeight="1">
      <c r="A424" s="675" t="s">
        <v>938</v>
      </c>
      <c r="D424" s="538"/>
      <c r="E424" s="539"/>
      <c r="F424" s="466"/>
      <c r="G424" s="540"/>
      <c r="H424" s="715" t="s">
        <v>582</v>
      </c>
      <c r="I424" s="716">
        <v>2014</v>
      </c>
      <c r="J424" s="430">
        <v>0.125</v>
      </c>
      <c r="K424" s="706">
        <v>31400000</v>
      </c>
      <c r="L424" s="706">
        <v>0</v>
      </c>
      <c r="M424" s="706">
        <v>0</v>
      </c>
      <c r="N424" s="705">
        <f t="shared" si="99"/>
        <v>31400000</v>
      </c>
      <c r="O424" s="705">
        <v>11774999.999999996</v>
      </c>
      <c r="P424" s="738">
        <v>0</v>
      </c>
      <c r="Q424" s="706">
        <v>0</v>
      </c>
      <c r="R424" s="705">
        <f t="shared" si="100"/>
        <v>11774999.999999996</v>
      </c>
      <c r="S424" s="706">
        <f t="shared" si="101"/>
        <v>19625000.000000004</v>
      </c>
    </row>
    <row r="425" spans="1:19" ht="15.75" customHeight="1">
      <c r="A425" s="675" t="s">
        <v>938</v>
      </c>
      <c r="D425" s="538"/>
      <c r="E425" s="539"/>
      <c r="F425" s="466"/>
      <c r="G425" s="540"/>
      <c r="H425" s="715" t="s">
        <v>582</v>
      </c>
      <c r="I425" s="716">
        <v>2014</v>
      </c>
      <c r="J425" s="430">
        <v>0.125</v>
      </c>
      <c r="K425" s="706">
        <v>30300000</v>
      </c>
      <c r="L425" s="706">
        <v>0</v>
      </c>
      <c r="M425" s="706">
        <v>0</v>
      </c>
      <c r="N425" s="705">
        <f t="shared" si="99"/>
        <v>30300000</v>
      </c>
      <c r="O425" s="705">
        <v>11362500</v>
      </c>
      <c r="P425" s="738">
        <v>0</v>
      </c>
      <c r="Q425" s="706">
        <v>0</v>
      </c>
      <c r="R425" s="705">
        <f t="shared" si="100"/>
        <v>11362500</v>
      </c>
      <c r="S425" s="706">
        <f t="shared" si="101"/>
        <v>18937500</v>
      </c>
    </row>
    <row r="426" spans="1:19" ht="15.75" customHeight="1">
      <c r="A426" s="675" t="s">
        <v>938</v>
      </c>
      <c r="D426" s="538"/>
      <c r="E426" s="539"/>
      <c r="F426" s="466"/>
      <c r="G426" s="540"/>
      <c r="H426" s="715" t="s">
        <v>582</v>
      </c>
      <c r="I426" s="716">
        <v>2014</v>
      </c>
      <c r="J426" s="430">
        <v>0.125</v>
      </c>
      <c r="K426" s="706">
        <v>15200000</v>
      </c>
      <c r="L426" s="706">
        <v>0</v>
      </c>
      <c r="M426" s="706">
        <v>0</v>
      </c>
      <c r="N426" s="705">
        <f t="shared" si="99"/>
        <v>15200000</v>
      </c>
      <c r="O426" s="705">
        <v>5700000.0000000019</v>
      </c>
      <c r="P426" s="738">
        <v>0</v>
      </c>
      <c r="Q426" s="706">
        <v>0</v>
      </c>
      <c r="R426" s="705">
        <f t="shared" si="100"/>
        <v>5700000.0000000019</v>
      </c>
      <c r="S426" s="706">
        <f t="shared" si="101"/>
        <v>9499999.9999999981</v>
      </c>
    </row>
    <row r="427" spans="1:19" ht="15.75" customHeight="1">
      <c r="A427" s="675" t="s">
        <v>938</v>
      </c>
      <c r="D427" s="538"/>
      <c r="E427" s="539"/>
      <c r="F427" s="466"/>
      <c r="G427" s="540"/>
      <c r="H427" s="715" t="s">
        <v>583</v>
      </c>
      <c r="I427" s="716">
        <v>2014</v>
      </c>
      <c r="J427" s="430">
        <v>0.125</v>
      </c>
      <c r="K427" s="706">
        <v>10300000</v>
      </c>
      <c r="L427" s="706">
        <v>0</v>
      </c>
      <c r="M427" s="706">
        <v>0</v>
      </c>
      <c r="N427" s="705">
        <f t="shared" si="99"/>
        <v>10300000</v>
      </c>
      <c r="O427" s="705">
        <v>3862500</v>
      </c>
      <c r="P427" s="738">
        <v>0</v>
      </c>
      <c r="Q427" s="706">
        <v>0</v>
      </c>
      <c r="R427" s="705">
        <f t="shared" si="100"/>
        <v>3862500</v>
      </c>
      <c r="S427" s="706">
        <f t="shared" si="101"/>
        <v>6437500</v>
      </c>
    </row>
    <row r="428" spans="1:19" ht="15.75" customHeight="1">
      <c r="A428" s="675" t="s">
        <v>938</v>
      </c>
      <c r="D428" s="538"/>
      <c r="E428" s="539"/>
      <c r="F428" s="466"/>
      <c r="G428" s="540"/>
      <c r="H428" s="715" t="s">
        <v>583</v>
      </c>
      <c r="I428" s="716">
        <v>2014</v>
      </c>
      <c r="J428" s="430">
        <v>0.125</v>
      </c>
      <c r="K428" s="706">
        <v>15400000</v>
      </c>
      <c r="L428" s="706">
        <v>0</v>
      </c>
      <c r="M428" s="706">
        <v>0</v>
      </c>
      <c r="N428" s="705">
        <f t="shared" si="99"/>
        <v>15400000</v>
      </c>
      <c r="O428" s="705">
        <v>5774999.9999999981</v>
      </c>
      <c r="P428" s="738">
        <v>0</v>
      </c>
      <c r="Q428" s="706">
        <v>0</v>
      </c>
      <c r="R428" s="705">
        <f t="shared" si="100"/>
        <v>5774999.9999999981</v>
      </c>
      <c r="S428" s="706">
        <f t="shared" si="101"/>
        <v>9625000.0000000019</v>
      </c>
    </row>
    <row r="429" spans="1:19" ht="15.75" customHeight="1">
      <c r="A429" s="675" t="s">
        <v>938</v>
      </c>
      <c r="D429" s="538"/>
      <c r="E429" s="539"/>
      <c r="F429" s="466"/>
      <c r="G429" s="540"/>
      <c r="H429" s="715" t="s">
        <v>583</v>
      </c>
      <c r="I429" s="716">
        <v>2014</v>
      </c>
      <c r="J429" s="430">
        <v>0.125</v>
      </c>
      <c r="K429" s="706">
        <v>7200000</v>
      </c>
      <c r="L429" s="706">
        <v>0</v>
      </c>
      <c r="M429" s="706">
        <v>0</v>
      </c>
      <c r="N429" s="705">
        <f t="shared" si="99"/>
        <v>7200000</v>
      </c>
      <c r="O429" s="705">
        <v>2700000</v>
      </c>
      <c r="P429" s="738">
        <v>0</v>
      </c>
      <c r="Q429" s="706">
        <v>0</v>
      </c>
      <c r="R429" s="705">
        <f t="shared" si="100"/>
        <v>2700000</v>
      </c>
      <c r="S429" s="706">
        <f t="shared" si="101"/>
        <v>4500000</v>
      </c>
    </row>
    <row r="430" spans="1:19" ht="15.75" customHeight="1">
      <c r="A430" s="675" t="s">
        <v>938</v>
      </c>
      <c r="D430" s="538"/>
      <c r="E430" s="539"/>
      <c r="F430" s="466"/>
      <c r="G430" s="540"/>
      <c r="H430" s="715" t="s">
        <v>584</v>
      </c>
      <c r="I430" s="716">
        <v>2014</v>
      </c>
      <c r="J430" s="430">
        <v>0.125</v>
      </c>
      <c r="K430" s="706">
        <v>8600000</v>
      </c>
      <c r="L430" s="706">
        <v>0</v>
      </c>
      <c r="M430" s="706">
        <v>0</v>
      </c>
      <c r="N430" s="705">
        <f t="shared" si="99"/>
        <v>8600000</v>
      </c>
      <c r="O430" s="705">
        <v>3224999.9999999995</v>
      </c>
      <c r="P430" s="738">
        <v>0</v>
      </c>
      <c r="Q430" s="706">
        <v>0</v>
      </c>
      <c r="R430" s="705">
        <f t="shared" si="100"/>
        <v>3224999.9999999995</v>
      </c>
      <c r="S430" s="706">
        <f t="shared" si="101"/>
        <v>5375000</v>
      </c>
    </row>
    <row r="431" spans="1:19" ht="15.75" customHeight="1">
      <c r="A431" s="675" t="s">
        <v>938</v>
      </c>
      <c r="D431" s="538"/>
      <c r="E431" s="539"/>
      <c r="F431" s="466"/>
      <c r="G431" s="540"/>
      <c r="H431" s="715" t="s">
        <v>585</v>
      </c>
      <c r="I431" s="716">
        <v>2014</v>
      </c>
      <c r="J431" s="430">
        <v>0.125</v>
      </c>
      <c r="K431" s="706">
        <v>1500000</v>
      </c>
      <c r="L431" s="706">
        <v>0</v>
      </c>
      <c r="M431" s="706">
        <v>0</v>
      </c>
      <c r="N431" s="705">
        <f t="shared" si="99"/>
        <v>1500000</v>
      </c>
      <c r="O431" s="705">
        <v>562500</v>
      </c>
      <c r="P431" s="738">
        <v>0</v>
      </c>
      <c r="Q431" s="706">
        <v>0</v>
      </c>
      <c r="R431" s="705">
        <f t="shared" si="100"/>
        <v>562500</v>
      </c>
      <c r="S431" s="706">
        <f t="shared" si="101"/>
        <v>937500</v>
      </c>
    </row>
    <row r="432" spans="1:19" ht="15.75" customHeight="1">
      <c r="A432" s="675" t="s">
        <v>938</v>
      </c>
      <c r="D432" s="538"/>
      <c r="E432" s="539"/>
      <c r="F432" s="466"/>
      <c r="G432" s="540"/>
      <c r="H432" s="715" t="s">
        <v>586</v>
      </c>
      <c r="I432" s="716">
        <v>2014</v>
      </c>
      <c r="J432" s="430">
        <v>0.125</v>
      </c>
      <c r="K432" s="706">
        <v>60400000</v>
      </c>
      <c r="L432" s="706">
        <v>0</v>
      </c>
      <c r="M432" s="706">
        <v>0</v>
      </c>
      <c r="N432" s="705">
        <f t="shared" si="99"/>
        <v>60400000</v>
      </c>
      <c r="O432" s="705">
        <v>22649999.999999993</v>
      </c>
      <c r="P432" s="738">
        <v>0</v>
      </c>
      <c r="Q432" s="706">
        <v>0</v>
      </c>
      <c r="R432" s="705">
        <f t="shared" si="100"/>
        <v>22649999.999999993</v>
      </c>
      <c r="S432" s="706">
        <f t="shared" si="101"/>
        <v>37750000.000000007</v>
      </c>
    </row>
    <row r="433" spans="1:19" ht="15.75" customHeight="1">
      <c r="A433" s="675" t="s">
        <v>938</v>
      </c>
      <c r="D433" s="538"/>
      <c r="E433" s="539"/>
      <c r="F433" s="466"/>
      <c r="G433" s="540"/>
      <c r="H433" s="715" t="s">
        <v>586</v>
      </c>
      <c r="I433" s="716">
        <v>2014</v>
      </c>
      <c r="J433" s="430">
        <v>0.125</v>
      </c>
      <c r="K433" s="706">
        <v>3600000</v>
      </c>
      <c r="L433" s="706">
        <v>0</v>
      </c>
      <c r="M433" s="706">
        <v>0</v>
      </c>
      <c r="N433" s="705">
        <f t="shared" si="99"/>
        <v>3600000</v>
      </c>
      <c r="O433" s="705">
        <v>1350000</v>
      </c>
      <c r="P433" s="738">
        <v>0</v>
      </c>
      <c r="Q433" s="706">
        <v>0</v>
      </c>
      <c r="R433" s="705">
        <f t="shared" si="100"/>
        <v>1350000</v>
      </c>
      <c r="S433" s="706">
        <f t="shared" si="101"/>
        <v>2250000</v>
      </c>
    </row>
    <row r="434" spans="1:19" ht="15.75" customHeight="1">
      <c r="A434" s="675" t="s">
        <v>938</v>
      </c>
      <c r="D434" s="538"/>
      <c r="E434" s="539"/>
      <c r="F434" s="466"/>
      <c r="G434" s="540"/>
      <c r="H434" s="715" t="s">
        <v>587</v>
      </c>
      <c r="I434" s="716">
        <v>2014</v>
      </c>
      <c r="J434" s="430">
        <v>0.125</v>
      </c>
      <c r="K434" s="706">
        <v>600000</v>
      </c>
      <c r="L434" s="706">
        <v>0</v>
      </c>
      <c r="M434" s="706">
        <v>0</v>
      </c>
      <c r="N434" s="705">
        <f t="shared" si="99"/>
        <v>600000</v>
      </c>
      <c r="O434" s="705">
        <v>225000</v>
      </c>
      <c r="P434" s="738">
        <v>0</v>
      </c>
      <c r="Q434" s="706">
        <v>0</v>
      </c>
      <c r="R434" s="705">
        <f t="shared" si="100"/>
        <v>225000</v>
      </c>
      <c r="S434" s="706">
        <f t="shared" si="101"/>
        <v>375000</v>
      </c>
    </row>
    <row r="435" spans="1:19" ht="15.75" customHeight="1">
      <c r="A435" s="675" t="s">
        <v>938</v>
      </c>
      <c r="D435" s="538"/>
      <c r="E435" s="539"/>
      <c r="F435" s="466"/>
      <c r="G435" s="540"/>
      <c r="H435" s="715" t="s">
        <v>588</v>
      </c>
      <c r="I435" s="716">
        <v>2014</v>
      </c>
      <c r="J435" s="430">
        <v>0.125</v>
      </c>
      <c r="K435" s="706">
        <v>16400000</v>
      </c>
      <c r="L435" s="706">
        <v>0</v>
      </c>
      <c r="M435" s="706">
        <v>0</v>
      </c>
      <c r="N435" s="705">
        <f t="shared" si="99"/>
        <v>16400000</v>
      </c>
      <c r="O435" s="705">
        <v>6150000.0000000019</v>
      </c>
      <c r="P435" s="738">
        <v>0</v>
      </c>
      <c r="Q435" s="706">
        <v>0</v>
      </c>
      <c r="R435" s="705">
        <f t="shared" si="100"/>
        <v>6150000.0000000019</v>
      </c>
      <c r="S435" s="706">
        <f t="shared" si="101"/>
        <v>10249999.999999998</v>
      </c>
    </row>
    <row r="436" spans="1:19" ht="15.75" customHeight="1">
      <c r="A436" s="675" t="s">
        <v>938</v>
      </c>
      <c r="D436" s="538"/>
      <c r="E436" s="539"/>
      <c r="F436" s="466"/>
      <c r="G436" s="540"/>
      <c r="H436" s="715" t="s">
        <v>589</v>
      </c>
      <c r="I436" s="716">
        <v>2014</v>
      </c>
      <c r="J436" s="430">
        <v>0.125</v>
      </c>
      <c r="K436" s="706">
        <v>10400000</v>
      </c>
      <c r="L436" s="706">
        <v>0</v>
      </c>
      <c r="M436" s="706">
        <v>0</v>
      </c>
      <c r="N436" s="705">
        <f t="shared" si="99"/>
        <v>10400000</v>
      </c>
      <c r="O436" s="705">
        <v>3900000</v>
      </c>
      <c r="P436" s="738">
        <v>0</v>
      </c>
      <c r="Q436" s="706">
        <v>0</v>
      </c>
      <c r="R436" s="705">
        <f t="shared" si="100"/>
        <v>3900000</v>
      </c>
      <c r="S436" s="706">
        <f t="shared" si="101"/>
        <v>6500000</v>
      </c>
    </row>
    <row r="437" spans="1:19" ht="15.75" customHeight="1">
      <c r="A437" s="675" t="s">
        <v>938</v>
      </c>
      <c r="D437" s="538"/>
      <c r="E437" s="539"/>
      <c r="F437" s="466"/>
      <c r="G437" s="540"/>
      <c r="H437" s="715" t="s">
        <v>590</v>
      </c>
      <c r="I437" s="716">
        <v>2014</v>
      </c>
      <c r="J437" s="430">
        <v>0.125</v>
      </c>
      <c r="K437" s="706">
        <v>4900000</v>
      </c>
      <c r="L437" s="706">
        <v>0</v>
      </c>
      <c r="M437" s="706">
        <v>0</v>
      </c>
      <c r="N437" s="705">
        <f t="shared" si="99"/>
        <v>4900000</v>
      </c>
      <c r="O437" s="705">
        <v>1837500</v>
      </c>
      <c r="P437" s="738">
        <v>0</v>
      </c>
      <c r="Q437" s="706">
        <v>0</v>
      </c>
      <c r="R437" s="705">
        <f t="shared" si="100"/>
        <v>1837500</v>
      </c>
      <c r="S437" s="706">
        <f t="shared" si="101"/>
        <v>3062500</v>
      </c>
    </row>
    <row r="438" spans="1:19" ht="15.75" customHeight="1">
      <c r="A438" s="675" t="s">
        <v>938</v>
      </c>
      <c r="D438" s="538"/>
      <c r="E438" s="539"/>
      <c r="F438" s="466"/>
      <c r="G438" s="540"/>
      <c r="H438" s="715" t="s">
        <v>591</v>
      </c>
      <c r="I438" s="716">
        <v>2014</v>
      </c>
      <c r="J438" s="430">
        <v>0.125</v>
      </c>
      <c r="K438" s="706">
        <v>93700000</v>
      </c>
      <c r="L438" s="706">
        <v>0</v>
      </c>
      <c r="M438" s="706">
        <v>0</v>
      </c>
      <c r="N438" s="705">
        <f t="shared" si="99"/>
        <v>93700000</v>
      </c>
      <c r="O438" s="705">
        <v>35137500</v>
      </c>
      <c r="P438" s="738">
        <v>0</v>
      </c>
      <c r="Q438" s="706">
        <v>0</v>
      </c>
      <c r="R438" s="705">
        <f t="shared" si="100"/>
        <v>35137500</v>
      </c>
      <c r="S438" s="706">
        <f t="shared" si="101"/>
        <v>58562500</v>
      </c>
    </row>
    <row r="439" spans="1:19" ht="15.75" customHeight="1">
      <c r="A439" s="675" t="s">
        <v>938</v>
      </c>
      <c r="B439" s="675">
        <v>1</v>
      </c>
      <c r="C439" s="675">
        <v>1</v>
      </c>
      <c r="D439" s="538"/>
      <c r="E439" s="539"/>
      <c r="F439" s="466"/>
      <c r="G439" s="540"/>
      <c r="H439" s="715" t="s">
        <v>592</v>
      </c>
      <c r="I439" s="716">
        <v>2015</v>
      </c>
      <c r="J439" s="430">
        <v>0.125</v>
      </c>
      <c r="K439" s="706">
        <v>963636363.29999995</v>
      </c>
      <c r="L439" s="706">
        <v>0</v>
      </c>
      <c r="M439" s="706">
        <v>0</v>
      </c>
      <c r="N439" s="705">
        <f t="shared" si="99"/>
        <v>963636363.29999995</v>
      </c>
      <c r="O439" s="705">
        <v>457727272.23750019</v>
      </c>
      <c r="P439" s="738">
        <v>0</v>
      </c>
      <c r="Q439" s="706">
        <v>0</v>
      </c>
      <c r="R439" s="705">
        <f t="shared" si="100"/>
        <v>457727272.23750019</v>
      </c>
      <c r="S439" s="706">
        <f t="shared" si="101"/>
        <v>505909091.06249976</v>
      </c>
    </row>
    <row r="440" spans="1:19" ht="15.75" customHeight="1">
      <c r="A440" s="675" t="s">
        <v>938</v>
      </c>
      <c r="B440" s="675">
        <v>3</v>
      </c>
      <c r="C440" s="675">
        <v>3</v>
      </c>
      <c r="D440" s="538"/>
      <c r="E440" s="539"/>
      <c r="F440" s="466"/>
      <c r="G440" s="540"/>
      <c r="H440" s="715" t="s">
        <v>593</v>
      </c>
      <c r="I440" s="716">
        <v>2015</v>
      </c>
      <c r="J440" s="430">
        <v>0.125</v>
      </c>
      <c r="K440" s="706">
        <v>26708707</v>
      </c>
      <c r="L440" s="706">
        <v>0</v>
      </c>
      <c r="M440" s="706">
        <v>0</v>
      </c>
      <c r="N440" s="705">
        <f t="shared" si="99"/>
        <v>26708707</v>
      </c>
      <c r="O440" s="705">
        <v>12241491.125000002</v>
      </c>
      <c r="P440" s="738">
        <v>0</v>
      </c>
      <c r="Q440" s="706">
        <v>0</v>
      </c>
      <c r="R440" s="705">
        <f t="shared" si="100"/>
        <v>12241491.125000002</v>
      </c>
      <c r="S440" s="706">
        <f t="shared" si="101"/>
        <v>14467215.874999998</v>
      </c>
    </row>
    <row r="441" spans="1:19" ht="15.75" customHeight="1">
      <c r="A441" s="675" t="s">
        <v>938</v>
      </c>
      <c r="B441" s="675">
        <v>3</v>
      </c>
      <c r="C441" s="675">
        <v>3</v>
      </c>
      <c r="D441" s="538"/>
      <c r="E441" s="539"/>
      <c r="F441" s="466"/>
      <c r="G441" s="540"/>
      <c r="H441" s="715" t="s">
        <v>594</v>
      </c>
      <c r="I441" s="716">
        <v>2015</v>
      </c>
      <c r="J441" s="430">
        <v>0.125</v>
      </c>
      <c r="K441" s="706">
        <v>750000</v>
      </c>
      <c r="L441" s="706">
        <v>0</v>
      </c>
      <c r="M441" s="706">
        <v>0</v>
      </c>
      <c r="N441" s="705">
        <f t="shared" si="99"/>
        <v>750000</v>
      </c>
      <c r="O441" s="705">
        <v>343750</v>
      </c>
      <c r="P441" s="738">
        <v>0</v>
      </c>
      <c r="Q441" s="706">
        <v>0</v>
      </c>
      <c r="R441" s="705">
        <f t="shared" si="100"/>
        <v>343750</v>
      </c>
      <c r="S441" s="706">
        <f t="shared" si="101"/>
        <v>406250</v>
      </c>
    </row>
    <row r="442" spans="1:19" ht="15.75" customHeight="1">
      <c r="A442" s="675" t="s">
        <v>938</v>
      </c>
      <c r="B442" s="675">
        <v>3</v>
      </c>
      <c r="C442" s="675">
        <v>3</v>
      </c>
      <c r="D442" s="538"/>
      <c r="E442" s="539"/>
      <c r="F442" s="466"/>
      <c r="G442" s="540"/>
      <c r="H442" s="715" t="s">
        <v>588</v>
      </c>
      <c r="I442" s="716">
        <v>2015</v>
      </c>
      <c r="J442" s="430">
        <v>0.125</v>
      </c>
      <c r="K442" s="706">
        <v>46400000</v>
      </c>
      <c r="L442" s="706">
        <v>0</v>
      </c>
      <c r="M442" s="706">
        <v>0</v>
      </c>
      <c r="N442" s="705">
        <f t="shared" si="99"/>
        <v>46400000</v>
      </c>
      <c r="O442" s="705">
        <v>21266667.000000007</v>
      </c>
      <c r="P442" s="738">
        <v>0</v>
      </c>
      <c r="Q442" s="706">
        <v>0</v>
      </c>
      <c r="R442" s="705">
        <f t="shared" si="100"/>
        <v>21266667.000000007</v>
      </c>
      <c r="S442" s="706">
        <f t="shared" si="101"/>
        <v>25133332.999999993</v>
      </c>
    </row>
    <row r="443" spans="1:19" ht="15.75" customHeight="1">
      <c r="A443" s="675" t="s">
        <v>938</v>
      </c>
      <c r="B443" s="675">
        <v>3</v>
      </c>
      <c r="C443" s="675">
        <v>3</v>
      </c>
      <c r="D443" s="538"/>
      <c r="E443" s="539"/>
      <c r="F443" s="466"/>
      <c r="G443" s="540"/>
      <c r="H443" s="715" t="s">
        <v>595</v>
      </c>
      <c r="I443" s="716">
        <v>2015</v>
      </c>
      <c r="J443" s="430">
        <v>0.125</v>
      </c>
      <c r="K443" s="706">
        <v>3600000</v>
      </c>
      <c r="L443" s="706">
        <v>0</v>
      </c>
      <c r="M443" s="706">
        <v>0</v>
      </c>
      <c r="N443" s="705">
        <f t="shared" si="99"/>
        <v>3600000</v>
      </c>
      <c r="O443" s="705">
        <v>1650000</v>
      </c>
      <c r="P443" s="738">
        <v>0</v>
      </c>
      <c r="Q443" s="706">
        <v>0</v>
      </c>
      <c r="R443" s="705">
        <f t="shared" si="100"/>
        <v>1650000</v>
      </c>
      <c r="S443" s="706">
        <f t="shared" si="101"/>
        <v>1950000</v>
      </c>
    </row>
    <row r="444" spans="1:19" ht="15.75" customHeight="1">
      <c r="A444" s="675" t="s">
        <v>938</v>
      </c>
      <c r="B444" s="675">
        <v>4</v>
      </c>
      <c r="C444" s="675">
        <v>4</v>
      </c>
      <c r="D444" s="538"/>
      <c r="E444" s="539"/>
      <c r="F444" s="466"/>
      <c r="G444" s="540"/>
      <c r="H444" s="715" t="s">
        <v>596</v>
      </c>
      <c r="I444" s="716">
        <v>2015</v>
      </c>
      <c r="J444" s="430">
        <v>0.125</v>
      </c>
      <c r="K444" s="706">
        <v>4300000</v>
      </c>
      <c r="L444" s="706">
        <v>0</v>
      </c>
      <c r="M444" s="706">
        <v>0</v>
      </c>
      <c r="N444" s="705">
        <f t="shared" si="99"/>
        <v>4300000</v>
      </c>
      <c r="O444" s="705">
        <v>1935000.0000000002</v>
      </c>
      <c r="P444" s="738">
        <v>0</v>
      </c>
      <c r="Q444" s="706">
        <v>0</v>
      </c>
      <c r="R444" s="705">
        <f t="shared" si="100"/>
        <v>1935000.0000000002</v>
      </c>
      <c r="S444" s="706">
        <f t="shared" si="101"/>
        <v>2365000</v>
      </c>
    </row>
    <row r="445" spans="1:19" ht="15.75" customHeight="1">
      <c r="A445" s="675" t="s">
        <v>938</v>
      </c>
      <c r="B445" s="675">
        <v>8</v>
      </c>
      <c r="C445" s="675">
        <v>8</v>
      </c>
      <c r="D445" s="538"/>
      <c r="E445" s="539"/>
      <c r="F445" s="466"/>
      <c r="G445" s="540"/>
      <c r="H445" s="715" t="s">
        <v>597</v>
      </c>
      <c r="I445" s="716">
        <v>2015</v>
      </c>
      <c r="J445" s="430">
        <v>0.125</v>
      </c>
      <c r="K445" s="706">
        <v>44400000</v>
      </c>
      <c r="L445" s="706">
        <v>0</v>
      </c>
      <c r="M445" s="706">
        <v>0</v>
      </c>
      <c r="N445" s="705">
        <f t="shared" si="99"/>
        <v>44400000</v>
      </c>
      <c r="O445" s="705">
        <v>18500000</v>
      </c>
      <c r="P445" s="738">
        <v>0</v>
      </c>
      <c r="Q445" s="706">
        <v>0</v>
      </c>
      <c r="R445" s="705">
        <f t="shared" si="100"/>
        <v>18500000</v>
      </c>
      <c r="S445" s="706">
        <f t="shared" si="101"/>
        <v>25900000</v>
      </c>
    </row>
    <row r="446" spans="1:19" ht="15.75" customHeight="1">
      <c r="A446" s="675" t="s">
        <v>938</v>
      </c>
      <c r="B446" s="675">
        <v>10</v>
      </c>
      <c r="C446" s="675">
        <v>10</v>
      </c>
      <c r="D446" s="538"/>
      <c r="E446" s="539"/>
      <c r="F446" s="466"/>
      <c r="G446" s="540"/>
      <c r="H446" s="715" t="s">
        <v>597</v>
      </c>
      <c r="I446" s="716">
        <v>2015</v>
      </c>
      <c r="J446" s="430">
        <v>0.125</v>
      </c>
      <c r="K446" s="706">
        <v>85100000</v>
      </c>
      <c r="L446" s="706">
        <v>0</v>
      </c>
      <c r="M446" s="706">
        <v>0</v>
      </c>
      <c r="N446" s="705">
        <f t="shared" si="99"/>
        <v>85100000</v>
      </c>
      <c r="O446" s="705">
        <v>34040000</v>
      </c>
      <c r="P446" s="738">
        <v>0</v>
      </c>
      <c r="Q446" s="706">
        <v>0</v>
      </c>
      <c r="R446" s="705">
        <f t="shared" si="100"/>
        <v>34040000</v>
      </c>
      <c r="S446" s="706">
        <f t="shared" si="101"/>
        <v>51060000</v>
      </c>
    </row>
    <row r="447" spans="1:19" ht="15.75" customHeight="1">
      <c r="A447" s="675" t="s">
        <v>938</v>
      </c>
      <c r="B447" s="675">
        <v>11</v>
      </c>
      <c r="C447" s="675">
        <v>11</v>
      </c>
      <c r="D447" s="538"/>
      <c r="E447" s="539"/>
      <c r="F447" s="466"/>
      <c r="G447" s="540"/>
      <c r="H447" s="715" t="s">
        <v>598</v>
      </c>
      <c r="I447" s="716">
        <v>2015</v>
      </c>
      <c r="J447" s="430">
        <v>0.125</v>
      </c>
      <c r="K447" s="706">
        <v>5500000</v>
      </c>
      <c r="L447" s="706">
        <v>0</v>
      </c>
      <c r="M447" s="706">
        <v>0</v>
      </c>
      <c r="N447" s="705">
        <f t="shared" si="99"/>
        <v>5500000</v>
      </c>
      <c r="O447" s="705">
        <v>2154167</v>
      </c>
      <c r="P447" s="738">
        <v>0</v>
      </c>
      <c r="Q447" s="706">
        <v>0</v>
      </c>
      <c r="R447" s="705">
        <f t="shared" si="100"/>
        <v>2154167</v>
      </c>
      <c r="S447" s="706">
        <f t="shared" si="101"/>
        <v>3345833</v>
      </c>
    </row>
    <row r="448" spans="1:19" ht="15.75" customHeight="1">
      <c r="A448" s="675" t="s">
        <v>938</v>
      </c>
      <c r="B448" s="675">
        <v>11</v>
      </c>
      <c r="C448" s="675">
        <v>11</v>
      </c>
      <c r="D448" s="538"/>
      <c r="E448" s="539"/>
      <c r="F448" s="466"/>
      <c r="G448" s="540"/>
      <c r="H448" s="715" t="s">
        <v>599</v>
      </c>
      <c r="I448" s="716">
        <v>2015</v>
      </c>
      <c r="J448" s="430">
        <v>0.125</v>
      </c>
      <c r="K448" s="706">
        <v>5500000</v>
      </c>
      <c r="L448" s="706">
        <v>0</v>
      </c>
      <c r="M448" s="706">
        <v>0</v>
      </c>
      <c r="N448" s="705">
        <f t="shared" si="99"/>
        <v>5500000</v>
      </c>
      <c r="O448" s="705">
        <v>2154167</v>
      </c>
      <c r="P448" s="738">
        <v>0</v>
      </c>
      <c r="Q448" s="706">
        <v>0</v>
      </c>
      <c r="R448" s="705">
        <f t="shared" si="100"/>
        <v>2154167</v>
      </c>
      <c r="S448" s="706">
        <f t="shared" si="101"/>
        <v>3345833</v>
      </c>
    </row>
    <row r="449" spans="1:19" ht="15.75" customHeight="1">
      <c r="A449" s="675" t="s">
        <v>938</v>
      </c>
      <c r="B449" s="675">
        <v>11</v>
      </c>
      <c r="C449" s="675">
        <v>11</v>
      </c>
      <c r="D449" s="538"/>
      <c r="E449" s="539"/>
      <c r="F449" s="466"/>
      <c r="G449" s="540"/>
      <c r="H449" s="715" t="s">
        <v>600</v>
      </c>
      <c r="I449" s="716">
        <v>2015</v>
      </c>
      <c r="J449" s="430">
        <v>0.125</v>
      </c>
      <c r="K449" s="706">
        <v>22200000</v>
      </c>
      <c r="L449" s="706">
        <v>0</v>
      </c>
      <c r="M449" s="706">
        <v>0</v>
      </c>
      <c r="N449" s="705">
        <f t="shared" si="99"/>
        <v>22200000</v>
      </c>
      <c r="O449" s="705">
        <v>8695000</v>
      </c>
      <c r="P449" s="738">
        <v>0</v>
      </c>
      <c r="Q449" s="706">
        <v>0</v>
      </c>
      <c r="R449" s="705">
        <f t="shared" si="100"/>
        <v>8695000</v>
      </c>
      <c r="S449" s="706">
        <f t="shared" si="101"/>
        <v>13505000</v>
      </c>
    </row>
    <row r="450" spans="1:19" ht="15.75" customHeight="1">
      <c r="A450" s="675" t="s">
        <v>938</v>
      </c>
      <c r="B450" s="675">
        <v>11</v>
      </c>
      <c r="C450" s="675">
        <v>11</v>
      </c>
      <c r="D450" s="538"/>
      <c r="E450" s="539"/>
      <c r="F450" s="466"/>
      <c r="G450" s="540"/>
      <c r="H450" s="715" t="s">
        <v>601</v>
      </c>
      <c r="I450" s="716">
        <v>2016</v>
      </c>
      <c r="J450" s="430">
        <v>0.125</v>
      </c>
      <c r="K450" s="706">
        <v>43225000</v>
      </c>
      <c r="L450" s="706">
        <v>0</v>
      </c>
      <c r="M450" s="706">
        <v>0</v>
      </c>
      <c r="N450" s="705">
        <f t="shared" si="99"/>
        <v>43225000</v>
      </c>
      <c r="O450" s="705">
        <v>12033593.75</v>
      </c>
      <c r="P450" s="738">
        <v>0</v>
      </c>
      <c r="Q450" s="706">
        <v>0</v>
      </c>
      <c r="R450" s="705">
        <f t="shared" si="100"/>
        <v>12033593.75</v>
      </c>
      <c r="S450" s="706">
        <f t="shared" si="101"/>
        <v>31191406.25</v>
      </c>
    </row>
    <row r="451" spans="1:19">
      <c r="A451" s="675" t="s">
        <v>938</v>
      </c>
      <c r="B451" s="675">
        <v>11</v>
      </c>
      <c r="C451" s="675">
        <v>11</v>
      </c>
      <c r="D451" s="538"/>
      <c r="E451" s="539"/>
      <c r="F451" s="466"/>
      <c r="G451" s="540"/>
      <c r="H451" s="715" t="s">
        <v>602</v>
      </c>
      <c r="I451" s="716">
        <v>2016</v>
      </c>
      <c r="J451" s="430">
        <v>0.125</v>
      </c>
      <c r="K451" s="706">
        <v>27675000</v>
      </c>
      <c r="L451" s="706">
        <v>0</v>
      </c>
      <c r="M451" s="706">
        <v>0</v>
      </c>
      <c r="N451" s="705">
        <f t="shared" si="99"/>
        <v>27675000</v>
      </c>
      <c r="O451" s="705">
        <v>13815364.583333332</v>
      </c>
      <c r="P451" s="738">
        <v>0</v>
      </c>
      <c r="Q451" s="706">
        <v>0</v>
      </c>
      <c r="R451" s="705">
        <f t="shared" si="100"/>
        <v>13815364.583333332</v>
      </c>
      <c r="S451" s="706">
        <f t="shared" si="101"/>
        <v>13859635.416666668</v>
      </c>
    </row>
    <row r="452" spans="1:19" ht="15.75" customHeight="1">
      <c r="A452" s="675" t="s">
        <v>938</v>
      </c>
      <c r="B452" s="675">
        <v>11</v>
      </c>
      <c r="C452" s="675">
        <v>11</v>
      </c>
      <c r="D452" s="538"/>
      <c r="E452" s="539"/>
      <c r="F452" s="466"/>
      <c r="G452" s="540"/>
      <c r="H452" s="715" t="s">
        <v>603</v>
      </c>
      <c r="I452" s="716">
        <v>2016</v>
      </c>
      <c r="J452" s="430">
        <v>0.125</v>
      </c>
      <c r="K452" s="706">
        <v>44800000</v>
      </c>
      <c r="L452" s="706">
        <v>0</v>
      </c>
      <c r="M452" s="706">
        <v>0</v>
      </c>
      <c r="N452" s="705">
        <f t="shared" si="99"/>
        <v>44800000</v>
      </c>
      <c r="O452" s="705">
        <v>14466666.666666668</v>
      </c>
      <c r="P452" s="738">
        <v>0</v>
      </c>
      <c r="Q452" s="706">
        <v>0</v>
      </c>
      <c r="R452" s="705">
        <f t="shared" si="100"/>
        <v>14466666.666666668</v>
      </c>
      <c r="S452" s="706">
        <f t="shared" si="101"/>
        <v>30333333.333333332</v>
      </c>
    </row>
    <row r="453" spans="1:19" ht="15.75" customHeight="1">
      <c r="A453" s="675" t="s">
        <v>938</v>
      </c>
      <c r="B453" s="675">
        <v>11</v>
      </c>
      <c r="C453" s="675">
        <v>11</v>
      </c>
      <c r="D453" s="538"/>
      <c r="E453" s="539"/>
      <c r="F453" s="466"/>
      <c r="G453" s="540"/>
      <c r="H453" s="715" t="s">
        <v>603</v>
      </c>
      <c r="I453" s="716">
        <v>2016</v>
      </c>
      <c r="J453" s="430">
        <v>0.125</v>
      </c>
      <c r="K453" s="706">
        <v>45572000</v>
      </c>
      <c r="L453" s="706">
        <v>0</v>
      </c>
      <c r="M453" s="706">
        <v>0</v>
      </c>
      <c r="N453" s="705">
        <f t="shared" si="99"/>
        <v>45572000</v>
      </c>
      <c r="O453" s="705">
        <v>14241249.999999998</v>
      </c>
      <c r="P453" s="738">
        <v>0</v>
      </c>
      <c r="Q453" s="706">
        <v>0</v>
      </c>
      <c r="R453" s="705">
        <f t="shared" si="100"/>
        <v>14241249.999999998</v>
      </c>
      <c r="S453" s="706">
        <f t="shared" si="101"/>
        <v>31330750</v>
      </c>
    </row>
    <row r="454" spans="1:19" ht="15.75" customHeight="1">
      <c r="A454" s="675" t="s">
        <v>938</v>
      </c>
      <c r="B454" s="675">
        <v>11</v>
      </c>
      <c r="C454" s="675">
        <v>11</v>
      </c>
      <c r="D454" s="538"/>
      <c r="E454" s="539"/>
      <c r="F454" s="466"/>
      <c r="G454" s="540"/>
      <c r="H454" s="715" t="s">
        <v>539</v>
      </c>
      <c r="I454" s="716">
        <v>2016</v>
      </c>
      <c r="J454" s="430">
        <v>0.125</v>
      </c>
      <c r="K454" s="706">
        <v>42312000</v>
      </c>
      <c r="L454" s="706">
        <v>0</v>
      </c>
      <c r="M454" s="706">
        <v>0</v>
      </c>
      <c r="N454" s="705">
        <f t="shared" si="99"/>
        <v>42312000</v>
      </c>
      <c r="O454" s="705">
        <v>42312000</v>
      </c>
      <c r="P454" s="738">
        <v>0</v>
      </c>
      <c r="Q454" s="706"/>
      <c r="R454" s="705">
        <f t="shared" si="100"/>
        <v>42312000</v>
      </c>
      <c r="S454" s="706">
        <f t="shared" si="101"/>
        <v>0</v>
      </c>
    </row>
    <row r="455" spans="1:19" ht="15.75" customHeight="1">
      <c r="A455" s="675" t="s">
        <v>938</v>
      </c>
      <c r="B455" s="675">
        <v>11</v>
      </c>
      <c r="C455" s="675">
        <v>11</v>
      </c>
      <c r="D455" s="538"/>
      <c r="E455" s="539"/>
      <c r="F455" s="466"/>
      <c r="G455" s="540"/>
      <c r="H455" s="715" t="s">
        <v>604</v>
      </c>
      <c r="I455" s="716">
        <v>2016</v>
      </c>
      <c r="J455" s="430">
        <v>0.125</v>
      </c>
      <c r="K455" s="706">
        <v>255000000</v>
      </c>
      <c r="L455" s="706">
        <v>0</v>
      </c>
      <c r="M455" s="706">
        <v>0</v>
      </c>
      <c r="N455" s="705">
        <f t="shared" si="99"/>
        <v>255000000</v>
      </c>
      <c r="O455" s="705">
        <v>38927000</v>
      </c>
      <c r="P455" s="738">
        <v>0</v>
      </c>
      <c r="Q455" s="706">
        <v>0</v>
      </c>
      <c r="R455" s="705">
        <f t="shared" si="100"/>
        <v>38927000</v>
      </c>
      <c r="S455" s="706">
        <f t="shared" si="101"/>
        <v>216073000</v>
      </c>
    </row>
    <row r="456" spans="1:19" ht="15.75" customHeight="1">
      <c r="A456" s="675" t="s">
        <v>938</v>
      </c>
      <c r="B456" s="675">
        <v>11</v>
      </c>
      <c r="C456" s="675">
        <v>11</v>
      </c>
      <c r="D456" s="538"/>
      <c r="E456" s="539"/>
      <c r="F456" s="466"/>
      <c r="G456" s="540"/>
      <c r="H456" s="715" t="s">
        <v>603</v>
      </c>
      <c r="I456" s="716">
        <v>2016</v>
      </c>
      <c r="J456" s="430">
        <v>0.125</v>
      </c>
      <c r="K456" s="706">
        <v>31112000</v>
      </c>
      <c r="L456" s="706">
        <v>0</v>
      </c>
      <c r="M456" s="706">
        <v>0</v>
      </c>
      <c r="N456" s="705">
        <f t="shared" si="99"/>
        <v>31112000</v>
      </c>
      <c r="O456" s="705">
        <v>8426166.6666666679</v>
      </c>
      <c r="P456" s="738">
        <v>0</v>
      </c>
      <c r="Q456" s="706">
        <v>0</v>
      </c>
      <c r="R456" s="705">
        <f t="shared" si="100"/>
        <v>8426166.6666666679</v>
      </c>
      <c r="S456" s="706">
        <f t="shared" si="101"/>
        <v>22685833.333333332</v>
      </c>
    </row>
    <row r="457" spans="1:19" ht="15.75" customHeight="1">
      <c r="A457" s="675" t="s">
        <v>938</v>
      </c>
      <c r="B457" s="675">
        <v>11</v>
      </c>
      <c r="C457" s="675">
        <v>11</v>
      </c>
      <c r="D457" s="538"/>
      <c r="E457" s="539"/>
      <c r="F457" s="466"/>
      <c r="G457" s="540"/>
      <c r="H457" s="715" t="s">
        <v>603</v>
      </c>
      <c r="I457" s="716">
        <v>2016</v>
      </c>
      <c r="J457" s="430">
        <v>0.125</v>
      </c>
      <c r="K457" s="706">
        <v>187812000</v>
      </c>
      <c r="L457" s="706">
        <v>0</v>
      </c>
      <c r="M457" s="706">
        <v>0</v>
      </c>
      <c r="N457" s="705">
        <f t="shared" si="99"/>
        <v>187812000</v>
      </c>
      <c r="O457" s="705">
        <v>31296812.5</v>
      </c>
      <c r="P457" s="738">
        <v>0</v>
      </c>
      <c r="Q457" s="706">
        <v>0</v>
      </c>
      <c r="R457" s="705">
        <f t="shared" si="100"/>
        <v>31296812.5</v>
      </c>
      <c r="S457" s="706">
        <f t="shared" si="101"/>
        <v>156515187.5</v>
      </c>
    </row>
    <row r="458" spans="1:19" ht="15.75" customHeight="1">
      <c r="A458" s="675" t="s">
        <v>938</v>
      </c>
      <c r="B458" s="675">
        <v>11</v>
      </c>
      <c r="C458" s="675">
        <v>11</v>
      </c>
      <c r="D458" s="538"/>
      <c r="E458" s="539"/>
      <c r="F458" s="466"/>
      <c r="G458" s="540"/>
      <c r="H458" s="715" t="s">
        <v>605</v>
      </c>
      <c r="I458" s="716">
        <v>2016</v>
      </c>
      <c r="J458" s="430">
        <v>0.125</v>
      </c>
      <c r="K458" s="706">
        <v>57750000</v>
      </c>
      <c r="L458" s="706">
        <v>0</v>
      </c>
      <c r="M458" s="706">
        <v>0</v>
      </c>
      <c r="N458" s="705">
        <f t="shared" si="99"/>
        <v>57750000</v>
      </c>
      <c r="O458" s="705">
        <v>30695250</v>
      </c>
      <c r="P458" s="738">
        <v>0</v>
      </c>
      <c r="Q458" s="706">
        <v>0</v>
      </c>
      <c r="R458" s="705">
        <f t="shared" si="100"/>
        <v>30695250</v>
      </c>
      <c r="S458" s="706">
        <f t="shared" si="101"/>
        <v>27054750</v>
      </c>
    </row>
    <row r="459" spans="1:19" ht="15.75" customHeight="1">
      <c r="A459" s="675" t="s">
        <v>938</v>
      </c>
      <c r="B459" s="675">
        <v>11</v>
      </c>
      <c r="C459" s="675">
        <v>11</v>
      </c>
      <c r="D459" s="538"/>
      <c r="E459" s="539"/>
      <c r="F459" s="466"/>
      <c r="G459" s="540"/>
      <c r="H459" s="715" t="s">
        <v>606</v>
      </c>
      <c r="I459" s="716">
        <v>2016</v>
      </c>
      <c r="J459" s="430">
        <v>0.125</v>
      </c>
      <c r="K459" s="706">
        <v>385000000</v>
      </c>
      <c r="L459" s="706">
        <v>0</v>
      </c>
      <c r="M459" s="706">
        <v>0</v>
      </c>
      <c r="N459" s="705">
        <f t="shared" si="99"/>
        <v>385000000</v>
      </c>
      <c r="O459" s="705">
        <v>127500000</v>
      </c>
      <c r="P459" s="738">
        <v>0</v>
      </c>
      <c r="Q459" s="706">
        <v>0</v>
      </c>
      <c r="R459" s="705">
        <f t="shared" si="100"/>
        <v>127500000</v>
      </c>
      <c r="S459" s="706">
        <f t="shared" si="101"/>
        <v>257500000</v>
      </c>
    </row>
    <row r="460" spans="1:19" s="703" customFormat="1" ht="15.75" customHeight="1">
      <c r="A460" s="675" t="s">
        <v>938</v>
      </c>
      <c r="B460" s="675">
        <v>11</v>
      </c>
      <c r="C460" s="675">
        <v>11</v>
      </c>
      <c r="D460" s="538"/>
      <c r="E460" s="539"/>
      <c r="F460" s="466"/>
      <c r="G460" s="541"/>
      <c r="H460" s="723" t="s">
        <v>607</v>
      </c>
      <c r="I460" s="724">
        <v>2016</v>
      </c>
      <c r="J460" s="435">
        <v>0.125</v>
      </c>
      <c r="K460" s="705">
        <v>635000000</v>
      </c>
      <c r="L460" s="706">
        <v>0</v>
      </c>
      <c r="M460" s="705">
        <v>0</v>
      </c>
      <c r="N460" s="705">
        <f t="shared" si="99"/>
        <v>635000000</v>
      </c>
      <c r="O460" s="705">
        <v>127500000</v>
      </c>
      <c r="P460" s="738">
        <v>0</v>
      </c>
      <c r="Q460" s="705">
        <v>0</v>
      </c>
      <c r="R460" s="705">
        <f t="shared" si="100"/>
        <v>127500000</v>
      </c>
      <c r="S460" s="706">
        <f t="shared" si="101"/>
        <v>507500000</v>
      </c>
    </row>
    <row r="461" spans="1:19" s="703" customFormat="1" ht="15.75" customHeight="1">
      <c r="A461" s="675"/>
      <c r="B461" s="675"/>
      <c r="C461" s="675"/>
      <c r="D461" s="538"/>
      <c r="E461" s="542"/>
      <c r="F461" s="467"/>
      <c r="G461" s="543"/>
      <c r="H461" s="790" t="s">
        <v>603</v>
      </c>
      <c r="I461" s="744">
        <v>2017</v>
      </c>
      <c r="J461" s="430">
        <v>0.125</v>
      </c>
      <c r="K461" s="706">
        <v>26000000</v>
      </c>
      <c r="L461" s="706">
        <v>0</v>
      </c>
      <c r="M461" s="706">
        <v>0</v>
      </c>
      <c r="N461" s="705">
        <f t="shared" si="99"/>
        <v>26000000</v>
      </c>
      <c r="O461" s="706">
        <v>6229166.666666667</v>
      </c>
      <c r="P461" s="738">
        <v>0</v>
      </c>
      <c r="Q461" s="706">
        <v>0</v>
      </c>
      <c r="R461" s="705">
        <f t="shared" si="100"/>
        <v>6229166.666666667</v>
      </c>
      <c r="S461" s="706">
        <f t="shared" si="101"/>
        <v>19770833.333333332</v>
      </c>
    </row>
    <row r="462" spans="1:19" s="703" customFormat="1" ht="15.75" customHeight="1">
      <c r="A462" s="675"/>
      <c r="B462" s="675"/>
      <c r="C462" s="675"/>
      <c r="D462" s="538"/>
      <c r="E462" s="542"/>
      <c r="F462" s="467"/>
      <c r="G462" s="543"/>
      <c r="H462" s="790" t="s">
        <v>608</v>
      </c>
      <c r="I462" s="744">
        <v>2017</v>
      </c>
      <c r="J462" s="430">
        <v>0.125</v>
      </c>
      <c r="K462" s="706">
        <v>43600000</v>
      </c>
      <c r="L462" s="706">
        <v>0</v>
      </c>
      <c r="M462" s="706">
        <v>0</v>
      </c>
      <c r="N462" s="705">
        <f t="shared" si="99"/>
        <v>43600000</v>
      </c>
      <c r="O462" s="706">
        <v>10445833.333333332</v>
      </c>
      <c r="P462" s="738">
        <v>0</v>
      </c>
      <c r="Q462" s="706">
        <v>0</v>
      </c>
      <c r="R462" s="705">
        <f t="shared" si="100"/>
        <v>10445833.333333332</v>
      </c>
      <c r="S462" s="706">
        <f t="shared" si="101"/>
        <v>33154166.666666668</v>
      </c>
    </row>
    <row r="463" spans="1:19" s="703" customFormat="1" ht="15.75" customHeight="1">
      <c r="A463" s="675"/>
      <c r="B463" s="675"/>
      <c r="C463" s="675"/>
      <c r="D463" s="538"/>
      <c r="E463" s="542"/>
      <c r="F463" s="467"/>
      <c r="G463" s="543"/>
      <c r="H463" s="790" t="s">
        <v>609</v>
      </c>
      <c r="I463" s="744">
        <v>2017</v>
      </c>
      <c r="J463" s="430">
        <v>0.125</v>
      </c>
      <c r="K463" s="706">
        <v>204545454</v>
      </c>
      <c r="L463" s="706">
        <v>0</v>
      </c>
      <c r="M463" s="706">
        <v>0</v>
      </c>
      <c r="N463" s="705">
        <f t="shared" si="99"/>
        <v>204545454</v>
      </c>
      <c r="O463" s="706">
        <v>49005681.6875</v>
      </c>
      <c r="P463" s="738">
        <v>0</v>
      </c>
      <c r="Q463" s="706">
        <v>0</v>
      </c>
      <c r="R463" s="705">
        <f t="shared" si="100"/>
        <v>49005681.6875</v>
      </c>
      <c r="S463" s="706">
        <f t="shared" si="101"/>
        <v>155539772.3125</v>
      </c>
    </row>
    <row r="464" spans="1:19" s="703" customFormat="1" ht="15.75" customHeight="1">
      <c r="A464" s="675"/>
      <c r="B464" s="675"/>
      <c r="C464" s="675"/>
      <c r="D464" s="538"/>
      <c r="E464" s="542"/>
      <c r="F464" s="467"/>
      <c r="G464" s="543"/>
      <c r="H464" s="790" t="s">
        <v>610</v>
      </c>
      <c r="I464" s="744">
        <v>2017</v>
      </c>
      <c r="J464" s="430">
        <v>0.125</v>
      </c>
      <c r="K464" s="706">
        <v>125000000</v>
      </c>
      <c r="L464" s="706">
        <v>0</v>
      </c>
      <c r="M464" s="706">
        <v>0</v>
      </c>
      <c r="N464" s="705">
        <f t="shared" si="99"/>
        <v>125000000</v>
      </c>
      <c r="O464" s="706">
        <v>28645833.333333336</v>
      </c>
      <c r="P464" s="738">
        <v>0</v>
      </c>
      <c r="Q464" s="706">
        <v>0</v>
      </c>
      <c r="R464" s="705">
        <f t="shared" si="100"/>
        <v>28645833.333333336</v>
      </c>
      <c r="S464" s="706">
        <f t="shared" si="101"/>
        <v>96354166.666666657</v>
      </c>
    </row>
    <row r="465" spans="1:19" s="703" customFormat="1" ht="15.75" customHeight="1">
      <c r="A465" s="675"/>
      <c r="B465" s="675"/>
      <c r="C465" s="675"/>
      <c r="D465" s="538"/>
      <c r="E465" s="542"/>
      <c r="F465" s="467"/>
      <c r="G465" s="543"/>
      <c r="H465" s="790" t="s">
        <v>611</v>
      </c>
      <c r="I465" s="744">
        <v>2017</v>
      </c>
      <c r="J465" s="430">
        <v>0.125</v>
      </c>
      <c r="K465" s="706">
        <v>28000000</v>
      </c>
      <c r="L465" s="706">
        <v>0</v>
      </c>
      <c r="M465" s="706">
        <v>0</v>
      </c>
      <c r="N465" s="705">
        <f t="shared" si="99"/>
        <v>28000000</v>
      </c>
      <c r="O465" s="706">
        <v>6125000</v>
      </c>
      <c r="P465" s="738">
        <v>0</v>
      </c>
      <c r="Q465" s="706">
        <v>0</v>
      </c>
      <c r="R465" s="705">
        <f t="shared" si="100"/>
        <v>6125000</v>
      </c>
      <c r="S465" s="706">
        <f t="shared" si="101"/>
        <v>21875000</v>
      </c>
    </row>
    <row r="466" spans="1:19" s="703" customFormat="1" ht="15.75" customHeight="1">
      <c r="A466" s="675"/>
      <c r="B466" s="675"/>
      <c r="C466" s="675"/>
      <c r="D466" s="538"/>
      <c r="E466" s="542"/>
      <c r="F466" s="467"/>
      <c r="G466" s="543"/>
      <c r="H466" s="790" t="s">
        <v>612</v>
      </c>
      <c r="I466" s="744">
        <v>2017</v>
      </c>
      <c r="J466" s="430">
        <v>0.125</v>
      </c>
      <c r="K466" s="706">
        <v>511363650</v>
      </c>
      <c r="L466" s="706">
        <v>0</v>
      </c>
      <c r="M466" s="706">
        <v>0</v>
      </c>
      <c r="N466" s="705">
        <f t="shared" si="99"/>
        <v>511363650</v>
      </c>
      <c r="O466" s="706">
        <v>106534093.75</v>
      </c>
      <c r="P466" s="738">
        <v>0</v>
      </c>
      <c r="Q466" s="706">
        <v>0</v>
      </c>
      <c r="R466" s="705">
        <f t="shared" si="100"/>
        <v>106534093.75</v>
      </c>
      <c r="S466" s="706">
        <f t="shared" si="101"/>
        <v>404829556.25</v>
      </c>
    </row>
    <row r="467" spans="1:19" s="703" customFormat="1" ht="15.75" customHeight="1">
      <c r="A467" s="675"/>
      <c r="B467" s="675"/>
      <c r="C467" s="675"/>
      <c r="D467" s="538"/>
      <c r="E467" s="542"/>
      <c r="F467" s="467"/>
      <c r="G467" s="543"/>
      <c r="H467" s="790" t="s">
        <v>612</v>
      </c>
      <c r="I467" s="744">
        <v>2017</v>
      </c>
      <c r="J467" s="430">
        <v>0.125</v>
      </c>
      <c r="K467" s="706">
        <v>323863635.5</v>
      </c>
      <c r="L467" s="706">
        <v>0</v>
      </c>
      <c r="M467" s="706">
        <v>0</v>
      </c>
      <c r="N467" s="705">
        <f t="shared" si="99"/>
        <v>323863635.5</v>
      </c>
      <c r="O467" s="706">
        <v>64098011.192708328</v>
      </c>
      <c r="P467" s="738">
        <v>0</v>
      </c>
      <c r="Q467" s="706">
        <v>0</v>
      </c>
      <c r="R467" s="705">
        <f t="shared" si="100"/>
        <v>64098011.192708328</v>
      </c>
      <c r="S467" s="706">
        <f t="shared" si="101"/>
        <v>259765624.30729169</v>
      </c>
    </row>
    <row r="468" spans="1:19" s="703" customFormat="1" ht="15.75" customHeight="1">
      <c r="A468" s="675"/>
      <c r="B468" s="675"/>
      <c r="C468" s="675"/>
      <c r="D468" s="538"/>
      <c r="E468" s="542"/>
      <c r="F468" s="467"/>
      <c r="G468" s="543"/>
      <c r="H468" s="790" t="s">
        <v>612</v>
      </c>
      <c r="I468" s="744">
        <v>2017</v>
      </c>
      <c r="J468" s="430">
        <v>0.125</v>
      </c>
      <c r="K468" s="706">
        <v>187499999.5</v>
      </c>
      <c r="L468" s="706">
        <v>0</v>
      </c>
      <c r="M468" s="706">
        <v>0</v>
      </c>
      <c r="N468" s="705">
        <f t="shared" si="99"/>
        <v>187499999.5</v>
      </c>
      <c r="O468" s="706">
        <v>33203124.911458336</v>
      </c>
      <c r="P468" s="738">
        <v>0</v>
      </c>
      <c r="Q468" s="706">
        <v>0</v>
      </c>
      <c r="R468" s="705">
        <f t="shared" si="100"/>
        <v>33203124.911458336</v>
      </c>
      <c r="S468" s="706">
        <f t="shared" si="101"/>
        <v>154296874.58854166</v>
      </c>
    </row>
    <row r="469" spans="1:19" s="703" customFormat="1" ht="15.75" customHeight="1">
      <c r="A469" s="675"/>
      <c r="B469" s="675"/>
      <c r="C469" s="675"/>
      <c r="D469" s="538"/>
      <c r="E469" s="542"/>
      <c r="F469" s="467"/>
      <c r="G469" s="543"/>
      <c r="H469" s="790" t="s">
        <v>603</v>
      </c>
      <c r="I469" s="744">
        <v>2017</v>
      </c>
      <c r="J469" s="430">
        <v>0.125</v>
      </c>
      <c r="K469" s="706">
        <v>53800000</v>
      </c>
      <c r="L469" s="706">
        <v>0</v>
      </c>
      <c r="M469" s="706">
        <v>0</v>
      </c>
      <c r="N469" s="705">
        <f t="shared" si="99"/>
        <v>53800000</v>
      </c>
      <c r="O469" s="706">
        <v>8966666.666666666</v>
      </c>
      <c r="P469" s="738">
        <v>0</v>
      </c>
      <c r="Q469" s="706">
        <v>0</v>
      </c>
      <c r="R469" s="705">
        <f t="shared" si="100"/>
        <v>8966666.666666666</v>
      </c>
      <c r="S469" s="706">
        <f t="shared" si="101"/>
        <v>44833333.333333336</v>
      </c>
    </row>
    <row r="470" spans="1:19" s="703" customFormat="1" ht="15.75" customHeight="1">
      <c r="A470" s="675"/>
      <c r="B470" s="675"/>
      <c r="C470" s="675"/>
      <c r="D470" s="538"/>
      <c r="E470" s="542"/>
      <c r="F470" s="467"/>
      <c r="G470" s="543"/>
      <c r="H470" s="790" t="s">
        <v>613</v>
      </c>
      <c r="I470" s="744">
        <v>2017</v>
      </c>
      <c r="J470" s="430">
        <v>0.125</v>
      </c>
      <c r="K470" s="706">
        <v>75000000</v>
      </c>
      <c r="L470" s="706">
        <v>0</v>
      </c>
      <c r="M470" s="706">
        <v>0</v>
      </c>
      <c r="N470" s="705">
        <f t="shared" si="99"/>
        <v>75000000</v>
      </c>
      <c r="O470" s="706">
        <v>12500000</v>
      </c>
      <c r="P470" s="738">
        <v>0</v>
      </c>
      <c r="Q470" s="706">
        <v>0</v>
      </c>
      <c r="R470" s="705">
        <f t="shared" si="100"/>
        <v>12500000</v>
      </c>
      <c r="S470" s="706">
        <f t="shared" si="101"/>
        <v>62500000</v>
      </c>
    </row>
    <row r="471" spans="1:19" s="703" customFormat="1" ht="15.75" customHeight="1">
      <c r="A471" s="675"/>
      <c r="B471" s="675"/>
      <c r="C471" s="675"/>
      <c r="D471" s="538"/>
      <c r="E471" s="542"/>
      <c r="F471" s="467"/>
      <c r="G471" s="543"/>
      <c r="H471" s="790" t="s">
        <v>603</v>
      </c>
      <c r="I471" s="744">
        <v>2017</v>
      </c>
      <c r="J471" s="430">
        <v>0.125</v>
      </c>
      <c r="K471" s="706">
        <v>18900000</v>
      </c>
      <c r="L471" s="706">
        <v>0</v>
      </c>
      <c r="M471" s="706">
        <v>0</v>
      </c>
      <c r="N471" s="705">
        <f t="shared" si="99"/>
        <v>18900000</v>
      </c>
      <c r="O471" s="706">
        <v>2953125</v>
      </c>
      <c r="P471" s="738">
        <v>0</v>
      </c>
      <c r="Q471" s="706">
        <v>0</v>
      </c>
      <c r="R471" s="705">
        <f t="shared" si="100"/>
        <v>2953125</v>
      </c>
      <c r="S471" s="706">
        <f t="shared" si="101"/>
        <v>15946875</v>
      </c>
    </row>
    <row r="472" spans="1:19" s="703" customFormat="1" ht="15.75" customHeight="1">
      <c r="A472" s="675"/>
      <c r="B472" s="675"/>
      <c r="C472" s="675"/>
      <c r="D472" s="538"/>
      <c r="E472" s="542"/>
      <c r="F472" s="467"/>
      <c r="G472" s="543"/>
      <c r="H472" s="790" t="s">
        <v>603</v>
      </c>
      <c r="I472" s="744">
        <v>2017</v>
      </c>
      <c r="J472" s="430">
        <v>0.125</v>
      </c>
      <c r="K472" s="706">
        <v>88363636</v>
      </c>
      <c r="L472" s="706">
        <v>0</v>
      </c>
      <c r="M472" s="706">
        <v>0</v>
      </c>
      <c r="N472" s="705">
        <f t="shared" si="99"/>
        <v>88363636</v>
      </c>
      <c r="O472" s="706">
        <v>12886363.583333334</v>
      </c>
      <c r="P472" s="738">
        <v>0</v>
      </c>
      <c r="Q472" s="706">
        <v>0</v>
      </c>
      <c r="R472" s="705">
        <f t="shared" si="100"/>
        <v>12886363.583333334</v>
      </c>
      <c r="S472" s="706">
        <f t="shared" si="101"/>
        <v>75477272.416666672</v>
      </c>
    </row>
    <row r="473" spans="1:19" s="703" customFormat="1" ht="15.75" customHeight="1">
      <c r="A473" s="675"/>
      <c r="B473" s="675"/>
      <c r="C473" s="675"/>
      <c r="D473" s="538"/>
      <c r="E473" s="542"/>
      <c r="F473" s="467"/>
      <c r="G473" s="543"/>
      <c r="H473" s="790" t="s">
        <v>614</v>
      </c>
      <c r="I473" s="744">
        <v>2017</v>
      </c>
      <c r="J473" s="430">
        <v>0.125</v>
      </c>
      <c r="K473" s="706">
        <v>10727273</v>
      </c>
      <c r="L473" s="706">
        <v>0</v>
      </c>
      <c r="M473" s="706">
        <v>0</v>
      </c>
      <c r="N473" s="705">
        <f t="shared" si="99"/>
        <v>10727273</v>
      </c>
      <c r="O473" s="706">
        <v>1452651.5520833333</v>
      </c>
      <c r="P473" s="738">
        <v>0</v>
      </c>
      <c r="Q473" s="706">
        <v>0</v>
      </c>
      <c r="R473" s="705">
        <f t="shared" si="100"/>
        <v>1452651.5520833333</v>
      </c>
      <c r="S473" s="706">
        <f t="shared" si="101"/>
        <v>9274621.447916666</v>
      </c>
    </row>
    <row r="474" spans="1:19" s="703" customFormat="1" ht="15.75" customHeight="1">
      <c r="A474" s="675"/>
      <c r="B474" s="675"/>
      <c r="C474" s="675"/>
      <c r="D474" s="538"/>
      <c r="E474" s="542"/>
      <c r="F474" s="467"/>
      <c r="G474" s="543"/>
      <c r="H474" s="790" t="s">
        <v>615</v>
      </c>
      <c r="I474" s="798" t="s">
        <v>688</v>
      </c>
      <c r="J474" s="430">
        <v>0.125</v>
      </c>
      <c r="K474" s="706">
        <v>195000000</v>
      </c>
      <c r="L474" s="706">
        <v>0</v>
      </c>
      <c r="M474" s="706">
        <v>0</v>
      </c>
      <c r="N474" s="705">
        <f t="shared" si="99"/>
        <v>195000000</v>
      </c>
      <c r="O474" s="706">
        <v>22343750</v>
      </c>
      <c r="P474" s="738">
        <v>0</v>
      </c>
      <c r="Q474" s="706">
        <v>0</v>
      </c>
      <c r="R474" s="705">
        <f t="shared" si="100"/>
        <v>22343750</v>
      </c>
      <c r="S474" s="706">
        <f t="shared" si="101"/>
        <v>172656250</v>
      </c>
    </row>
    <row r="475" spans="1:19" s="703" customFormat="1" ht="15.75" customHeight="1">
      <c r="A475" s="675"/>
      <c r="B475" s="675"/>
      <c r="C475" s="675"/>
      <c r="D475" s="538"/>
      <c r="E475" s="542"/>
      <c r="F475" s="467"/>
      <c r="G475" s="543"/>
      <c r="H475" s="790" t="s">
        <v>616</v>
      </c>
      <c r="I475" s="798" t="s">
        <v>689</v>
      </c>
      <c r="J475" s="430">
        <v>0.125</v>
      </c>
      <c r="K475" s="706">
        <v>15272728</v>
      </c>
      <c r="L475" s="706">
        <v>0</v>
      </c>
      <c r="M475" s="706">
        <v>0</v>
      </c>
      <c r="N475" s="705">
        <f t="shared" si="99"/>
        <v>15272728</v>
      </c>
      <c r="O475" s="706">
        <v>1590909.1666666667</v>
      </c>
      <c r="P475" s="738">
        <v>0</v>
      </c>
      <c r="Q475" s="706">
        <v>0</v>
      </c>
      <c r="R475" s="705">
        <f t="shared" si="100"/>
        <v>1590909.1666666667</v>
      </c>
      <c r="S475" s="706">
        <f t="shared" si="101"/>
        <v>13681818.833333334</v>
      </c>
    </row>
    <row r="476" spans="1:19" s="703" customFormat="1" ht="15.75" customHeight="1">
      <c r="A476" s="675"/>
      <c r="B476" s="675"/>
      <c r="C476" s="675"/>
      <c r="D476" s="538"/>
      <c r="E476" s="542"/>
      <c r="F476" s="467"/>
      <c r="G476" s="543"/>
      <c r="H476" s="790" t="s">
        <v>591</v>
      </c>
      <c r="I476" s="798" t="s">
        <v>689</v>
      </c>
      <c r="J476" s="430">
        <v>0.125</v>
      </c>
      <c r="K476" s="706">
        <v>60000000</v>
      </c>
      <c r="L476" s="706">
        <v>0</v>
      </c>
      <c r="M476" s="706">
        <v>0</v>
      </c>
      <c r="N476" s="705">
        <f t="shared" si="99"/>
        <v>60000000</v>
      </c>
      <c r="O476" s="706">
        <v>6250000</v>
      </c>
      <c r="P476" s="738">
        <v>0</v>
      </c>
      <c r="Q476" s="706">
        <v>0</v>
      </c>
      <c r="R476" s="705">
        <f t="shared" si="100"/>
        <v>6250000</v>
      </c>
      <c r="S476" s="706">
        <f t="shared" si="101"/>
        <v>53750000</v>
      </c>
    </row>
    <row r="477" spans="1:19" s="703" customFormat="1" ht="15.75" customHeight="1">
      <c r="A477" s="675"/>
      <c r="B477" s="675"/>
      <c r="C477" s="675"/>
      <c r="D477" s="538"/>
      <c r="E477" s="542"/>
      <c r="F477" s="467"/>
      <c r="G477" s="543"/>
      <c r="H477" s="790" t="s">
        <v>617</v>
      </c>
      <c r="I477" s="798" t="s">
        <v>689</v>
      </c>
      <c r="J477" s="430">
        <v>0.125</v>
      </c>
      <c r="K477" s="706">
        <v>30836364</v>
      </c>
      <c r="L477" s="706">
        <v>0</v>
      </c>
      <c r="M477" s="706">
        <v>0</v>
      </c>
      <c r="N477" s="705">
        <f t="shared" si="99"/>
        <v>30836364</v>
      </c>
      <c r="O477" s="706">
        <v>3212121.25</v>
      </c>
      <c r="P477" s="738">
        <v>0</v>
      </c>
      <c r="Q477" s="706">
        <v>0</v>
      </c>
      <c r="R477" s="705">
        <f t="shared" si="100"/>
        <v>3212121.25</v>
      </c>
      <c r="S477" s="706">
        <f t="shared" si="101"/>
        <v>27624242.75</v>
      </c>
    </row>
    <row r="478" spans="1:19" s="703" customFormat="1" ht="15.75" customHeight="1">
      <c r="A478" s="675"/>
      <c r="B478" s="675"/>
      <c r="C478" s="675"/>
      <c r="D478" s="538"/>
      <c r="E478" s="542"/>
      <c r="F478" s="467"/>
      <c r="G478" s="543"/>
      <c r="H478" s="790" t="s">
        <v>618</v>
      </c>
      <c r="I478" s="798" t="s">
        <v>689</v>
      </c>
      <c r="J478" s="430">
        <v>0.125</v>
      </c>
      <c r="K478" s="706">
        <v>13272728</v>
      </c>
      <c r="L478" s="706">
        <v>0</v>
      </c>
      <c r="M478" s="706">
        <v>0</v>
      </c>
      <c r="N478" s="705">
        <f t="shared" si="99"/>
        <v>13272728</v>
      </c>
      <c r="O478" s="706">
        <v>1382575.8333333333</v>
      </c>
      <c r="P478" s="738">
        <v>0</v>
      </c>
      <c r="Q478" s="706">
        <v>0</v>
      </c>
      <c r="R478" s="705">
        <f t="shared" si="100"/>
        <v>1382575.8333333333</v>
      </c>
      <c r="S478" s="706">
        <f t="shared" si="101"/>
        <v>11890152.166666666</v>
      </c>
    </row>
    <row r="479" spans="1:19" s="703" customFormat="1" ht="15.75" customHeight="1">
      <c r="A479" s="675"/>
      <c r="B479" s="675"/>
      <c r="C479" s="675"/>
      <c r="D479" s="538"/>
      <c r="E479" s="542"/>
      <c r="F479" s="467"/>
      <c r="G479" s="543"/>
      <c r="H479" s="790" t="s">
        <v>619</v>
      </c>
      <c r="I479" s="798" t="s">
        <v>689</v>
      </c>
      <c r="J479" s="430">
        <v>0.125</v>
      </c>
      <c r="K479" s="706">
        <v>672727280</v>
      </c>
      <c r="L479" s="706">
        <v>0</v>
      </c>
      <c r="M479" s="706">
        <v>0</v>
      </c>
      <c r="N479" s="705">
        <f t="shared" si="99"/>
        <v>672727280</v>
      </c>
      <c r="O479" s="706">
        <v>70075758.333333343</v>
      </c>
      <c r="P479" s="738">
        <v>0</v>
      </c>
      <c r="Q479" s="706">
        <v>0</v>
      </c>
      <c r="R479" s="705">
        <f t="shared" si="100"/>
        <v>70075758.333333343</v>
      </c>
      <c r="S479" s="706">
        <f t="shared" si="101"/>
        <v>602651521.66666663</v>
      </c>
    </row>
    <row r="480" spans="1:19" s="703" customFormat="1" ht="15.75" customHeight="1">
      <c r="A480" s="675"/>
      <c r="B480" s="675"/>
      <c r="C480" s="675"/>
      <c r="D480" s="538"/>
      <c r="E480" s="542"/>
      <c r="F480" s="467"/>
      <c r="G480" s="543"/>
      <c r="H480" s="790" t="s">
        <v>208</v>
      </c>
      <c r="I480" s="798" t="s">
        <v>690</v>
      </c>
      <c r="J480" s="430">
        <v>0.125</v>
      </c>
      <c r="K480" s="706">
        <v>2487808770.1800003</v>
      </c>
      <c r="L480" s="706">
        <v>0</v>
      </c>
      <c r="M480" s="706">
        <v>0</v>
      </c>
      <c r="N480" s="705">
        <f t="shared" si="99"/>
        <v>2487808770.1800003</v>
      </c>
      <c r="O480" s="706">
        <v>259146746.89375007</v>
      </c>
      <c r="P480" s="738">
        <v>0</v>
      </c>
      <c r="Q480" s="706">
        <v>0</v>
      </c>
      <c r="R480" s="705">
        <f t="shared" si="100"/>
        <v>259146746.89375007</v>
      </c>
      <c r="S480" s="706">
        <f t="shared" si="101"/>
        <v>2228662023.2862501</v>
      </c>
    </row>
    <row r="481" spans="1:19" s="703" customFormat="1" ht="15.75" customHeight="1">
      <c r="A481" s="675"/>
      <c r="B481" s="675"/>
      <c r="C481" s="675"/>
      <c r="D481" s="538"/>
      <c r="E481" s="542"/>
      <c r="F481" s="467"/>
      <c r="G481" s="543"/>
      <c r="H481" s="790" t="s">
        <v>620</v>
      </c>
      <c r="I481" s="798" t="s">
        <v>690</v>
      </c>
      <c r="J481" s="430">
        <v>0.125</v>
      </c>
      <c r="K481" s="706">
        <v>13500000</v>
      </c>
      <c r="L481" s="706">
        <v>0</v>
      </c>
      <c r="M481" s="706">
        <v>0</v>
      </c>
      <c r="N481" s="705">
        <f t="shared" si="99"/>
        <v>13500000</v>
      </c>
      <c r="O481" s="706">
        <v>1265625</v>
      </c>
      <c r="P481" s="738">
        <v>0</v>
      </c>
      <c r="Q481" s="706">
        <v>0</v>
      </c>
      <c r="R481" s="705">
        <f t="shared" si="100"/>
        <v>1265625</v>
      </c>
      <c r="S481" s="706">
        <f t="shared" si="101"/>
        <v>12234375</v>
      </c>
    </row>
    <row r="482" spans="1:19" s="703" customFormat="1" ht="15.75" customHeight="1">
      <c r="A482" s="675"/>
      <c r="B482" s="675"/>
      <c r="C482" s="675"/>
      <c r="D482" s="538"/>
      <c r="E482" s="542"/>
      <c r="F482" s="467"/>
      <c r="G482" s="543"/>
      <c r="H482" s="790" t="s">
        <v>621</v>
      </c>
      <c r="I482" s="798" t="s">
        <v>690</v>
      </c>
      <c r="J482" s="430">
        <v>0.125</v>
      </c>
      <c r="K482" s="706">
        <v>79636363</v>
      </c>
      <c r="L482" s="706">
        <v>0</v>
      </c>
      <c r="M482" s="706">
        <v>0</v>
      </c>
      <c r="N482" s="705">
        <f t="shared" si="99"/>
        <v>79636363</v>
      </c>
      <c r="O482" s="706">
        <v>7465909.0312500009</v>
      </c>
      <c r="P482" s="738">
        <v>0</v>
      </c>
      <c r="Q482" s="706">
        <v>0</v>
      </c>
      <c r="R482" s="705">
        <f t="shared" si="100"/>
        <v>7465909.0312500009</v>
      </c>
      <c r="S482" s="706">
        <f t="shared" si="101"/>
        <v>72170453.96875</v>
      </c>
    </row>
    <row r="483" spans="1:19" s="703" customFormat="1" ht="15.75" customHeight="1">
      <c r="A483" s="675"/>
      <c r="B483" s="675"/>
      <c r="C483" s="675"/>
      <c r="D483" s="538"/>
      <c r="E483" s="542"/>
      <c r="F483" s="467"/>
      <c r="G483" s="543"/>
      <c r="H483" s="790" t="s">
        <v>622</v>
      </c>
      <c r="I483" s="798" t="s">
        <v>690</v>
      </c>
      <c r="J483" s="430">
        <v>0.125</v>
      </c>
      <c r="K483" s="706">
        <v>350363643</v>
      </c>
      <c r="L483" s="706">
        <v>0</v>
      </c>
      <c r="M483" s="706">
        <v>0</v>
      </c>
      <c r="N483" s="705">
        <f t="shared" si="99"/>
        <v>350363643</v>
      </c>
      <c r="O483" s="706">
        <v>32846591.53125</v>
      </c>
      <c r="P483" s="738">
        <v>0</v>
      </c>
      <c r="Q483" s="706">
        <v>0</v>
      </c>
      <c r="R483" s="705">
        <f t="shared" si="100"/>
        <v>32846591.53125</v>
      </c>
      <c r="S483" s="706">
        <f t="shared" si="101"/>
        <v>317517051.46875</v>
      </c>
    </row>
    <row r="484" spans="1:19" s="703" customFormat="1" ht="15.75" customHeight="1">
      <c r="A484" s="675"/>
      <c r="B484" s="675"/>
      <c r="C484" s="675"/>
      <c r="D484" s="538"/>
      <c r="E484" s="542"/>
      <c r="F484" s="467"/>
      <c r="G484" s="543"/>
      <c r="H484" s="790" t="s">
        <v>617</v>
      </c>
      <c r="I484" s="798" t="s">
        <v>690</v>
      </c>
      <c r="J484" s="430">
        <v>0.125</v>
      </c>
      <c r="K484" s="706">
        <v>84500000</v>
      </c>
      <c r="L484" s="706">
        <v>0</v>
      </c>
      <c r="M484" s="706">
        <v>0</v>
      </c>
      <c r="N484" s="705">
        <f t="shared" si="99"/>
        <v>84500000</v>
      </c>
      <c r="O484" s="706">
        <v>7921874.9999999991</v>
      </c>
      <c r="P484" s="738">
        <v>0</v>
      </c>
      <c r="Q484" s="706">
        <v>0</v>
      </c>
      <c r="R484" s="705">
        <f t="shared" si="100"/>
        <v>7921874.9999999991</v>
      </c>
      <c r="S484" s="706">
        <f t="shared" si="101"/>
        <v>76578125</v>
      </c>
    </row>
    <row r="485" spans="1:19" s="703" customFormat="1" ht="15.75" customHeight="1">
      <c r="A485" s="675"/>
      <c r="B485" s="675"/>
      <c r="C485" s="675"/>
      <c r="D485" s="538"/>
      <c r="E485" s="542"/>
      <c r="F485" s="467"/>
      <c r="G485" s="543"/>
      <c r="H485" s="790" t="s">
        <v>617</v>
      </c>
      <c r="I485" s="798" t="s">
        <v>691</v>
      </c>
      <c r="J485" s="430">
        <v>0.125</v>
      </c>
      <c r="K485" s="706">
        <v>58500000</v>
      </c>
      <c r="L485" s="706">
        <v>0</v>
      </c>
      <c r="M485" s="706">
        <v>0</v>
      </c>
      <c r="N485" s="705">
        <f t="shared" ref="N485:N504" si="102">K485+L485-M485</f>
        <v>58500000</v>
      </c>
      <c r="O485" s="706">
        <v>4875000</v>
      </c>
      <c r="P485" s="738">
        <v>0</v>
      </c>
      <c r="Q485" s="706">
        <v>0</v>
      </c>
      <c r="R485" s="705">
        <f t="shared" ref="R485:R503" si="103">O485+P485-Q485</f>
        <v>4875000</v>
      </c>
      <c r="S485" s="706">
        <f t="shared" ref="S485:S502" si="104">N485-R485</f>
        <v>53625000</v>
      </c>
    </row>
    <row r="486" spans="1:19" s="703" customFormat="1" ht="15.75" customHeight="1">
      <c r="A486" s="675"/>
      <c r="B486" s="675"/>
      <c r="C486" s="675"/>
      <c r="D486" s="538"/>
      <c r="E486" s="542"/>
      <c r="F486" s="467"/>
      <c r="G486" s="543"/>
      <c r="H486" s="790" t="s">
        <v>622</v>
      </c>
      <c r="I486" s="798" t="s">
        <v>691</v>
      </c>
      <c r="J486" s="430">
        <v>0.125</v>
      </c>
      <c r="K486" s="706">
        <v>320545392</v>
      </c>
      <c r="L486" s="706">
        <v>0</v>
      </c>
      <c r="M486" s="706">
        <v>0</v>
      </c>
      <c r="N486" s="705">
        <f t="shared" si="102"/>
        <v>320545392</v>
      </c>
      <c r="O486" s="706">
        <v>26712116</v>
      </c>
      <c r="P486" s="738">
        <v>0</v>
      </c>
      <c r="Q486" s="706">
        <v>0</v>
      </c>
      <c r="R486" s="705">
        <f t="shared" si="103"/>
        <v>26712116</v>
      </c>
      <c r="S486" s="706">
        <f t="shared" si="104"/>
        <v>293833276</v>
      </c>
    </row>
    <row r="487" spans="1:19" s="703" customFormat="1" ht="15.75" customHeight="1">
      <c r="A487" s="675"/>
      <c r="B487" s="675"/>
      <c r="C487" s="675"/>
      <c r="D487" s="538"/>
      <c r="E487" s="542"/>
      <c r="F487" s="467"/>
      <c r="G487" s="543"/>
      <c r="H487" s="790" t="s">
        <v>619</v>
      </c>
      <c r="I487" s="798" t="s">
        <v>691</v>
      </c>
      <c r="J487" s="430">
        <v>0.125</v>
      </c>
      <c r="K487" s="706">
        <v>43000001</v>
      </c>
      <c r="L487" s="706">
        <v>0</v>
      </c>
      <c r="M487" s="706">
        <v>0</v>
      </c>
      <c r="N487" s="705">
        <f t="shared" si="102"/>
        <v>43000001</v>
      </c>
      <c r="O487" s="706">
        <v>3583333.416666667</v>
      </c>
      <c r="P487" s="738">
        <v>0</v>
      </c>
      <c r="Q487" s="706">
        <v>0</v>
      </c>
      <c r="R487" s="705">
        <f t="shared" si="103"/>
        <v>3583333.416666667</v>
      </c>
      <c r="S487" s="706">
        <f t="shared" si="104"/>
        <v>39416667.583333336</v>
      </c>
    </row>
    <row r="488" spans="1:19" s="703" customFormat="1" ht="15.75" customHeight="1">
      <c r="A488" s="675"/>
      <c r="B488" s="675"/>
      <c r="C488" s="675"/>
      <c r="D488" s="538"/>
      <c r="E488" s="542"/>
      <c r="F488" s="467"/>
      <c r="G488" s="543"/>
      <c r="H488" s="790" t="s">
        <v>539</v>
      </c>
      <c r="I488" s="798" t="s">
        <v>692</v>
      </c>
      <c r="J488" s="430">
        <v>0.125</v>
      </c>
      <c r="K488" s="706">
        <v>24219000</v>
      </c>
      <c r="L488" s="706">
        <v>0</v>
      </c>
      <c r="M488" s="706">
        <v>0</v>
      </c>
      <c r="N488" s="705">
        <f t="shared" si="102"/>
        <v>24219000</v>
      </c>
      <c r="O488" s="706">
        <v>1765968.75</v>
      </c>
      <c r="P488" s="738">
        <v>0</v>
      </c>
      <c r="Q488" s="706">
        <v>0</v>
      </c>
      <c r="R488" s="705">
        <f t="shared" si="103"/>
        <v>1765968.75</v>
      </c>
      <c r="S488" s="706">
        <f t="shared" si="104"/>
        <v>22453031.25</v>
      </c>
    </row>
    <row r="489" spans="1:19" s="703" customFormat="1" ht="15.75" customHeight="1">
      <c r="A489" s="675"/>
      <c r="B489" s="675"/>
      <c r="C489" s="675"/>
      <c r="D489" s="538"/>
      <c r="E489" s="542"/>
      <c r="F489" s="467"/>
      <c r="G489" s="543"/>
      <c r="H489" s="790" t="s">
        <v>539</v>
      </c>
      <c r="I489" s="798" t="s">
        <v>693</v>
      </c>
      <c r="J489" s="430">
        <v>0.125</v>
      </c>
      <c r="K489" s="706">
        <v>106000000</v>
      </c>
      <c r="L489" s="706">
        <v>0</v>
      </c>
      <c r="M489" s="706">
        <v>0</v>
      </c>
      <c r="N489" s="705">
        <f t="shared" si="102"/>
        <v>106000000</v>
      </c>
      <c r="O489" s="706">
        <v>5520833.333333334</v>
      </c>
      <c r="P489" s="738">
        <v>0</v>
      </c>
      <c r="Q489" s="706">
        <v>0</v>
      </c>
      <c r="R489" s="705">
        <f t="shared" si="103"/>
        <v>5520833.333333334</v>
      </c>
      <c r="S489" s="706">
        <f t="shared" si="104"/>
        <v>100479166.66666667</v>
      </c>
    </row>
    <row r="490" spans="1:19" s="703" customFormat="1" ht="15.75" customHeight="1">
      <c r="A490" s="675"/>
      <c r="B490" s="675"/>
      <c r="C490" s="675"/>
      <c r="D490" s="538"/>
      <c r="E490" s="542"/>
      <c r="F490" s="467"/>
      <c r="G490" s="543"/>
      <c r="H490" s="790" t="s">
        <v>623</v>
      </c>
      <c r="I490" s="798" t="s">
        <v>694</v>
      </c>
      <c r="J490" s="430">
        <v>0.125</v>
      </c>
      <c r="K490" s="706">
        <v>225000000</v>
      </c>
      <c r="L490" s="706">
        <v>0</v>
      </c>
      <c r="M490" s="706">
        <v>0</v>
      </c>
      <c r="N490" s="705">
        <f t="shared" si="102"/>
        <v>225000000</v>
      </c>
      <c r="O490" s="706">
        <v>9375000</v>
      </c>
      <c r="P490" s="738">
        <v>0</v>
      </c>
      <c r="Q490" s="706">
        <v>0</v>
      </c>
      <c r="R490" s="705">
        <f t="shared" si="103"/>
        <v>9375000</v>
      </c>
      <c r="S490" s="706">
        <f t="shared" si="104"/>
        <v>215625000</v>
      </c>
    </row>
    <row r="491" spans="1:19" s="703" customFormat="1" ht="15.75" customHeight="1">
      <c r="A491" s="675"/>
      <c r="B491" s="675"/>
      <c r="C491" s="675"/>
      <c r="D491" s="538"/>
      <c r="E491" s="542"/>
      <c r="F491" s="467"/>
      <c r="G491" s="543"/>
      <c r="H491" s="790" t="s">
        <v>539</v>
      </c>
      <c r="I491" s="798" t="s">
        <v>694</v>
      </c>
      <c r="J491" s="430">
        <v>0.125</v>
      </c>
      <c r="K491" s="706">
        <v>204800000</v>
      </c>
      <c r="L491" s="706">
        <v>0</v>
      </c>
      <c r="M491" s="706">
        <v>0</v>
      </c>
      <c r="N491" s="705">
        <f t="shared" si="102"/>
        <v>204800000</v>
      </c>
      <c r="O491" s="706">
        <v>8533333.333333334</v>
      </c>
      <c r="P491" s="738">
        <v>0</v>
      </c>
      <c r="Q491" s="706">
        <v>0</v>
      </c>
      <c r="R491" s="705">
        <f t="shared" si="103"/>
        <v>8533333.333333334</v>
      </c>
      <c r="S491" s="706">
        <f t="shared" si="104"/>
        <v>196266666.66666666</v>
      </c>
    </row>
    <row r="492" spans="1:19" s="703" customFormat="1" ht="15.75" customHeight="1">
      <c r="A492" s="675"/>
      <c r="B492" s="675"/>
      <c r="C492" s="675"/>
      <c r="D492" s="538"/>
      <c r="E492" s="542"/>
      <c r="F492" s="467"/>
      <c r="G492" s="543"/>
      <c r="H492" s="790" t="s">
        <v>539</v>
      </c>
      <c r="I492" s="798" t="s">
        <v>694</v>
      </c>
      <c r="J492" s="430">
        <v>0.125</v>
      </c>
      <c r="K492" s="706">
        <v>39690000</v>
      </c>
      <c r="L492" s="706">
        <v>0</v>
      </c>
      <c r="M492" s="706">
        <v>0</v>
      </c>
      <c r="N492" s="705">
        <f t="shared" si="102"/>
        <v>39690000</v>
      </c>
      <c r="O492" s="706">
        <v>1653750</v>
      </c>
      <c r="P492" s="738">
        <v>0</v>
      </c>
      <c r="Q492" s="706">
        <v>0</v>
      </c>
      <c r="R492" s="705">
        <f t="shared" si="103"/>
        <v>1653750</v>
      </c>
      <c r="S492" s="706">
        <f t="shared" si="104"/>
        <v>38036250</v>
      </c>
    </row>
    <row r="493" spans="1:19" s="703" customFormat="1" ht="15.75" customHeight="1">
      <c r="A493" s="675"/>
      <c r="B493" s="675"/>
      <c r="C493" s="675"/>
      <c r="D493" s="538"/>
      <c r="E493" s="542"/>
      <c r="F493" s="467"/>
      <c r="G493" s="543"/>
      <c r="H493" s="790" t="s">
        <v>624</v>
      </c>
      <c r="I493" s="798" t="s">
        <v>430</v>
      </c>
      <c r="J493" s="430">
        <v>0.125</v>
      </c>
      <c r="K493" s="706">
        <v>265000000</v>
      </c>
      <c r="L493" s="706">
        <v>0</v>
      </c>
      <c r="M493" s="706">
        <v>0</v>
      </c>
      <c r="N493" s="705">
        <f t="shared" si="102"/>
        <v>265000000</v>
      </c>
      <c r="O493" s="706">
        <v>8281250</v>
      </c>
      <c r="P493" s="738">
        <v>0</v>
      </c>
      <c r="Q493" s="706">
        <v>0</v>
      </c>
      <c r="R493" s="705">
        <f t="shared" si="103"/>
        <v>8281250</v>
      </c>
      <c r="S493" s="706">
        <f t="shared" si="104"/>
        <v>256718750</v>
      </c>
    </row>
    <row r="494" spans="1:19" s="703" customFormat="1" ht="15.75" customHeight="1">
      <c r="A494" s="675"/>
      <c r="B494" s="675"/>
      <c r="C494" s="675"/>
      <c r="D494" s="538"/>
      <c r="E494" s="542"/>
      <c r="F494" s="467"/>
      <c r="G494" s="543"/>
      <c r="H494" s="790" t="s">
        <v>625</v>
      </c>
      <c r="I494" s="798" t="s">
        <v>430</v>
      </c>
      <c r="J494" s="430">
        <v>0.125</v>
      </c>
      <c r="K494" s="706">
        <v>21500000</v>
      </c>
      <c r="L494" s="706">
        <v>0</v>
      </c>
      <c r="M494" s="706">
        <v>0</v>
      </c>
      <c r="N494" s="705">
        <f t="shared" si="102"/>
        <v>21500000</v>
      </c>
      <c r="O494" s="706">
        <v>671875</v>
      </c>
      <c r="P494" s="738">
        <v>0</v>
      </c>
      <c r="Q494" s="706">
        <v>0</v>
      </c>
      <c r="R494" s="705">
        <f t="shared" si="103"/>
        <v>671875</v>
      </c>
      <c r="S494" s="706">
        <f t="shared" si="104"/>
        <v>20828125</v>
      </c>
    </row>
    <row r="495" spans="1:19" s="703" customFormat="1" ht="15.75" customHeight="1">
      <c r="A495" s="675"/>
      <c r="B495" s="675"/>
      <c r="C495" s="675"/>
      <c r="D495" s="538"/>
      <c r="E495" s="542"/>
      <c r="F495" s="467"/>
      <c r="G495" s="543"/>
      <c r="H495" s="790" t="s">
        <v>624</v>
      </c>
      <c r="I495" s="798" t="s">
        <v>430</v>
      </c>
      <c r="J495" s="430">
        <v>0.125</v>
      </c>
      <c r="K495" s="706">
        <v>26500000</v>
      </c>
      <c r="L495" s="706">
        <v>0</v>
      </c>
      <c r="M495" s="706">
        <v>0</v>
      </c>
      <c r="N495" s="705">
        <f t="shared" si="102"/>
        <v>26500000</v>
      </c>
      <c r="O495" s="706">
        <v>828125</v>
      </c>
      <c r="P495" s="738">
        <v>0</v>
      </c>
      <c r="Q495" s="706">
        <v>0</v>
      </c>
      <c r="R495" s="705">
        <f t="shared" si="103"/>
        <v>828125</v>
      </c>
      <c r="S495" s="706">
        <f t="shared" si="104"/>
        <v>25671875</v>
      </c>
    </row>
    <row r="496" spans="1:19" s="703" customFormat="1" ht="15.75" customHeight="1">
      <c r="A496" s="675"/>
      <c r="B496" s="675"/>
      <c r="C496" s="675"/>
      <c r="D496" s="538"/>
      <c r="E496" s="542"/>
      <c r="F496" s="467"/>
      <c r="G496" s="543"/>
      <c r="H496" s="790" t="s">
        <v>626</v>
      </c>
      <c r="I496" s="798" t="s">
        <v>430</v>
      </c>
      <c r="J496" s="430">
        <v>0.125</v>
      </c>
      <c r="K496" s="706">
        <v>76800000</v>
      </c>
      <c r="L496" s="706">
        <v>0</v>
      </c>
      <c r="M496" s="706">
        <v>0</v>
      </c>
      <c r="N496" s="705">
        <f t="shared" si="102"/>
        <v>76800000</v>
      </c>
      <c r="O496" s="706">
        <v>2400000</v>
      </c>
      <c r="P496" s="738">
        <v>0</v>
      </c>
      <c r="Q496" s="706">
        <v>0</v>
      </c>
      <c r="R496" s="705">
        <f t="shared" si="103"/>
        <v>2400000</v>
      </c>
      <c r="S496" s="706">
        <f t="shared" si="104"/>
        <v>74400000</v>
      </c>
    </row>
    <row r="497" spans="1:19" s="703" customFormat="1" ht="15.75" customHeight="1">
      <c r="A497" s="675"/>
      <c r="B497" s="675"/>
      <c r="C497" s="675"/>
      <c r="D497" s="538"/>
      <c r="E497" s="542"/>
      <c r="F497" s="467"/>
      <c r="G497" s="543"/>
      <c r="H497" s="790" t="s">
        <v>625</v>
      </c>
      <c r="I497" s="798" t="s">
        <v>430</v>
      </c>
      <c r="J497" s="430">
        <v>0.125</v>
      </c>
      <c r="K497" s="706">
        <v>64500000</v>
      </c>
      <c r="L497" s="706">
        <v>0</v>
      </c>
      <c r="M497" s="706">
        <v>0</v>
      </c>
      <c r="N497" s="705">
        <f t="shared" si="102"/>
        <v>64500000</v>
      </c>
      <c r="O497" s="706">
        <v>2015625</v>
      </c>
      <c r="P497" s="738">
        <v>0</v>
      </c>
      <c r="Q497" s="706">
        <v>0</v>
      </c>
      <c r="R497" s="705">
        <f t="shared" si="103"/>
        <v>2015625</v>
      </c>
      <c r="S497" s="706">
        <f t="shared" si="104"/>
        <v>62484375</v>
      </c>
    </row>
    <row r="498" spans="1:19" s="703" customFormat="1" ht="15.75" customHeight="1">
      <c r="A498" s="675"/>
      <c r="B498" s="675"/>
      <c r="C498" s="675"/>
      <c r="D498" s="538"/>
      <c r="E498" s="542"/>
      <c r="F498" s="467"/>
      <c r="G498" s="543"/>
      <c r="H498" s="790" t="s">
        <v>627</v>
      </c>
      <c r="I498" s="798" t="s">
        <v>430</v>
      </c>
      <c r="J498" s="430">
        <v>0.125</v>
      </c>
      <c r="K498" s="706">
        <v>60547500</v>
      </c>
      <c r="L498" s="706">
        <v>0</v>
      </c>
      <c r="M498" s="706">
        <v>0</v>
      </c>
      <c r="N498" s="705">
        <f t="shared" si="102"/>
        <v>60547500</v>
      </c>
      <c r="O498" s="706">
        <v>1892109.375</v>
      </c>
      <c r="P498" s="738">
        <v>0</v>
      </c>
      <c r="Q498" s="706">
        <v>0</v>
      </c>
      <c r="R498" s="705">
        <f t="shared" si="103"/>
        <v>1892109.375</v>
      </c>
      <c r="S498" s="706">
        <f t="shared" si="104"/>
        <v>58655390.625</v>
      </c>
    </row>
    <row r="499" spans="1:19" s="703" customFormat="1" ht="15.75" customHeight="1">
      <c r="A499" s="675"/>
      <c r="B499" s="675"/>
      <c r="C499" s="675"/>
      <c r="D499" s="538"/>
      <c r="E499" s="542"/>
      <c r="F499" s="467"/>
      <c r="G499" s="543"/>
      <c r="H499" s="790" t="s">
        <v>617</v>
      </c>
      <c r="I499" s="798" t="s">
        <v>430</v>
      </c>
      <c r="J499" s="430">
        <v>0.125</v>
      </c>
      <c r="K499" s="706">
        <v>51200000</v>
      </c>
      <c r="L499" s="706">
        <v>0</v>
      </c>
      <c r="M499" s="706">
        <v>0</v>
      </c>
      <c r="N499" s="705">
        <f t="shared" si="102"/>
        <v>51200000</v>
      </c>
      <c r="O499" s="706">
        <v>1600000</v>
      </c>
      <c r="P499" s="738">
        <v>0</v>
      </c>
      <c r="Q499" s="706">
        <v>0</v>
      </c>
      <c r="R499" s="705">
        <f t="shared" si="103"/>
        <v>1600000</v>
      </c>
      <c r="S499" s="706">
        <f t="shared" si="104"/>
        <v>49600000</v>
      </c>
    </row>
    <row r="500" spans="1:19" s="703" customFormat="1" ht="15.75" customHeight="1">
      <c r="A500" s="675"/>
      <c r="B500" s="675"/>
      <c r="C500" s="675"/>
      <c r="D500" s="538"/>
      <c r="E500" s="542"/>
      <c r="F500" s="467"/>
      <c r="G500" s="543"/>
      <c r="H500" s="790" t="s">
        <v>628</v>
      </c>
      <c r="I500" s="798" t="s">
        <v>430</v>
      </c>
      <c r="J500" s="430">
        <v>0.125</v>
      </c>
      <c r="K500" s="706">
        <v>242937500</v>
      </c>
      <c r="L500" s="706">
        <v>0</v>
      </c>
      <c r="M500" s="706">
        <v>0</v>
      </c>
      <c r="N500" s="705">
        <f t="shared" si="102"/>
        <v>242937500</v>
      </c>
      <c r="O500" s="706">
        <v>7591796.875</v>
      </c>
      <c r="P500" s="738">
        <v>0</v>
      </c>
      <c r="Q500" s="706">
        <v>0</v>
      </c>
      <c r="R500" s="705">
        <f t="shared" si="103"/>
        <v>7591796.875</v>
      </c>
      <c r="S500" s="706">
        <f t="shared" si="104"/>
        <v>235345703.125</v>
      </c>
    </row>
    <row r="501" spans="1:19" s="703" customFormat="1" ht="15.75" customHeight="1">
      <c r="A501" s="675"/>
      <c r="B501" s="675"/>
      <c r="C501" s="675"/>
      <c r="D501" s="538"/>
      <c r="E501" s="542"/>
      <c r="F501" s="467"/>
      <c r="G501" s="543"/>
      <c r="H501" s="790" t="s">
        <v>628</v>
      </c>
      <c r="I501" s="798" t="s">
        <v>430</v>
      </c>
      <c r="J501" s="430">
        <v>0.125</v>
      </c>
      <c r="K501" s="706">
        <v>242937500</v>
      </c>
      <c r="L501" s="706">
        <v>0</v>
      </c>
      <c r="M501" s="706">
        <v>0</v>
      </c>
      <c r="N501" s="705">
        <f t="shared" si="102"/>
        <v>242937500</v>
      </c>
      <c r="O501" s="706">
        <v>7591796.875</v>
      </c>
      <c r="P501" s="738">
        <v>0</v>
      </c>
      <c r="Q501" s="706">
        <v>0</v>
      </c>
      <c r="R501" s="705">
        <f t="shared" si="103"/>
        <v>7591796.875</v>
      </c>
      <c r="S501" s="706">
        <f t="shared" si="104"/>
        <v>235345703.125</v>
      </c>
    </row>
    <row r="502" spans="1:19" s="703" customFormat="1" ht="15.75" customHeight="1">
      <c r="A502" s="675"/>
      <c r="B502" s="675"/>
      <c r="C502" s="675"/>
      <c r="D502" s="538"/>
      <c r="E502" s="542"/>
      <c r="F502" s="467"/>
      <c r="G502" s="543"/>
      <c r="H502" s="790" t="s">
        <v>629</v>
      </c>
      <c r="I502" s="798" t="s">
        <v>431</v>
      </c>
      <c r="J502" s="430">
        <v>0.125</v>
      </c>
      <c r="K502" s="706">
        <v>400480000</v>
      </c>
      <c r="L502" s="706">
        <v>0</v>
      </c>
      <c r="M502" s="706">
        <v>0</v>
      </c>
      <c r="N502" s="705">
        <f t="shared" si="102"/>
        <v>400480000</v>
      </c>
      <c r="O502" s="706">
        <v>12515000</v>
      </c>
      <c r="P502" s="738">
        <v>0</v>
      </c>
      <c r="Q502" s="706">
        <v>0</v>
      </c>
      <c r="R502" s="705">
        <f t="shared" si="103"/>
        <v>12515000</v>
      </c>
      <c r="S502" s="706">
        <f t="shared" si="104"/>
        <v>387965000</v>
      </c>
    </row>
    <row r="503" spans="1:19" s="703" customFormat="1" ht="15.75" customHeight="1">
      <c r="A503" s="675"/>
      <c r="B503" s="675"/>
      <c r="C503" s="675"/>
      <c r="D503" s="538"/>
      <c r="E503" s="539"/>
      <c r="F503" s="547"/>
      <c r="G503" s="548"/>
      <c r="H503" s="743" t="s">
        <v>630</v>
      </c>
      <c r="I503" s="820" t="s">
        <v>431</v>
      </c>
      <c r="J503" s="821">
        <v>0.125</v>
      </c>
      <c r="K503" s="706">
        <v>12910400</v>
      </c>
      <c r="L503" s="706">
        <v>0</v>
      </c>
      <c r="M503" s="706">
        <v>0</v>
      </c>
      <c r="N503" s="705">
        <f t="shared" si="102"/>
        <v>12910400</v>
      </c>
      <c r="O503" s="706">
        <v>403450</v>
      </c>
      <c r="P503" s="738">
        <v>0</v>
      </c>
      <c r="Q503" s="706">
        <v>0</v>
      </c>
      <c r="R503" s="705">
        <f t="shared" si="103"/>
        <v>403450</v>
      </c>
      <c r="S503" s="706">
        <f>N503-R503</f>
        <v>12506950</v>
      </c>
    </row>
    <row r="504" spans="1:19" s="703" customFormat="1" ht="15.75" customHeight="1">
      <c r="A504" s="675"/>
      <c r="B504" s="675"/>
      <c r="C504" s="675"/>
      <c r="D504" s="538"/>
      <c r="E504" s="539"/>
      <c r="F504" s="627"/>
      <c r="G504" s="822"/>
      <c r="H504" s="743" t="s">
        <v>631</v>
      </c>
      <c r="I504" s="820" t="s">
        <v>695</v>
      </c>
      <c r="J504" s="823">
        <v>0.125</v>
      </c>
      <c r="K504" s="709"/>
      <c r="L504" s="709">
        <v>16929730</v>
      </c>
      <c r="M504" s="709"/>
      <c r="N504" s="705">
        <f t="shared" si="102"/>
        <v>16929730</v>
      </c>
      <c r="O504" s="709"/>
      <c r="P504" s="706">
        <f>N504*J504/12*9</f>
        <v>1587162.1875</v>
      </c>
      <c r="Q504" s="706">
        <v>0</v>
      </c>
      <c r="R504" s="705">
        <f>O504+P504-Q504</f>
        <v>1587162.1875</v>
      </c>
      <c r="S504" s="706">
        <f>N504-R504</f>
        <v>15342567.8125</v>
      </c>
    </row>
    <row r="505" spans="1:19" s="703" customFormat="1" ht="15.75" customHeight="1">
      <c r="A505" s="675"/>
      <c r="B505" s="675"/>
      <c r="C505" s="675"/>
      <c r="D505" s="538"/>
      <c r="E505" s="539"/>
      <c r="F505" s="627"/>
      <c r="G505" s="822"/>
      <c r="H505" s="743"/>
      <c r="I505" s="820"/>
      <c r="J505" s="823"/>
      <c r="K505" s="709"/>
      <c r="L505" s="709"/>
      <c r="M505" s="709"/>
      <c r="N505" s="709"/>
      <c r="O505" s="709"/>
      <c r="P505" s="709"/>
      <c r="Q505" s="709"/>
      <c r="R505" s="709"/>
      <c r="S505" s="709"/>
    </row>
    <row r="506" spans="1:19" ht="15.75" customHeight="1">
      <c r="A506" s="675" t="s">
        <v>938</v>
      </c>
      <c r="D506" s="309"/>
      <c r="E506" s="1235" t="s">
        <v>1012</v>
      </c>
      <c r="F506" s="1236"/>
      <c r="G506" s="1236"/>
      <c r="H506" s="1236"/>
      <c r="I506" s="1236"/>
      <c r="J506" s="1237"/>
      <c r="K506" s="708">
        <f>SUM(K357:K505)</f>
        <v>14121801887.48</v>
      </c>
      <c r="L506" s="708">
        <f t="shared" ref="L506:S506" si="105">SUM(L357:L505)</f>
        <v>16929730</v>
      </c>
      <c r="M506" s="708">
        <f t="shared" si="105"/>
        <v>0</v>
      </c>
      <c r="N506" s="708">
        <f t="shared" si="105"/>
        <v>14138731617.48</v>
      </c>
      <c r="O506" s="708">
        <f t="shared" si="105"/>
        <v>3000704395.2041683</v>
      </c>
      <c r="P506" s="708">
        <f t="shared" si="105"/>
        <v>1587162.1875</v>
      </c>
      <c r="Q506" s="708">
        <f t="shared" si="105"/>
        <v>0</v>
      </c>
      <c r="R506" s="708">
        <f t="shared" si="105"/>
        <v>3002291557.3916683</v>
      </c>
      <c r="S506" s="708">
        <f t="shared" si="105"/>
        <v>11136440060.088335</v>
      </c>
    </row>
    <row r="507" spans="1:19" ht="15.75" customHeight="1">
      <c r="D507" s="387"/>
      <c r="E507" s="324"/>
      <c r="F507" s="330"/>
      <c r="G507" s="721"/>
      <c r="H507" s="715"/>
      <c r="I507" s="716"/>
      <c r="J507" s="393"/>
      <c r="K507" s="705"/>
      <c r="L507" s="706"/>
      <c r="M507" s="706"/>
      <c r="N507" s="705"/>
      <c r="O507" s="705"/>
      <c r="P507" s="706"/>
      <c r="Q507" s="705"/>
      <c r="R507" s="705"/>
      <c r="S507" s="705"/>
    </row>
    <row r="508" spans="1:19" ht="15.75" customHeight="1">
      <c r="A508" s="675" t="s">
        <v>944</v>
      </c>
      <c r="D508" s="309"/>
      <c r="E508" s="316" t="s">
        <v>1013</v>
      </c>
      <c r="F508" s="703" t="s">
        <v>632</v>
      </c>
      <c r="G508" s="311"/>
      <c r="H508" s="312"/>
      <c r="I508" s="537"/>
      <c r="J508" s="393"/>
      <c r="K508" s="712"/>
      <c r="L508" s="712"/>
      <c r="M508" s="712"/>
      <c r="N508" s="712"/>
      <c r="O508" s="712"/>
      <c r="P508" s="712"/>
      <c r="Q508" s="712"/>
      <c r="R508" s="712"/>
      <c r="S508" s="712"/>
    </row>
    <row r="509" spans="1:19" ht="15.75" customHeight="1">
      <c r="A509" s="675" t="s">
        <v>944</v>
      </c>
      <c r="D509" s="538"/>
      <c r="E509" s="539"/>
      <c r="F509" s="466"/>
      <c r="G509" s="540"/>
      <c r="H509" s="715" t="s">
        <v>633</v>
      </c>
      <c r="I509" s="716">
        <v>2010</v>
      </c>
      <c r="J509" s="430">
        <v>0.125</v>
      </c>
      <c r="K509" s="706">
        <v>12100000</v>
      </c>
      <c r="L509" s="706">
        <v>0</v>
      </c>
      <c r="M509" s="706">
        <v>0</v>
      </c>
      <c r="N509" s="705">
        <f t="shared" ref="N509:N572" si="106">K509+L509-M509</f>
        <v>12100000</v>
      </c>
      <c r="O509" s="705">
        <v>9075000.0000000056</v>
      </c>
      <c r="P509" s="706">
        <f>N509*J509</f>
        <v>1512500</v>
      </c>
      <c r="Q509" s="706">
        <v>0</v>
      </c>
      <c r="R509" s="705">
        <f>O509+P509-Q509</f>
        <v>10587500.000000006</v>
      </c>
      <c r="S509" s="706">
        <f t="shared" ref="S509:S572" si="107">N509-R509</f>
        <v>1512499.9999999944</v>
      </c>
    </row>
    <row r="510" spans="1:19" ht="15.75" customHeight="1">
      <c r="A510" s="675" t="s">
        <v>944</v>
      </c>
      <c r="D510" s="538"/>
      <c r="E510" s="539"/>
      <c r="F510" s="466"/>
      <c r="G510" s="540"/>
      <c r="H510" s="715" t="s">
        <v>613</v>
      </c>
      <c r="I510" s="716">
        <v>2010</v>
      </c>
      <c r="J510" s="430">
        <v>0.125</v>
      </c>
      <c r="K510" s="706">
        <v>147100000</v>
      </c>
      <c r="L510" s="706">
        <v>0</v>
      </c>
      <c r="M510" s="706">
        <v>0</v>
      </c>
      <c r="N510" s="705">
        <f t="shared" si="106"/>
        <v>147100000</v>
      </c>
      <c r="O510" s="705">
        <v>110325000.0000001</v>
      </c>
      <c r="P510" s="706">
        <f t="shared" ref="P510:P573" si="108">N510*J510</f>
        <v>18387500</v>
      </c>
      <c r="Q510" s="706">
        <v>0</v>
      </c>
      <c r="R510" s="705">
        <f t="shared" ref="R510:R573" si="109">O510+P510-Q510</f>
        <v>128712500.0000001</v>
      </c>
      <c r="S510" s="706">
        <f t="shared" si="107"/>
        <v>18387499.999999896</v>
      </c>
    </row>
    <row r="511" spans="1:19" ht="15.75" customHeight="1">
      <c r="A511" s="675" t="s">
        <v>944</v>
      </c>
      <c r="D511" s="538"/>
      <c r="E511" s="539"/>
      <c r="F511" s="466"/>
      <c r="G511" s="540"/>
      <c r="H511" s="715" t="s">
        <v>539</v>
      </c>
      <c r="I511" s="716">
        <v>2010</v>
      </c>
      <c r="J511" s="430">
        <v>0.125</v>
      </c>
      <c r="K511" s="706">
        <v>370200000</v>
      </c>
      <c r="L511" s="706">
        <v>0</v>
      </c>
      <c r="M511" s="706">
        <v>0</v>
      </c>
      <c r="N511" s="705">
        <f t="shared" si="106"/>
        <v>370200000</v>
      </c>
      <c r="O511" s="705">
        <v>277650000</v>
      </c>
      <c r="P511" s="706">
        <f t="shared" si="108"/>
        <v>46275000</v>
      </c>
      <c r="Q511" s="706">
        <v>0</v>
      </c>
      <c r="R511" s="705">
        <f t="shared" si="109"/>
        <v>323925000</v>
      </c>
      <c r="S511" s="706">
        <f t="shared" si="107"/>
        <v>46275000</v>
      </c>
    </row>
    <row r="512" spans="1:19" ht="15.75" customHeight="1">
      <c r="A512" s="675" t="s">
        <v>944</v>
      </c>
      <c r="D512" s="538"/>
      <c r="E512" s="539"/>
      <c r="F512" s="466"/>
      <c r="G512" s="540"/>
      <c r="H512" s="715" t="s">
        <v>634</v>
      </c>
      <c r="I512" s="716">
        <v>2010</v>
      </c>
      <c r="J512" s="430">
        <v>0.125</v>
      </c>
      <c r="K512" s="706">
        <v>287300000</v>
      </c>
      <c r="L512" s="706">
        <v>0</v>
      </c>
      <c r="M512" s="706">
        <v>0</v>
      </c>
      <c r="N512" s="705">
        <f t="shared" si="106"/>
        <v>287300000</v>
      </c>
      <c r="O512" s="705">
        <v>215475000.00000018</v>
      </c>
      <c r="P512" s="706">
        <f t="shared" si="108"/>
        <v>35912500</v>
      </c>
      <c r="Q512" s="706">
        <v>0</v>
      </c>
      <c r="R512" s="705">
        <f t="shared" si="109"/>
        <v>251387500.00000018</v>
      </c>
      <c r="S512" s="706">
        <f t="shared" si="107"/>
        <v>35912499.999999821</v>
      </c>
    </row>
    <row r="513" spans="1:19" ht="15.75" customHeight="1">
      <c r="A513" s="675" t="s">
        <v>944</v>
      </c>
      <c r="D513" s="538"/>
      <c r="E513" s="539"/>
      <c r="F513" s="466"/>
      <c r="G513" s="540"/>
      <c r="H513" s="715" t="s">
        <v>526</v>
      </c>
      <c r="I513" s="716">
        <v>2010</v>
      </c>
      <c r="J513" s="430">
        <v>0.125</v>
      </c>
      <c r="K513" s="706">
        <v>157300000</v>
      </c>
      <c r="L513" s="706">
        <v>0</v>
      </c>
      <c r="M513" s="706">
        <v>0</v>
      </c>
      <c r="N513" s="705">
        <f t="shared" si="106"/>
        <v>157300000</v>
      </c>
      <c r="O513" s="705">
        <v>117975000.00000012</v>
      </c>
      <c r="P513" s="706">
        <f t="shared" si="108"/>
        <v>19662500</v>
      </c>
      <c r="Q513" s="706">
        <v>0</v>
      </c>
      <c r="R513" s="705">
        <f t="shared" si="109"/>
        <v>137637500.00000012</v>
      </c>
      <c r="S513" s="706">
        <f t="shared" si="107"/>
        <v>19662499.999999881</v>
      </c>
    </row>
    <row r="514" spans="1:19" ht="15.75" customHeight="1">
      <c r="A514" s="675" t="s">
        <v>944</v>
      </c>
      <c r="D514" s="538"/>
      <c r="E514" s="539"/>
      <c r="F514" s="466"/>
      <c r="G514" s="540"/>
      <c r="H514" s="715" t="s">
        <v>635</v>
      </c>
      <c r="I514" s="716">
        <v>2010</v>
      </c>
      <c r="J514" s="430">
        <v>0.125</v>
      </c>
      <c r="K514" s="706">
        <v>952000000</v>
      </c>
      <c r="L514" s="706">
        <v>0</v>
      </c>
      <c r="M514" s="706">
        <v>0</v>
      </c>
      <c r="N514" s="705">
        <f t="shared" si="106"/>
        <v>952000000</v>
      </c>
      <c r="O514" s="705">
        <v>713999999.99999976</v>
      </c>
      <c r="P514" s="706">
        <f t="shared" si="108"/>
        <v>119000000</v>
      </c>
      <c r="Q514" s="706">
        <v>0</v>
      </c>
      <c r="R514" s="705">
        <f t="shared" si="109"/>
        <v>832999999.99999976</v>
      </c>
      <c r="S514" s="706">
        <f t="shared" si="107"/>
        <v>119000000.00000024</v>
      </c>
    </row>
    <row r="515" spans="1:19" ht="15.75" customHeight="1">
      <c r="A515" s="675" t="s">
        <v>944</v>
      </c>
      <c r="D515" s="538"/>
      <c r="E515" s="539"/>
      <c r="F515" s="466"/>
      <c r="G515" s="540"/>
      <c r="H515" s="715" t="s">
        <v>636</v>
      </c>
      <c r="I515" s="716">
        <v>2010</v>
      </c>
      <c r="J515" s="430">
        <v>0.125</v>
      </c>
      <c r="K515" s="706">
        <v>11700000</v>
      </c>
      <c r="L515" s="706">
        <v>0</v>
      </c>
      <c r="M515" s="706">
        <v>0</v>
      </c>
      <c r="N515" s="705">
        <f t="shared" si="106"/>
        <v>11700000</v>
      </c>
      <c r="O515" s="705">
        <v>8775000</v>
      </c>
      <c r="P515" s="706">
        <f t="shared" si="108"/>
        <v>1462500</v>
      </c>
      <c r="Q515" s="706">
        <v>0</v>
      </c>
      <c r="R515" s="705">
        <f t="shared" si="109"/>
        <v>10237500</v>
      </c>
      <c r="S515" s="706">
        <f t="shared" si="107"/>
        <v>1462500</v>
      </c>
    </row>
    <row r="516" spans="1:19" ht="15.75" customHeight="1">
      <c r="A516" s="675" t="s">
        <v>944</v>
      </c>
      <c r="D516" s="538"/>
      <c r="E516" s="539"/>
      <c r="F516" s="466"/>
      <c r="G516" s="540"/>
      <c r="H516" s="715" t="s">
        <v>637</v>
      </c>
      <c r="I516" s="716">
        <v>2010</v>
      </c>
      <c r="J516" s="430">
        <v>0.125</v>
      </c>
      <c r="K516" s="706">
        <v>93900000</v>
      </c>
      <c r="L516" s="706">
        <v>0</v>
      </c>
      <c r="M516" s="706">
        <v>0</v>
      </c>
      <c r="N516" s="705">
        <f t="shared" si="106"/>
        <v>93900000</v>
      </c>
      <c r="O516" s="705">
        <v>70425000</v>
      </c>
      <c r="P516" s="706">
        <f t="shared" si="108"/>
        <v>11737500</v>
      </c>
      <c r="Q516" s="706">
        <v>0</v>
      </c>
      <c r="R516" s="705">
        <f t="shared" si="109"/>
        <v>82162500</v>
      </c>
      <c r="S516" s="706">
        <f t="shared" si="107"/>
        <v>11737500</v>
      </c>
    </row>
    <row r="517" spans="1:19" ht="15.75" customHeight="1">
      <c r="A517" s="675" t="s">
        <v>944</v>
      </c>
      <c r="D517" s="538"/>
      <c r="E517" s="539"/>
      <c r="F517" s="466"/>
      <c r="G517" s="540"/>
      <c r="H517" s="715" t="s">
        <v>638</v>
      </c>
      <c r="I517" s="716">
        <v>2010</v>
      </c>
      <c r="J517" s="430">
        <v>0.125</v>
      </c>
      <c r="K517" s="706">
        <v>5900000</v>
      </c>
      <c r="L517" s="706">
        <v>0</v>
      </c>
      <c r="M517" s="706">
        <v>0</v>
      </c>
      <c r="N517" s="705">
        <f t="shared" si="106"/>
        <v>5900000</v>
      </c>
      <c r="O517" s="705">
        <v>4425000.0000000028</v>
      </c>
      <c r="P517" s="706">
        <f t="shared" si="108"/>
        <v>737500</v>
      </c>
      <c r="Q517" s="706">
        <v>0</v>
      </c>
      <c r="R517" s="705">
        <f t="shared" si="109"/>
        <v>5162500.0000000028</v>
      </c>
      <c r="S517" s="706">
        <f t="shared" si="107"/>
        <v>737499.99999999721</v>
      </c>
    </row>
    <row r="518" spans="1:19" ht="15.75" customHeight="1">
      <c r="A518" s="675" t="s">
        <v>944</v>
      </c>
      <c r="D518" s="538"/>
      <c r="E518" s="539"/>
      <c r="F518" s="466"/>
      <c r="G518" s="540"/>
      <c r="H518" s="715" t="s">
        <v>639</v>
      </c>
      <c r="I518" s="716">
        <v>2010</v>
      </c>
      <c r="J518" s="430">
        <v>0.125</v>
      </c>
      <c r="K518" s="706">
        <v>410000000</v>
      </c>
      <c r="L518" s="706">
        <v>0</v>
      </c>
      <c r="M518" s="706">
        <v>0</v>
      </c>
      <c r="N518" s="705">
        <f t="shared" si="106"/>
        <v>410000000</v>
      </c>
      <c r="O518" s="705">
        <v>307500000.00000006</v>
      </c>
      <c r="P518" s="706">
        <f t="shared" si="108"/>
        <v>51250000</v>
      </c>
      <c r="Q518" s="706">
        <v>0</v>
      </c>
      <c r="R518" s="705">
        <f t="shared" si="109"/>
        <v>358750000.00000006</v>
      </c>
      <c r="S518" s="706">
        <f t="shared" si="107"/>
        <v>51249999.99999994</v>
      </c>
    </row>
    <row r="519" spans="1:19" ht="15.75" customHeight="1">
      <c r="A519" s="675" t="s">
        <v>944</v>
      </c>
      <c r="D519" s="538"/>
      <c r="E519" s="539"/>
      <c r="F519" s="466"/>
      <c r="G519" s="540"/>
      <c r="H519" s="715" t="s">
        <v>640</v>
      </c>
      <c r="I519" s="716">
        <v>2010</v>
      </c>
      <c r="J519" s="430">
        <v>0.125</v>
      </c>
      <c r="K519" s="706">
        <v>44300000</v>
      </c>
      <c r="L519" s="706">
        <v>0</v>
      </c>
      <c r="M519" s="706">
        <v>0</v>
      </c>
      <c r="N519" s="705">
        <f t="shared" si="106"/>
        <v>44300000</v>
      </c>
      <c r="O519" s="705">
        <v>33224999.999999966</v>
      </c>
      <c r="P519" s="706">
        <f t="shared" si="108"/>
        <v>5537500</v>
      </c>
      <c r="Q519" s="706">
        <v>0</v>
      </c>
      <c r="R519" s="705">
        <f t="shared" si="109"/>
        <v>38762499.99999997</v>
      </c>
      <c r="S519" s="706">
        <f t="shared" si="107"/>
        <v>5537500.0000000298</v>
      </c>
    </row>
    <row r="520" spans="1:19" ht="15.75" customHeight="1">
      <c r="A520" s="675" t="s">
        <v>944</v>
      </c>
      <c r="D520" s="538"/>
      <c r="E520" s="539"/>
      <c r="F520" s="466"/>
      <c r="G520" s="540"/>
      <c r="H520" s="715" t="s">
        <v>641</v>
      </c>
      <c r="I520" s="716">
        <v>2010</v>
      </c>
      <c r="J520" s="430">
        <v>0.125</v>
      </c>
      <c r="K520" s="706">
        <v>128200000</v>
      </c>
      <c r="L520" s="706">
        <v>0</v>
      </c>
      <c r="M520" s="706">
        <v>0</v>
      </c>
      <c r="N520" s="705">
        <f t="shared" si="106"/>
        <v>128200000</v>
      </c>
      <c r="O520" s="705">
        <v>96150000.00000006</v>
      </c>
      <c r="P520" s="706">
        <f t="shared" si="108"/>
        <v>16025000</v>
      </c>
      <c r="Q520" s="706">
        <v>0</v>
      </c>
      <c r="R520" s="705">
        <f t="shared" si="109"/>
        <v>112175000.00000006</v>
      </c>
      <c r="S520" s="706">
        <f t="shared" si="107"/>
        <v>16024999.99999994</v>
      </c>
    </row>
    <row r="521" spans="1:19" ht="15.75" customHeight="1">
      <c r="A521" s="675" t="s">
        <v>944</v>
      </c>
      <c r="D521" s="538"/>
      <c r="E521" s="539"/>
      <c r="F521" s="466"/>
      <c r="G521" s="540"/>
      <c r="H521" s="715" t="s">
        <v>642</v>
      </c>
      <c r="I521" s="716">
        <v>2010</v>
      </c>
      <c r="J521" s="430">
        <v>0.125</v>
      </c>
      <c r="K521" s="706">
        <v>64900000</v>
      </c>
      <c r="L521" s="706">
        <v>0</v>
      </c>
      <c r="M521" s="706">
        <v>0</v>
      </c>
      <c r="N521" s="705">
        <f t="shared" si="106"/>
        <v>64900000</v>
      </c>
      <c r="O521" s="705">
        <v>48674999.99999997</v>
      </c>
      <c r="P521" s="706">
        <f t="shared" si="108"/>
        <v>8112500</v>
      </c>
      <c r="Q521" s="706">
        <v>0</v>
      </c>
      <c r="R521" s="705">
        <f t="shared" si="109"/>
        <v>56787499.99999997</v>
      </c>
      <c r="S521" s="706">
        <f t="shared" si="107"/>
        <v>8112500.0000000298</v>
      </c>
    </row>
    <row r="522" spans="1:19" ht="15.75" customHeight="1">
      <c r="A522" s="675" t="s">
        <v>944</v>
      </c>
      <c r="D522" s="538"/>
      <c r="E522" s="539"/>
      <c r="F522" s="466"/>
      <c r="G522" s="540"/>
      <c r="H522" s="715" t="s">
        <v>643</v>
      </c>
      <c r="I522" s="716">
        <v>2010</v>
      </c>
      <c r="J522" s="430">
        <v>0.125</v>
      </c>
      <c r="K522" s="706">
        <v>19200000</v>
      </c>
      <c r="L522" s="706">
        <v>0</v>
      </c>
      <c r="M522" s="706">
        <v>0</v>
      </c>
      <c r="N522" s="705">
        <f t="shared" si="106"/>
        <v>19200000</v>
      </c>
      <c r="O522" s="705">
        <v>14400000</v>
      </c>
      <c r="P522" s="706">
        <f t="shared" si="108"/>
        <v>2400000</v>
      </c>
      <c r="Q522" s="706">
        <v>0</v>
      </c>
      <c r="R522" s="705">
        <f t="shared" si="109"/>
        <v>16800000</v>
      </c>
      <c r="S522" s="706">
        <f t="shared" si="107"/>
        <v>2400000</v>
      </c>
    </row>
    <row r="523" spans="1:19" ht="15.75" customHeight="1">
      <c r="A523" s="675" t="s">
        <v>944</v>
      </c>
      <c r="D523" s="538"/>
      <c r="E523" s="539"/>
      <c r="F523" s="466"/>
      <c r="G523" s="540"/>
      <c r="H523" s="715" t="s">
        <v>644</v>
      </c>
      <c r="I523" s="716">
        <v>2010</v>
      </c>
      <c r="J523" s="430">
        <v>0.125</v>
      </c>
      <c r="K523" s="706">
        <v>3300000</v>
      </c>
      <c r="L523" s="706">
        <v>0</v>
      </c>
      <c r="M523" s="706">
        <v>0</v>
      </c>
      <c r="N523" s="705">
        <f t="shared" si="106"/>
        <v>3300000</v>
      </c>
      <c r="O523" s="705">
        <v>2475000</v>
      </c>
      <c r="P523" s="706">
        <f t="shared" si="108"/>
        <v>412500</v>
      </c>
      <c r="Q523" s="706">
        <v>0</v>
      </c>
      <c r="R523" s="705">
        <f t="shared" si="109"/>
        <v>2887500</v>
      </c>
      <c r="S523" s="706">
        <f t="shared" si="107"/>
        <v>412500</v>
      </c>
    </row>
    <row r="524" spans="1:19" ht="15.75" customHeight="1">
      <c r="A524" s="675" t="s">
        <v>944</v>
      </c>
      <c r="D524" s="538"/>
      <c r="E524" s="539"/>
      <c r="F524" s="466"/>
      <c r="G524" s="540"/>
      <c r="H524" s="715" t="s">
        <v>645</v>
      </c>
      <c r="I524" s="716">
        <v>2010</v>
      </c>
      <c r="J524" s="430">
        <v>0.125</v>
      </c>
      <c r="K524" s="706">
        <v>310000000</v>
      </c>
      <c r="L524" s="706">
        <v>0</v>
      </c>
      <c r="M524" s="706">
        <v>0</v>
      </c>
      <c r="N524" s="705">
        <f t="shared" si="106"/>
        <v>310000000</v>
      </c>
      <c r="O524" s="705">
        <v>232499999.99999979</v>
      </c>
      <c r="P524" s="706">
        <f t="shared" si="108"/>
        <v>38750000</v>
      </c>
      <c r="Q524" s="706">
        <v>0</v>
      </c>
      <c r="R524" s="705">
        <f t="shared" si="109"/>
        <v>271249999.99999976</v>
      </c>
      <c r="S524" s="706">
        <f t="shared" si="107"/>
        <v>38750000.000000238</v>
      </c>
    </row>
    <row r="525" spans="1:19" ht="15.75" customHeight="1">
      <c r="A525" s="675" t="s">
        <v>944</v>
      </c>
      <c r="D525" s="538"/>
      <c r="E525" s="539"/>
      <c r="F525" s="466"/>
      <c r="G525" s="540"/>
      <c r="H525" s="715" t="s">
        <v>412</v>
      </c>
      <c r="I525" s="716">
        <v>2010</v>
      </c>
      <c r="J525" s="430">
        <v>0.125</v>
      </c>
      <c r="K525" s="706">
        <v>9400000</v>
      </c>
      <c r="L525" s="706">
        <v>0</v>
      </c>
      <c r="M525" s="706">
        <v>0</v>
      </c>
      <c r="N525" s="705">
        <f t="shared" si="106"/>
        <v>9400000</v>
      </c>
      <c r="O525" s="705">
        <v>7050000.0000000065</v>
      </c>
      <c r="P525" s="706">
        <f t="shared" si="108"/>
        <v>1175000</v>
      </c>
      <c r="Q525" s="706">
        <v>0</v>
      </c>
      <c r="R525" s="705">
        <f t="shared" si="109"/>
        <v>8225000.0000000065</v>
      </c>
      <c r="S525" s="706">
        <f t="shared" si="107"/>
        <v>1174999.9999999935</v>
      </c>
    </row>
    <row r="526" spans="1:19" ht="15.75" customHeight="1">
      <c r="A526" s="675" t="s">
        <v>944</v>
      </c>
      <c r="D526" s="538"/>
      <c r="E526" s="539"/>
      <c r="F526" s="466"/>
      <c r="G526" s="540"/>
      <c r="H526" s="715" t="s">
        <v>646</v>
      </c>
      <c r="I526" s="716">
        <v>2010</v>
      </c>
      <c r="J526" s="430">
        <v>0.125</v>
      </c>
      <c r="K526" s="706">
        <v>332800000</v>
      </c>
      <c r="L526" s="706">
        <v>0</v>
      </c>
      <c r="M526" s="706">
        <v>0</v>
      </c>
      <c r="N526" s="705">
        <f t="shared" si="106"/>
        <v>332800000</v>
      </c>
      <c r="O526" s="705">
        <v>249599999.99999973</v>
      </c>
      <c r="P526" s="706">
        <f t="shared" si="108"/>
        <v>41600000</v>
      </c>
      <c r="Q526" s="706">
        <v>0</v>
      </c>
      <c r="R526" s="705">
        <f t="shared" si="109"/>
        <v>291199999.99999976</v>
      </c>
      <c r="S526" s="706">
        <f t="shared" si="107"/>
        <v>41600000.000000238</v>
      </c>
    </row>
    <row r="527" spans="1:19" ht="15.75" customHeight="1">
      <c r="A527" s="675" t="s">
        <v>944</v>
      </c>
      <c r="D527" s="538"/>
      <c r="E527" s="539"/>
      <c r="F527" s="466"/>
      <c r="G527" s="540"/>
      <c r="H527" s="715" t="s">
        <v>647</v>
      </c>
      <c r="I527" s="716">
        <v>2010</v>
      </c>
      <c r="J527" s="430">
        <v>0.125</v>
      </c>
      <c r="K527" s="706">
        <v>40000000</v>
      </c>
      <c r="L527" s="706">
        <v>0</v>
      </c>
      <c r="M527" s="706">
        <v>0</v>
      </c>
      <c r="N527" s="705">
        <f t="shared" si="106"/>
        <v>40000000</v>
      </c>
      <c r="O527" s="705">
        <v>30000000.00000003</v>
      </c>
      <c r="P527" s="706">
        <f t="shared" si="108"/>
        <v>5000000</v>
      </c>
      <c r="Q527" s="706">
        <v>0</v>
      </c>
      <c r="R527" s="705">
        <f t="shared" si="109"/>
        <v>35000000.00000003</v>
      </c>
      <c r="S527" s="706">
        <f t="shared" si="107"/>
        <v>4999999.9999999702</v>
      </c>
    </row>
    <row r="528" spans="1:19" ht="15.75" customHeight="1">
      <c r="A528" s="675" t="s">
        <v>944</v>
      </c>
      <c r="D528" s="538"/>
      <c r="E528" s="539"/>
      <c r="F528" s="466"/>
      <c r="G528" s="540"/>
      <c r="H528" s="715" t="s">
        <v>648</v>
      </c>
      <c r="I528" s="716">
        <v>2011</v>
      </c>
      <c r="J528" s="430">
        <v>0.125</v>
      </c>
      <c r="K528" s="706">
        <v>14700000</v>
      </c>
      <c r="L528" s="706">
        <v>0</v>
      </c>
      <c r="M528" s="706">
        <v>0</v>
      </c>
      <c r="N528" s="705">
        <f t="shared" si="106"/>
        <v>14700000</v>
      </c>
      <c r="O528" s="705">
        <v>11025000</v>
      </c>
      <c r="P528" s="706">
        <f t="shared" si="108"/>
        <v>1837500</v>
      </c>
      <c r="Q528" s="706">
        <v>0</v>
      </c>
      <c r="R528" s="705">
        <f t="shared" si="109"/>
        <v>12862500</v>
      </c>
      <c r="S528" s="706">
        <f t="shared" si="107"/>
        <v>1837500</v>
      </c>
    </row>
    <row r="529" spans="1:19" ht="15.75" customHeight="1">
      <c r="A529" s="675" t="s">
        <v>944</v>
      </c>
      <c r="D529" s="538"/>
      <c r="E529" s="539"/>
      <c r="F529" s="466"/>
      <c r="G529" s="540"/>
      <c r="H529" s="715" t="s">
        <v>649</v>
      </c>
      <c r="I529" s="716">
        <v>2011</v>
      </c>
      <c r="J529" s="430">
        <v>0.125</v>
      </c>
      <c r="K529" s="706">
        <v>77500000</v>
      </c>
      <c r="L529" s="706">
        <v>0</v>
      </c>
      <c r="M529" s="706">
        <v>0</v>
      </c>
      <c r="N529" s="705">
        <f t="shared" si="106"/>
        <v>77500000</v>
      </c>
      <c r="O529" s="705">
        <v>58124999.999999948</v>
      </c>
      <c r="P529" s="706">
        <f t="shared" si="108"/>
        <v>9687500</v>
      </c>
      <c r="Q529" s="706">
        <v>0</v>
      </c>
      <c r="R529" s="705">
        <f t="shared" si="109"/>
        <v>67812499.99999994</v>
      </c>
      <c r="S529" s="706">
        <f t="shared" si="107"/>
        <v>9687500.0000000596</v>
      </c>
    </row>
    <row r="530" spans="1:19" ht="15.75" customHeight="1">
      <c r="A530" s="675" t="s">
        <v>944</v>
      </c>
      <c r="D530" s="538"/>
      <c r="E530" s="539"/>
      <c r="F530" s="466"/>
      <c r="G530" s="540"/>
      <c r="H530" s="715" t="s">
        <v>650</v>
      </c>
      <c r="I530" s="716">
        <v>2011</v>
      </c>
      <c r="J530" s="430">
        <v>0.125</v>
      </c>
      <c r="K530" s="706">
        <v>13800000</v>
      </c>
      <c r="L530" s="706">
        <v>0</v>
      </c>
      <c r="M530" s="706">
        <v>0</v>
      </c>
      <c r="N530" s="705">
        <f t="shared" si="106"/>
        <v>13800000</v>
      </c>
      <c r="O530" s="705">
        <v>10350000</v>
      </c>
      <c r="P530" s="706">
        <f t="shared" si="108"/>
        <v>1725000</v>
      </c>
      <c r="Q530" s="706">
        <v>0</v>
      </c>
      <c r="R530" s="705">
        <f t="shared" si="109"/>
        <v>12075000</v>
      </c>
      <c r="S530" s="706">
        <f t="shared" si="107"/>
        <v>1725000</v>
      </c>
    </row>
    <row r="531" spans="1:19" ht="15.75" customHeight="1">
      <c r="A531" s="675" t="s">
        <v>944</v>
      </c>
      <c r="D531" s="538"/>
      <c r="E531" s="539"/>
      <c r="F531" s="466"/>
      <c r="G531" s="540"/>
      <c r="H531" s="715" t="s">
        <v>651</v>
      </c>
      <c r="I531" s="716">
        <v>2012</v>
      </c>
      <c r="J531" s="430">
        <v>0.125</v>
      </c>
      <c r="K531" s="706">
        <v>6800000</v>
      </c>
      <c r="L531" s="706">
        <v>0</v>
      </c>
      <c r="M531" s="706">
        <v>0</v>
      </c>
      <c r="N531" s="705">
        <f t="shared" si="106"/>
        <v>6800000</v>
      </c>
      <c r="O531" s="705">
        <v>5100000</v>
      </c>
      <c r="P531" s="706">
        <f t="shared" si="108"/>
        <v>850000</v>
      </c>
      <c r="Q531" s="706">
        <v>0</v>
      </c>
      <c r="R531" s="705">
        <f t="shared" si="109"/>
        <v>5950000</v>
      </c>
      <c r="S531" s="706">
        <f t="shared" si="107"/>
        <v>850000</v>
      </c>
    </row>
    <row r="532" spans="1:19" ht="15.75" customHeight="1">
      <c r="A532" s="675" t="s">
        <v>944</v>
      </c>
      <c r="D532" s="538"/>
      <c r="E532" s="539"/>
      <c r="F532" s="466"/>
      <c r="G532" s="540"/>
      <c r="H532" s="715" t="s">
        <v>652</v>
      </c>
      <c r="I532" s="716">
        <v>2012</v>
      </c>
      <c r="J532" s="430">
        <v>0.125</v>
      </c>
      <c r="K532" s="706">
        <v>12800000</v>
      </c>
      <c r="L532" s="706">
        <v>0</v>
      </c>
      <c r="M532" s="706">
        <v>0</v>
      </c>
      <c r="N532" s="705">
        <f t="shared" si="106"/>
        <v>12800000</v>
      </c>
      <c r="O532" s="705">
        <v>9599999.9999999981</v>
      </c>
      <c r="P532" s="706">
        <f t="shared" si="108"/>
        <v>1600000</v>
      </c>
      <c r="Q532" s="706">
        <v>0</v>
      </c>
      <c r="R532" s="705">
        <f t="shared" si="109"/>
        <v>11199999.999999998</v>
      </c>
      <c r="S532" s="706">
        <f t="shared" si="107"/>
        <v>1600000.0000000019</v>
      </c>
    </row>
    <row r="533" spans="1:19" ht="15.75" customHeight="1">
      <c r="A533" s="675" t="s">
        <v>944</v>
      </c>
      <c r="D533" s="538"/>
      <c r="E533" s="539"/>
      <c r="F533" s="466"/>
      <c r="G533" s="540"/>
      <c r="H533" s="715" t="s">
        <v>653</v>
      </c>
      <c r="I533" s="716">
        <v>2013</v>
      </c>
      <c r="J533" s="430">
        <v>0.125</v>
      </c>
      <c r="K533" s="706">
        <v>57400000</v>
      </c>
      <c r="L533" s="706">
        <v>0</v>
      </c>
      <c r="M533" s="706">
        <v>0</v>
      </c>
      <c r="N533" s="705">
        <f t="shared" si="106"/>
        <v>57400000</v>
      </c>
      <c r="O533" s="705">
        <v>43049999.999999993</v>
      </c>
      <c r="P533" s="706">
        <f t="shared" si="108"/>
        <v>7175000</v>
      </c>
      <c r="Q533" s="706">
        <v>0</v>
      </c>
      <c r="R533" s="705">
        <f t="shared" si="109"/>
        <v>50224999.999999993</v>
      </c>
      <c r="S533" s="706">
        <f t="shared" si="107"/>
        <v>7175000.0000000075</v>
      </c>
    </row>
    <row r="534" spans="1:19" ht="15.75" customHeight="1">
      <c r="A534" s="675" t="s">
        <v>944</v>
      </c>
      <c r="D534" s="538"/>
      <c r="E534" s="539"/>
      <c r="F534" s="466"/>
      <c r="G534" s="540"/>
      <c r="H534" s="715" t="s">
        <v>654</v>
      </c>
      <c r="I534" s="716">
        <v>2013</v>
      </c>
      <c r="J534" s="430">
        <v>0.125</v>
      </c>
      <c r="K534" s="706">
        <v>37000000</v>
      </c>
      <c r="L534" s="706">
        <v>0</v>
      </c>
      <c r="M534" s="706">
        <v>0</v>
      </c>
      <c r="N534" s="705">
        <f t="shared" si="106"/>
        <v>37000000</v>
      </c>
      <c r="O534" s="705">
        <v>27750000.000000026</v>
      </c>
      <c r="P534" s="706">
        <f t="shared" si="108"/>
        <v>4625000</v>
      </c>
      <c r="Q534" s="706">
        <v>0</v>
      </c>
      <c r="R534" s="705">
        <f t="shared" si="109"/>
        <v>32375000.000000026</v>
      </c>
      <c r="S534" s="706">
        <f t="shared" si="107"/>
        <v>4624999.9999999739</v>
      </c>
    </row>
    <row r="535" spans="1:19" ht="15.75" customHeight="1">
      <c r="A535" s="675" t="s">
        <v>944</v>
      </c>
      <c r="D535" s="538"/>
      <c r="E535" s="539"/>
      <c r="F535" s="466"/>
      <c r="G535" s="540"/>
      <c r="H535" s="715" t="s">
        <v>655</v>
      </c>
      <c r="I535" s="716">
        <v>2013</v>
      </c>
      <c r="J535" s="430">
        <v>0.125</v>
      </c>
      <c r="K535" s="706">
        <v>905500000</v>
      </c>
      <c r="L535" s="706">
        <v>0</v>
      </c>
      <c r="M535" s="706">
        <v>0</v>
      </c>
      <c r="N535" s="705">
        <f t="shared" si="106"/>
        <v>905500000</v>
      </c>
      <c r="O535" s="705">
        <v>679124999.99999988</v>
      </c>
      <c r="P535" s="706">
        <f t="shared" si="108"/>
        <v>113187500</v>
      </c>
      <c r="Q535" s="706">
        <v>0</v>
      </c>
      <c r="R535" s="705">
        <f t="shared" si="109"/>
        <v>792312499.99999988</v>
      </c>
      <c r="S535" s="706">
        <f t="shared" si="107"/>
        <v>113187500.00000012</v>
      </c>
    </row>
    <row r="536" spans="1:19" ht="15.75" customHeight="1">
      <c r="A536" s="675" t="s">
        <v>944</v>
      </c>
      <c r="D536" s="538"/>
      <c r="E536" s="539"/>
      <c r="F536" s="466"/>
      <c r="G536" s="540"/>
      <c r="H536" s="715" t="s">
        <v>656</v>
      </c>
      <c r="I536" s="716">
        <v>2013</v>
      </c>
      <c r="J536" s="430">
        <v>0.125</v>
      </c>
      <c r="K536" s="706">
        <v>14500000</v>
      </c>
      <c r="L536" s="706">
        <v>0</v>
      </c>
      <c r="M536" s="706">
        <v>0</v>
      </c>
      <c r="N536" s="705">
        <f t="shared" si="106"/>
        <v>14500000</v>
      </c>
      <c r="O536" s="705">
        <v>10874999.999999996</v>
      </c>
      <c r="P536" s="706">
        <f t="shared" si="108"/>
        <v>1812500</v>
      </c>
      <c r="Q536" s="706">
        <v>0</v>
      </c>
      <c r="R536" s="705">
        <f t="shared" si="109"/>
        <v>12687499.999999996</v>
      </c>
      <c r="S536" s="706">
        <f t="shared" si="107"/>
        <v>1812500.0000000037</v>
      </c>
    </row>
    <row r="537" spans="1:19" ht="15.75" customHeight="1">
      <c r="A537" s="675" t="s">
        <v>944</v>
      </c>
      <c r="D537" s="538"/>
      <c r="E537" s="539"/>
      <c r="F537" s="466"/>
      <c r="G537" s="540"/>
      <c r="H537" s="715" t="s">
        <v>657</v>
      </c>
      <c r="I537" s="716">
        <v>2013</v>
      </c>
      <c r="J537" s="430">
        <v>0.125</v>
      </c>
      <c r="K537" s="706">
        <v>15200000</v>
      </c>
      <c r="L537" s="706">
        <v>0</v>
      </c>
      <c r="M537" s="706">
        <v>0</v>
      </c>
      <c r="N537" s="705">
        <f t="shared" si="106"/>
        <v>15200000</v>
      </c>
      <c r="O537" s="705">
        <v>11400000.000000006</v>
      </c>
      <c r="P537" s="706">
        <f t="shared" si="108"/>
        <v>1900000</v>
      </c>
      <c r="Q537" s="706">
        <v>0</v>
      </c>
      <c r="R537" s="705">
        <f t="shared" si="109"/>
        <v>13300000.000000006</v>
      </c>
      <c r="S537" s="706">
        <f t="shared" si="107"/>
        <v>1899999.9999999944</v>
      </c>
    </row>
    <row r="538" spans="1:19" ht="15.75" customHeight="1">
      <c r="A538" s="675" t="s">
        <v>944</v>
      </c>
      <c r="D538" s="538"/>
      <c r="E538" s="539"/>
      <c r="F538" s="466"/>
      <c r="G538" s="540"/>
      <c r="H538" s="715" t="s">
        <v>658</v>
      </c>
      <c r="I538" s="716">
        <v>2013</v>
      </c>
      <c r="J538" s="430">
        <v>0.125</v>
      </c>
      <c r="K538" s="706">
        <v>50300000</v>
      </c>
      <c r="L538" s="706">
        <v>0</v>
      </c>
      <c r="M538" s="706">
        <v>0</v>
      </c>
      <c r="N538" s="705">
        <f t="shared" si="106"/>
        <v>50300000</v>
      </c>
      <c r="O538" s="705">
        <v>37724999.999999985</v>
      </c>
      <c r="P538" s="706">
        <f t="shared" si="108"/>
        <v>6287500</v>
      </c>
      <c r="Q538" s="706">
        <v>0</v>
      </c>
      <c r="R538" s="705">
        <f t="shared" si="109"/>
        <v>44012499.999999985</v>
      </c>
      <c r="S538" s="706">
        <f t="shared" si="107"/>
        <v>6287500.0000000149</v>
      </c>
    </row>
    <row r="539" spans="1:19" ht="15.75" customHeight="1">
      <c r="A539" s="675" t="s">
        <v>944</v>
      </c>
      <c r="D539" s="538"/>
      <c r="E539" s="539"/>
      <c r="F539" s="466"/>
      <c r="G539" s="540"/>
      <c r="H539" s="715" t="s">
        <v>176</v>
      </c>
      <c r="I539" s="716">
        <v>2013</v>
      </c>
      <c r="J539" s="430">
        <v>0.125</v>
      </c>
      <c r="K539" s="706">
        <v>16800000</v>
      </c>
      <c r="L539" s="706">
        <v>0</v>
      </c>
      <c r="M539" s="706">
        <v>0</v>
      </c>
      <c r="N539" s="705">
        <f t="shared" si="106"/>
        <v>16800000</v>
      </c>
      <c r="O539" s="705">
        <v>12600000</v>
      </c>
      <c r="P539" s="706">
        <f t="shared" si="108"/>
        <v>2100000</v>
      </c>
      <c r="Q539" s="706">
        <v>0</v>
      </c>
      <c r="R539" s="705">
        <f t="shared" si="109"/>
        <v>14700000</v>
      </c>
      <c r="S539" s="706">
        <f t="shared" si="107"/>
        <v>2100000</v>
      </c>
    </row>
    <row r="540" spans="1:19" ht="15.75" customHeight="1">
      <c r="A540" s="675" t="s">
        <v>944</v>
      </c>
      <c r="D540" s="538"/>
      <c r="E540" s="539"/>
      <c r="F540" s="466"/>
      <c r="G540" s="540"/>
      <c r="H540" s="715" t="s">
        <v>659</v>
      </c>
      <c r="I540" s="716">
        <v>2014</v>
      </c>
      <c r="J540" s="430">
        <v>0.125</v>
      </c>
      <c r="K540" s="706">
        <v>21000000</v>
      </c>
      <c r="L540" s="706">
        <v>0</v>
      </c>
      <c r="M540" s="706">
        <v>0</v>
      </c>
      <c r="N540" s="705">
        <f t="shared" si="106"/>
        <v>21000000</v>
      </c>
      <c r="O540" s="705">
        <v>15750000</v>
      </c>
      <c r="P540" s="706">
        <f t="shared" si="108"/>
        <v>2625000</v>
      </c>
      <c r="Q540" s="706">
        <v>0</v>
      </c>
      <c r="R540" s="705">
        <f t="shared" si="109"/>
        <v>18375000</v>
      </c>
      <c r="S540" s="706">
        <f t="shared" si="107"/>
        <v>2625000</v>
      </c>
    </row>
    <row r="541" spans="1:19" ht="15.75" customHeight="1">
      <c r="A541" s="675" t="s">
        <v>944</v>
      </c>
      <c r="D541" s="538"/>
      <c r="E541" s="539"/>
      <c r="F541" s="466"/>
      <c r="G541" s="540"/>
      <c r="H541" s="715" t="s">
        <v>660</v>
      </c>
      <c r="I541" s="716">
        <v>2014</v>
      </c>
      <c r="J541" s="430">
        <v>0.125</v>
      </c>
      <c r="K541" s="706">
        <v>24200000</v>
      </c>
      <c r="L541" s="706">
        <v>0</v>
      </c>
      <c r="M541" s="706">
        <v>0</v>
      </c>
      <c r="N541" s="705">
        <f t="shared" si="106"/>
        <v>24200000</v>
      </c>
      <c r="O541" s="705">
        <v>18150000.000000011</v>
      </c>
      <c r="P541" s="706">
        <f t="shared" si="108"/>
        <v>3025000</v>
      </c>
      <c r="Q541" s="706">
        <v>0</v>
      </c>
      <c r="R541" s="705">
        <f t="shared" si="109"/>
        <v>21175000.000000011</v>
      </c>
      <c r="S541" s="706">
        <f t="shared" si="107"/>
        <v>3024999.9999999888</v>
      </c>
    </row>
    <row r="542" spans="1:19" ht="15.75" customHeight="1">
      <c r="A542" s="675" t="s">
        <v>944</v>
      </c>
      <c r="D542" s="538"/>
      <c r="E542" s="539"/>
      <c r="F542" s="466"/>
      <c r="G542" s="540"/>
      <c r="H542" s="715" t="s">
        <v>661</v>
      </c>
      <c r="I542" s="716">
        <v>2014</v>
      </c>
      <c r="J542" s="430">
        <v>0.125</v>
      </c>
      <c r="K542" s="706">
        <v>31600000</v>
      </c>
      <c r="L542" s="706">
        <v>0</v>
      </c>
      <c r="M542" s="706">
        <v>0</v>
      </c>
      <c r="N542" s="705">
        <f t="shared" si="106"/>
        <v>31600000</v>
      </c>
      <c r="O542" s="705">
        <v>23700000.000000015</v>
      </c>
      <c r="P542" s="706">
        <f t="shared" si="108"/>
        <v>3950000</v>
      </c>
      <c r="Q542" s="706">
        <v>0</v>
      </c>
      <c r="R542" s="705">
        <f t="shared" si="109"/>
        <v>27650000.000000015</v>
      </c>
      <c r="S542" s="706">
        <f t="shared" si="107"/>
        <v>3949999.9999999851</v>
      </c>
    </row>
    <row r="543" spans="1:19" ht="15.75" customHeight="1">
      <c r="A543" s="675" t="s">
        <v>944</v>
      </c>
      <c r="D543" s="538"/>
      <c r="E543" s="539"/>
      <c r="F543" s="466"/>
      <c r="G543" s="540"/>
      <c r="H543" s="715" t="s">
        <v>662</v>
      </c>
      <c r="I543" s="716">
        <v>2014</v>
      </c>
      <c r="J543" s="430">
        <v>0.125</v>
      </c>
      <c r="K543" s="706">
        <v>12100000</v>
      </c>
      <c r="L543" s="706">
        <v>0</v>
      </c>
      <c r="M543" s="706">
        <v>0</v>
      </c>
      <c r="N543" s="705">
        <f t="shared" si="106"/>
        <v>12100000</v>
      </c>
      <c r="O543" s="705">
        <v>9075000.0000000056</v>
      </c>
      <c r="P543" s="706">
        <f t="shared" si="108"/>
        <v>1512500</v>
      </c>
      <c r="Q543" s="706">
        <v>0</v>
      </c>
      <c r="R543" s="705">
        <f t="shared" si="109"/>
        <v>10587500.000000006</v>
      </c>
      <c r="S543" s="706">
        <f t="shared" si="107"/>
        <v>1512499.9999999944</v>
      </c>
    </row>
    <row r="544" spans="1:19" ht="15.75" customHeight="1">
      <c r="A544" s="675" t="s">
        <v>944</v>
      </c>
      <c r="D544" s="538"/>
      <c r="E544" s="539"/>
      <c r="F544" s="466"/>
      <c r="G544" s="540"/>
      <c r="H544" s="715" t="s">
        <v>663</v>
      </c>
      <c r="I544" s="716">
        <v>2014</v>
      </c>
      <c r="J544" s="430">
        <v>0.125</v>
      </c>
      <c r="K544" s="706">
        <v>15400000</v>
      </c>
      <c r="L544" s="706">
        <v>0</v>
      </c>
      <c r="M544" s="706">
        <v>0</v>
      </c>
      <c r="N544" s="705">
        <f t="shared" si="106"/>
        <v>15400000</v>
      </c>
      <c r="O544" s="705">
        <v>11549999.999999994</v>
      </c>
      <c r="P544" s="706">
        <f t="shared" si="108"/>
        <v>1925000</v>
      </c>
      <c r="Q544" s="706">
        <v>0</v>
      </c>
      <c r="R544" s="705">
        <f t="shared" si="109"/>
        <v>13474999.999999994</v>
      </c>
      <c r="S544" s="706">
        <f t="shared" si="107"/>
        <v>1925000.0000000056</v>
      </c>
    </row>
    <row r="545" spans="1:19" ht="15.75" customHeight="1">
      <c r="A545" s="675" t="s">
        <v>944</v>
      </c>
      <c r="D545" s="538"/>
      <c r="E545" s="539"/>
      <c r="F545" s="466"/>
      <c r="G545" s="540"/>
      <c r="H545" s="715" t="s">
        <v>664</v>
      </c>
      <c r="I545" s="716">
        <v>2014</v>
      </c>
      <c r="J545" s="430">
        <v>0.125</v>
      </c>
      <c r="K545" s="706">
        <v>60500000</v>
      </c>
      <c r="L545" s="706">
        <v>0</v>
      </c>
      <c r="M545" s="706">
        <v>0</v>
      </c>
      <c r="N545" s="705">
        <f t="shared" si="106"/>
        <v>60500000</v>
      </c>
      <c r="O545" s="705">
        <v>45375000.000000022</v>
      </c>
      <c r="P545" s="706">
        <f t="shared" si="108"/>
        <v>7562500</v>
      </c>
      <c r="Q545" s="706">
        <v>0</v>
      </c>
      <c r="R545" s="705">
        <f t="shared" si="109"/>
        <v>52937500.000000022</v>
      </c>
      <c r="S545" s="706">
        <f t="shared" si="107"/>
        <v>7562499.9999999776</v>
      </c>
    </row>
    <row r="546" spans="1:19" ht="15.75" customHeight="1">
      <c r="A546" s="675" t="s">
        <v>944</v>
      </c>
      <c r="D546" s="538"/>
      <c r="E546" s="539"/>
      <c r="F546" s="466"/>
      <c r="G546" s="540"/>
      <c r="H546" s="715" t="s">
        <v>665</v>
      </c>
      <c r="I546" s="716">
        <v>2014</v>
      </c>
      <c r="J546" s="430">
        <v>0.125</v>
      </c>
      <c r="K546" s="706">
        <v>14200000</v>
      </c>
      <c r="L546" s="706">
        <v>0</v>
      </c>
      <c r="M546" s="706">
        <v>0</v>
      </c>
      <c r="N546" s="705">
        <f t="shared" si="106"/>
        <v>14200000</v>
      </c>
      <c r="O546" s="705">
        <v>10649999.999999998</v>
      </c>
      <c r="P546" s="706">
        <f t="shared" si="108"/>
        <v>1775000</v>
      </c>
      <c r="Q546" s="706">
        <v>0</v>
      </c>
      <c r="R546" s="705">
        <f t="shared" si="109"/>
        <v>12424999.999999998</v>
      </c>
      <c r="S546" s="706">
        <f t="shared" si="107"/>
        <v>1775000.0000000019</v>
      </c>
    </row>
    <row r="547" spans="1:19" ht="15.75" customHeight="1">
      <c r="A547" s="675" t="s">
        <v>944</v>
      </c>
      <c r="D547" s="538"/>
      <c r="E547" s="539"/>
      <c r="F547" s="466"/>
      <c r="G547" s="540"/>
      <c r="H547" s="715" t="s">
        <v>665</v>
      </c>
      <c r="I547" s="716">
        <v>2014</v>
      </c>
      <c r="J547" s="430">
        <v>0.125</v>
      </c>
      <c r="K547" s="706">
        <v>16400000</v>
      </c>
      <c r="L547" s="706">
        <v>0</v>
      </c>
      <c r="M547" s="706">
        <v>0</v>
      </c>
      <c r="N547" s="705">
        <f t="shared" si="106"/>
        <v>16400000</v>
      </c>
      <c r="O547" s="705">
        <v>12300000.000000007</v>
      </c>
      <c r="P547" s="706">
        <f t="shared" si="108"/>
        <v>2050000</v>
      </c>
      <c r="Q547" s="706">
        <v>0</v>
      </c>
      <c r="R547" s="705">
        <f t="shared" si="109"/>
        <v>14350000.000000007</v>
      </c>
      <c r="S547" s="706">
        <f t="shared" si="107"/>
        <v>2049999.9999999925</v>
      </c>
    </row>
    <row r="548" spans="1:19" ht="15.75" customHeight="1">
      <c r="A548" s="675" t="s">
        <v>944</v>
      </c>
      <c r="D548" s="538"/>
      <c r="E548" s="539"/>
      <c r="F548" s="466"/>
      <c r="G548" s="540"/>
      <c r="H548" s="715" t="s">
        <v>666</v>
      </c>
      <c r="I548" s="716">
        <v>2014</v>
      </c>
      <c r="J548" s="430">
        <v>0.125</v>
      </c>
      <c r="K548" s="706">
        <v>113500000</v>
      </c>
      <c r="L548" s="706">
        <v>0</v>
      </c>
      <c r="M548" s="706">
        <v>0</v>
      </c>
      <c r="N548" s="705">
        <f t="shared" si="106"/>
        <v>113500000</v>
      </c>
      <c r="O548" s="705">
        <v>85125000.000000015</v>
      </c>
      <c r="P548" s="706">
        <f t="shared" si="108"/>
        <v>14187500</v>
      </c>
      <c r="Q548" s="706">
        <v>0</v>
      </c>
      <c r="R548" s="705">
        <f t="shared" si="109"/>
        <v>99312500.000000015</v>
      </c>
      <c r="S548" s="706">
        <f t="shared" si="107"/>
        <v>14187499.999999985</v>
      </c>
    </row>
    <row r="549" spans="1:19" ht="15.75" customHeight="1">
      <c r="A549" s="675" t="s">
        <v>944</v>
      </c>
      <c r="D549" s="538"/>
      <c r="E549" s="539"/>
      <c r="F549" s="466"/>
      <c r="G549" s="540"/>
      <c r="H549" s="715" t="s">
        <v>667</v>
      </c>
      <c r="I549" s="716">
        <v>2014</v>
      </c>
      <c r="J549" s="430">
        <v>0.125</v>
      </c>
      <c r="K549" s="706">
        <v>8800000</v>
      </c>
      <c r="L549" s="706">
        <v>0</v>
      </c>
      <c r="M549" s="706">
        <v>0</v>
      </c>
      <c r="N549" s="705">
        <f t="shared" si="106"/>
        <v>8800000</v>
      </c>
      <c r="O549" s="705">
        <v>6600000.0000000056</v>
      </c>
      <c r="P549" s="706">
        <f t="shared" si="108"/>
        <v>1100000</v>
      </c>
      <c r="Q549" s="706">
        <v>0</v>
      </c>
      <c r="R549" s="705">
        <f t="shared" si="109"/>
        <v>7700000.0000000056</v>
      </c>
      <c r="S549" s="706">
        <f t="shared" si="107"/>
        <v>1099999.9999999944</v>
      </c>
    </row>
    <row r="550" spans="1:19" ht="15.75" customHeight="1">
      <c r="A550" s="675" t="s">
        <v>944</v>
      </c>
      <c r="D550" s="538"/>
      <c r="E550" s="539"/>
      <c r="F550" s="466"/>
      <c r="G550" s="540"/>
      <c r="H550" s="715" t="s">
        <v>667</v>
      </c>
      <c r="I550" s="716">
        <v>2014</v>
      </c>
      <c r="J550" s="430">
        <v>0.125</v>
      </c>
      <c r="K550" s="706">
        <v>30300000</v>
      </c>
      <c r="L550" s="706">
        <v>0</v>
      </c>
      <c r="M550" s="706">
        <v>0</v>
      </c>
      <c r="N550" s="705">
        <f t="shared" si="106"/>
        <v>30300000</v>
      </c>
      <c r="O550" s="705">
        <v>22725000</v>
      </c>
      <c r="P550" s="706">
        <f t="shared" si="108"/>
        <v>3787500</v>
      </c>
      <c r="Q550" s="706">
        <v>0</v>
      </c>
      <c r="R550" s="705">
        <f t="shared" si="109"/>
        <v>26512500</v>
      </c>
      <c r="S550" s="706">
        <f t="shared" si="107"/>
        <v>3787500</v>
      </c>
    </row>
    <row r="551" spans="1:19" ht="15.75" customHeight="1">
      <c r="A551" s="675" t="s">
        <v>944</v>
      </c>
      <c r="D551" s="538"/>
      <c r="E551" s="539"/>
      <c r="F551" s="466"/>
      <c r="G551" s="540"/>
      <c r="H551" s="715" t="s">
        <v>668</v>
      </c>
      <c r="I551" s="716">
        <v>2014</v>
      </c>
      <c r="J551" s="430">
        <v>0.125</v>
      </c>
      <c r="K551" s="706">
        <v>23100000</v>
      </c>
      <c r="L551" s="706">
        <v>0</v>
      </c>
      <c r="M551" s="706">
        <v>0</v>
      </c>
      <c r="N551" s="705">
        <f t="shared" si="106"/>
        <v>23100000</v>
      </c>
      <c r="O551" s="705">
        <v>17325000</v>
      </c>
      <c r="P551" s="706">
        <f t="shared" si="108"/>
        <v>2887500</v>
      </c>
      <c r="Q551" s="706">
        <v>0</v>
      </c>
      <c r="R551" s="705">
        <f t="shared" si="109"/>
        <v>20212500</v>
      </c>
      <c r="S551" s="706">
        <f t="shared" si="107"/>
        <v>2887500</v>
      </c>
    </row>
    <row r="552" spans="1:19" ht="15.75" customHeight="1">
      <c r="A552" s="675" t="s">
        <v>944</v>
      </c>
      <c r="B552" s="675">
        <v>1</v>
      </c>
      <c r="C552" s="675">
        <v>1</v>
      </c>
      <c r="D552" s="538"/>
      <c r="E552" s="539"/>
      <c r="F552" s="466"/>
      <c r="G552" s="540"/>
      <c r="H552" s="715" t="s">
        <v>669</v>
      </c>
      <c r="I552" s="716">
        <v>2015</v>
      </c>
      <c r="J552" s="430">
        <v>0.125</v>
      </c>
      <c r="K552" s="706">
        <v>379688727</v>
      </c>
      <c r="L552" s="706">
        <v>0</v>
      </c>
      <c r="M552" s="706">
        <v>0</v>
      </c>
      <c r="N552" s="705">
        <f t="shared" si="106"/>
        <v>379688727</v>
      </c>
      <c r="O552" s="705">
        <v>322735417.94999999</v>
      </c>
      <c r="P552" s="706">
        <f t="shared" si="108"/>
        <v>47461090.875</v>
      </c>
      <c r="Q552" s="706">
        <v>0</v>
      </c>
      <c r="R552" s="705">
        <f t="shared" si="109"/>
        <v>370196508.82499999</v>
      </c>
      <c r="S552" s="706">
        <f t="shared" si="107"/>
        <v>9492218.1750000119</v>
      </c>
    </row>
    <row r="553" spans="1:19" ht="15.75" customHeight="1">
      <c r="A553" s="675" t="s">
        <v>944</v>
      </c>
      <c r="B553" s="675">
        <v>3</v>
      </c>
      <c r="C553" s="675">
        <v>3</v>
      </c>
      <c r="D553" s="538"/>
      <c r="E553" s="539"/>
      <c r="F553" s="466"/>
      <c r="G553" s="540"/>
      <c r="H553" s="715" t="s">
        <v>670</v>
      </c>
      <c r="I553" s="716">
        <v>2015</v>
      </c>
      <c r="J553" s="430">
        <v>0.125</v>
      </c>
      <c r="K553" s="706">
        <v>99297924</v>
      </c>
      <c r="L553" s="706">
        <v>0</v>
      </c>
      <c r="M553" s="706">
        <v>0</v>
      </c>
      <c r="N553" s="705">
        <f t="shared" si="106"/>
        <v>99297924</v>
      </c>
      <c r="O553" s="705">
        <v>82748270</v>
      </c>
      <c r="P553" s="706">
        <f t="shared" si="108"/>
        <v>12412240.5</v>
      </c>
      <c r="Q553" s="706">
        <v>0</v>
      </c>
      <c r="R553" s="705">
        <f t="shared" si="109"/>
        <v>95160510.5</v>
      </c>
      <c r="S553" s="706">
        <f t="shared" si="107"/>
        <v>4137413.5</v>
      </c>
    </row>
    <row r="554" spans="1:19" ht="15.75" customHeight="1">
      <c r="A554" s="675" t="s">
        <v>944</v>
      </c>
      <c r="B554" s="675">
        <v>6</v>
      </c>
      <c r="C554" s="675">
        <v>6</v>
      </c>
      <c r="D554" s="538"/>
      <c r="E554" s="539"/>
      <c r="F554" s="466"/>
      <c r="G554" s="540"/>
      <c r="H554" s="715" t="s">
        <v>671</v>
      </c>
      <c r="I554" s="716">
        <v>2015</v>
      </c>
      <c r="J554" s="430">
        <v>0.125</v>
      </c>
      <c r="K554" s="706">
        <v>105000000</v>
      </c>
      <c r="L554" s="706">
        <v>0</v>
      </c>
      <c r="M554" s="706">
        <v>0</v>
      </c>
      <c r="N554" s="705">
        <f t="shared" si="106"/>
        <v>105000000</v>
      </c>
      <c r="O554" s="705">
        <v>84875000</v>
      </c>
      <c r="P554" s="706">
        <f t="shared" si="108"/>
        <v>13125000</v>
      </c>
      <c r="Q554" s="706">
        <v>0</v>
      </c>
      <c r="R554" s="705">
        <f t="shared" si="109"/>
        <v>98000000</v>
      </c>
      <c r="S554" s="706">
        <f t="shared" si="107"/>
        <v>7000000</v>
      </c>
    </row>
    <row r="555" spans="1:19" ht="15.75" customHeight="1">
      <c r="A555" s="675" t="s">
        <v>944</v>
      </c>
      <c r="B555" s="675">
        <v>10</v>
      </c>
      <c r="C555" s="675">
        <v>10</v>
      </c>
      <c r="D555" s="538"/>
      <c r="E555" s="539"/>
      <c r="F555" s="466"/>
      <c r="G555" s="540"/>
      <c r="H555" s="715" t="s">
        <v>672</v>
      </c>
      <c r="I555" s="716">
        <v>2015</v>
      </c>
      <c r="J555" s="430">
        <v>0.125</v>
      </c>
      <c r="K555" s="706">
        <v>70500000</v>
      </c>
      <c r="L555" s="706">
        <v>0</v>
      </c>
      <c r="M555" s="706">
        <v>0</v>
      </c>
      <c r="N555" s="705">
        <f t="shared" si="106"/>
        <v>70500000</v>
      </c>
      <c r="O555" s="705">
        <v>54637500</v>
      </c>
      <c r="P555" s="706">
        <f t="shared" si="108"/>
        <v>8812500</v>
      </c>
      <c r="Q555" s="706">
        <v>0</v>
      </c>
      <c r="R555" s="705">
        <f t="shared" si="109"/>
        <v>63450000</v>
      </c>
      <c r="S555" s="706">
        <f t="shared" si="107"/>
        <v>7050000</v>
      </c>
    </row>
    <row r="556" spans="1:19" ht="15.75" customHeight="1">
      <c r="A556" s="675" t="s">
        <v>944</v>
      </c>
      <c r="B556" s="675">
        <v>11</v>
      </c>
      <c r="C556" s="675">
        <v>11</v>
      </c>
      <c r="D556" s="538"/>
      <c r="E556" s="539"/>
      <c r="F556" s="466"/>
      <c r="G556" s="541"/>
      <c r="H556" s="723" t="s">
        <v>673</v>
      </c>
      <c r="I556" s="724">
        <v>2015</v>
      </c>
      <c r="J556" s="435">
        <v>0.125</v>
      </c>
      <c r="K556" s="705">
        <v>25275000</v>
      </c>
      <c r="L556" s="705">
        <v>0</v>
      </c>
      <c r="M556" s="705">
        <v>0</v>
      </c>
      <c r="N556" s="705">
        <f t="shared" si="106"/>
        <v>25275000</v>
      </c>
      <c r="O556" s="705">
        <v>19377500</v>
      </c>
      <c r="P556" s="706">
        <f t="shared" si="108"/>
        <v>3159375</v>
      </c>
      <c r="Q556" s="705">
        <v>0</v>
      </c>
      <c r="R556" s="705">
        <f t="shared" si="109"/>
        <v>22536875</v>
      </c>
      <c r="S556" s="706">
        <f t="shared" si="107"/>
        <v>2738125</v>
      </c>
    </row>
    <row r="557" spans="1:19" s="703" customFormat="1" ht="15.75" customHeight="1">
      <c r="A557" s="675" t="s">
        <v>944</v>
      </c>
      <c r="B557" s="675">
        <v>11</v>
      </c>
      <c r="C557" s="675">
        <v>11</v>
      </c>
      <c r="D557" s="552"/>
      <c r="E557" s="553"/>
      <c r="F557" s="466"/>
      <c r="G557" s="543"/>
      <c r="H557" s="790" t="s">
        <v>674</v>
      </c>
      <c r="I557" s="716">
        <v>2015</v>
      </c>
      <c r="J557" s="430">
        <v>0.125</v>
      </c>
      <c r="K557" s="706">
        <v>3780000</v>
      </c>
      <c r="L557" s="706">
        <v>0</v>
      </c>
      <c r="M557" s="706">
        <v>0</v>
      </c>
      <c r="N557" s="705">
        <f t="shared" si="106"/>
        <v>3780000</v>
      </c>
      <c r="O557" s="706">
        <v>2898000</v>
      </c>
      <c r="P557" s="706">
        <f t="shared" si="108"/>
        <v>472500</v>
      </c>
      <c r="Q557" s="706">
        <v>0</v>
      </c>
      <c r="R557" s="705">
        <f t="shared" si="109"/>
        <v>3370500</v>
      </c>
      <c r="S557" s="706">
        <f t="shared" si="107"/>
        <v>409500</v>
      </c>
    </row>
    <row r="558" spans="1:19" s="703" customFormat="1" ht="15.75" customHeight="1">
      <c r="A558" s="675"/>
      <c r="B558" s="675"/>
      <c r="C558" s="675"/>
      <c r="D558" s="552"/>
      <c r="E558" s="553"/>
      <c r="F558" s="466"/>
      <c r="G558" s="543"/>
      <c r="H558" s="790" t="s">
        <v>675</v>
      </c>
      <c r="I558" s="716">
        <v>2016</v>
      </c>
      <c r="J558" s="430">
        <v>0.125</v>
      </c>
      <c r="K558" s="706">
        <v>24300000</v>
      </c>
      <c r="L558" s="706">
        <v>0</v>
      </c>
      <c r="M558" s="706">
        <v>0</v>
      </c>
      <c r="N558" s="705">
        <f t="shared" si="106"/>
        <v>24300000</v>
      </c>
      <c r="O558" s="706">
        <v>16959375</v>
      </c>
      <c r="P558" s="706">
        <f t="shared" si="108"/>
        <v>3037500</v>
      </c>
      <c r="Q558" s="706">
        <v>0</v>
      </c>
      <c r="R558" s="705">
        <f t="shared" si="109"/>
        <v>19996875</v>
      </c>
      <c r="S558" s="706">
        <f t="shared" si="107"/>
        <v>4303125</v>
      </c>
    </row>
    <row r="559" spans="1:19" s="703" customFormat="1" ht="15.75" customHeight="1">
      <c r="A559" s="675"/>
      <c r="B559" s="675"/>
      <c r="C559" s="675"/>
      <c r="D559" s="552"/>
      <c r="E559" s="553"/>
      <c r="F559" s="466"/>
      <c r="G559" s="543"/>
      <c r="H559" s="790" t="s">
        <v>607</v>
      </c>
      <c r="I559" s="716">
        <v>2016</v>
      </c>
      <c r="J559" s="430">
        <v>0.125</v>
      </c>
      <c r="K559" s="706">
        <v>1270000000</v>
      </c>
      <c r="L559" s="706">
        <v>0</v>
      </c>
      <c r="M559" s="706">
        <v>0</v>
      </c>
      <c r="N559" s="705">
        <f t="shared" si="106"/>
        <v>1270000000</v>
      </c>
      <c r="O559" s="706">
        <v>793749999.99999952</v>
      </c>
      <c r="P559" s="706">
        <f t="shared" si="108"/>
        <v>158750000</v>
      </c>
      <c r="Q559" s="706">
        <v>0</v>
      </c>
      <c r="R559" s="705">
        <f t="shared" si="109"/>
        <v>952499999.99999952</v>
      </c>
      <c r="S559" s="706">
        <f t="shared" si="107"/>
        <v>317500000.00000048</v>
      </c>
    </row>
    <row r="560" spans="1:19" s="703" customFormat="1" ht="15.75" customHeight="1">
      <c r="A560" s="675"/>
      <c r="B560" s="675"/>
      <c r="C560" s="675"/>
      <c r="D560" s="552"/>
      <c r="E560" s="553"/>
      <c r="F560" s="466"/>
      <c r="G560" s="543"/>
      <c r="H560" s="790" t="s">
        <v>676</v>
      </c>
      <c r="I560" s="744">
        <v>2017</v>
      </c>
      <c r="J560" s="430">
        <v>0.125</v>
      </c>
      <c r="K560" s="706">
        <v>72000000</v>
      </c>
      <c r="L560" s="706">
        <v>0</v>
      </c>
      <c r="M560" s="706">
        <v>0</v>
      </c>
      <c r="N560" s="705">
        <f t="shared" si="106"/>
        <v>72000000</v>
      </c>
      <c r="O560" s="706">
        <v>42750000</v>
      </c>
      <c r="P560" s="706">
        <f t="shared" si="108"/>
        <v>9000000</v>
      </c>
      <c r="Q560" s="706">
        <v>0</v>
      </c>
      <c r="R560" s="705">
        <f t="shared" si="109"/>
        <v>51750000</v>
      </c>
      <c r="S560" s="706">
        <f t="shared" si="107"/>
        <v>20250000</v>
      </c>
    </row>
    <row r="561" spans="1:19" s="703" customFormat="1" ht="15.75" customHeight="1">
      <c r="A561" s="675"/>
      <c r="B561" s="675"/>
      <c r="C561" s="675"/>
      <c r="D561" s="538"/>
      <c r="E561" s="553"/>
      <c r="F561" s="466"/>
      <c r="G561" s="543"/>
      <c r="H561" s="790" t="s">
        <v>677</v>
      </c>
      <c r="I561" s="744">
        <v>2017</v>
      </c>
      <c r="J561" s="554">
        <v>0.125</v>
      </c>
      <c r="K561" s="706">
        <v>635000000</v>
      </c>
      <c r="L561" s="706">
        <v>0</v>
      </c>
      <c r="M561" s="706">
        <v>0</v>
      </c>
      <c r="N561" s="705">
        <f t="shared" si="106"/>
        <v>635000000</v>
      </c>
      <c r="O561" s="706">
        <v>357187499.99999988</v>
      </c>
      <c r="P561" s="706">
        <f t="shared" si="108"/>
        <v>79375000</v>
      </c>
      <c r="Q561" s="706">
        <v>0</v>
      </c>
      <c r="R561" s="705">
        <f t="shared" si="109"/>
        <v>436562499.99999988</v>
      </c>
      <c r="S561" s="706">
        <f t="shared" si="107"/>
        <v>198437500.00000012</v>
      </c>
    </row>
    <row r="562" spans="1:19" s="703" customFormat="1" ht="15.75" customHeight="1">
      <c r="A562" s="675"/>
      <c r="B562" s="675"/>
      <c r="C562" s="675"/>
      <c r="D562" s="538"/>
      <c r="E562" s="553"/>
      <c r="F562" s="466"/>
      <c r="G562" s="543"/>
      <c r="H562" s="790" t="s">
        <v>174</v>
      </c>
      <c r="I562" s="744">
        <v>2018</v>
      </c>
      <c r="J562" s="554">
        <v>0.125</v>
      </c>
      <c r="K562" s="706">
        <v>777978111.81999993</v>
      </c>
      <c r="L562" s="706">
        <v>0</v>
      </c>
      <c r="M562" s="706">
        <v>0</v>
      </c>
      <c r="N562" s="705">
        <f t="shared" si="106"/>
        <v>777978111.81999993</v>
      </c>
      <c r="O562" s="706">
        <v>372781178.58041656</v>
      </c>
      <c r="P562" s="706">
        <f t="shared" si="108"/>
        <v>97247263.977499992</v>
      </c>
      <c r="Q562" s="706">
        <v>0</v>
      </c>
      <c r="R562" s="705">
        <f t="shared" si="109"/>
        <v>470028442.55791652</v>
      </c>
      <c r="S562" s="706">
        <f t="shared" si="107"/>
        <v>307949669.26208341</v>
      </c>
    </row>
    <row r="563" spans="1:19" s="703" customFormat="1" ht="15.75" customHeight="1">
      <c r="A563" s="675"/>
      <c r="B563" s="675"/>
      <c r="C563" s="675"/>
      <c r="D563" s="538"/>
      <c r="E563" s="553"/>
      <c r="F563" s="466"/>
      <c r="G563" s="543"/>
      <c r="H563" s="790" t="s">
        <v>678</v>
      </c>
      <c r="I563" s="744">
        <v>2018</v>
      </c>
      <c r="J563" s="554">
        <v>0.125</v>
      </c>
      <c r="K563" s="706">
        <v>10500000</v>
      </c>
      <c r="L563" s="706">
        <v>0</v>
      </c>
      <c r="M563" s="706">
        <v>0</v>
      </c>
      <c r="N563" s="705">
        <f t="shared" si="106"/>
        <v>10500000</v>
      </c>
      <c r="O563" s="706">
        <v>4812500</v>
      </c>
      <c r="P563" s="706">
        <f t="shared" si="108"/>
        <v>1312500</v>
      </c>
      <c r="Q563" s="706">
        <v>0</v>
      </c>
      <c r="R563" s="705">
        <f t="shared" si="109"/>
        <v>6125000</v>
      </c>
      <c r="S563" s="706">
        <f t="shared" si="107"/>
        <v>4375000</v>
      </c>
    </row>
    <row r="564" spans="1:19" s="703" customFormat="1" ht="15.75" customHeight="1">
      <c r="A564" s="675"/>
      <c r="B564" s="675"/>
      <c r="C564" s="675"/>
      <c r="D564" s="538"/>
      <c r="E564" s="553"/>
      <c r="F564" s="466"/>
      <c r="G564" s="543"/>
      <c r="H564" s="790" t="s">
        <v>583</v>
      </c>
      <c r="I564" s="744">
        <v>2018</v>
      </c>
      <c r="J564" s="554">
        <v>0.125</v>
      </c>
      <c r="K564" s="706">
        <v>18900000</v>
      </c>
      <c r="L564" s="706">
        <v>0</v>
      </c>
      <c r="M564" s="706">
        <v>0</v>
      </c>
      <c r="N564" s="705">
        <f t="shared" si="106"/>
        <v>18900000</v>
      </c>
      <c r="O564" s="706">
        <v>8465625</v>
      </c>
      <c r="P564" s="706">
        <f t="shared" si="108"/>
        <v>2362500</v>
      </c>
      <c r="Q564" s="706">
        <v>0</v>
      </c>
      <c r="R564" s="705">
        <f t="shared" si="109"/>
        <v>10828125</v>
      </c>
      <c r="S564" s="706">
        <f t="shared" si="107"/>
        <v>8071875</v>
      </c>
    </row>
    <row r="565" spans="1:19" s="703" customFormat="1" ht="15.75" customHeight="1">
      <c r="A565" s="675"/>
      <c r="B565" s="675"/>
      <c r="C565" s="675"/>
      <c r="D565" s="538"/>
      <c r="E565" s="553"/>
      <c r="F565" s="466"/>
      <c r="G565" s="543"/>
      <c r="H565" s="790" t="s">
        <v>545</v>
      </c>
      <c r="I565" s="744">
        <v>2018</v>
      </c>
      <c r="J565" s="554">
        <v>0.125</v>
      </c>
      <c r="K565" s="706">
        <v>13958000</v>
      </c>
      <c r="L565" s="706">
        <v>0</v>
      </c>
      <c r="M565" s="706">
        <v>0</v>
      </c>
      <c r="N565" s="705">
        <f t="shared" si="106"/>
        <v>13958000</v>
      </c>
      <c r="O565" s="706">
        <v>6252020.8333333302</v>
      </c>
      <c r="P565" s="706">
        <f t="shared" si="108"/>
        <v>1744750</v>
      </c>
      <c r="Q565" s="706">
        <v>0</v>
      </c>
      <c r="R565" s="705">
        <f t="shared" si="109"/>
        <v>7996770.8333333302</v>
      </c>
      <c r="S565" s="706">
        <f t="shared" si="107"/>
        <v>5961229.1666666698</v>
      </c>
    </row>
    <row r="566" spans="1:19" s="703" customFormat="1" ht="15.75" customHeight="1">
      <c r="A566" s="675"/>
      <c r="B566" s="675"/>
      <c r="C566" s="675"/>
      <c r="D566" s="538"/>
      <c r="E566" s="553"/>
      <c r="F566" s="466"/>
      <c r="G566" s="543"/>
      <c r="H566" s="790" t="s">
        <v>679</v>
      </c>
      <c r="I566" s="744">
        <v>2018</v>
      </c>
      <c r="J566" s="554">
        <v>0.125</v>
      </c>
      <c r="K566" s="706">
        <v>37260000</v>
      </c>
      <c r="L566" s="706">
        <v>0</v>
      </c>
      <c r="M566" s="706">
        <v>0</v>
      </c>
      <c r="N566" s="705">
        <f t="shared" si="106"/>
        <v>37260000</v>
      </c>
      <c r="O566" s="706">
        <v>16689375</v>
      </c>
      <c r="P566" s="706">
        <f t="shared" si="108"/>
        <v>4657500</v>
      </c>
      <c r="Q566" s="706">
        <v>0</v>
      </c>
      <c r="R566" s="705">
        <f t="shared" si="109"/>
        <v>21346875</v>
      </c>
      <c r="S566" s="706">
        <f t="shared" si="107"/>
        <v>15913125</v>
      </c>
    </row>
    <row r="567" spans="1:19" s="703" customFormat="1" ht="15.75" customHeight="1">
      <c r="A567" s="675"/>
      <c r="B567" s="675"/>
      <c r="C567" s="675"/>
      <c r="D567" s="538"/>
      <c r="E567" s="553"/>
      <c r="F567" s="466"/>
      <c r="G567" s="543"/>
      <c r="H567" s="790" t="s">
        <v>680</v>
      </c>
      <c r="I567" s="744">
        <v>2018</v>
      </c>
      <c r="J567" s="554">
        <v>0.125</v>
      </c>
      <c r="K567" s="706">
        <v>646100000</v>
      </c>
      <c r="L567" s="706">
        <v>0</v>
      </c>
      <c r="M567" s="706">
        <v>0</v>
      </c>
      <c r="N567" s="705">
        <f t="shared" si="106"/>
        <v>646100000</v>
      </c>
      <c r="O567" s="706">
        <v>275938541.66666681</v>
      </c>
      <c r="P567" s="706">
        <f t="shared" si="108"/>
        <v>80762500</v>
      </c>
      <c r="Q567" s="706">
        <v>0</v>
      </c>
      <c r="R567" s="705">
        <f t="shared" si="109"/>
        <v>356701041.66666681</v>
      </c>
      <c r="S567" s="706">
        <f t="shared" si="107"/>
        <v>289398958.33333319</v>
      </c>
    </row>
    <row r="568" spans="1:19" s="703" customFormat="1" ht="15.75" customHeight="1">
      <c r="A568" s="675"/>
      <c r="B568" s="675"/>
      <c r="C568" s="675"/>
      <c r="D568" s="538"/>
      <c r="E568" s="553"/>
      <c r="F568" s="466"/>
      <c r="G568" s="543"/>
      <c r="H568" s="790" t="s">
        <v>681</v>
      </c>
      <c r="I568" s="744">
        <v>2018</v>
      </c>
      <c r="J568" s="554">
        <v>0.125</v>
      </c>
      <c r="K568" s="706">
        <v>6850000</v>
      </c>
      <c r="L568" s="706">
        <v>0</v>
      </c>
      <c r="M568" s="706">
        <v>0</v>
      </c>
      <c r="N568" s="705">
        <f t="shared" si="106"/>
        <v>6850000</v>
      </c>
      <c r="O568" s="706">
        <v>2782812.4999999995</v>
      </c>
      <c r="P568" s="706">
        <f t="shared" si="108"/>
        <v>856250</v>
      </c>
      <c r="Q568" s="706">
        <v>0</v>
      </c>
      <c r="R568" s="705">
        <f t="shared" si="109"/>
        <v>3639062.4999999995</v>
      </c>
      <c r="S568" s="706">
        <f t="shared" si="107"/>
        <v>3210937.5000000005</v>
      </c>
    </row>
    <row r="569" spans="1:19" s="703" customFormat="1" ht="15.75" customHeight="1">
      <c r="A569" s="675"/>
      <c r="B569" s="675"/>
      <c r="C569" s="675"/>
      <c r="D569" s="538"/>
      <c r="E569" s="553"/>
      <c r="F569" s="466"/>
      <c r="G569" s="543"/>
      <c r="H569" s="790" t="s">
        <v>682</v>
      </c>
      <c r="I569" s="744">
        <v>2018</v>
      </c>
      <c r="J569" s="554">
        <v>0.125</v>
      </c>
      <c r="K569" s="706">
        <v>875139505</v>
      </c>
      <c r="L569" s="706">
        <v>0</v>
      </c>
      <c r="M569" s="706">
        <v>0</v>
      </c>
      <c r="N569" s="705">
        <f t="shared" si="106"/>
        <v>875139505</v>
      </c>
      <c r="O569" s="706">
        <v>337293350.88541669</v>
      </c>
      <c r="P569" s="706">
        <f t="shared" si="108"/>
        <v>109392438.125</v>
      </c>
      <c r="Q569" s="706">
        <v>0</v>
      </c>
      <c r="R569" s="705">
        <f t="shared" si="109"/>
        <v>446685789.01041669</v>
      </c>
      <c r="S569" s="706">
        <f t="shared" si="107"/>
        <v>428453715.98958331</v>
      </c>
    </row>
    <row r="570" spans="1:19" s="703" customFormat="1" ht="15.75" customHeight="1">
      <c r="A570" s="675"/>
      <c r="B570" s="675"/>
      <c r="C570" s="675"/>
      <c r="D570" s="538"/>
      <c r="E570" s="553"/>
      <c r="F570" s="466"/>
      <c r="G570" s="543"/>
      <c r="H570" s="790" t="s">
        <v>683</v>
      </c>
      <c r="I570" s="744">
        <v>2018</v>
      </c>
      <c r="J570" s="554">
        <v>0.125</v>
      </c>
      <c r="K570" s="706">
        <v>1600000</v>
      </c>
      <c r="L570" s="706">
        <v>0</v>
      </c>
      <c r="M570" s="706">
        <v>0</v>
      </c>
      <c r="N570" s="705">
        <f t="shared" si="106"/>
        <v>1600000</v>
      </c>
      <c r="O570" s="706">
        <v>600000.00000000012</v>
      </c>
      <c r="P570" s="706">
        <f t="shared" si="108"/>
        <v>200000</v>
      </c>
      <c r="Q570" s="706">
        <v>0</v>
      </c>
      <c r="R570" s="705">
        <f t="shared" si="109"/>
        <v>800000.00000000012</v>
      </c>
      <c r="S570" s="706">
        <f t="shared" si="107"/>
        <v>799999.99999999988</v>
      </c>
    </row>
    <row r="571" spans="1:19" s="703" customFormat="1" ht="15.75" customHeight="1">
      <c r="A571" s="675"/>
      <c r="B571" s="675"/>
      <c r="C571" s="675"/>
      <c r="D571" s="538"/>
      <c r="E571" s="553"/>
      <c r="F571" s="466"/>
      <c r="G571" s="543"/>
      <c r="H571" s="745" t="s">
        <v>664</v>
      </c>
      <c r="I571" s="824">
        <v>43483</v>
      </c>
      <c r="J571" s="554">
        <v>0.125</v>
      </c>
      <c r="K571" s="706">
        <v>80000000</v>
      </c>
      <c r="L571" s="706"/>
      <c r="M571" s="706">
        <v>0</v>
      </c>
      <c r="N571" s="705">
        <f t="shared" si="106"/>
        <v>80000000</v>
      </c>
      <c r="O571" s="706">
        <v>29166666.666666653</v>
      </c>
      <c r="P571" s="706">
        <f t="shared" si="108"/>
        <v>10000000</v>
      </c>
      <c r="Q571" s="706">
        <v>0</v>
      </c>
      <c r="R571" s="705">
        <f t="shared" si="109"/>
        <v>39166666.666666657</v>
      </c>
      <c r="S571" s="706">
        <f t="shared" si="107"/>
        <v>40833333.333333343</v>
      </c>
    </row>
    <row r="572" spans="1:19" s="703" customFormat="1" ht="15.75" customHeight="1">
      <c r="A572" s="675"/>
      <c r="B572" s="675"/>
      <c r="C572" s="675"/>
      <c r="D572" s="538"/>
      <c r="E572" s="555"/>
      <c r="F572" s="556"/>
      <c r="G572" s="548"/>
      <c r="H572" s="725" t="s">
        <v>684</v>
      </c>
      <c r="I572" s="726">
        <v>43524</v>
      </c>
      <c r="J572" s="557">
        <v>0.125</v>
      </c>
      <c r="K572" s="707">
        <v>1103407131</v>
      </c>
      <c r="L572" s="707"/>
      <c r="M572" s="707">
        <v>0</v>
      </c>
      <c r="N572" s="705">
        <f t="shared" si="106"/>
        <v>1103407131</v>
      </c>
      <c r="O572" s="705">
        <v>390790025.5625</v>
      </c>
      <c r="P572" s="706">
        <f t="shared" si="108"/>
        <v>137925891.375</v>
      </c>
      <c r="Q572" s="705">
        <v>0</v>
      </c>
      <c r="R572" s="705">
        <f t="shared" si="109"/>
        <v>528715916.9375</v>
      </c>
      <c r="S572" s="706">
        <f t="shared" si="107"/>
        <v>574691214.0625</v>
      </c>
    </row>
    <row r="573" spans="1:19" s="703" customFormat="1" ht="15.75" customHeight="1">
      <c r="A573" s="675"/>
      <c r="B573" s="675"/>
      <c r="C573" s="675"/>
      <c r="D573" s="538"/>
      <c r="E573" s="555"/>
      <c r="F573" s="556"/>
      <c r="G573" s="548"/>
      <c r="H573" s="558" t="s">
        <v>670</v>
      </c>
      <c r="I573" s="443">
        <v>2020</v>
      </c>
      <c r="J573" s="772">
        <v>0.125</v>
      </c>
      <c r="K573" s="707">
        <v>21120000</v>
      </c>
      <c r="L573" s="812"/>
      <c r="M573" s="707"/>
      <c r="N573" s="705">
        <f>K573+L573-M573</f>
        <v>21120000</v>
      </c>
      <c r="O573" s="706">
        <v>5060000</v>
      </c>
      <c r="P573" s="706">
        <f t="shared" si="108"/>
        <v>2640000</v>
      </c>
      <c r="Q573" s="706">
        <v>0</v>
      </c>
      <c r="R573" s="705">
        <f t="shared" si="109"/>
        <v>7700000</v>
      </c>
      <c r="S573" s="706">
        <f>N573-R573</f>
        <v>13420000</v>
      </c>
    </row>
    <row r="574" spans="1:19" s="703" customFormat="1" ht="15.75" customHeight="1">
      <c r="A574" s="675"/>
      <c r="B574" s="675"/>
      <c r="C574" s="675"/>
      <c r="D574" s="538"/>
      <c r="E574" s="555"/>
      <c r="F574" s="556"/>
      <c r="G574" s="548"/>
      <c r="H574" s="559" t="s">
        <v>685</v>
      </c>
      <c r="I574" s="460">
        <v>2020</v>
      </c>
      <c r="J574" s="772">
        <v>0.125</v>
      </c>
      <c r="K574" s="707">
        <v>1350000</v>
      </c>
      <c r="L574" s="812"/>
      <c r="M574" s="707"/>
      <c r="N574" s="705">
        <f>K574+L574-M574</f>
        <v>1350000</v>
      </c>
      <c r="O574" s="706">
        <v>323437.5</v>
      </c>
      <c r="P574" s="706">
        <f>N574*J574</f>
        <v>168750</v>
      </c>
      <c r="Q574" s="706">
        <v>0</v>
      </c>
      <c r="R574" s="705">
        <f>O574+P574-Q574</f>
        <v>492187.5</v>
      </c>
      <c r="S574" s="706">
        <f>N574-R574</f>
        <v>857812.5</v>
      </c>
    </row>
    <row r="575" spans="1:19" s="703" customFormat="1" ht="15.75" customHeight="1">
      <c r="A575" s="675"/>
      <c r="B575" s="675"/>
      <c r="C575" s="675"/>
      <c r="D575" s="538"/>
      <c r="E575" s="555"/>
      <c r="F575" s="556"/>
      <c r="G575" s="548"/>
      <c r="H575" s="558" t="s">
        <v>685</v>
      </c>
      <c r="I575" s="443">
        <v>2020</v>
      </c>
      <c r="J575" s="772">
        <v>0.125</v>
      </c>
      <c r="K575" s="707">
        <v>1350000</v>
      </c>
      <c r="L575" s="812"/>
      <c r="M575" s="707"/>
      <c r="N575" s="705">
        <f>K575+L575-M575</f>
        <v>1350000</v>
      </c>
      <c r="O575" s="706">
        <v>323437.5</v>
      </c>
      <c r="P575" s="706">
        <f>N575*J575</f>
        <v>168750</v>
      </c>
      <c r="Q575" s="706">
        <v>0</v>
      </c>
      <c r="R575" s="705">
        <f>O575+P575-Q575</f>
        <v>492187.5</v>
      </c>
      <c r="S575" s="706">
        <f>N575-R575</f>
        <v>857812.5</v>
      </c>
    </row>
    <row r="576" spans="1:19" s="703" customFormat="1" ht="15.75" customHeight="1">
      <c r="A576" s="675"/>
      <c r="B576" s="675"/>
      <c r="C576" s="675"/>
      <c r="D576" s="538"/>
      <c r="E576" s="555"/>
      <c r="F576" s="556"/>
      <c r="G576" s="548"/>
      <c r="H576" s="559" t="s">
        <v>686</v>
      </c>
      <c r="I576" s="460">
        <v>2020</v>
      </c>
      <c r="J576" s="772">
        <v>0.125</v>
      </c>
      <c r="K576" s="707">
        <v>1650000</v>
      </c>
      <c r="L576" s="812"/>
      <c r="M576" s="707"/>
      <c r="N576" s="705">
        <f>K576+L576-M576</f>
        <v>1650000</v>
      </c>
      <c r="O576" s="706">
        <v>378125</v>
      </c>
      <c r="P576" s="706">
        <f>N576*J576</f>
        <v>206250</v>
      </c>
      <c r="Q576" s="706">
        <v>0</v>
      </c>
      <c r="R576" s="705">
        <f>O576+P576-Q576</f>
        <v>584375</v>
      </c>
      <c r="S576" s="706">
        <f>N576-R576</f>
        <v>1065625</v>
      </c>
    </row>
    <row r="577" spans="1:19" s="703" customFormat="1" ht="15.75" customHeight="1">
      <c r="A577" s="675"/>
      <c r="B577" s="675"/>
      <c r="C577" s="675"/>
      <c r="D577" s="538"/>
      <c r="E577" s="555"/>
      <c r="F577" s="556"/>
      <c r="G577" s="548"/>
      <c r="H577" s="560" t="s">
        <v>687</v>
      </c>
      <c r="I577" s="460">
        <v>2020</v>
      </c>
      <c r="J577" s="772">
        <v>0.125</v>
      </c>
      <c r="K577" s="707">
        <v>1950000</v>
      </c>
      <c r="L577" s="812"/>
      <c r="M577" s="707"/>
      <c r="N577" s="705">
        <f>K577+L577-M577</f>
        <v>1950000</v>
      </c>
      <c r="O577" s="707">
        <v>446875</v>
      </c>
      <c r="P577" s="706">
        <f>N577*J577</f>
        <v>243750</v>
      </c>
      <c r="Q577" s="707">
        <v>0</v>
      </c>
      <c r="R577" s="705">
        <f>O577+P577-Q577</f>
        <v>690625</v>
      </c>
      <c r="S577" s="706">
        <f>N577-R577</f>
        <v>1259375</v>
      </c>
    </row>
    <row r="578" spans="1:19" ht="15.75" customHeight="1">
      <c r="A578" s="675" t="s">
        <v>944</v>
      </c>
      <c r="D578" s="309"/>
      <c r="E578" s="1235" t="s">
        <v>1014</v>
      </c>
      <c r="F578" s="1236"/>
      <c r="G578" s="1236"/>
      <c r="H578" s="1236"/>
      <c r="I578" s="1236"/>
      <c r="J578" s="1237"/>
      <c r="K578" s="708">
        <f>SUM(K509:K577)</f>
        <v>11276954398.82</v>
      </c>
      <c r="L578" s="708">
        <f t="shared" ref="L578:S578" si="110">SUM(L509:L577)</f>
        <v>0</v>
      </c>
      <c r="M578" s="708">
        <f t="shared" si="110"/>
        <v>0</v>
      </c>
      <c r="N578" s="708">
        <f t="shared" si="110"/>
        <v>11276954398.82</v>
      </c>
      <c r="O578" s="708">
        <f t="shared" si="110"/>
        <v>6974772534.6449995</v>
      </c>
      <c r="P578" s="708">
        <f t="shared" si="110"/>
        <v>1409619299.8525</v>
      </c>
      <c r="Q578" s="708">
        <f t="shared" si="110"/>
        <v>0</v>
      </c>
      <c r="R578" s="708">
        <f t="shared" si="110"/>
        <v>8384391834.4974995</v>
      </c>
      <c r="S578" s="708">
        <f t="shared" si="110"/>
        <v>2892562564.3225017</v>
      </c>
    </row>
    <row r="579" spans="1:19" ht="15.75" customHeight="1">
      <c r="D579" s="538"/>
      <c r="E579" s="539"/>
      <c r="F579" s="466"/>
      <c r="G579" s="540"/>
      <c r="H579" s="715"/>
      <c r="I579" s="716"/>
      <c r="J579" s="393"/>
      <c r="K579" s="706"/>
      <c r="L579" s="706"/>
      <c r="M579" s="706"/>
      <c r="N579" s="706"/>
      <c r="O579" s="705"/>
      <c r="P579" s="706"/>
      <c r="Q579" s="706"/>
      <c r="R579" s="705"/>
      <c r="S579" s="706"/>
    </row>
    <row r="580" spans="1:19" ht="15.75" customHeight="1">
      <c r="A580" s="675" t="s">
        <v>946</v>
      </c>
      <c r="D580" s="309"/>
      <c r="E580" s="316" t="s">
        <v>1015</v>
      </c>
      <c r="F580" s="703" t="s">
        <v>696</v>
      </c>
      <c r="G580" s="311"/>
      <c r="H580" s="312"/>
      <c r="I580" s="537"/>
      <c r="J580" s="393"/>
      <c r="K580" s="712"/>
      <c r="L580" s="712"/>
      <c r="M580" s="712"/>
      <c r="N580" s="712"/>
      <c r="O580" s="712"/>
      <c r="P580" s="712"/>
      <c r="Q580" s="712"/>
      <c r="R580" s="712"/>
      <c r="S580" s="712"/>
    </row>
    <row r="581" spans="1:19" ht="15.75" customHeight="1">
      <c r="A581" s="675" t="s">
        <v>946</v>
      </c>
      <c r="D581" s="538"/>
      <c r="E581" s="539"/>
      <c r="F581" s="466"/>
      <c r="G581" s="540"/>
      <c r="H581" s="715" t="s">
        <v>174</v>
      </c>
      <c r="I581" s="716">
        <v>2002</v>
      </c>
      <c r="J581" s="430">
        <v>0.125</v>
      </c>
      <c r="K581" s="706">
        <v>0</v>
      </c>
      <c r="L581" s="706">
        <v>0</v>
      </c>
      <c r="M581" s="706"/>
      <c r="N581" s="705">
        <f t="shared" ref="N581:N588" si="111">K581+L581-M581</f>
        <v>0</v>
      </c>
      <c r="O581" s="705">
        <v>0</v>
      </c>
      <c r="P581" s="706"/>
      <c r="Q581" s="706"/>
      <c r="R581" s="705">
        <f t="shared" ref="R581:R586" si="112">O581+P581-Q581</f>
        <v>0</v>
      </c>
      <c r="S581" s="706">
        <f t="shared" ref="S581:S588" si="113">N581-R581</f>
        <v>0</v>
      </c>
    </row>
    <row r="582" spans="1:19" ht="15.75" customHeight="1">
      <c r="A582" s="675" t="s">
        <v>946</v>
      </c>
      <c r="D582" s="538"/>
      <c r="E582" s="539"/>
      <c r="F582" s="466"/>
      <c r="G582" s="540"/>
      <c r="H582" s="715" t="s">
        <v>1090</v>
      </c>
      <c r="I582" s="716">
        <v>2010</v>
      </c>
      <c r="J582" s="430">
        <v>0.125</v>
      </c>
      <c r="K582" s="706">
        <v>0</v>
      </c>
      <c r="L582" s="706">
        <v>0</v>
      </c>
      <c r="M582" s="706"/>
      <c r="N582" s="705">
        <f t="shared" si="111"/>
        <v>0</v>
      </c>
      <c r="O582" s="705">
        <v>0</v>
      </c>
      <c r="P582" s="706"/>
      <c r="Q582" s="706"/>
      <c r="R582" s="705">
        <f t="shared" si="112"/>
        <v>0</v>
      </c>
      <c r="S582" s="706">
        <f t="shared" si="113"/>
        <v>0</v>
      </c>
    </row>
    <row r="583" spans="1:19" ht="15.75" customHeight="1">
      <c r="A583" s="675" t="s">
        <v>946</v>
      </c>
      <c r="D583" s="538"/>
      <c r="E583" s="539"/>
      <c r="F583" s="466"/>
      <c r="G583" s="540"/>
      <c r="H583" s="715" t="s">
        <v>1091</v>
      </c>
      <c r="I583" s="716">
        <v>2010</v>
      </c>
      <c r="J583" s="430">
        <v>0.125</v>
      </c>
      <c r="K583" s="706">
        <v>0</v>
      </c>
      <c r="L583" s="706">
        <v>0</v>
      </c>
      <c r="M583" s="706"/>
      <c r="N583" s="705">
        <f t="shared" si="111"/>
        <v>0</v>
      </c>
      <c r="O583" s="705">
        <v>0</v>
      </c>
      <c r="P583" s="706"/>
      <c r="Q583" s="706"/>
      <c r="R583" s="705">
        <f t="shared" si="112"/>
        <v>0</v>
      </c>
      <c r="S583" s="706">
        <f t="shared" si="113"/>
        <v>0</v>
      </c>
    </row>
    <row r="584" spans="1:19" ht="15.75" customHeight="1">
      <c r="A584" s="675" t="s">
        <v>946</v>
      </c>
      <c r="D584" s="538"/>
      <c r="E584" s="539"/>
      <c r="F584" s="466"/>
      <c r="G584" s="540"/>
      <c r="H584" s="715" t="s">
        <v>1092</v>
      </c>
      <c r="I584" s="716">
        <v>2008</v>
      </c>
      <c r="J584" s="430">
        <v>0.125</v>
      </c>
      <c r="K584" s="706">
        <v>0</v>
      </c>
      <c r="L584" s="706">
        <v>0</v>
      </c>
      <c r="M584" s="706"/>
      <c r="N584" s="705">
        <f t="shared" si="111"/>
        <v>0</v>
      </c>
      <c r="O584" s="705">
        <v>0</v>
      </c>
      <c r="P584" s="706"/>
      <c r="Q584" s="706"/>
      <c r="R584" s="705">
        <f t="shared" si="112"/>
        <v>0</v>
      </c>
      <c r="S584" s="706">
        <f t="shared" si="113"/>
        <v>0</v>
      </c>
    </row>
    <row r="585" spans="1:19" ht="15.75" customHeight="1">
      <c r="A585" s="675" t="s">
        <v>946</v>
      </c>
      <c r="D585" s="538"/>
      <c r="E585" s="539"/>
      <c r="F585" s="466"/>
      <c r="G585" s="540"/>
      <c r="H585" s="715" t="s">
        <v>1093</v>
      </c>
      <c r="I585" s="716">
        <v>2008</v>
      </c>
      <c r="J585" s="430">
        <v>0.125</v>
      </c>
      <c r="K585" s="706">
        <v>0</v>
      </c>
      <c r="L585" s="706">
        <v>0</v>
      </c>
      <c r="M585" s="706"/>
      <c r="N585" s="705">
        <f t="shared" si="111"/>
        <v>0</v>
      </c>
      <c r="O585" s="705">
        <v>0</v>
      </c>
      <c r="P585" s="706"/>
      <c r="Q585" s="706"/>
      <c r="R585" s="705">
        <f t="shared" si="112"/>
        <v>0</v>
      </c>
      <c r="S585" s="706">
        <f t="shared" si="113"/>
        <v>0</v>
      </c>
    </row>
    <row r="586" spans="1:19" s="703" customFormat="1" ht="15.75" customHeight="1">
      <c r="A586" s="675" t="s">
        <v>946</v>
      </c>
      <c r="B586" s="675"/>
      <c r="C586" s="675"/>
      <c r="D586" s="538"/>
      <c r="E586" s="539"/>
      <c r="F586" s="466"/>
      <c r="G586" s="540"/>
      <c r="H586" s="715" t="s">
        <v>1094</v>
      </c>
      <c r="I586" s="716">
        <v>2009</v>
      </c>
      <c r="J586" s="430">
        <v>0.125</v>
      </c>
      <c r="K586" s="706">
        <v>0</v>
      </c>
      <c r="L586" s="706">
        <v>0</v>
      </c>
      <c r="M586" s="706"/>
      <c r="N586" s="705">
        <f t="shared" si="111"/>
        <v>0</v>
      </c>
      <c r="O586" s="705">
        <v>0</v>
      </c>
      <c r="P586" s="706"/>
      <c r="Q586" s="706"/>
      <c r="R586" s="705">
        <f t="shared" si="112"/>
        <v>0</v>
      </c>
      <c r="S586" s="706">
        <f t="shared" si="113"/>
        <v>0</v>
      </c>
    </row>
    <row r="587" spans="1:19" s="703" customFormat="1" ht="15.75" customHeight="1">
      <c r="A587" s="675"/>
      <c r="B587" s="675"/>
      <c r="C587" s="675"/>
      <c r="D587" s="538"/>
      <c r="E587" s="539"/>
      <c r="F587" s="466"/>
      <c r="G587" s="825"/>
      <c r="H587" s="743" t="s">
        <v>697</v>
      </c>
      <c r="I587" s="826">
        <v>43708</v>
      </c>
      <c r="J587" s="435">
        <v>0.125</v>
      </c>
      <c r="K587" s="705">
        <v>167045455</v>
      </c>
      <c r="L587" s="709"/>
      <c r="M587" s="827">
        <v>0</v>
      </c>
      <c r="N587" s="705">
        <f t="shared" si="111"/>
        <v>167045455</v>
      </c>
      <c r="O587" s="705">
        <v>48721591.041666619</v>
      </c>
      <c r="P587" s="706">
        <f>N587*J587</f>
        <v>20880681.875</v>
      </c>
      <c r="Q587" s="709"/>
      <c r="R587" s="705">
        <f>O587+P587-Q587</f>
        <v>69602272.916666627</v>
      </c>
      <c r="S587" s="705">
        <f t="shared" si="113"/>
        <v>97443182.083333373</v>
      </c>
    </row>
    <row r="588" spans="1:19" s="703" customFormat="1" ht="15.75" customHeight="1">
      <c r="A588" s="675"/>
      <c r="B588" s="675"/>
      <c r="C588" s="675"/>
      <c r="D588" s="538"/>
      <c r="E588" s="539"/>
      <c r="F588" s="556"/>
      <c r="G588" s="828"/>
      <c r="H588" s="728" t="s">
        <v>698</v>
      </c>
      <c r="I588" s="729">
        <v>2020</v>
      </c>
      <c r="J588" s="440">
        <v>0.125</v>
      </c>
      <c r="K588" s="707">
        <v>9625000</v>
      </c>
      <c r="L588" s="812"/>
      <c r="M588" s="829">
        <v>0</v>
      </c>
      <c r="N588" s="707">
        <f t="shared" si="111"/>
        <v>9625000</v>
      </c>
      <c r="O588" s="707">
        <v>1704427.083333334</v>
      </c>
      <c r="P588" s="706">
        <f>N588*J588</f>
        <v>1203125</v>
      </c>
      <c r="Q588" s="707"/>
      <c r="R588" s="705">
        <f>O588+P588-Q588</f>
        <v>2907552.083333334</v>
      </c>
      <c r="S588" s="707">
        <f t="shared" si="113"/>
        <v>6717447.916666666</v>
      </c>
    </row>
    <row r="589" spans="1:19" ht="15.75" customHeight="1">
      <c r="A589" s="675" t="s">
        <v>946</v>
      </c>
      <c r="D589" s="309"/>
      <c r="E589" s="1235" t="s">
        <v>1016</v>
      </c>
      <c r="F589" s="1236"/>
      <c r="G589" s="1236"/>
      <c r="H589" s="1236"/>
      <c r="I589" s="1236"/>
      <c r="J589" s="1237"/>
      <c r="K589" s="708">
        <f>SUM(K581:K588)</f>
        <v>176670455</v>
      </c>
      <c r="L589" s="708">
        <f t="shared" ref="L589:S589" si="114">SUM(L581:L588)</f>
        <v>0</v>
      </c>
      <c r="M589" s="708">
        <f t="shared" si="114"/>
        <v>0</v>
      </c>
      <c r="N589" s="708">
        <f t="shared" si="114"/>
        <v>176670455</v>
      </c>
      <c r="O589" s="708">
        <f t="shared" si="114"/>
        <v>50426018.124999955</v>
      </c>
      <c r="P589" s="708">
        <f t="shared" si="114"/>
        <v>22083806.875</v>
      </c>
      <c r="Q589" s="708">
        <f t="shared" si="114"/>
        <v>0</v>
      </c>
      <c r="R589" s="708">
        <f t="shared" si="114"/>
        <v>72509824.999999955</v>
      </c>
      <c r="S589" s="708">
        <f t="shared" si="114"/>
        <v>104160630.00000004</v>
      </c>
    </row>
    <row r="590" spans="1:19" s="763" customFormat="1" ht="25" customHeight="1">
      <c r="A590" s="675"/>
      <c r="B590" s="675"/>
      <c r="C590" s="675"/>
      <c r="D590" s="538"/>
      <c r="E590" s="539"/>
      <c r="F590" s="466"/>
      <c r="G590" s="540"/>
      <c r="H590" s="715"/>
      <c r="I590" s="716"/>
      <c r="J590" s="393"/>
      <c r="K590" s="706"/>
      <c r="L590" s="706"/>
      <c r="M590" s="706"/>
      <c r="N590" s="706"/>
      <c r="O590" s="705"/>
      <c r="P590" s="706"/>
      <c r="Q590" s="706"/>
      <c r="R590" s="705"/>
      <c r="S590" s="706"/>
    </row>
    <row r="591" spans="1:19" ht="15.75" customHeight="1">
      <c r="D591" s="1229" t="s">
        <v>1017</v>
      </c>
      <c r="E591" s="1230"/>
      <c r="F591" s="1230"/>
      <c r="G591" s="1230"/>
      <c r="H591" s="1230"/>
      <c r="I591" s="1230"/>
      <c r="J591" s="1231"/>
      <c r="K591" s="708">
        <f>K354+K506+K578+K589</f>
        <v>51275277727.299995</v>
      </c>
      <c r="L591" s="708">
        <f t="shared" ref="L591:S591" si="115">L354+L506+L578+L589</f>
        <v>16929730</v>
      </c>
      <c r="M591" s="708">
        <f t="shared" si="115"/>
        <v>0</v>
      </c>
      <c r="N591" s="708">
        <f t="shared" si="115"/>
        <v>51292207457.299995</v>
      </c>
      <c r="O591" s="708">
        <f t="shared" si="115"/>
        <v>20764962099.936253</v>
      </c>
      <c r="P591" s="708">
        <f t="shared" si="115"/>
        <v>4645771642.165</v>
      </c>
      <c r="Q591" s="708">
        <f t="shared" si="115"/>
        <v>0</v>
      </c>
      <c r="R591" s="708">
        <f t="shared" si="115"/>
        <v>25410733742.10125</v>
      </c>
      <c r="S591" s="708">
        <f t="shared" si="115"/>
        <v>25881473715.198753</v>
      </c>
    </row>
    <row r="592" spans="1:19" ht="15.75" customHeight="1">
      <c r="D592" s="309"/>
      <c r="E592" s="353"/>
      <c r="F592" s="353"/>
      <c r="G592" s="311"/>
      <c r="H592" s="332"/>
      <c r="I592" s="537"/>
      <c r="J592" s="393"/>
      <c r="K592" s="712"/>
      <c r="L592" s="712"/>
      <c r="M592" s="712"/>
      <c r="N592" s="712"/>
      <c r="O592" s="712"/>
      <c r="P592" s="712"/>
      <c r="Q592" s="712"/>
      <c r="R592" s="712"/>
      <c r="S592" s="712"/>
    </row>
    <row r="593" spans="1:19" ht="15.75" customHeight="1">
      <c r="A593" s="675" t="s">
        <v>935</v>
      </c>
      <c r="B593" s="700" t="s">
        <v>1018</v>
      </c>
      <c r="C593" s="700" t="s">
        <v>1018</v>
      </c>
      <c r="D593" s="357">
        <v>6</v>
      </c>
      <c r="E593" s="316" t="s">
        <v>1018</v>
      </c>
      <c r="F593" s="679"/>
      <c r="G593" s="311"/>
      <c r="H593" s="312"/>
      <c r="I593" s="537"/>
      <c r="J593" s="393"/>
      <c r="K593" s="712"/>
      <c r="L593" s="712"/>
      <c r="M593" s="712"/>
      <c r="N593" s="712"/>
      <c r="O593" s="712"/>
      <c r="P593" s="712"/>
      <c r="Q593" s="712"/>
      <c r="R593" s="712"/>
      <c r="S593" s="712"/>
    </row>
    <row r="594" spans="1:19" ht="15.75" customHeight="1">
      <c r="A594" s="675" t="s">
        <v>935</v>
      </c>
      <c r="D594" s="357"/>
      <c r="E594" s="316" t="s">
        <v>1019</v>
      </c>
      <c r="F594" s="703" t="s">
        <v>699</v>
      </c>
      <c r="G594" s="311"/>
      <c r="H594" s="319"/>
      <c r="I594" s="537"/>
      <c r="J594" s="393"/>
      <c r="K594" s="712"/>
      <c r="L594" s="712"/>
      <c r="M594" s="712"/>
      <c r="N594" s="712"/>
      <c r="O594" s="712"/>
      <c r="P594" s="712"/>
      <c r="Q594" s="712"/>
      <c r="R594" s="712"/>
      <c r="S594" s="712"/>
    </row>
    <row r="595" spans="1:19" s="703" customFormat="1" ht="15.75" customHeight="1">
      <c r="A595" s="675" t="s">
        <v>935</v>
      </c>
      <c r="B595" s="675"/>
      <c r="C595" s="675"/>
      <c r="D595" s="357"/>
      <c r="E595" s="301"/>
      <c r="F595" s="316" t="s">
        <v>1020</v>
      </c>
      <c r="G595" s="311" t="s">
        <v>405</v>
      </c>
      <c r="H595" s="319"/>
      <c r="I595" s="258"/>
      <c r="J595" s="393"/>
      <c r="K595" s="702"/>
      <c r="L595" s="702"/>
      <c r="M595" s="702"/>
      <c r="N595" s="702"/>
      <c r="O595" s="702"/>
      <c r="P595" s="702"/>
      <c r="Q595" s="702"/>
      <c r="R595" s="702"/>
      <c r="S595" s="702"/>
    </row>
    <row r="596" spans="1:19" ht="15.75" customHeight="1">
      <c r="A596" s="675" t="s">
        <v>935</v>
      </c>
      <c r="D596" s="309"/>
      <c r="E596" s="316"/>
      <c r="F596" s="330"/>
      <c r="G596" s="331"/>
      <c r="H596" s="715" t="s">
        <v>700</v>
      </c>
      <c r="I596" s="716">
        <v>2002</v>
      </c>
      <c r="J596" s="393">
        <v>0.05</v>
      </c>
      <c r="K596" s="706">
        <v>2600000</v>
      </c>
      <c r="L596" s="706">
        <v>0</v>
      </c>
      <c r="M596" s="706">
        <v>0</v>
      </c>
      <c r="N596" s="705">
        <f t="shared" ref="N596:N602" si="116">K596+L596-M596</f>
        <v>2600000</v>
      </c>
      <c r="O596" s="705">
        <v>780000.00000000058</v>
      </c>
      <c r="P596" s="706">
        <f t="shared" ref="P596:P602" si="117">N596*J596</f>
        <v>130000</v>
      </c>
      <c r="Q596" s="706">
        <v>0</v>
      </c>
      <c r="R596" s="705">
        <f>O596+P596-Q596</f>
        <v>910000.00000000058</v>
      </c>
      <c r="S596" s="706">
        <f t="shared" ref="S596:S602" si="118">N596-R596</f>
        <v>1689999.9999999995</v>
      </c>
    </row>
    <row r="597" spans="1:19" ht="15.75" customHeight="1">
      <c r="A597" s="675" t="s">
        <v>935</v>
      </c>
      <c r="D597" s="309"/>
      <c r="E597" s="316"/>
      <c r="F597" s="330"/>
      <c r="G597" s="331"/>
      <c r="H597" s="715" t="s">
        <v>700</v>
      </c>
      <c r="I597" s="716">
        <v>2005</v>
      </c>
      <c r="J597" s="393">
        <v>0.05</v>
      </c>
      <c r="K597" s="706">
        <v>126700000</v>
      </c>
      <c r="L597" s="706">
        <v>0</v>
      </c>
      <c r="M597" s="706">
        <v>0</v>
      </c>
      <c r="N597" s="705">
        <f t="shared" si="116"/>
        <v>126700000</v>
      </c>
      <c r="O597" s="705">
        <v>38010000.000000007</v>
      </c>
      <c r="P597" s="706">
        <f t="shared" si="117"/>
        <v>6335000</v>
      </c>
      <c r="Q597" s="706">
        <v>0</v>
      </c>
      <c r="R597" s="705">
        <f t="shared" ref="R597:R602" si="119">O597+P597-Q597</f>
        <v>44345000.000000007</v>
      </c>
      <c r="S597" s="706">
        <f t="shared" si="118"/>
        <v>82355000</v>
      </c>
    </row>
    <row r="598" spans="1:19" ht="15.75" customHeight="1">
      <c r="A598" s="675" t="s">
        <v>935</v>
      </c>
      <c r="D598" s="309"/>
      <c r="E598" s="316"/>
      <c r="F598" s="330"/>
      <c r="G598" s="331"/>
      <c r="H598" s="715" t="s">
        <v>701</v>
      </c>
      <c r="I598" s="716">
        <v>2002</v>
      </c>
      <c r="J598" s="393">
        <v>0.05</v>
      </c>
      <c r="K598" s="706">
        <v>263700000</v>
      </c>
      <c r="L598" s="706">
        <v>0</v>
      </c>
      <c r="M598" s="706">
        <v>0</v>
      </c>
      <c r="N598" s="705">
        <f t="shared" si="116"/>
        <v>263700000</v>
      </c>
      <c r="O598" s="705">
        <v>79110000</v>
      </c>
      <c r="P598" s="706">
        <f t="shared" si="117"/>
        <v>13185000</v>
      </c>
      <c r="Q598" s="706">
        <v>0</v>
      </c>
      <c r="R598" s="705">
        <f t="shared" si="119"/>
        <v>92295000</v>
      </c>
      <c r="S598" s="706">
        <f t="shared" si="118"/>
        <v>171405000</v>
      </c>
    </row>
    <row r="599" spans="1:19" ht="15.75" customHeight="1">
      <c r="A599" s="675" t="s">
        <v>935</v>
      </c>
      <c r="D599" s="309"/>
      <c r="E599" s="316"/>
      <c r="F599" s="330"/>
      <c r="G599" s="331"/>
      <c r="H599" s="715" t="s">
        <v>701</v>
      </c>
      <c r="I599" s="716">
        <v>2005</v>
      </c>
      <c r="J599" s="393">
        <v>0.05</v>
      </c>
      <c r="K599" s="706">
        <v>11600000</v>
      </c>
      <c r="L599" s="706">
        <v>0</v>
      </c>
      <c r="M599" s="706">
        <v>0</v>
      </c>
      <c r="N599" s="705">
        <f t="shared" si="116"/>
        <v>11600000</v>
      </c>
      <c r="O599" s="705">
        <v>3480000.0000000033</v>
      </c>
      <c r="P599" s="706">
        <f t="shared" si="117"/>
        <v>580000</v>
      </c>
      <c r="Q599" s="706">
        <v>0</v>
      </c>
      <c r="R599" s="705">
        <f t="shared" si="119"/>
        <v>4060000.0000000033</v>
      </c>
      <c r="S599" s="706">
        <f t="shared" si="118"/>
        <v>7539999.9999999963</v>
      </c>
    </row>
    <row r="600" spans="1:19" ht="15.75" customHeight="1">
      <c r="A600" s="675" t="s">
        <v>935</v>
      </c>
      <c r="D600" s="387"/>
      <c r="E600" s="324"/>
      <c r="F600" s="330"/>
      <c r="G600" s="721"/>
      <c r="H600" s="715" t="s">
        <v>702</v>
      </c>
      <c r="I600" s="716">
        <v>2002</v>
      </c>
      <c r="J600" s="393">
        <v>0.05</v>
      </c>
      <c r="K600" s="705">
        <v>55200000</v>
      </c>
      <c r="L600" s="706">
        <v>0</v>
      </c>
      <c r="M600" s="706">
        <v>0</v>
      </c>
      <c r="N600" s="705">
        <f t="shared" si="116"/>
        <v>55200000</v>
      </c>
      <c r="O600" s="705">
        <v>16560000</v>
      </c>
      <c r="P600" s="706">
        <f t="shared" si="117"/>
        <v>2760000</v>
      </c>
      <c r="Q600" s="705">
        <v>0</v>
      </c>
      <c r="R600" s="705">
        <f t="shared" si="119"/>
        <v>19320000</v>
      </c>
      <c r="S600" s="706">
        <f t="shared" si="118"/>
        <v>35880000</v>
      </c>
    </row>
    <row r="601" spans="1:19" ht="15.75" customHeight="1">
      <c r="A601" s="675" t="s">
        <v>935</v>
      </c>
      <c r="D601" s="387"/>
      <c r="E601" s="324"/>
      <c r="F601" s="330"/>
      <c r="G601" s="721"/>
      <c r="H601" s="715" t="s">
        <v>702</v>
      </c>
      <c r="I601" s="724">
        <v>2005</v>
      </c>
      <c r="J601" s="377">
        <v>0.05</v>
      </c>
      <c r="K601" s="705">
        <v>548000000</v>
      </c>
      <c r="L601" s="706">
        <v>0</v>
      </c>
      <c r="M601" s="705">
        <v>0</v>
      </c>
      <c r="N601" s="705">
        <f t="shared" si="116"/>
        <v>548000000</v>
      </c>
      <c r="O601" s="705">
        <v>164400000.00000003</v>
      </c>
      <c r="P601" s="706">
        <f t="shared" si="117"/>
        <v>27400000</v>
      </c>
      <c r="Q601" s="705">
        <v>0</v>
      </c>
      <c r="R601" s="705">
        <f t="shared" si="119"/>
        <v>191800000.00000003</v>
      </c>
      <c r="S601" s="705">
        <f t="shared" si="118"/>
        <v>356200000</v>
      </c>
    </row>
    <row r="602" spans="1:19" ht="15.75" customHeight="1">
      <c r="D602" s="387"/>
      <c r="E602" s="324"/>
      <c r="F602" s="343"/>
      <c r="G602" s="727"/>
      <c r="H602" s="743" t="s">
        <v>703</v>
      </c>
      <c r="I602" s="724">
        <v>2021</v>
      </c>
      <c r="J602" s="377">
        <v>0.05</v>
      </c>
      <c r="K602" s="707">
        <v>444480000</v>
      </c>
      <c r="L602" s="706">
        <v>0</v>
      </c>
      <c r="M602" s="705">
        <v>0</v>
      </c>
      <c r="N602" s="705">
        <f t="shared" si="116"/>
        <v>444480000</v>
      </c>
      <c r="O602" s="707">
        <v>1852000</v>
      </c>
      <c r="P602" s="706">
        <f t="shared" si="117"/>
        <v>22224000</v>
      </c>
      <c r="Q602" s="707"/>
      <c r="R602" s="705">
        <f t="shared" si="119"/>
        <v>24076000</v>
      </c>
      <c r="S602" s="705">
        <f t="shared" si="118"/>
        <v>420404000</v>
      </c>
    </row>
    <row r="603" spans="1:19" s="703" customFormat="1" ht="15.75" customHeight="1">
      <c r="A603" s="679" t="s">
        <v>935</v>
      </c>
      <c r="B603" s="675"/>
      <c r="C603" s="675"/>
      <c r="D603" s="570"/>
      <c r="E603" s="571"/>
      <c r="F603" s="1244" t="s">
        <v>1021</v>
      </c>
      <c r="G603" s="1245"/>
      <c r="H603" s="1245"/>
      <c r="I603" s="1245"/>
      <c r="J603" s="1246"/>
      <c r="K603" s="819">
        <f>SUM(K596:K602)</f>
        <v>1452280000</v>
      </c>
      <c r="L603" s="819">
        <f t="shared" ref="L603:S603" si="120">SUM(L596:L602)</f>
        <v>0</v>
      </c>
      <c r="M603" s="819">
        <f t="shared" si="120"/>
        <v>0</v>
      </c>
      <c r="N603" s="819">
        <f t="shared" si="120"/>
        <v>1452280000</v>
      </c>
      <c r="O603" s="819">
        <f t="shared" si="120"/>
        <v>304192000</v>
      </c>
      <c r="P603" s="819">
        <f>SUM(P596:P602)</f>
        <v>72614000</v>
      </c>
      <c r="Q603" s="819">
        <f t="shared" si="120"/>
        <v>0</v>
      </c>
      <c r="R603" s="819">
        <f t="shared" si="120"/>
        <v>376806000</v>
      </c>
      <c r="S603" s="819">
        <f t="shared" si="120"/>
        <v>1075474000</v>
      </c>
    </row>
    <row r="604" spans="1:19" ht="15.75" customHeight="1">
      <c r="A604" s="675" t="s">
        <v>935</v>
      </c>
      <c r="D604" s="309"/>
      <c r="E604" s="1235" t="s">
        <v>1022</v>
      </c>
      <c r="F604" s="1236"/>
      <c r="G604" s="1236"/>
      <c r="H604" s="1236"/>
      <c r="I604" s="1236"/>
      <c r="J604" s="1237"/>
      <c r="K604" s="708">
        <f>K603</f>
        <v>1452280000</v>
      </c>
      <c r="L604" s="708">
        <f t="shared" ref="L604:S604" si="121">L603</f>
        <v>0</v>
      </c>
      <c r="M604" s="708">
        <f t="shared" si="121"/>
        <v>0</v>
      </c>
      <c r="N604" s="708">
        <f t="shared" si="121"/>
        <v>1452280000</v>
      </c>
      <c r="O604" s="708">
        <f t="shared" si="121"/>
        <v>304192000</v>
      </c>
      <c r="P604" s="708">
        <f t="shared" si="121"/>
        <v>72614000</v>
      </c>
      <c r="Q604" s="708">
        <f t="shared" si="121"/>
        <v>0</v>
      </c>
      <c r="R604" s="708">
        <f t="shared" si="121"/>
        <v>376806000</v>
      </c>
      <c r="S604" s="708">
        <f t="shared" si="121"/>
        <v>1075474000</v>
      </c>
    </row>
    <row r="605" spans="1:19" ht="15.75" customHeight="1">
      <c r="D605" s="387"/>
      <c r="E605" s="324"/>
      <c r="F605" s="330"/>
      <c r="G605" s="721"/>
      <c r="H605" s="715"/>
      <c r="I605" s="716"/>
      <c r="J605" s="393"/>
      <c r="K605" s="830"/>
      <c r="L605" s="830"/>
      <c r="M605" s="830"/>
      <c r="N605" s="830"/>
      <c r="O605" s="830"/>
      <c r="P605" s="830"/>
      <c r="Q605" s="830"/>
      <c r="R605" s="830"/>
      <c r="S605" s="830"/>
    </row>
    <row r="606" spans="1:19" ht="15.75" customHeight="1">
      <c r="A606" s="675" t="s">
        <v>944</v>
      </c>
      <c r="D606" s="357"/>
      <c r="E606" s="316" t="s">
        <v>1023</v>
      </c>
      <c r="F606" s="703" t="s">
        <v>704</v>
      </c>
      <c r="G606" s="311"/>
      <c r="H606" s="319"/>
      <c r="I606" s="537"/>
      <c r="J606" s="393"/>
      <c r="K606" s="712"/>
      <c r="L606" s="712"/>
      <c r="M606" s="712"/>
      <c r="N606" s="712"/>
      <c r="O606" s="712"/>
      <c r="P606" s="712"/>
      <c r="Q606" s="712"/>
      <c r="R606" s="712"/>
      <c r="S606" s="712"/>
    </row>
    <row r="607" spans="1:19" ht="15.75" customHeight="1">
      <c r="A607" s="675" t="s">
        <v>944</v>
      </c>
      <c r="D607" s="309"/>
      <c r="E607" s="316"/>
      <c r="F607" s="330"/>
      <c r="G607" s="331"/>
      <c r="H607" s="715" t="s">
        <v>705</v>
      </c>
      <c r="I607" s="716">
        <v>2011</v>
      </c>
      <c r="J607" s="393">
        <v>0.05</v>
      </c>
      <c r="K607" s="706">
        <v>1374200000</v>
      </c>
      <c r="L607" s="706">
        <v>0</v>
      </c>
      <c r="M607" s="706">
        <v>0</v>
      </c>
      <c r="N607" s="705">
        <f t="shared" ref="N607:N634" si="122">K607+L607-M607</f>
        <v>1374200000</v>
      </c>
      <c r="O607" s="705">
        <v>412260000</v>
      </c>
      <c r="P607" s="706">
        <f t="shared" ref="P607:P634" si="123">N607*J607</f>
        <v>68710000</v>
      </c>
      <c r="Q607" s="706">
        <v>0</v>
      </c>
      <c r="R607" s="705">
        <f>O607+P607-Q607</f>
        <v>480970000</v>
      </c>
      <c r="S607" s="706">
        <f t="shared" ref="S607:S634" si="124">N607-R607</f>
        <v>893230000</v>
      </c>
    </row>
    <row r="608" spans="1:19" ht="15.75" customHeight="1">
      <c r="A608" s="675" t="s">
        <v>944</v>
      </c>
      <c r="D608" s="309"/>
      <c r="E608" s="316"/>
      <c r="F608" s="330"/>
      <c r="G608" s="331"/>
      <c r="H608" s="715" t="s">
        <v>706</v>
      </c>
      <c r="I608" s="716">
        <v>2011</v>
      </c>
      <c r="J608" s="393">
        <v>0.05</v>
      </c>
      <c r="K608" s="706">
        <v>75200000</v>
      </c>
      <c r="L608" s="706">
        <v>0</v>
      </c>
      <c r="M608" s="706">
        <v>0</v>
      </c>
      <c r="N608" s="705">
        <f t="shared" si="122"/>
        <v>75200000</v>
      </c>
      <c r="O608" s="705">
        <v>22559999.999999989</v>
      </c>
      <c r="P608" s="706">
        <f t="shared" si="123"/>
        <v>3760000</v>
      </c>
      <c r="Q608" s="706">
        <v>0</v>
      </c>
      <c r="R608" s="705">
        <f t="shared" ref="R608:R634" si="125">O608+P608-Q608</f>
        <v>26319999.999999989</v>
      </c>
      <c r="S608" s="706">
        <f t="shared" si="124"/>
        <v>48880000.000000015</v>
      </c>
    </row>
    <row r="609" spans="1:19" ht="15.75" customHeight="1">
      <c r="A609" s="675" t="s">
        <v>944</v>
      </c>
      <c r="D609" s="309"/>
      <c r="E609" s="316"/>
      <c r="F609" s="330"/>
      <c r="G609" s="331"/>
      <c r="H609" s="715" t="s">
        <v>707</v>
      </c>
      <c r="I609" s="716">
        <v>2011</v>
      </c>
      <c r="J609" s="393">
        <v>0.05</v>
      </c>
      <c r="K609" s="706">
        <v>87000000</v>
      </c>
      <c r="L609" s="706">
        <v>0</v>
      </c>
      <c r="M609" s="706">
        <v>0</v>
      </c>
      <c r="N609" s="705">
        <f t="shared" si="122"/>
        <v>87000000</v>
      </c>
      <c r="O609" s="705">
        <v>26100000</v>
      </c>
      <c r="P609" s="706">
        <f t="shared" si="123"/>
        <v>4350000</v>
      </c>
      <c r="Q609" s="706">
        <v>0</v>
      </c>
      <c r="R609" s="705">
        <f t="shared" si="125"/>
        <v>30450000</v>
      </c>
      <c r="S609" s="706">
        <f t="shared" si="124"/>
        <v>56550000</v>
      </c>
    </row>
    <row r="610" spans="1:19" ht="15.75" customHeight="1">
      <c r="A610" s="675" t="s">
        <v>944</v>
      </c>
      <c r="D610" s="309"/>
      <c r="E610" s="316"/>
      <c r="F610" s="330"/>
      <c r="G610" s="331"/>
      <c r="H610" s="715" t="s">
        <v>708</v>
      </c>
      <c r="I610" s="716">
        <v>2012</v>
      </c>
      <c r="J610" s="393">
        <v>0.05</v>
      </c>
      <c r="K610" s="706">
        <v>8200000</v>
      </c>
      <c r="L610" s="706">
        <v>0</v>
      </c>
      <c r="M610" s="706">
        <v>0</v>
      </c>
      <c r="N610" s="705">
        <f t="shared" si="122"/>
        <v>8200000</v>
      </c>
      <c r="O610" s="705">
        <v>2460000.0000000005</v>
      </c>
      <c r="P610" s="706">
        <f t="shared" si="123"/>
        <v>410000</v>
      </c>
      <c r="Q610" s="706">
        <v>0</v>
      </c>
      <c r="R610" s="705">
        <f t="shared" si="125"/>
        <v>2870000.0000000005</v>
      </c>
      <c r="S610" s="706">
        <f t="shared" si="124"/>
        <v>5330000</v>
      </c>
    </row>
    <row r="611" spans="1:19" ht="15.75" customHeight="1">
      <c r="A611" s="675" t="s">
        <v>944</v>
      </c>
      <c r="D611" s="309"/>
      <c r="E611" s="316"/>
      <c r="F611" s="330"/>
      <c r="G611" s="331"/>
      <c r="H611" s="715" t="s">
        <v>709</v>
      </c>
      <c r="I611" s="716">
        <v>2012</v>
      </c>
      <c r="J611" s="393">
        <v>0.05</v>
      </c>
      <c r="K611" s="706">
        <v>52800000</v>
      </c>
      <c r="L611" s="706">
        <v>0</v>
      </c>
      <c r="M611" s="706">
        <v>0</v>
      </c>
      <c r="N611" s="705">
        <f t="shared" si="122"/>
        <v>52800000</v>
      </c>
      <c r="O611" s="705">
        <v>15840000</v>
      </c>
      <c r="P611" s="706">
        <f t="shared" si="123"/>
        <v>2640000</v>
      </c>
      <c r="Q611" s="706">
        <v>0</v>
      </c>
      <c r="R611" s="705">
        <f t="shared" si="125"/>
        <v>18480000</v>
      </c>
      <c r="S611" s="706">
        <f t="shared" si="124"/>
        <v>34320000</v>
      </c>
    </row>
    <row r="612" spans="1:19" ht="15.75" customHeight="1">
      <c r="A612" s="675" t="s">
        <v>944</v>
      </c>
      <c r="D612" s="309"/>
      <c r="E612" s="316"/>
      <c r="F612" s="330"/>
      <c r="G612" s="331"/>
      <c r="H612" s="715" t="s">
        <v>710</v>
      </c>
      <c r="I612" s="716">
        <v>2012</v>
      </c>
      <c r="J612" s="393">
        <v>0.05</v>
      </c>
      <c r="K612" s="706">
        <v>8100000</v>
      </c>
      <c r="L612" s="706">
        <v>0</v>
      </c>
      <c r="M612" s="706">
        <v>0</v>
      </c>
      <c r="N612" s="705">
        <f t="shared" si="122"/>
        <v>8100000</v>
      </c>
      <c r="O612" s="705">
        <v>2430000</v>
      </c>
      <c r="P612" s="706">
        <f t="shared" si="123"/>
        <v>405000</v>
      </c>
      <c r="Q612" s="706">
        <v>0</v>
      </c>
      <c r="R612" s="705">
        <f t="shared" si="125"/>
        <v>2835000</v>
      </c>
      <c r="S612" s="706">
        <f t="shared" si="124"/>
        <v>5265000</v>
      </c>
    </row>
    <row r="613" spans="1:19" ht="15.75" customHeight="1">
      <c r="A613" s="675" t="s">
        <v>944</v>
      </c>
      <c r="D613" s="309"/>
      <c r="E613" s="316"/>
      <c r="F613" s="330"/>
      <c r="G613" s="331"/>
      <c r="H613" s="715" t="s">
        <v>711</v>
      </c>
      <c r="I613" s="716">
        <v>2012</v>
      </c>
      <c r="J613" s="393">
        <v>0.05</v>
      </c>
      <c r="K613" s="706">
        <v>5100000</v>
      </c>
      <c r="L613" s="706">
        <v>0</v>
      </c>
      <c r="M613" s="706">
        <v>0</v>
      </c>
      <c r="N613" s="705">
        <f t="shared" si="122"/>
        <v>5100000</v>
      </c>
      <c r="O613" s="705">
        <v>1530000</v>
      </c>
      <c r="P613" s="706">
        <f t="shared" si="123"/>
        <v>255000</v>
      </c>
      <c r="Q613" s="706">
        <v>0</v>
      </c>
      <c r="R613" s="705">
        <f t="shared" si="125"/>
        <v>1785000</v>
      </c>
      <c r="S613" s="706">
        <f t="shared" si="124"/>
        <v>3315000</v>
      </c>
    </row>
    <row r="614" spans="1:19" ht="15.75" customHeight="1">
      <c r="A614" s="675" t="s">
        <v>944</v>
      </c>
      <c r="D614" s="309"/>
      <c r="E614" s="316"/>
      <c r="F614" s="330"/>
      <c r="G614" s="331"/>
      <c r="H614" s="715" t="s">
        <v>712</v>
      </c>
      <c r="I614" s="716">
        <v>2012</v>
      </c>
      <c r="J614" s="393">
        <v>0.05</v>
      </c>
      <c r="K614" s="706">
        <v>21800000</v>
      </c>
      <c r="L614" s="706">
        <v>0</v>
      </c>
      <c r="M614" s="706">
        <v>0</v>
      </c>
      <c r="N614" s="705">
        <f t="shared" si="122"/>
        <v>21800000</v>
      </c>
      <c r="O614" s="705">
        <v>6539999.9999999953</v>
      </c>
      <c r="P614" s="706">
        <f t="shared" si="123"/>
        <v>1090000</v>
      </c>
      <c r="Q614" s="706">
        <v>0</v>
      </c>
      <c r="R614" s="705">
        <f t="shared" si="125"/>
        <v>7629999.9999999953</v>
      </c>
      <c r="S614" s="706">
        <f t="shared" si="124"/>
        <v>14170000.000000004</v>
      </c>
    </row>
    <row r="615" spans="1:19" ht="15.75" customHeight="1">
      <c r="A615" s="675" t="s">
        <v>944</v>
      </c>
      <c r="D615" s="309"/>
      <c r="E615" s="316"/>
      <c r="F615" s="330"/>
      <c r="G615" s="331"/>
      <c r="H615" s="715" t="s">
        <v>713</v>
      </c>
      <c r="I615" s="716">
        <v>2013</v>
      </c>
      <c r="J615" s="393">
        <v>0.05</v>
      </c>
      <c r="K615" s="706">
        <v>10900000</v>
      </c>
      <c r="L615" s="706">
        <v>0</v>
      </c>
      <c r="M615" s="706">
        <v>0</v>
      </c>
      <c r="N615" s="705">
        <f t="shared" si="122"/>
        <v>10900000</v>
      </c>
      <c r="O615" s="705">
        <v>3269999.9999999977</v>
      </c>
      <c r="P615" s="706">
        <f t="shared" si="123"/>
        <v>545000</v>
      </c>
      <c r="Q615" s="706">
        <v>0</v>
      </c>
      <c r="R615" s="705">
        <f t="shared" si="125"/>
        <v>3814999.9999999977</v>
      </c>
      <c r="S615" s="706">
        <f t="shared" si="124"/>
        <v>7085000.0000000019</v>
      </c>
    </row>
    <row r="616" spans="1:19" ht="15.75" customHeight="1">
      <c r="A616" s="675" t="s">
        <v>944</v>
      </c>
      <c r="D616" s="309"/>
      <c r="E616" s="316"/>
      <c r="F616" s="330"/>
      <c r="G616" s="331"/>
      <c r="H616" s="715" t="s">
        <v>714</v>
      </c>
      <c r="I616" s="716">
        <v>2013</v>
      </c>
      <c r="J616" s="393">
        <v>0.05</v>
      </c>
      <c r="K616" s="706">
        <v>225800000</v>
      </c>
      <c r="L616" s="706">
        <v>0</v>
      </c>
      <c r="M616" s="706">
        <v>0</v>
      </c>
      <c r="N616" s="705">
        <f t="shared" si="122"/>
        <v>225800000</v>
      </c>
      <c r="O616" s="705">
        <v>67740000.000000075</v>
      </c>
      <c r="P616" s="706">
        <f t="shared" si="123"/>
        <v>11290000</v>
      </c>
      <c r="Q616" s="706">
        <v>0</v>
      </c>
      <c r="R616" s="705">
        <f t="shared" si="125"/>
        <v>79030000.000000075</v>
      </c>
      <c r="S616" s="706">
        <f t="shared" si="124"/>
        <v>146769999.99999994</v>
      </c>
    </row>
    <row r="617" spans="1:19" ht="15.75" customHeight="1">
      <c r="A617" s="675" t="s">
        <v>944</v>
      </c>
      <c r="D617" s="309"/>
      <c r="E617" s="316"/>
      <c r="F617" s="330"/>
      <c r="G617" s="331"/>
      <c r="H617" s="715" t="s">
        <v>715</v>
      </c>
      <c r="I617" s="716">
        <v>2013</v>
      </c>
      <c r="J617" s="393">
        <v>0.05</v>
      </c>
      <c r="K617" s="706">
        <v>7200000</v>
      </c>
      <c r="L617" s="706">
        <v>0</v>
      </c>
      <c r="M617" s="706">
        <v>0</v>
      </c>
      <c r="N617" s="705">
        <f t="shared" si="122"/>
        <v>7200000</v>
      </c>
      <c r="O617" s="705">
        <v>2160000</v>
      </c>
      <c r="P617" s="706">
        <f t="shared" si="123"/>
        <v>360000</v>
      </c>
      <c r="Q617" s="706">
        <v>0</v>
      </c>
      <c r="R617" s="705">
        <f t="shared" si="125"/>
        <v>2520000</v>
      </c>
      <c r="S617" s="706">
        <f t="shared" si="124"/>
        <v>4680000</v>
      </c>
    </row>
    <row r="618" spans="1:19" ht="15.75" customHeight="1">
      <c r="A618" s="675" t="s">
        <v>944</v>
      </c>
      <c r="D618" s="309"/>
      <c r="E618" s="316"/>
      <c r="F618" s="330"/>
      <c r="G618" s="331"/>
      <c r="H618" s="715" t="s">
        <v>716</v>
      </c>
      <c r="I618" s="716">
        <v>2013</v>
      </c>
      <c r="J618" s="393">
        <v>0.05</v>
      </c>
      <c r="K618" s="706">
        <v>33500000</v>
      </c>
      <c r="L618" s="706">
        <v>0</v>
      </c>
      <c r="M618" s="706">
        <v>0</v>
      </c>
      <c r="N618" s="705">
        <f t="shared" si="122"/>
        <v>33500000</v>
      </c>
      <c r="O618" s="705">
        <v>10050000</v>
      </c>
      <c r="P618" s="706">
        <f t="shared" si="123"/>
        <v>1675000</v>
      </c>
      <c r="Q618" s="706">
        <v>0</v>
      </c>
      <c r="R618" s="705">
        <f t="shared" si="125"/>
        <v>11725000</v>
      </c>
      <c r="S618" s="706">
        <f t="shared" si="124"/>
        <v>21775000</v>
      </c>
    </row>
    <row r="619" spans="1:19" ht="15.75" customHeight="1">
      <c r="A619" s="675" t="s">
        <v>944</v>
      </c>
      <c r="D619" s="309"/>
      <c r="E619" s="316"/>
      <c r="F619" s="330"/>
      <c r="G619" s="331"/>
      <c r="H619" s="715" t="s">
        <v>717</v>
      </c>
      <c r="I619" s="716">
        <v>2013</v>
      </c>
      <c r="J619" s="393">
        <v>0.05</v>
      </c>
      <c r="K619" s="706">
        <v>6700000</v>
      </c>
      <c r="L619" s="706">
        <v>0</v>
      </c>
      <c r="M619" s="706">
        <v>0</v>
      </c>
      <c r="N619" s="705">
        <f t="shared" si="122"/>
        <v>6700000</v>
      </c>
      <c r="O619" s="705">
        <v>2010000.0000000021</v>
      </c>
      <c r="P619" s="706">
        <f t="shared" si="123"/>
        <v>335000</v>
      </c>
      <c r="Q619" s="706">
        <v>0</v>
      </c>
      <c r="R619" s="705">
        <f t="shared" si="125"/>
        <v>2345000.0000000019</v>
      </c>
      <c r="S619" s="706">
        <f t="shared" si="124"/>
        <v>4354999.9999999981</v>
      </c>
    </row>
    <row r="620" spans="1:19" ht="15.75" customHeight="1">
      <c r="A620" s="675" t="s">
        <v>944</v>
      </c>
      <c r="D620" s="309"/>
      <c r="E620" s="316"/>
      <c r="F620" s="330"/>
      <c r="G620" s="331"/>
      <c r="H620" s="715" t="s">
        <v>718</v>
      </c>
      <c r="I620" s="716">
        <v>2013</v>
      </c>
      <c r="J620" s="393">
        <v>0.05</v>
      </c>
      <c r="K620" s="706">
        <v>78100000</v>
      </c>
      <c r="L620" s="706">
        <v>0</v>
      </c>
      <c r="M620" s="706">
        <v>0</v>
      </c>
      <c r="N620" s="705">
        <f t="shared" si="122"/>
        <v>78100000</v>
      </c>
      <c r="O620" s="705">
        <v>23430000.000000011</v>
      </c>
      <c r="P620" s="706">
        <f t="shared" si="123"/>
        <v>3905000</v>
      </c>
      <c r="Q620" s="706">
        <v>0</v>
      </c>
      <c r="R620" s="705">
        <f t="shared" si="125"/>
        <v>27335000.000000011</v>
      </c>
      <c r="S620" s="706">
        <f t="shared" si="124"/>
        <v>50764999.999999985</v>
      </c>
    </row>
    <row r="621" spans="1:19" ht="15.75" customHeight="1">
      <c r="A621" s="675" t="s">
        <v>944</v>
      </c>
      <c r="D621" s="309"/>
      <c r="E621" s="316"/>
      <c r="F621" s="330"/>
      <c r="G621" s="331"/>
      <c r="H621" s="715" t="s">
        <v>719</v>
      </c>
      <c r="I621" s="716">
        <v>2013</v>
      </c>
      <c r="J621" s="393">
        <v>0.05</v>
      </c>
      <c r="K621" s="706">
        <v>4300000</v>
      </c>
      <c r="L621" s="706">
        <v>0</v>
      </c>
      <c r="M621" s="706">
        <v>0</v>
      </c>
      <c r="N621" s="705">
        <f t="shared" si="122"/>
        <v>4300000</v>
      </c>
      <c r="O621" s="705">
        <v>1290000.0000000002</v>
      </c>
      <c r="P621" s="706">
        <f t="shared" si="123"/>
        <v>215000</v>
      </c>
      <c r="Q621" s="706">
        <v>0</v>
      </c>
      <c r="R621" s="705">
        <f t="shared" si="125"/>
        <v>1505000.0000000002</v>
      </c>
      <c r="S621" s="706">
        <f t="shared" si="124"/>
        <v>2795000</v>
      </c>
    </row>
    <row r="622" spans="1:19" ht="15.75" customHeight="1">
      <c r="A622" s="675" t="s">
        <v>944</v>
      </c>
      <c r="D622" s="309"/>
      <c r="E622" s="316"/>
      <c r="F622" s="330"/>
      <c r="G622" s="331"/>
      <c r="H622" s="715" t="s">
        <v>705</v>
      </c>
      <c r="I622" s="716">
        <v>2013</v>
      </c>
      <c r="J622" s="393">
        <v>0.05</v>
      </c>
      <c r="K622" s="706">
        <v>381400000</v>
      </c>
      <c r="L622" s="706">
        <v>0</v>
      </c>
      <c r="M622" s="706">
        <v>0</v>
      </c>
      <c r="N622" s="705">
        <f t="shared" si="122"/>
        <v>381400000</v>
      </c>
      <c r="O622" s="705">
        <v>114420000.0000001</v>
      </c>
      <c r="P622" s="706">
        <f t="shared" si="123"/>
        <v>19070000</v>
      </c>
      <c r="Q622" s="706">
        <v>0</v>
      </c>
      <c r="R622" s="705">
        <f t="shared" si="125"/>
        <v>133490000.0000001</v>
      </c>
      <c r="S622" s="706">
        <f t="shared" si="124"/>
        <v>247909999.99999988</v>
      </c>
    </row>
    <row r="623" spans="1:19" ht="15.75" customHeight="1">
      <c r="A623" s="675" t="s">
        <v>944</v>
      </c>
      <c r="D623" s="309"/>
      <c r="E623" s="316"/>
      <c r="F623" s="330"/>
      <c r="G623" s="331"/>
      <c r="H623" s="715" t="s">
        <v>720</v>
      </c>
      <c r="I623" s="716">
        <v>2013</v>
      </c>
      <c r="J623" s="393">
        <v>0.05</v>
      </c>
      <c r="K623" s="706">
        <v>34000000</v>
      </c>
      <c r="L623" s="706">
        <v>0</v>
      </c>
      <c r="M623" s="706">
        <v>0</v>
      </c>
      <c r="N623" s="705">
        <f t="shared" si="122"/>
        <v>34000000</v>
      </c>
      <c r="O623" s="705">
        <v>10200000</v>
      </c>
      <c r="P623" s="706">
        <f t="shared" si="123"/>
        <v>1700000</v>
      </c>
      <c r="Q623" s="706">
        <v>0</v>
      </c>
      <c r="R623" s="705">
        <f t="shared" si="125"/>
        <v>11900000</v>
      </c>
      <c r="S623" s="706">
        <f t="shared" si="124"/>
        <v>22100000</v>
      </c>
    </row>
    <row r="624" spans="1:19" ht="15.75" customHeight="1">
      <c r="A624" s="675" t="s">
        <v>944</v>
      </c>
      <c r="D624" s="309"/>
      <c r="E624" s="316"/>
      <c r="F624" s="330"/>
      <c r="G624" s="331"/>
      <c r="H624" s="715" t="s">
        <v>721</v>
      </c>
      <c r="I624" s="716">
        <v>2013</v>
      </c>
      <c r="J624" s="393">
        <v>0.05</v>
      </c>
      <c r="K624" s="706">
        <v>5000000</v>
      </c>
      <c r="L624" s="706">
        <v>0</v>
      </c>
      <c r="M624" s="706">
        <v>0</v>
      </c>
      <c r="N624" s="705">
        <f t="shared" si="122"/>
        <v>5000000</v>
      </c>
      <c r="O624" s="705">
        <v>1499999.9999999991</v>
      </c>
      <c r="P624" s="706">
        <f t="shared" si="123"/>
        <v>250000</v>
      </c>
      <c r="Q624" s="706">
        <v>0</v>
      </c>
      <c r="R624" s="705">
        <f t="shared" si="125"/>
        <v>1749999.9999999991</v>
      </c>
      <c r="S624" s="706">
        <f t="shared" si="124"/>
        <v>3250000.0000000009</v>
      </c>
    </row>
    <row r="625" spans="1:19" ht="15.75" customHeight="1">
      <c r="A625" s="675" t="s">
        <v>944</v>
      </c>
      <c r="D625" s="309"/>
      <c r="E625" s="316"/>
      <c r="F625" s="330"/>
      <c r="G625" s="331"/>
      <c r="H625" s="715" t="s">
        <v>722</v>
      </c>
      <c r="I625" s="716">
        <v>2014</v>
      </c>
      <c r="J625" s="393">
        <v>0.05</v>
      </c>
      <c r="K625" s="706">
        <v>42300000</v>
      </c>
      <c r="L625" s="706">
        <v>0</v>
      </c>
      <c r="M625" s="706">
        <v>0</v>
      </c>
      <c r="N625" s="705">
        <f t="shared" si="122"/>
        <v>42300000</v>
      </c>
      <c r="O625" s="705">
        <v>12690000</v>
      </c>
      <c r="P625" s="706">
        <f t="shared" si="123"/>
        <v>2115000</v>
      </c>
      <c r="Q625" s="706">
        <v>0</v>
      </c>
      <c r="R625" s="705">
        <f t="shared" si="125"/>
        <v>14805000</v>
      </c>
      <c r="S625" s="706">
        <f t="shared" si="124"/>
        <v>27495000</v>
      </c>
    </row>
    <row r="626" spans="1:19" ht="15.75" customHeight="1">
      <c r="A626" s="675" t="s">
        <v>944</v>
      </c>
      <c r="D626" s="309"/>
      <c r="E626" s="316"/>
      <c r="F626" s="330"/>
      <c r="G626" s="331"/>
      <c r="H626" s="715" t="s">
        <v>720</v>
      </c>
      <c r="I626" s="716">
        <v>2014</v>
      </c>
      <c r="J626" s="393">
        <v>0.05</v>
      </c>
      <c r="K626" s="706">
        <v>15600000</v>
      </c>
      <c r="L626" s="706">
        <v>0</v>
      </c>
      <c r="M626" s="706">
        <v>0</v>
      </c>
      <c r="N626" s="705">
        <f t="shared" si="122"/>
        <v>15600000</v>
      </c>
      <c r="O626" s="705">
        <v>4680000</v>
      </c>
      <c r="P626" s="706">
        <f t="shared" si="123"/>
        <v>780000</v>
      </c>
      <c r="Q626" s="706">
        <v>0</v>
      </c>
      <c r="R626" s="705">
        <f t="shared" si="125"/>
        <v>5460000</v>
      </c>
      <c r="S626" s="706">
        <f t="shared" si="124"/>
        <v>10140000</v>
      </c>
    </row>
    <row r="627" spans="1:19" ht="15.75" customHeight="1">
      <c r="A627" s="675" t="s">
        <v>944</v>
      </c>
      <c r="D627" s="309"/>
      <c r="E627" s="316"/>
      <c r="F627" s="330"/>
      <c r="G627" s="331"/>
      <c r="H627" s="715" t="s">
        <v>720</v>
      </c>
      <c r="I627" s="716">
        <v>2014</v>
      </c>
      <c r="J627" s="393">
        <v>0.05</v>
      </c>
      <c r="K627" s="706">
        <v>11700000</v>
      </c>
      <c r="L627" s="706">
        <v>0</v>
      </c>
      <c r="M627" s="706">
        <v>0</v>
      </c>
      <c r="N627" s="705">
        <f t="shared" si="122"/>
        <v>11700000</v>
      </c>
      <c r="O627" s="705">
        <v>3510000</v>
      </c>
      <c r="P627" s="706">
        <f t="shared" si="123"/>
        <v>585000</v>
      </c>
      <c r="Q627" s="706">
        <v>0</v>
      </c>
      <c r="R627" s="705">
        <f t="shared" si="125"/>
        <v>4095000</v>
      </c>
      <c r="S627" s="706">
        <f t="shared" si="124"/>
        <v>7605000</v>
      </c>
    </row>
    <row r="628" spans="1:19" ht="15.75" customHeight="1">
      <c r="A628" s="675" t="s">
        <v>944</v>
      </c>
      <c r="D628" s="309"/>
      <c r="E628" s="316"/>
      <c r="F628" s="330"/>
      <c r="G628" s="331"/>
      <c r="H628" s="715" t="s">
        <v>720</v>
      </c>
      <c r="I628" s="716">
        <v>2014</v>
      </c>
      <c r="J628" s="393">
        <v>0.05</v>
      </c>
      <c r="K628" s="706">
        <v>11700000</v>
      </c>
      <c r="L628" s="706">
        <v>0</v>
      </c>
      <c r="M628" s="706">
        <v>0</v>
      </c>
      <c r="N628" s="705">
        <f t="shared" si="122"/>
        <v>11700000</v>
      </c>
      <c r="O628" s="705">
        <v>3510000</v>
      </c>
      <c r="P628" s="706">
        <f t="shared" si="123"/>
        <v>585000</v>
      </c>
      <c r="Q628" s="706">
        <v>0</v>
      </c>
      <c r="R628" s="705">
        <f t="shared" si="125"/>
        <v>4095000</v>
      </c>
      <c r="S628" s="706">
        <f t="shared" si="124"/>
        <v>7605000</v>
      </c>
    </row>
    <row r="629" spans="1:19" ht="15.75" customHeight="1">
      <c r="A629" s="675" t="s">
        <v>944</v>
      </c>
      <c r="D629" s="309"/>
      <c r="E629" s="316"/>
      <c r="F629" s="330"/>
      <c r="G629" s="331"/>
      <c r="H629" s="715" t="s">
        <v>720</v>
      </c>
      <c r="I629" s="716">
        <v>2014</v>
      </c>
      <c r="J629" s="393">
        <v>0.05</v>
      </c>
      <c r="K629" s="706">
        <v>11700000</v>
      </c>
      <c r="L629" s="706">
        <v>0</v>
      </c>
      <c r="M629" s="706">
        <v>0</v>
      </c>
      <c r="N629" s="705">
        <f t="shared" si="122"/>
        <v>11700000</v>
      </c>
      <c r="O629" s="705">
        <v>3510000</v>
      </c>
      <c r="P629" s="706">
        <f t="shared" si="123"/>
        <v>585000</v>
      </c>
      <c r="Q629" s="706">
        <v>0</v>
      </c>
      <c r="R629" s="705">
        <f t="shared" si="125"/>
        <v>4095000</v>
      </c>
      <c r="S629" s="706">
        <f t="shared" si="124"/>
        <v>7605000</v>
      </c>
    </row>
    <row r="630" spans="1:19" ht="15.75" customHeight="1">
      <c r="A630" s="675" t="s">
        <v>944</v>
      </c>
      <c r="D630" s="309"/>
      <c r="E630" s="316"/>
      <c r="F630" s="330"/>
      <c r="G630" s="331"/>
      <c r="H630" s="715" t="s">
        <v>720</v>
      </c>
      <c r="I630" s="716">
        <v>2014</v>
      </c>
      <c r="J630" s="393">
        <v>0.05</v>
      </c>
      <c r="K630" s="706">
        <v>11700000</v>
      </c>
      <c r="L630" s="706">
        <v>0</v>
      </c>
      <c r="M630" s="706">
        <v>0</v>
      </c>
      <c r="N630" s="705">
        <f t="shared" si="122"/>
        <v>11700000</v>
      </c>
      <c r="O630" s="705">
        <v>3510000</v>
      </c>
      <c r="P630" s="706">
        <f t="shared" si="123"/>
        <v>585000</v>
      </c>
      <c r="Q630" s="706">
        <v>0</v>
      </c>
      <c r="R630" s="705">
        <f t="shared" si="125"/>
        <v>4095000</v>
      </c>
      <c r="S630" s="706">
        <f t="shared" si="124"/>
        <v>7605000</v>
      </c>
    </row>
    <row r="631" spans="1:19" ht="15.75" customHeight="1">
      <c r="A631" s="675" t="s">
        <v>944</v>
      </c>
      <c r="D631" s="309"/>
      <c r="E631" s="316"/>
      <c r="F631" s="330"/>
      <c r="G631" s="331"/>
      <c r="H631" s="715" t="s">
        <v>720</v>
      </c>
      <c r="I631" s="716">
        <v>2014</v>
      </c>
      <c r="J631" s="393">
        <v>0.05</v>
      </c>
      <c r="K631" s="706">
        <v>3900000</v>
      </c>
      <c r="L631" s="706">
        <v>0</v>
      </c>
      <c r="M631" s="706">
        <v>0</v>
      </c>
      <c r="N631" s="705">
        <f t="shared" si="122"/>
        <v>3900000</v>
      </c>
      <c r="O631" s="705">
        <v>1170000</v>
      </c>
      <c r="P631" s="706">
        <f t="shared" si="123"/>
        <v>195000</v>
      </c>
      <c r="Q631" s="706">
        <v>0</v>
      </c>
      <c r="R631" s="705">
        <f t="shared" si="125"/>
        <v>1365000</v>
      </c>
      <c r="S631" s="706">
        <f t="shared" si="124"/>
        <v>2535000</v>
      </c>
    </row>
    <row r="632" spans="1:19" ht="15.75" customHeight="1">
      <c r="A632" s="675" t="s">
        <v>944</v>
      </c>
      <c r="D632" s="309"/>
      <c r="E632" s="316"/>
      <c r="F632" s="330"/>
      <c r="G632" s="331"/>
      <c r="H632" s="715" t="s">
        <v>723</v>
      </c>
      <c r="I632" s="716">
        <v>2014</v>
      </c>
      <c r="J632" s="393">
        <v>0.05</v>
      </c>
      <c r="K632" s="706">
        <v>20300000</v>
      </c>
      <c r="L632" s="706">
        <v>0</v>
      </c>
      <c r="M632" s="706">
        <v>0</v>
      </c>
      <c r="N632" s="705">
        <f t="shared" si="122"/>
        <v>20300000</v>
      </c>
      <c r="O632" s="705">
        <v>6089999.9999999963</v>
      </c>
      <c r="P632" s="706">
        <f t="shared" si="123"/>
        <v>1015000</v>
      </c>
      <c r="Q632" s="706">
        <v>0</v>
      </c>
      <c r="R632" s="705">
        <f t="shared" si="125"/>
        <v>7104999.9999999963</v>
      </c>
      <c r="S632" s="706">
        <f t="shared" si="124"/>
        <v>13195000.000000004</v>
      </c>
    </row>
    <row r="633" spans="1:19" ht="15.75" customHeight="1">
      <c r="A633" s="675" t="s">
        <v>944</v>
      </c>
      <c r="B633" s="675">
        <v>5</v>
      </c>
      <c r="C633" s="675">
        <v>5</v>
      </c>
      <c r="D633" s="309"/>
      <c r="E633" s="316"/>
      <c r="F633" s="330"/>
      <c r="G633" s="331"/>
      <c r="H633" s="715" t="s">
        <v>724</v>
      </c>
      <c r="I633" s="716">
        <v>2015</v>
      </c>
      <c r="J633" s="393">
        <v>0.05</v>
      </c>
      <c r="K633" s="706">
        <v>61622000</v>
      </c>
      <c r="L633" s="706">
        <v>0</v>
      </c>
      <c r="M633" s="706">
        <v>0</v>
      </c>
      <c r="N633" s="705">
        <f t="shared" si="122"/>
        <v>61622000</v>
      </c>
      <c r="O633" s="705">
        <v>20540666.5</v>
      </c>
      <c r="P633" s="706">
        <f t="shared" si="123"/>
        <v>3081100</v>
      </c>
      <c r="Q633" s="706">
        <v>0</v>
      </c>
      <c r="R633" s="705">
        <f t="shared" si="125"/>
        <v>23621766.5</v>
      </c>
      <c r="S633" s="706">
        <f t="shared" si="124"/>
        <v>38000233.5</v>
      </c>
    </row>
    <row r="634" spans="1:19" s="703" customFormat="1" ht="15.75" customHeight="1">
      <c r="A634" s="675" t="s">
        <v>944</v>
      </c>
      <c r="B634" s="675">
        <v>6</v>
      </c>
      <c r="C634" s="675">
        <v>6</v>
      </c>
      <c r="D634" s="309"/>
      <c r="E634" s="316"/>
      <c r="F634" s="330"/>
      <c r="G634" s="331"/>
      <c r="H634" s="715" t="s">
        <v>725</v>
      </c>
      <c r="I634" s="716">
        <v>2015</v>
      </c>
      <c r="J634" s="393">
        <v>0.05</v>
      </c>
      <c r="K634" s="706">
        <v>11829000</v>
      </c>
      <c r="L634" s="706">
        <v>0</v>
      </c>
      <c r="M634" s="706">
        <v>0</v>
      </c>
      <c r="N634" s="705">
        <f t="shared" si="122"/>
        <v>11829000</v>
      </c>
      <c r="O634" s="705">
        <v>3893712.5</v>
      </c>
      <c r="P634" s="706">
        <f t="shared" si="123"/>
        <v>591450</v>
      </c>
      <c r="Q634" s="706">
        <v>0</v>
      </c>
      <c r="R634" s="705">
        <f t="shared" si="125"/>
        <v>4485162.5</v>
      </c>
      <c r="S634" s="706">
        <f t="shared" si="124"/>
        <v>7343837.5</v>
      </c>
    </row>
    <row r="635" spans="1:19" ht="15.75" customHeight="1">
      <c r="A635" s="675" t="s">
        <v>944</v>
      </c>
      <c r="D635" s="309"/>
      <c r="E635" s="1235" t="s">
        <v>1024</v>
      </c>
      <c r="F635" s="1236"/>
      <c r="G635" s="1236"/>
      <c r="H635" s="1236"/>
      <c r="I635" s="1236"/>
      <c r="J635" s="1237"/>
      <c r="K635" s="708">
        <f>SUM(K607:K634)</f>
        <v>2621651000</v>
      </c>
      <c r="L635" s="708">
        <f t="shared" ref="L635:S635" si="126">SUM(L607:L634)</f>
        <v>0</v>
      </c>
      <c r="M635" s="708">
        <f t="shared" si="126"/>
        <v>0</v>
      </c>
      <c r="N635" s="708">
        <f t="shared" si="126"/>
        <v>2621651000</v>
      </c>
      <c r="O635" s="708">
        <f t="shared" si="126"/>
        <v>788894379.00000024</v>
      </c>
      <c r="P635" s="708">
        <f t="shared" si="126"/>
        <v>131082550</v>
      </c>
      <c r="Q635" s="708">
        <f t="shared" si="126"/>
        <v>0</v>
      </c>
      <c r="R635" s="708">
        <f t="shared" si="126"/>
        <v>919976929.00000024</v>
      </c>
      <c r="S635" s="708">
        <f t="shared" si="126"/>
        <v>1701674071</v>
      </c>
    </row>
    <row r="636" spans="1:19" s="763" customFormat="1" ht="25" customHeight="1">
      <c r="A636" s="675"/>
      <c r="B636" s="675"/>
      <c r="C636" s="675"/>
      <c r="D636" s="387"/>
      <c r="E636" s="324"/>
      <c r="F636" s="330"/>
      <c r="G636" s="721"/>
      <c r="H636" s="715"/>
      <c r="I636" s="716"/>
      <c r="J636" s="393"/>
      <c r="K636" s="830"/>
      <c r="L636" s="830"/>
      <c r="M636" s="830"/>
      <c r="N636" s="830"/>
      <c r="O636" s="830"/>
      <c r="P636" s="830"/>
      <c r="Q636" s="830"/>
      <c r="R636" s="830"/>
      <c r="S636" s="830"/>
    </row>
    <row r="637" spans="1:19" s="703" customFormat="1" ht="15.75" customHeight="1">
      <c r="A637" s="675"/>
      <c r="B637" s="675"/>
      <c r="C637" s="675"/>
      <c r="D637" s="1229" t="s">
        <v>1025</v>
      </c>
      <c r="E637" s="1230"/>
      <c r="F637" s="1230"/>
      <c r="G637" s="1230"/>
      <c r="H637" s="1230"/>
      <c r="I637" s="1230"/>
      <c r="J637" s="1231"/>
      <c r="K637" s="708">
        <f>K604+K635</f>
        <v>4073931000</v>
      </c>
      <c r="L637" s="708">
        <f t="shared" ref="L637:S637" si="127">L604+L635</f>
        <v>0</v>
      </c>
      <c r="M637" s="708">
        <f t="shared" si="127"/>
        <v>0</v>
      </c>
      <c r="N637" s="708">
        <f t="shared" si="127"/>
        <v>4073931000</v>
      </c>
      <c r="O637" s="708">
        <f t="shared" si="127"/>
        <v>1093086379.0000002</v>
      </c>
      <c r="P637" s="708">
        <f t="shared" si="127"/>
        <v>203696550</v>
      </c>
      <c r="Q637" s="708">
        <f t="shared" si="127"/>
        <v>0</v>
      </c>
      <c r="R637" s="708">
        <f t="shared" si="127"/>
        <v>1296782929.0000002</v>
      </c>
      <c r="S637" s="708">
        <f t="shared" si="127"/>
        <v>2777148071</v>
      </c>
    </row>
    <row r="638" spans="1:19" s="703" customFormat="1" ht="15.75" customHeight="1">
      <c r="A638" s="675"/>
      <c r="B638" s="675"/>
      <c r="C638" s="675"/>
      <c r="D638" s="309"/>
      <c r="E638" s="316"/>
      <c r="F638" s="353"/>
      <c r="G638" s="311"/>
      <c r="H638" s="312"/>
      <c r="I638" s="573"/>
      <c r="J638" s="396"/>
      <c r="K638" s="711"/>
      <c r="L638" s="711"/>
      <c r="M638" s="711"/>
      <c r="N638" s="711"/>
      <c r="O638" s="711"/>
      <c r="P638" s="711"/>
      <c r="Q638" s="711"/>
      <c r="R638" s="711"/>
      <c r="S638" s="711"/>
    </row>
    <row r="639" spans="1:19" s="703" customFormat="1" ht="15.75" customHeight="1">
      <c r="A639" s="675" t="s">
        <v>935</v>
      </c>
      <c r="B639" s="700" t="s">
        <v>1026</v>
      </c>
      <c r="C639" s="700" t="s">
        <v>1026</v>
      </c>
      <c r="D639" s="357">
        <v>7</v>
      </c>
      <c r="E639" s="316" t="s">
        <v>1026</v>
      </c>
      <c r="G639" s="311"/>
      <c r="H639" s="312"/>
      <c r="I639" s="537"/>
      <c r="J639" s="393"/>
      <c r="K639" s="712"/>
      <c r="L639" s="712"/>
      <c r="M639" s="712"/>
      <c r="N639" s="712"/>
      <c r="O639" s="712"/>
      <c r="P639" s="712"/>
      <c r="Q639" s="712"/>
      <c r="R639" s="712"/>
      <c r="S639" s="712"/>
    </row>
    <row r="640" spans="1:19" s="703" customFormat="1" ht="15.75" customHeight="1">
      <c r="A640" s="675" t="s">
        <v>935</v>
      </c>
      <c r="B640" s="675"/>
      <c r="C640" s="675"/>
      <c r="D640" s="357"/>
      <c r="E640" s="449" t="s">
        <v>1027</v>
      </c>
      <c r="F640" s="703" t="s">
        <v>726</v>
      </c>
      <c r="G640" s="311"/>
      <c r="H640" s="319"/>
      <c r="I640" s="574"/>
      <c r="J640" s="393"/>
      <c r="K640" s="712"/>
      <c r="L640" s="712"/>
      <c r="M640" s="712"/>
      <c r="N640" s="712"/>
      <c r="O640" s="712"/>
      <c r="P640" s="712"/>
      <c r="Q640" s="712"/>
      <c r="R640" s="712"/>
      <c r="S640" s="712"/>
    </row>
    <row r="641" spans="1:19" ht="15.75" customHeight="1">
      <c r="A641" s="675" t="s">
        <v>935</v>
      </c>
      <c r="D641" s="357"/>
      <c r="E641" s="301"/>
      <c r="F641" s="449" t="s">
        <v>1028</v>
      </c>
      <c r="G641" s="311" t="s">
        <v>405</v>
      </c>
      <c r="H641" s="319"/>
      <c r="I641" s="574"/>
      <c r="J641" s="393"/>
      <c r="K641" s="712"/>
      <c r="L641" s="712"/>
      <c r="M641" s="712"/>
      <c r="N641" s="712"/>
      <c r="O641" s="712"/>
      <c r="P641" s="712"/>
      <c r="Q641" s="712"/>
      <c r="R641" s="712"/>
      <c r="S641" s="712"/>
    </row>
    <row r="642" spans="1:19" ht="15.75" customHeight="1">
      <c r="A642" s="675" t="s">
        <v>935</v>
      </c>
      <c r="D642" s="309"/>
      <c r="E642" s="316"/>
      <c r="F642" s="353"/>
      <c r="G642" s="311"/>
      <c r="H642" s="715" t="s">
        <v>727</v>
      </c>
      <c r="I642" s="724">
        <v>2011</v>
      </c>
      <c r="J642" s="430">
        <v>0.125</v>
      </c>
      <c r="K642" s="706">
        <v>108000000</v>
      </c>
      <c r="L642" s="706">
        <v>0</v>
      </c>
      <c r="M642" s="706">
        <v>0</v>
      </c>
      <c r="N642" s="705">
        <f t="shared" ref="N642:N673" si="128">K642+L642-M642</f>
        <v>108000000</v>
      </c>
      <c r="O642" s="705">
        <v>81000000</v>
      </c>
      <c r="P642" s="706">
        <f t="shared" ref="P642:P673" si="129">N642*J642</f>
        <v>13500000</v>
      </c>
      <c r="Q642" s="706">
        <v>0</v>
      </c>
      <c r="R642" s="705">
        <f>O642+P642-Q642</f>
        <v>94500000</v>
      </c>
      <c r="S642" s="706">
        <f t="shared" ref="S642:S673" si="130">N642-R642</f>
        <v>13500000</v>
      </c>
    </row>
    <row r="643" spans="1:19" ht="15.75" customHeight="1">
      <c r="A643" s="675" t="s">
        <v>935</v>
      </c>
      <c r="D643" s="309"/>
      <c r="E643" s="316"/>
      <c r="F643" s="353"/>
      <c r="G643" s="311"/>
      <c r="H643" s="743" t="s">
        <v>727</v>
      </c>
      <c r="I643" s="716">
        <v>2011</v>
      </c>
      <c r="J643" s="430">
        <v>0.125</v>
      </c>
      <c r="K643" s="706">
        <v>108000000</v>
      </c>
      <c r="L643" s="706">
        <v>0</v>
      </c>
      <c r="M643" s="706">
        <v>0</v>
      </c>
      <c r="N643" s="705">
        <f t="shared" si="128"/>
        <v>108000000</v>
      </c>
      <c r="O643" s="705">
        <v>81000000</v>
      </c>
      <c r="P643" s="706">
        <f t="shared" si="129"/>
        <v>13500000</v>
      </c>
      <c r="Q643" s="706">
        <v>0</v>
      </c>
      <c r="R643" s="705">
        <f t="shared" ref="R643:R673" si="131">O643+P643-Q643</f>
        <v>94500000</v>
      </c>
      <c r="S643" s="706">
        <f t="shared" si="130"/>
        <v>13500000</v>
      </c>
    </row>
    <row r="644" spans="1:19" ht="15.75" customHeight="1">
      <c r="A644" s="675" t="s">
        <v>935</v>
      </c>
      <c r="D644" s="309"/>
      <c r="E644" s="316"/>
      <c r="F644" s="353"/>
      <c r="G644" s="311"/>
      <c r="H644" s="723" t="s">
        <v>729</v>
      </c>
      <c r="I644" s="765">
        <v>2004</v>
      </c>
      <c r="J644" s="430">
        <v>0.125</v>
      </c>
      <c r="K644" s="706">
        <v>84000000</v>
      </c>
      <c r="L644" s="706">
        <v>0</v>
      </c>
      <c r="M644" s="706">
        <v>0</v>
      </c>
      <c r="N644" s="705">
        <f t="shared" si="128"/>
        <v>84000000</v>
      </c>
      <c r="O644" s="705">
        <v>63000000</v>
      </c>
      <c r="P644" s="706">
        <f t="shared" si="129"/>
        <v>10500000</v>
      </c>
      <c r="Q644" s="706">
        <v>0</v>
      </c>
      <c r="R644" s="705">
        <f t="shared" si="131"/>
        <v>73500000</v>
      </c>
      <c r="S644" s="706">
        <f t="shared" si="130"/>
        <v>10500000</v>
      </c>
    </row>
    <row r="645" spans="1:19" ht="15.75" customHeight="1">
      <c r="A645" s="675" t="s">
        <v>935</v>
      </c>
      <c r="D645" s="309"/>
      <c r="E645" s="316"/>
      <c r="F645" s="353"/>
      <c r="G645" s="311"/>
      <c r="H645" s="715" t="s">
        <v>738</v>
      </c>
      <c r="I645" s="724">
        <v>2013</v>
      </c>
      <c r="J645" s="430">
        <v>0.125</v>
      </c>
      <c r="K645" s="706">
        <v>216000000</v>
      </c>
      <c r="L645" s="706">
        <v>0</v>
      </c>
      <c r="M645" s="706">
        <v>0</v>
      </c>
      <c r="N645" s="705">
        <f t="shared" si="128"/>
        <v>216000000</v>
      </c>
      <c r="O645" s="705">
        <v>162000000</v>
      </c>
      <c r="P645" s="706">
        <f t="shared" si="129"/>
        <v>27000000</v>
      </c>
      <c r="Q645" s="706">
        <v>0</v>
      </c>
      <c r="R645" s="705">
        <f t="shared" si="131"/>
        <v>189000000</v>
      </c>
      <c r="S645" s="706">
        <f t="shared" si="130"/>
        <v>27000000</v>
      </c>
    </row>
    <row r="646" spans="1:19" ht="15.75" customHeight="1">
      <c r="A646" s="675" t="s">
        <v>935</v>
      </c>
      <c r="D646" s="309"/>
      <c r="E646" s="316"/>
      <c r="F646" s="330"/>
      <c r="G646" s="331"/>
      <c r="H646" s="743" t="s">
        <v>733</v>
      </c>
      <c r="I646" s="724">
        <v>2013</v>
      </c>
      <c r="J646" s="430">
        <v>0.125</v>
      </c>
      <c r="K646" s="706">
        <v>394000000</v>
      </c>
      <c r="L646" s="706">
        <v>0</v>
      </c>
      <c r="M646" s="706">
        <v>0</v>
      </c>
      <c r="N646" s="705">
        <f t="shared" si="128"/>
        <v>394000000</v>
      </c>
      <c r="O646" s="705">
        <v>295499999.99999988</v>
      </c>
      <c r="P646" s="706">
        <f t="shared" si="129"/>
        <v>49250000</v>
      </c>
      <c r="Q646" s="706">
        <v>0</v>
      </c>
      <c r="R646" s="705">
        <f t="shared" si="131"/>
        <v>344749999.99999988</v>
      </c>
      <c r="S646" s="706">
        <f t="shared" si="130"/>
        <v>49250000.000000119</v>
      </c>
    </row>
    <row r="647" spans="1:19" ht="15.75" customHeight="1">
      <c r="A647" s="675" t="s">
        <v>935</v>
      </c>
      <c r="D647" s="309"/>
      <c r="E647" s="316"/>
      <c r="F647" s="330"/>
      <c r="G647" s="331"/>
      <c r="H647" s="715" t="s">
        <v>732</v>
      </c>
      <c r="I647" s="716">
        <v>2008</v>
      </c>
      <c r="J647" s="430">
        <v>0.125</v>
      </c>
      <c r="K647" s="706">
        <v>165000000</v>
      </c>
      <c r="L647" s="706">
        <v>0</v>
      </c>
      <c r="M647" s="706">
        <v>0</v>
      </c>
      <c r="N647" s="705">
        <f t="shared" si="128"/>
        <v>165000000</v>
      </c>
      <c r="O647" s="705">
        <v>123750000</v>
      </c>
      <c r="P647" s="706">
        <f t="shared" si="129"/>
        <v>20625000</v>
      </c>
      <c r="Q647" s="706"/>
      <c r="R647" s="705">
        <f t="shared" si="131"/>
        <v>144375000</v>
      </c>
      <c r="S647" s="706">
        <f t="shared" si="130"/>
        <v>20625000</v>
      </c>
    </row>
    <row r="648" spans="1:19" ht="15.75" customHeight="1">
      <c r="A648" s="675" t="s">
        <v>935</v>
      </c>
      <c r="D648" s="309"/>
      <c r="E648" s="316"/>
      <c r="F648" s="330"/>
      <c r="G648" s="331"/>
      <c r="H648" s="715" t="s">
        <v>731</v>
      </c>
      <c r="I648" s="765">
        <v>2005</v>
      </c>
      <c r="J648" s="430">
        <v>0.125</v>
      </c>
      <c r="K648" s="706">
        <v>77000000</v>
      </c>
      <c r="L648" s="706">
        <v>0</v>
      </c>
      <c r="M648" s="706">
        <v>0</v>
      </c>
      <c r="N648" s="705">
        <f t="shared" si="128"/>
        <v>77000000</v>
      </c>
      <c r="O648" s="705">
        <v>57750000.000000052</v>
      </c>
      <c r="P648" s="706">
        <f t="shared" si="129"/>
        <v>9625000</v>
      </c>
      <c r="Q648" s="706">
        <v>0</v>
      </c>
      <c r="R648" s="705">
        <f t="shared" si="131"/>
        <v>67375000.00000006</v>
      </c>
      <c r="S648" s="706">
        <f t="shared" si="130"/>
        <v>9624999.9999999404</v>
      </c>
    </row>
    <row r="649" spans="1:19" ht="15.75" customHeight="1">
      <c r="A649" s="675" t="s">
        <v>935</v>
      </c>
      <c r="D649" s="309"/>
      <c r="E649" s="316"/>
      <c r="F649" s="330"/>
      <c r="G649" s="331"/>
      <c r="H649" s="743" t="s">
        <v>731</v>
      </c>
      <c r="I649" s="716">
        <v>2005</v>
      </c>
      <c r="J649" s="430">
        <v>0.125</v>
      </c>
      <c r="K649" s="706">
        <v>77000000</v>
      </c>
      <c r="L649" s="706">
        <v>0</v>
      </c>
      <c r="M649" s="706">
        <v>0</v>
      </c>
      <c r="N649" s="705">
        <f t="shared" si="128"/>
        <v>77000000</v>
      </c>
      <c r="O649" s="705">
        <v>57750000.000000052</v>
      </c>
      <c r="P649" s="706">
        <f t="shared" si="129"/>
        <v>9625000</v>
      </c>
      <c r="Q649" s="706">
        <v>0</v>
      </c>
      <c r="R649" s="705">
        <f t="shared" si="131"/>
        <v>67375000.00000006</v>
      </c>
      <c r="S649" s="706">
        <f t="shared" si="130"/>
        <v>9624999.9999999404</v>
      </c>
    </row>
    <row r="650" spans="1:19" ht="15.75" customHeight="1">
      <c r="A650" s="675" t="s">
        <v>935</v>
      </c>
      <c r="D650" s="309"/>
      <c r="E650" s="316"/>
      <c r="F650" s="330"/>
      <c r="G650" s="331"/>
      <c r="H650" s="723" t="s">
        <v>733</v>
      </c>
      <c r="I650" s="765">
        <v>2008</v>
      </c>
      <c r="J650" s="430">
        <v>0.125</v>
      </c>
      <c r="K650" s="706">
        <v>264000000</v>
      </c>
      <c r="L650" s="706">
        <v>0</v>
      </c>
      <c r="M650" s="706">
        <v>0</v>
      </c>
      <c r="N650" s="705">
        <f t="shared" si="128"/>
        <v>264000000</v>
      </c>
      <c r="O650" s="705">
        <v>198000000</v>
      </c>
      <c r="P650" s="706">
        <f t="shared" si="129"/>
        <v>33000000</v>
      </c>
      <c r="Q650" s="706">
        <v>0</v>
      </c>
      <c r="R650" s="705">
        <f t="shared" si="131"/>
        <v>231000000</v>
      </c>
      <c r="S650" s="706">
        <f t="shared" si="130"/>
        <v>33000000</v>
      </c>
    </row>
    <row r="651" spans="1:19" ht="15.75" customHeight="1">
      <c r="A651" s="675" t="s">
        <v>935</v>
      </c>
      <c r="D651" s="309"/>
      <c r="E651" s="316"/>
      <c r="F651" s="330"/>
      <c r="G651" s="331"/>
      <c r="H651" s="715" t="s">
        <v>739</v>
      </c>
      <c r="I651" s="716">
        <v>2013</v>
      </c>
      <c r="J651" s="430">
        <v>0.125</v>
      </c>
      <c r="K651" s="706">
        <v>271000000</v>
      </c>
      <c r="L651" s="706">
        <v>0</v>
      </c>
      <c r="M651" s="706">
        <v>0</v>
      </c>
      <c r="N651" s="705">
        <f t="shared" si="128"/>
        <v>271000000</v>
      </c>
      <c r="O651" s="705">
        <v>203249999.99999985</v>
      </c>
      <c r="P651" s="706">
        <f t="shared" si="129"/>
        <v>33875000</v>
      </c>
      <c r="Q651" s="706">
        <v>0</v>
      </c>
      <c r="R651" s="705">
        <f t="shared" si="131"/>
        <v>237124999.99999985</v>
      </c>
      <c r="S651" s="706">
        <f t="shared" si="130"/>
        <v>33875000.000000149</v>
      </c>
    </row>
    <row r="652" spans="1:19" ht="15.75" customHeight="1">
      <c r="A652" s="675" t="s">
        <v>935</v>
      </c>
      <c r="D652" s="309"/>
      <c r="E652" s="316"/>
      <c r="F652" s="330"/>
      <c r="G652" s="331"/>
      <c r="H652" s="715" t="s">
        <v>728</v>
      </c>
      <c r="I652" s="716">
        <v>2002</v>
      </c>
      <c r="J652" s="430">
        <v>0.125</v>
      </c>
      <c r="K652" s="706">
        <v>108000000</v>
      </c>
      <c r="L652" s="706">
        <v>0</v>
      </c>
      <c r="M652" s="706">
        <v>0</v>
      </c>
      <c r="N652" s="705">
        <f t="shared" si="128"/>
        <v>108000000</v>
      </c>
      <c r="O652" s="705">
        <v>81000000</v>
      </c>
      <c r="P652" s="706">
        <f t="shared" si="129"/>
        <v>13500000</v>
      </c>
      <c r="Q652" s="706">
        <v>0</v>
      </c>
      <c r="R652" s="705">
        <f t="shared" si="131"/>
        <v>94500000</v>
      </c>
      <c r="S652" s="706">
        <f t="shared" si="130"/>
        <v>13500000</v>
      </c>
    </row>
    <row r="653" spans="1:19" ht="15.75" customHeight="1">
      <c r="A653" s="675" t="s">
        <v>935</v>
      </c>
      <c r="D653" s="309"/>
      <c r="E653" s="316"/>
      <c r="F653" s="330"/>
      <c r="G653" s="331"/>
      <c r="H653" s="743" t="s">
        <v>728</v>
      </c>
      <c r="I653" s="716">
        <v>2002</v>
      </c>
      <c r="J653" s="430">
        <v>0.125</v>
      </c>
      <c r="K653" s="706">
        <v>108000000</v>
      </c>
      <c r="L653" s="706">
        <v>0</v>
      </c>
      <c r="M653" s="706">
        <v>0</v>
      </c>
      <c r="N653" s="705">
        <f t="shared" si="128"/>
        <v>108000000</v>
      </c>
      <c r="O653" s="705">
        <v>81000000</v>
      </c>
      <c r="P653" s="706">
        <f t="shared" si="129"/>
        <v>13500000</v>
      </c>
      <c r="Q653" s="706">
        <v>0</v>
      </c>
      <c r="R653" s="705">
        <f t="shared" si="131"/>
        <v>94500000</v>
      </c>
      <c r="S653" s="706">
        <f t="shared" si="130"/>
        <v>13500000</v>
      </c>
    </row>
    <row r="654" spans="1:19" ht="15.75" customHeight="1">
      <c r="A654" s="675" t="s">
        <v>935</v>
      </c>
      <c r="D654" s="309"/>
      <c r="E654" s="316"/>
      <c r="F654" s="330"/>
      <c r="G654" s="331"/>
      <c r="H654" s="715" t="s">
        <v>735</v>
      </c>
      <c r="I654" s="716">
        <v>2011</v>
      </c>
      <c r="J654" s="430">
        <v>0.125</v>
      </c>
      <c r="K654" s="706">
        <v>190000000</v>
      </c>
      <c r="L654" s="706">
        <v>0</v>
      </c>
      <c r="M654" s="706">
        <v>0</v>
      </c>
      <c r="N654" s="705">
        <f t="shared" si="128"/>
        <v>190000000</v>
      </c>
      <c r="O654" s="705">
        <v>142500000.00000009</v>
      </c>
      <c r="P654" s="706">
        <f t="shared" si="129"/>
        <v>23750000</v>
      </c>
      <c r="Q654" s="706">
        <v>0</v>
      </c>
      <c r="R654" s="705">
        <f t="shared" si="131"/>
        <v>166250000.00000009</v>
      </c>
      <c r="S654" s="706">
        <f t="shared" si="130"/>
        <v>23749999.999999911</v>
      </c>
    </row>
    <row r="655" spans="1:19" ht="15.75" customHeight="1">
      <c r="A655" s="675" t="s">
        <v>935</v>
      </c>
      <c r="D655" s="309"/>
      <c r="E655" s="316"/>
      <c r="F655" s="330"/>
      <c r="G655" s="331"/>
      <c r="H655" s="743" t="s">
        <v>735</v>
      </c>
      <c r="I655" s="716">
        <v>2013</v>
      </c>
      <c r="J655" s="430">
        <v>0.125</v>
      </c>
      <c r="K655" s="706">
        <v>203000000</v>
      </c>
      <c r="L655" s="706">
        <v>0</v>
      </c>
      <c r="M655" s="706">
        <v>0</v>
      </c>
      <c r="N655" s="705">
        <f t="shared" si="128"/>
        <v>203000000</v>
      </c>
      <c r="O655" s="705">
        <v>152249999.99999997</v>
      </c>
      <c r="P655" s="706">
        <f t="shared" si="129"/>
        <v>25375000</v>
      </c>
      <c r="Q655" s="706">
        <v>0</v>
      </c>
      <c r="R655" s="705">
        <f t="shared" si="131"/>
        <v>177624999.99999997</v>
      </c>
      <c r="S655" s="706">
        <f t="shared" si="130"/>
        <v>25375000.00000003</v>
      </c>
    </row>
    <row r="656" spans="1:19" ht="15.75" customHeight="1">
      <c r="A656" s="675" t="s">
        <v>935</v>
      </c>
      <c r="D656" s="309"/>
      <c r="E656" s="316"/>
      <c r="F656" s="330"/>
      <c r="G656" s="331"/>
      <c r="H656" s="723" t="s">
        <v>735</v>
      </c>
      <c r="I656" s="765">
        <v>2011</v>
      </c>
      <c r="J656" s="430">
        <v>0.125</v>
      </c>
      <c r="K656" s="706">
        <v>197000000</v>
      </c>
      <c r="L656" s="706">
        <v>0</v>
      </c>
      <c r="M656" s="706">
        <v>0</v>
      </c>
      <c r="N656" s="705">
        <f t="shared" si="128"/>
        <v>197000000</v>
      </c>
      <c r="O656" s="705">
        <v>147749999.99999994</v>
      </c>
      <c r="P656" s="706">
        <f t="shared" si="129"/>
        <v>24625000</v>
      </c>
      <c r="Q656" s="706">
        <v>0</v>
      </c>
      <c r="R656" s="705">
        <f t="shared" si="131"/>
        <v>172374999.99999994</v>
      </c>
      <c r="S656" s="706">
        <f t="shared" si="130"/>
        <v>24625000.00000006</v>
      </c>
    </row>
    <row r="657" spans="1:19" ht="15.75" customHeight="1">
      <c r="A657" s="675" t="s">
        <v>935</v>
      </c>
      <c r="D657" s="309"/>
      <c r="E657" s="316"/>
      <c r="F657" s="330"/>
      <c r="G657" s="331"/>
      <c r="H657" s="715" t="s">
        <v>734</v>
      </c>
      <c r="I657" s="724">
        <v>2010</v>
      </c>
      <c r="J657" s="430">
        <v>0.125</v>
      </c>
      <c r="K657" s="706">
        <v>171000000</v>
      </c>
      <c r="L657" s="706">
        <v>0</v>
      </c>
      <c r="M657" s="706">
        <v>0</v>
      </c>
      <c r="N657" s="705">
        <f t="shared" si="128"/>
        <v>171000000</v>
      </c>
      <c r="O657" s="705">
        <v>128250000</v>
      </c>
      <c r="P657" s="706">
        <f t="shared" si="129"/>
        <v>21375000</v>
      </c>
      <c r="Q657" s="706">
        <v>0</v>
      </c>
      <c r="R657" s="705">
        <f t="shared" si="131"/>
        <v>149625000</v>
      </c>
      <c r="S657" s="706">
        <f t="shared" si="130"/>
        <v>21375000</v>
      </c>
    </row>
    <row r="658" spans="1:19" ht="15.75" customHeight="1">
      <c r="A658" s="675" t="s">
        <v>935</v>
      </c>
      <c r="D658" s="309"/>
      <c r="E658" s="316"/>
      <c r="F658" s="330"/>
      <c r="G658" s="331"/>
      <c r="H658" s="715" t="s">
        <v>736</v>
      </c>
      <c r="I658" s="716">
        <v>2011</v>
      </c>
      <c r="J658" s="430">
        <v>0.125</v>
      </c>
      <c r="K658" s="706">
        <v>141000000</v>
      </c>
      <c r="L658" s="706">
        <v>0</v>
      </c>
      <c r="M658" s="706">
        <v>0</v>
      </c>
      <c r="N658" s="705">
        <f t="shared" si="128"/>
        <v>141000000</v>
      </c>
      <c r="O658" s="705">
        <v>105750000</v>
      </c>
      <c r="P658" s="706">
        <f t="shared" si="129"/>
        <v>17625000</v>
      </c>
      <c r="Q658" s="706">
        <v>0</v>
      </c>
      <c r="R658" s="705">
        <f t="shared" si="131"/>
        <v>123375000</v>
      </c>
      <c r="S658" s="706">
        <f t="shared" si="130"/>
        <v>17625000</v>
      </c>
    </row>
    <row r="659" spans="1:19" ht="15.75" customHeight="1">
      <c r="A659" s="675" t="s">
        <v>935</v>
      </c>
      <c r="D659" s="309"/>
      <c r="E659" s="316"/>
      <c r="F659" s="330"/>
      <c r="G659" s="331"/>
      <c r="H659" s="715" t="s">
        <v>742</v>
      </c>
      <c r="I659" s="765">
        <v>2014</v>
      </c>
      <c r="J659" s="430">
        <v>0.125</v>
      </c>
      <c r="K659" s="706">
        <v>93000000</v>
      </c>
      <c r="L659" s="706">
        <v>0</v>
      </c>
      <c r="M659" s="706">
        <v>0</v>
      </c>
      <c r="N659" s="705">
        <f t="shared" si="128"/>
        <v>93000000</v>
      </c>
      <c r="O659" s="705">
        <v>69750000</v>
      </c>
      <c r="P659" s="706">
        <f t="shared" si="129"/>
        <v>11625000</v>
      </c>
      <c r="Q659" s="706">
        <v>0</v>
      </c>
      <c r="R659" s="705">
        <f t="shared" si="131"/>
        <v>81375000</v>
      </c>
      <c r="S659" s="706">
        <f t="shared" si="130"/>
        <v>11625000</v>
      </c>
    </row>
    <row r="660" spans="1:19" ht="15.75" customHeight="1">
      <c r="A660" s="675" t="s">
        <v>935</v>
      </c>
      <c r="D660" s="309"/>
      <c r="E660" s="316"/>
      <c r="F660" s="330"/>
      <c r="G660" s="331"/>
      <c r="H660" s="743" t="s">
        <v>735</v>
      </c>
      <c r="I660" s="724">
        <v>2011</v>
      </c>
      <c r="J660" s="430">
        <v>0.125</v>
      </c>
      <c r="K660" s="706">
        <v>190000000</v>
      </c>
      <c r="L660" s="706">
        <v>0</v>
      </c>
      <c r="M660" s="706">
        <v>0</v>
      </c>
      <c r="N660" s="705">
        <f t="shared" si="128"/>
        <v>190000000</v>
      </c>
      <c r="O660" s="705">
        <v>142500000.00000009</v>
      </c>
      <c r="P660" s="706">
        <f t="shared" si="129"/>
        <v>23750000</v>
      </c>
      <c r="Q660" s="706">
        <v>0</v>
      </c>
      <c r="R660" s="705">
        <f t="shared" si="131"/>
        <v>166250000.00000009</v>
      </c>
      <c r="S660" s="706">
        <f t="shared" si="130"/>
        <v>23749999.999999911</v>
      </c>
    </row>
    <row r="661" spans="1:19" ht="15.75" customHeight="1">
      <c r="A661" s="675" t="s">
        <v>935</v>
      </c>
      <c r="D661" s="309"/>
      <c r="E661" s="316"/>
      <c r="F661" s="330"/>
      <c r="G661" s="331"/>
      <c r="H661" s="723" t="s">
        <v>740</v>
      </c>
      <c r="I661" s="724">
        <v>2013</v>
      </c>
      <c r="J661" s="430">
        <v>0.125</v>
      </c>
      <c r="K661" s="706">
        <v>155000000</v>
      </c>
      <c r="L661" s="706">
        <v>0</v>
      </c>
      <c r="M661" s="706">
        <v>0</v>
      </c>
      <c r="N661" s="705">
        <f t="shared" si="128"/>
        <v>155000000</v>
      </c>
      <c r="O661" s="705">
        <v>116249999.9999999</v>
      </c>
      <c r="P661" s="706">
        <f t="shared" si="129"/>
        <v>19375000</v>
      </c>
      <c r="Q661" s="706">
        <v>0</v>
      </c>
      <c r="R661" s="705">
        <f t="shared" si="131"/>
        <v>135624999.99999988</v>
      </c>
      <c r="S661" s="706">
        <f t="shared" si="130"/>
        <v>19375000.000000119</v>
      </c>
    </row>
    <row r="662" spans="1:19" ht="15.75" customHeight="1">
      <c r="A662" s="675" t="s">
        <v>935</v>
      </c>
      <c r="D662" s="309"/>
      <c r="E662" s="316"/>
      <c r="F662" s="330"/>
      <c r="G662" s="331"/>
      <c r="H662" s="723" t="s">
        <v>737</v>
      </c>
      <c r="I662" s="716">
        <v>2012</v>
      </c>
      <c r="J662" s="430">
        <v>0.125</v>
      </c>
      <c r="K662" s="706">
        <v>151000000</v>
      </c>
      <c r="L662" s="706">
        <v>0</v>
      </c>
      <c r="M662" s="706">
        <v>0</v>
      </c>
      <c r="N662" s="705">
        <f t="shared" si="128"/>
        <v>151000000</v>
      </c>
      <c r="O662" s="705">
        <v>113250000.0000001</v>
      </c>
      <c r="P662" s="706">
        <f t="shared" si="129"/>
        <v>18875000</v>
      </c>
      <c r="Q662" s="706">
        <v>0</v>
      </c>
      <c r="R662" s="705">
        <f t="shared" si="131"/>
        <v>132125000.0000001</v>
      </c>
      <c r="S662" s="706">
        <f t="shared" si="130"/>
        <v>18874999.999999896</v>
      </c>
    </row>
    <row r="663" spans="1:19" ht="15.75" customHeight="1">
      <c r="A663" s="675" t="s">
        <v>935</v>
      </c>
      <c r="D663" s="309"/>
      <c r="E663" s="316"/>
      <c r="F663" s="330"/>
      <c r="G663" s="331"/>
      <c r="H663" s="715" t="s">
        <v>737</v>
      </c>
      <c r="I663" s="716">
        <v>2012</v>
      </c>
      <c r="J663" s="430">
        <v>0.125</v>
      </c>
      <c r="K663" s="706">
        <v>151000000</v>
      </c>
      <c r="L663" s="706">
        <v>0</v>
      </c>
      <c r="M663" s="706">
        <v>0</v>
      </c>
      <c r="N663" s="705">
        <f t="shared" si="128"/>
        <v>151000000</v>
      </c>
      <c r="O663" s="705">
        <v>113250000.0000001</v>
      </c>
      <c r="P663" s="706">
        <f t="shared" si="129"/>
        <v>18875000</v>
      </c>
      <c r="Q663" s="706">
        <v>0</v>
      </c>
      <c r="R663" s="705">
        <f t="shared" si="131"/>
        <v>132125000.0000001</v>
      </c>
      <c r="S663" s="706">
        <f t="shared" si="130"/>
        <v>18874999.999999896</v>
      </c>
    </row>
    <row r="664" spans="1:19" ht="15.75" customHeight="1">
      <c r="A664" s="675" t="s">
        <v>935</v>
      </c>
      <c r="D664" s="309"/>
      <c r="E664" s="316"/>
      <c r="F664" s="330"/>
      <c r="G664" s="331"/>
      <c r="H664" s="715" t="s">
        <v>735</v>
      </c>
      <c r="I664" s="765">
        <v>2011</v>
      </c>
      <c r="J664" s="430">
        <v>0.125</v>
      </c>
      <c r="K664" s="706">
        <v>190000000</v>
      </c>
      <c r="L664" s="706">
        <v>0</v>
      </c>
      <c r="M664" s="706">
        <v>0</v>
      </c>
      <c r="N664" s="705">
        <f t="shared" si="128"/>
        <v>190000000</v>
      </c>
      <c r="O664" s="705">
        <v>142500000.00000009</v>
      </c>
      <c r="P664" s="706">
        <f t="shared" si="129"/>
        <v>23750000</v>
      </c>
      <c r="Q664" s="706">
        <v>0</v>
      </c>
      <c r="R664" s="705">
        <f t="shared" si="131"/>
        <v>166250000.00000009</v>
      </c>
      <c r="S664" s="706">
        <f t="shared" si="130"/>
        <v>23749999.999999911</v>
      </c>
    </row>
    <row r="665" spans="1:19" ht="15.75" customHeight="1">
      <c r="A665" s="675" t="s">
        <v>935</v>
      </c>
      <c r="D665" s="309"/>
      <c r="E665" s="316"/>
      <c r="F665" s="330"/>
      <c r="G665" s="331"/>
      <c r="H665" s="715" t="s">
        <v>743</v>
      </c>
      <c r="I665" s="716">
        <v>2014</v>
      </c>
      <c r="J665" s="430">
        <v>0.125</v>
      </c>
      <c r="K665" s="706">
        <v>214000000</v>
      </c>
      <c r="L665" s="706">
        <v>0</v>
      </c>
      <c r="M665" s="706">
        <v>0</v>
      </c>
      <c r="N665" s="705">
        <f t="shared" si="128"/>
        <v>214000000</v>
      </c>
      <c r="O665" s="705">
        <v>160500000</v>
      </c>
      <c r="P665" s="706">
        <f t="shared" si="129"/>
        <v>26750000</v>
      </c>
      <c r="Q665" s="706">
        <v>0</v>
      </c>
      <c r="R665" s="705">
        <f t="shared" si="131"/>
        <v>187250000</v>
      </c>
      <c r="S665" s="706">
        <f t="shared" si="130"/>
        <v>26750000</v>
      </c>
    </row>
    <row r="666" spans="1:19" ht="15.75" customHeight="1">
      <c r="A666" s="675" t="s">
        <v>935</v>
      </c>
      <c r="D666" s="309"/>
      <c r="E666" s="316"/>
      <c r="F666" s="330"/>
      <c r="G666" s="331"/>
      <c r="H666" s="743" t="s">
        <v>737</v>
      </c>
      <c r="I666" s="765">
        <v>2013</v>
      </c>
      <c r="J666" s="430">
        <v>0.125</v>
      </c>
      <c r="K666" s="706">
        <v>163000000</v>
      </c>
      <c r="L666" s="706">
        <v>0</v>
      </c>
      <c r="M666" s="706">
        <v>0</v>
      </c>
      <c r="N666" s="705">
        <f t="shared" si="128"/>
        <v>163000000</v>
      </c>
      <c r="O666" s="705">
        <v>122250000.00000012</v>
      </c>
      <c r="P666" s="706">
        <f t="shared" si="129"/>
        <v>20375000</v>
      </c>
      <c r="Q666" s="706">
        <v>0</v>
      </c>
      <c r="R666" s="705">
        <f t="shared" si="131"/>
        <v>142625000.00000012</v>
      </c>
      <c r="S666" s="706">
        <f t="shared" si="130"/>
        <v>20374999.999999881</v>
      </c>
    </row>
    <row r="667" spans="1:19" ht="15.75" customHeight="1">
      <c r="A667" s="675" t="s">
        <v>935</v>
      </c>
      <c r="D667" s="309"/>
      <c r="E667" s="316"/>
      <c r="F667" s="330"/>
      <c r="G667" s="331"/>
      <c r="H667" s="723" t="s">
        <v>741</v>
      </c>
      <c r="I667" s="716">
        <v>2013</v>
      </c>
      <c r="J667" s="430">
        <v>0.125</v>
      </c>
      <c r="K667" s="706">
        <v>323000000</v>
      </c>
      <c r="L667" s="706">
        <v>0</v>
      </c>
      <c r="M667" s="706">
        <v>0</v>
      </c>
      <c r="N667" s="705">
        <f t="shared" si="128"/>
        <v>323000000</v>
      </c>
      <c r="O667" s="705">
        <v>242250000.00000024</v>
      </c>
      <c r="P667" s="706">
        <f t="shared" si="129"/>
        <v>40375000</v>
      </c>
      <c r="Q667" s="706">
        <v>0</v>
      </c>
      <c r="R667" s="705">
        <f t="shared" si="131"/>
        <v>282625000.00000024</v>
      </c>
      <c r="S667" s="706">
        <f t="shared" si="130"/>
        <v>40374999.999999762</v>
      </c>
    </row>
    <row r="668" spans="1:19" ht="15.75" customHeight="1">
      <c r="A668" s="675" t="s">
        <v>935</v>
      </c>
      <c r="D668" s="309"/>
      <c r="E668" s="316"/>
      <c r="F668" s="417"/>
      <c r="G668" s="331"/>
      <c r="H668" s="715" t="s">
        <v>727</v>
      </c>
      <c r="I668" s="765">
        <v>2004</v>
      </c>
      <c r="J668" s="430">
        <v>0.125</v>
      </c>
      <c r="K668" s="706">
        <v>69000000</v>
      </c>
      <c r="L668" s="706">
        <v>0</v>
      </c>
      <c r="M668" s="706">
        <v>0</v>
      </c>
      <c r="N668" s="705">
        <f t="shared" si="128"/>
        <v>69000000</v>
      </c>
      <c r="O668" s="705">
        <v>51750000</v>
      </c>
      <c r="P668" s="706">
        <f t="shared" si="129"/>
        <v>8625000</v>
      </c>
      <c r="Q668" s="706">
        <v>0</v>
      </c>
      <c r="R668" s="705">
        <f t="shared" si="131"/>
        <v>60375000</v>
      </c>
      <c r="S668" s="706">
        <f t="shared" si="130"/>
        <v>8625000</v>
      </c>
    </row>
    <row r="669" spans="1:19" ht="15.75" customHeight="1">
      <c r="A669" s="675" t="s">
        <v>935</v>
      </c>
      <c r="D669" s="309"/>
      <c r="E669" s="316"/>
      <c r="F669" s="417"/>
      <c r="G669" s="331"/>
      <c r="H669" s="715" t="s">
        <v>730</v>
      </c>
      <c r="I669" s="724">
        <v>2004</v>
      </c>
      <c r="J669" s="430">
        <v>0.125</v>
      </c>
      <c r="K669" s="706">
        <v>94000000</v>
      </c>
      <c r="L669" s="706">
        <v>0</v>
      </c>
      <c r="M669" s="706">
        <v>0</v>
      </c>
      <c r="N669" s="705">
        <f t="shared" si="128"/>
        <v>94000000</v>
      </c>
      <c r="O669" s="705">
        <v>70499999.999999955</v>
      </c>
      <c r="P669" s="706">
        <f t="shared" si="129"/>
        <v>11750000</v>
      </c>
      <c r="Q669" s="706">
        <v>0</v>
      </c>
      <c r="R669" s="705">
        <f t="shared" si="131"/>
        <v>82249999.999999955</v>
      </c>
      <c r="S669" s="706">
        <f t="shared" si="130"/>
        <v>11750000.000000045</v>
      </c>
    </row>
    <row r="670" spans="1:19" ht="15.75" customHeight="1">
      <c r="A670" s="675" t="s">
        <v>935</v>
      </c>
      <c r="B670" s="675">
        <v>7</v>
      </c>
      <c r="C670" s="675">
        <v>7</v>
      </c>
      <c r="D670" s="309"/>
      <c r="E670" s="316"/>
      <c r="F670" s="417"/>
      <c r="G670" s="331"/>
      <c r="H670" s="332" t="s">
        <v>744</v>
      </c>
      <c r="I670" s="257">
        <v>2015</v>
      </c>
      <c r="J670" s="430">
        <v>0.125</v>
      </c>
      <c r="K670" s="705">
        <v>562000000</v>
      </c>
      <c r="L670" s="706">
        <v>0</v>
      </c>
      <c r="M670" s="706">
        <v>0</v>
      </c>
      <c r="N670" s="705">
        <f t="shared" si="128"/>
        <v>562000000</v>
      </c>
      <c r="O670" s="705">
        <v>458411802.00000048</v>
      </c>
      <c r="P670" s="706">
        <f t="shared" si="129"/>
        <v>70250000</v>
      </c>
      <c r="Q670" s="706">
        <v>0</v>
      </c>
      <c r="R670" s="705">
        <f t="shared" si="131"/>
        <v>528661802.00000048</v>
      </c>
      <c r="S670" s="706">
        <f t="shared" si="130"/>
        <v>33338197.999999523</v>
      </c>
    </row>
    <row r="671" spans="1:19" ht="15.75" customHeight="1">
      <c r="A671" s="675" t="s">
        <v>935</v>
      </c>
      <c r="B671" s="675">
        <v>7</v>
      </c>
      <c r="C671" s="675">
        <v>7</v>
      </c>
      <c r="D671" s="309"/>
      <c r="E671" s="316"/>
      <c r="F671" s="417"/>
      <c r="G671" s="331"/>
      <c r="H671" s="332" t="s">
        <v>745</v>
      </c>
      <c r="I671" s="257">
        <v>2016</v>
      </c>
      <c r="J671" s="430">
        <v>0.125</v>
      </c>
      <c r="K671" s="705">
        <v>500000000</v>
      </c>
      <c r="L671" s="706">
        <v>0</v>
      </c>
      <c r="M671" s="706">
        <v>0</v>
      </c>
      <c r="N671" s="705">
        <f t="shared" si="128"/>
        <v>500000000</v>
      </c>
      <c r="O671" s="705">
        <v>354166666.66666657</v>
      </c>
      <c r="P671" s="706">
        <f t="shared" si="129"/>
        <v>62500000</v>
      </c>
      <c r="Q671" s="706">
        <v>0</v>
      </c>
      <c r="R671" s="705">
        <f t="shared" si="131"/>
        <v>416666666.66666657</v>
      </c>
      <c r="S671" s="706">
        <f t="shared" si="130"/>
        <v>83333333.333333433</v>
      </c>
    </row>
    <row r="672" spans="1:19" s="703" customFormat="1" ht="15.75" customHeight="1">
      <c r="A672" s="675" t="s">
        <v>935</v>
      </c>
      <c r="B672" s="675">
        <v>7</v>
      </c>
      <c r="C672" s="675">
        <v>7</v>
      </c>
      <c r="D672" s="309"/>
      <c r="E672" s="316"/>
      <c r="F672" s="417"/>
      <c r="G672" s="331"/>
      <c r="H672" s="332" t="s">
        <v>746</v>
      </c>
      <c r="I672" s="257">
        <v>2016</v>
      </c>
      <c r="J672" s="430">
        <v>0.125</v>
      </c>
      <c r="K672" s="705">
        <v>500000000</v>
      </c>
      <c r="L672" s="706">
        <v>0</v>
      </c>
      <c r="M672" s="706">
        <v>0</v>
      </c>
      <c r="N672" s="705">
        <f t="shared" si="128"/>
        <v>500000000</v>
      </c>
      <c r="O672" s="705">
        <v>354166666.66666657</v>
      </c>
      <c r="P672" s="706">
        <f t="shared" si="129"/>
        <v>62500000</v>
      </c>
      <c r="Q672" s="706">
        <v>0</v>
      </c>
      <c r="R672" s="705">
        <f t="shared" si="131"/>
        <v>416666666.66666657</v>
      </c>
      <c r="S672" s="706">
        <f t="shared" si="130"/>
        <v>83333333.333333433</v>
      </c>
    </row>
    <row r="673" spans="1:19" s="703" customFormat="1" ht="15.75" customHeight="1">
      <c r="A673" s="675"/>
      <c r="B673" s="675"/>
      <c r="C673" s="675"/>
      <c r="D673" s="309"/>
      <c r="E673" s="316"/>
      <c r="F673" s="334"/>
      <c r="G673" s="335"/>
      <c r="H673" s="269" t="s">
        <v>747</v>
      </c>
      <c r="I673" s="575">
        <v>2017</v>
      </c>
      <c r="J673" s="430">
        <v>0.125</v>
      </c>
      <c r="K673" s="705">
        <v>230000000</v>
      </c>
      <c r="L673" s="709">
        <v>0</v>
      </c>
      <c r="M673" s="706">
        <v>0</v>
      </c>
      <c r="N673" s="705">
        <f t="shared" si="128"/>
        <v>230000000</v>
      </c>
      <c r="O673" s="705">
        <v>138958333.33333322</v>
      </c>
      <c r="P673" s="706">
        <f t="shared" si="129"/>
        <v>28750000</v>
      </c>
      <c r="Q673" s="709">
        <v>0</v>
      </c>
      <c r="R673" s="705">
        <f t="shared" si="131"/>
        <v>167708333.33333322</v>
      </c>
      <c r="S673" s="706">
        <f t="shared" si="130"/>
        <v>62291666.666666776</v>
      </c>
    </row>
    <row r="674" spans="1:19" ht="15.75" customHeight="1">
      <c r="A674" s="675" t="s">
        <v>935</v>
      </c>
      <c r="D674" s="309"/>
      <c r="E674" s="1235" t="s">
        <v>1029</v>
      </c>
      <c r="F674" s="1236"/>
      <c r="G674" s="1236"/>
      <c r="H674" s="1236"/>
      <c r="I674" s="1236"/>
      <c r="J674" s="1237"/>
      <c r="K674" s="708">
        <f>SUM(K642:K673)</f>
        <v>6467000000</v>
      </c>
      <c r="L674" s="708">
        <f t="shared" ref="L674:S674" si="132">SUM(L642:L673)</f>
        <v>0</v>
      </c>
      <c r="M674" s="708">
        <f t="shared" si="132"/>
        <v>0</v>
      </c>
      <c r="N674" s="708">
        <f t="shared" si="132"/>
        <v>6467000000</v>
      </c>
      <c r="O674" s="708">
        <f t="shared" si="132"/>
        <v>4811953468.666667</v>
      </c>
      <c r="P674" s="708">
        <f t="shared" si="132"/>
        <v>808375000</v>
      </c>
      <c r="Q674" s="708">
        <f t="shared" si="132"/>
        <v>0</v>
      </c>
      <c r="R674" s="708">
        <f t="shared" si="132"/>
        <v>5620328468.666667</v>
      </c>
      <c r="S674" s="708">
        <f t="shared" si="132"/>
        <v>846671531.33333278</v>
      </c>
    </row>
    <row r="675" spans="1:19" s="703" customFormat="1" ht="15.75" customHeight="1">
      <c r="A675" s="675"/>
      <c r="B675" s="675"/>
      <c r="C675" s="675"/>
      <c r="D675" s="387"/>
      <c r="E675" s="324"/>
      <c r="F675" s="330"/>
      <c r="G675" s="721"/>
      <c r="H675" s="715"/>
      <c r="I675" s="716"/>
      <c r="J675" s="393"/>
      <c r="K675" s="830"/>
      <c r="L675" s="830"/>
      <c r="M675" s="830"/>
      <c r="N675" s="830"/>
      <c r="O675" s="830"/>
      <c r="P675" s="830"/>
      <c r="Q675" s="830"/>
      <c r="R675" s="830"/>
      <c r="S675" s="830"/>
    </row>
    <row r="676" spans="1:19" ht="15.75" customHeight="1">
      <c r="A676" s="675" t="s">
        <v>938</v>
      </c>
      <c r="D676" s="357"/>
      <c r="E676" s="316" t="s">
        <v>1030</v>
      </c>
      <c r="F676" s="703" t="s">
        <v>748</v>
      </c>
      <c r="G676" s="311"/>
      <c r="H676" s="319"/>
      <c r="I676" s="259"/>
      <c r="J676" s="393"/>
      <c r="K676" s="712"/>
      <c r="L676" s="712"/>
      <c r="M676" s="712"/>
      <c r="N676" s="712"/>
      <c r="O676" s="712"/>
      <c r="P676" s="712"/>
      <c r="Q676" s="712"/>
      <c r="R676" s="712"/>
      <c r="S676" s="712"/>
    </row>
    <row r="677" spans="1:19" ht="15.75" customHeight="1">
      <c r="A677" s="675" t="s">
        <v>938</v>
      </c>
      <c r="D677" s="309"/>
      <c r="E677" s="316"/>
      <c r="F677" s="417"/>
      <c r="G677" s="331"/>
      <c r="H677" s="715" t="s">
        <v>736</v>
      </c>
      <c r="I677" s="716">
        <v>2011</v>
      </c>
      <c r="J677" s="430">
        <v>0.125</v>
      </c>
      <c r="K677" s="706">
        <v>141000000</v>
      </c>
      <c r="L677" s="706">
        <v>0</v>
      </c>
      <c r="M677" s="706">
        <v>0</v>
      </c>
      <c r="N677" s="705">
        <f>K677+L677-M677</f>
        <v>141000000</v>
      </c>
      <c r="O677" s="705">
        <v>52875000</v>
      </c>
      <c r="P677" s="738">
        <v>0</v>
      </c>
      <c r="Q677" s="706">
        <v>0</v>
      </c>
      <c r="R677" s="705">
        <f>O677+P677-Q677</f>
        <v>52875000</v>
      </c>
      <c r="S677" s="706">
        <f>N677-R677</f>
        <v>88125000</v>
      </c>
    </row>
    <row r="678" spans="1:19" ht="15.75" customHeight="1">
      <c r="A678" s="675" t="s">
        <v>938</v>
      </c>
      <c r="D678" s="309"/>
      <c r="E678" s="316"/>
      <c r="F678" s="417"/>
      <c r="G678" s="331"/>
      <c r="H678" s="715" t="s">
        <v>749</v>
      </c>
      <c r="I678" s="716">
        <v>2014</v>
      </c>
      <c r="J678" s="430">
        <v>0.125</v>
      </c>
      <c r="K678" s="706">
        <v>71000000</v>
      </c>
      <c r="L678" s="706">
        <v>0</v>
      </c>
      <c r="M678" s="706">
        <v>0</v>
      </c>
      <c r="N678" s="705">
        <f>K678+L678-M678</f>
        <v>71000000</v>
      </c>
      <c r="O678" s="705">
        <v>26625000</v>
      </c>
      <c r="P678" s="738">
        <v>0</v>
      </c>
      <c r="Q678" s="706">
        <v>0</v>
      </c>
      <c r="R678" s="705">
        <f>O678+P678-Q678</f>
        <v>26625000</v>
      </c>
      <c r="S678" s="706">
        <f>N678-R678</f>
        <v>44375000</v>
      </c>
    </row>
    <row r="679" spans="1:19" s="703" customFormat="1" ht="15.75" customHeight="1">
      <c r="A679" s="675" t="s">
        <v>938</v>
      </c>
      <c r="B679" s="675">
        <v>5</v>
      </c>
      <c r="C679" s="675">
        <v>5</v>
      </c>
      <c r="D679" s="309"/>
      <c r="E679" s="316"/>
      <c r="F679" s="325"/>
      <c r="G679" s="326"/>
      <c r="H679" s="723" t="s">
        <v>750</v>
      </c>
      <c r="I679" s="724">
        <v>2015</v>
      </c>
      <c r="J679" s="435">
        <v>0.125</v>
      </c>
      <c r="K679" s="705">
        <v>33060000</v>
      </c>
      <c r="L679" s="705">
        <v>0</v>
      </c>
      <c r="M679" s="705">
        <v>0</v>
      </c>
      <c r="N679" s="705">
        <f>K679+L679-M679</f>
        <v>33060000</v>
      </c>
      <c r="O679" s="705">
        <v>14601500</v>
      </c>
      <c r="P679" s="831">
        <v>0</v>
      </c>
      <c r="Q679" s="705">
        <v>0</v>
      </c>
      <c r="R679" s="705">
        <f>O679+P679-Q679</f>
        <v>14601500</v>
      </c>
      <c r="S679" s="706">
        <f>N679-R679</f>
        <v>18458500</v>
      </c>
    </row>
    <row r="680" spans="1:19" s="703" customFormat="1" ht="15.75" customHeight="1">
      <c r="A680" s="675"/>
      <c r="B680" s="675"/>
      <c r="C680" s="675"/>
      <c r="D680" s="309"/>
      <c r="E680" s="316"/>
      <c r="F680" s="330"/>
      <c r="G680" s="576"/>
      <c r="H680" s="745" t="s">
        <v>751</v>
      </c>
      <c r="I680" s="577">
        <v>42767</v>
      </c>
      <c r="J680" s="430">
        <v>0.125</v>
      </c>
      <c r="K680" s="706">
        <v>7800000</v>
      </c>
      <c r="L680" s="706">
        <v>0</v>
      </c>
      <c r="M680" s="706">
        <v>0</v>
      </c>
      <c r="N680" s="705">
        <f>K680+L680-M680</f>
        <v>7800000</v>
      </c>
      <c r="O680" s="706">
        <v>1787500</v>
      </c>
      <c r="P680" s="738">
        <v>0</v>
      </c>
      <c r="Q680" s="706">
        <v>0</v>
      </c>
      <c r="R680" s="705">
        <f>O680+P680-Q680</f>
        <v>1787500</v>
      </c>
      <c r="S680" s="706">
        <f>N680-R680</f>
        <v>6012500</v>
      </c>
    </row>
    <row r="681" spans="1:19" s="703" customFormat="1" ht="15.75" customHeight="1">
      <c r="A681" s="675"/>
      <c r="B681" s="675"/>
      <c r="C681" s="675"/>
      <c r="D681" s="309"/>
      <c r="E681" s="316"/>
      <c r="F681" s="379"/>
      <c r="G681" s="578"/>
      <c r="H681" s="728" t="s">
        <v>752</v>
      </c>
      <c r="I681" s="579">
        <v>42818</v>
      </c>
      <c r="J681" s="440">
        <v>0.125</v>
      </c>
      <c r="K681" s="707">
        <v>44500000</v>
      </c>
      <c r="L681" s="707">
        <v>0</v>
      </c>
      <c r="M681" s="707">
        <v>0</v>
      </c>
      <c r="N681" s="705">
        <f>K681+L681-M681</f>
        <v>44500000</v>
      </c>
      <c r="O681" s="707">
        <v>9734375</v>
      </c>
      <c r="P681" s="749">
        <v>0</v>
      </c>
      <c r="Q681" s="707">
        <v>0</v>
      </c>
      <c r="R681" s="705">
        <f>O681+P681-Q681</f>
        <v>9734375</v>
      </c>
      <c r="S681" s="706">
        <f>N681-R681</f>
        <v>34765625</v>
      </c>
    </row>
    <row r="682" spans="1:19" ht="15.75" customHeight="1">
      <c r="A682" s="675" t="s">
        <v>938</v>
      </c>
      <c r="D682" s="309"/>
      <c r="E682" s="1235" t="s">
        <v>1031</v>
      </c>
      <c r="F682" s="1236"/>
      <c r="G682" s="1236"/>
      <c r="H682" s="1236"/>
      <c r="I682" s="1236"/>
      <c r="J682" s="1237"/>
      <c r="K682" s="708">
        <f>SUM(K677:K681)</f>
        <v>297360000</v>
      </c>
      <c r="L682" s="708">
        <f t="shared" ref="L682:S682" si="133">SUM(L677:L681)</f>
        <v>0</v>
      </c>
      <c r="M682" s="708">
        <f t="shared" si="133"/>
        <v>0</v>
      </c>
      <c r="N682" s="708">
        <f t="shared" si="133"/>
        <v>297360000</v>
      </c>
      <c r="O682" s="708">
        <f t="shared" si="133"/>
        <v>105623375</v>
      </c>
      <c r="P682" s="708">
        <f t="shared" si="133"/>
        <v>0</v>
      </c>
      <c r="Q682" s="708">
        <f t="shared" si="133"/>
        <v>0</v>
      </c>
      <c r="R682" s="708">
        <f t="shared" si="133"/>
        <v>105623375</v>
      </c>
      <c r="S682" s="708">
        <f t="shared" si="133"/>
        <v>191736625</v>
      </c>
    </row>
    <row r="683" spans="1:19" s="703" customFormat="1" ht="15.75" customHeight="1">
      <c r="A683" s="675"/>
      <c r="B683" s="675"/>
      <c r="C683" s="675"/>
      <c r="D683" s="387"/>
      <c r="E683" s="324"/>
      <c r="F683" s="330"/>
      <c r="G683" s="721"/>
      <c r="H683" s="715"/>
      <c r="I683" s="716"/>
      <c r="J683" s="393"/>
      <c r="K683" s="830"/>
      <c r="L683" s="830"/>
      <c r="M683" s="830"/>
      <c r="N683" s="830"/>
      <c r="O683" s="830"/>
      <c r="P683" s="830"/>
      <c r="Q683" s="830"/>
      <c r="R683" s="830"/>
      <c r="S683" s="830"/>
    </row>
    <row r="684" spans="1:19" ht="15.75" customHeight="1">
      <c r="A684" s="675" t="s">
        <v>944</v>
      </c>
      <c r="D684" s="357"/>
      <c r="E684" s="316" t="s">
        <v>1032</v>
      </c>
      <c r="F684" s="703" t="s">
        <v>753</v>
      </c>
      <c r="G684" s="311"/>
      <c r="H684" s="319"/>
      <c r="I684" s="574"/>
      <c r="J684" s="393"/>
      <c r="K684" s="712"/>
      <c r="L684" s="712"/>
      <c r="M684" s="712"/>
      <c r="N684" s="712"/>
      <c r="O684" s="712"/>
      <c r="P684" s="712"/>
      <c r="Q684" s="712"/>
      <c r="R684" s="712"/>
      <c r="S684" s="712"/>
    </row>
    <row r="685" spans="1:19" ht="15.75" customHeight="1">
      <c r="A685" s="675" t="s">
        <v>944</v>
      </c>
      <c r="D685" s="309"/>
      <c r="E685" s="316"/>
      <c r="F685" s="417"/>
      <c r="G685" s="331"/>
      <c r="H685" s="715" t="s">
        <v>736</v>
      </c>
      <c r="I685" s="716">
        <v>2011</v>
      </c>
      <c r="J685" s="430">
        <v>0.125</v>
      </c>
      <c r="K685" s="706">
        <v>141000000</v>
      </c>
      <c r="L685" s="706">
        <v>0</v>
      </c>
      <c r="M685" s="706">
        <v>0</v>
      </c>
      <c r="N685" s="705">
        <f t="shared" ref="N685:N696" si="134">K685+L685-M685</f>
        <v>141000000</v>
      </c>
      <c r="O685" s="705">
        <v>105750000</v>
      </c>
      <c r="P685" s="706">
        <f t="shared" ref="P685:P696" si="135">N685*J685</f>
        <v>17625000</v>
      </c>
      <c r="Q685" s="706">
        <v>0</v>
      </c>
      <c r="R685" s="705">
        <f>O685+P685-Q685</f>
        <v>123375000</v>
      </c>
      <c r="S685" s="706">
        <f t="shared" ref="S685:S696" si="136">N685-R685</f>
        <v>17625000</v>
      </c>
    </row>
    <row r="686" spans="1:19" ht="15.75" customHeight="1">
      <c r="A686" s="675" t="s">
        <v>944</v>
      </c>
      <c r="D686" s="309"/>
      <c r="E686" s="316"/>
      <c r="F686" s="417"/>
      <c r="G686" s="331"/>
      <c r="H686" s="715" t="s">
        <v>736</v>
      </c>
      <c r="I686" s="716">
        <v>2010</v>
      </c>
      <c r="J686" s="430">
        <v>0.125</v>
      </c>
      <c r="K686" s="706">
        <v>137000000</v>
      </c>
      <c r="L686" s="706">
        <v>0</v>
      </c>
      <c r="M686" s="706">
        <v>0</v>
      </c>
      <c r="N686" s="705">
        <f t="shared" si="134"/>
        <v>137000000</v>
      </c>
      <c r="O686" s="705">
        <v>102749999.99999993</v>
      </c>
      <c r="P686" s="706">
        <f t="shared" si="135"/>
        <v>17125000</v>
      </c>
      <c r="Q686" s="706">
        <v>0</v>
      </c>
      <c r="R686" s="705">
        <f t="shared" ref="R686:R696" si="137">O686+P686-Q686</f>
        <v>119874999.99999993</v>
      </c>
      <c r="S686" s="706">
        <f t="shared" si="136"/>
        <v>17125000.000000075</v>
      </c>
    </row>
    <row r="687" spans="1:19" ht="15.75" customHeight="1">
      <c r="A687" s="675" t="s">
        <v>944</v>
      </c>
      <c r="D687" s="309"/>
      <c r="E687" s="316"/>
      <c r="F687" s="417"/>
      <c r="G687" s="331"/>
      <c r="H687" s="715" t="s">
        <v>737</v>
      </c>
      <c r="I687" s="716">
        <v>2014</v>
      </c>
      <c r="J687" s="430">
        <v>0.125</v>
      </c>
      <c r="K687" s="706">
        <v>166000000</v>
      </c>
      <c r="L687" s="706">
        <v>0</v>
      </c>
      <c r="M687" s="706">
        <v>0</v>
      </c>
      <c r="N687" s="705">
        <f t="shared" si="134"/>
        <v>166000000</v>
      </c>
      <c r="O687" s="705">
        <v>124500000.00000013</v>
      </c>
      <c r="P687" s="706">
        <f t="shared" si="135"/>
        <v>20750000</v>
      </c>
      <c r="Q687" s="706">
        <v>0</v>
      </c>
      <c r="R687" s="705">
        <f t="shared" si="137"/>
        <v>145250000.00000012</v>
      </c>
      <c r="S687" s="706">
        <f t="shared" si="136"/>
        <v>20749999.999999881</v>
      </c>
    </row>
    <row r="688" spans="1:19" ht="15.75" customHeight="1">
      <c r="A688" s="675" t="s">
        <v>944</v>
      </c>
      <c r="D688" s="309"/>
      <c r="E688" s="316"/>
      <c r="F688" s="417"/>
      <c r="G688" s="331"/>
      <c r="H688" s="715" t="s">
        <v>737</v>
      </c>
      <c r="I688" s="716">
        <v>2014</v>
      </c>
      <c r="J688" s="430">
        <v>0.125</v>
      </c>
      <c r="K688" s="706">
        <v>166000000</v>
      </c>
      <c r="L688" s="706">
        <v>0</v>
      </c>
      <c r="M688" s="706">
        <v>0</v>
      </c>
      <c r="N688" s="705">
        <f t="shared" si="134"/>
        <v>166000000</v>
      </c>
      <c r="O688" s="705">
        <v>124500000.00000013</v>
      </c>
      <c r="P688" s="706">
        <f t="shared" si="135"/>
        <v>20750000</v>
      </c>
      <c r="Q688" s="706">
        <v>0</v>
      </c>
      <c r="R688" s="705">
        <f t="shared" si="137"/>
        <v>145250000.00000012</v>
      </c>
      <c r="S688" s="706">
        <f t="shared" si="136"/>
        <v>20749999.999999881</v>
      </c>
    </row>
    <row r="689" spans="1:19" ht="15.75" customHeight="1">
      <c r="A689" s="675" t="s">
        <v>944</v>
      </c>
      <c r="D689" s="309"/>
      <c r="E689" s="316"/>
      <c r="F689" s="417"/>
      <c r="G689" s="331"/>
      <c r="H689" s="715" t="s">
        <v>754</v>
      </c>
      <c r="I689" s="716">
        <v>2005</v>
      </c>
      <c r="J689" s="430">
        <v>0.125</v>
      </c>
      <c r="K689" s="706">
        <v>125000000</v>
      </c>
      <c r="L689" s="706">
        <v>0</v>
      </c>
      <c r="M689" s="706">
        <v>0</v>
      </c>
      <c r="N689" s="705">
        <f t="shared" si="134"/>
        <v>125000000</v>
      </c>
      <c r="O689" s="705">
        <v>93749999.999999955</v>
      </c>
      <c r="P689" s="706">
        <f t="shared" si="135"/>
        <v>15625000</v>
      </c>
      <c r="Q689" s="706">
        <v>0</v>
      </c>
      <c r="R689" s="705">
        <f t="shared" si="137"/>
        <v>109374999.99999996</v>
      </c>
      <c r="S689" s="706">
        <f t="shared" si="136"/>
        <v>15625000.000000045</v>
      </c>
    </row>
    <row r="690" spans="1:19" ht="15.75" customHeight="1">
      <c r="A690" s="675" t="s">
        <v>944</v>
      </c>
      <c r="D690" s="309"/>
      <c r="E690" s="316"/>
      <c r="F690" s="417"/>
      <c r="G690" s="331"/>
      <c r="H690" s="715" t="s">
        <v>737</v>
      </c>
      <c r="I690" s="716">
        <v>2012</v>
      </c>
      <c r="J690" s="430">
        <v>0.125</v>
      </c>
      <c r="K690" s="706">
        <v>151000000</v>
      </c>
      <c r="L690" s="706">
        <v>0</v>
      </c>
      <c r="M690" s="706">
        <v>0</v>
      </c>
      <c r="N690" s="705">
        <f t="shared" si="134"/>
        <v>151000000</v>
      </c>
      <c r="O690" s="705">
        <v>113250000.0000001</v>
      </c>
      <c r="P690" s="706">
        <f t="shared" si="135"/>
        <v>18875000</v>
      </c>
      <c r="Q690" s="706">
        <v>0</v>
      </c>
      <c r="R690" s="705">
        <f t="shared" si="137"/>
        <v>132125000.0000001</v>
      </c>
      <c r="S690" s="706">
        <f t="shared" si="136"/>
        <v>18874999.999999896</v>
      </c>
    </row>
    <row r="691" spans="1:19" ht="15.75" customHeight="1">
      <c r="A691" s="675" t="s">
        <v>944</v>
      </c>
      <c r="D691" s="309"/>
      <c r="E691" s="316"/>
      <c r="F691" s="417"/>
      <c r="G691" s="331"/>
      <c r="H691" s="715" t="s">
        <v>755</v>
      </c>
      <c r="I691" s="716">
        <v>2010</v>
      </c>
      <c r="J691" s="430">
        <v>0.125</v>
      </c>
      <c r="K691" s="706">
        <v>111000000</v>
      </c>
      <c r="L691" s="706">
        <v>0</v>
      </c>
      <c r="M691" s="706">
        <v>0</v>
      </c>
      <c r="N691" s="705">
        <f t="shared" si="134"/>
        <v>111000000</v>
      </c>
      <c r="O691" s="705">
        <v>83250000</v>
      </c>
      <c r="P691" s="706">
        <f t="shared" si="135"/>
        <v>13875000</v>
      </c>
      <c r="Q691" s="706">
        <v>0</v>
      </c>
      <c r="R691" s="705">
        <f t="shared" si="137"/>
        <v>97125000</v>
      </c>
      <c r="S691" s="706">
        <f t="shared" si="136"/>
        <v>13875000</v>
      </c>
    </row>
    <row r="692" spans="1:19" ht="15.75" customHeight="1">
      <c r="A692" s="675" t="s">
        <v>944</v>
      </c>
      <c r="D692" s="309"/>
      <c r="E692" s="316"/>
      <c r="F692" s="417"/>
      <c r="G692" s="331"/>
      <c r="H692" s="715" t="s">
        <v>749</v>
      </c>
      <c r="I692" s="716">
        <v>2014</v>
      </c>
      <c r="J692" s="430">
        <v>0.125</v>
      </c>
      <c r="K692" s="706">
        <v>71000000</v>
      </c>
      <c r="L692" s="706">
        <v>0</v>
      </c>
      <c r="M692" s="706">
        <v>0</v>
      </c>
      <c r="N692" s="705">
        <f t="shared" si="134"/>
        <v>71000000</v>
      </c>
      <c r="O692" s="705">
        <v>53250000.000000045</v>
      </c>
      <c r="P692" s="706">
        <f t="shared" si="135"/>
        <v>8875000</v>
      </c>
      <c r="Q692" s="706">
        <v>0</v>
      </c>
      <c r="R692" s="705">
        <f t="shared" si="137"/>
        <v>62125000.000000045</v>
      </c>
      <c r="S692" s="706">
        <f t="shared" si="136"/>
        <v>8874999.9999999553</v>
      </c>
    </row>
    <row r="693" spans="1:19" ht="15.75" customHeight="1">
      <c r="A693" s="675" t="s">
        <v>944</v>
      </c>
      <c r="B693" s="675">
        <v>6</v>
      </c>
      <c r="C693" s="675">
        <v>6</v>
      </c>
      <c r="D693" s="309"/>
      <c r="E693" s="316"/>
      <c r="F693" s="417"/>
      <c r="G693" s="331"/>
      <c r="H693" s="715" t="s">
        <v>756</v>
      </c>
      <c r="I693" s="716">
        <v>2015</v>
      </c>
      <c r="J693" s="430">
        <v>0.125</v>
      </c>
      <c r="K693" s="706">
        <v>9500000</v>
      </c>
      <c r="L693" s="706">
        <v>0</v>
      </c>
      <c r="M693" s="706">
        <v>0</v>
      </c>
      <c r="N693" s="705">
        <f t="shared" si="134"/>
        <v>9500000</v>
      </c>
      <c r="O693" s="705">
        <v>7679166.9999999916</v>
      </c>
      <c r="P693" s="706">
        <f t="shared" si="135"/>
        <v>1187500</v>
      </c>
      <c r="Q693" s="706">
        <v>0</v>
      </c>
      <c r="R693" s="705">
        <f t="shared" si="137"/>
        <v>8866666.9999999925</v>
      </c>
      <c r="S693" s="706">
        <f t="shared" si="136"/>
        <v>633333.00000000745</v>
      </c>
    </row>
    <row r="694" spans="1:19" s="703" customFormat="1" ht="15.75" customHeight="1">
      <c r="A694" s="675" t="s">
        <v>944</v>
      </c>
      <c r="B694" s="675">
        <v>6</v>
      </c>
      <c r="C694" s="675">
        <v>6</v>
      </c>
      <c r="D694" s="309"/>
      <c r="E694" s="316"/>
      <c r="F694" s="417"/>
      <c r="G694" s="331"/>
      <c r="H694" s="715" t="s">
        <v>757</v>
      </c>
      <c r="I694" s="716">
        <v>2016</v>
      </c>
      <c r="J694" s="430">
        <v>0.125</v>
      </c>
      <c r="K694" s="706">
        <v>6000000</v>
      </c>
      <c r="L694" s="706">
        <v>0</v>
      </c>
      <c r="M694" s="706">
        <v>0</v>
      </c>
      <c r="N694" s="705">
        <f t="shared" si="134"/>
        <v>6000000</v>
      </c>
      <c r="O694" s="705">
        <v>4250000</v>
      </c>
      <c r="P694" s="706">
        <f t="shared" si="135"/>
        <v>750000</v>
      </c>
      <c r="Q694" s="706">
        <v>0</v>
      </c>
      <c r="R694" s="705">
        <f t="shared" si="137"/>
        <v>5000000</v>
      </c>
      <c r="S694" s="706">
        <f t="shared" si="136"/>
        <v>1000000</v>
      </c>
    </row>
    <row r="695" spans="1:19" s="703" customFormat="1" ht="15.75" customHeight="1">
      <c r="A695" s="675"/>
      <c r="B695" s="675"/>
      <c r="C695" s="675"/>
      <c r="D695" s="309"/>
      <c r="E695" s="316"/>
      <c r="F695" s="580"/>
      <c r="G695" s="331"/>
      <c r="H695" s="832" t="s">
        <v>758</v>
      </c>
      <c r="I695" s="744">
        <v>2017</v>
      </c>
      <c r="J695" s="430">
        <v>0.125</v>
      </c>
      <c r="K695" s="706">
        <v>25300000</v>
      </c>
      <c r="L695" s="735">
        <v>0</v>
      </c>
      <c r="M695" s="735">
        <v>0</v>
      </c>
      <c r="N695" s="705">
        <f t="shared" si="134"/>
        <v>25300000</v>
      </c>
      <c r="O695" s="735">
        <v>14231249.999999991</v>
      </c>
      <c r="P695" s="706">
        <f t="shared" si="135"/>
        <v>3162500</v>
      </c>
      <c r="Q695" s="735">
        <v>0</v>
      </c>
      <c r="R695" s="705">
        <f t="shared" si="137"/>
        <v>17393749.999999993</v>
      </c>
      <c r="S695" s="706">
        <f t="shared" si="136"/>
        <v>7906250.0000000075</v>
      </c>
    </row>
    <row r="696" spans="1:19" s="703" customFormat="1" ht="15.75" customHeight="1">
      <c r="A696" s="675"/>
      <c r="B696" s="675"/>
      <c r="C696" s="675"/>
      <c r="D696" s="309"/>
      <c r="E696" s="316"/>
      <c r="F696" s="379"/>
      <c r="G696" s="335"/>
      <c r="H696" s="728" t="s">
        <v>757</v>
      </c>
      <c r="I696" s="833">
        <v>43160</v>
      </c>
      <c r="J696" s="440">
        <v>0.125</v>
      </c>
      <c r="K696" s="707">
        <v>33900000</v>
      </c>
      <c r="L696" s="735">
        <v>0</v>
      </c>
      <c r="M696" s="707">
        <v>0</v>
      </c>
      <c r="N696" s="705">
        <f t="shared" si="134"/>
        <v>33900000</v>
      </c>
      <c r="O696" s="707">
        <v>16243750</v>
      </c>
      <c r="P696" s="706">
        <f t="shared" si="135"/>
        <v>4237500</v>
      </c>
      <c r="Q696" s="707">
        <v>0</v>
      </c>
      <c r="R696" s="705">
        <f t="shared" si="137"/>
        <v>20481250</v>
      </c>
      <c r="S696" s="706">
        <f t="shared" si="136"/>
        <v>13418750</v>
      </c>
    </row>
    <row r="697" spans="1:19" ht="15.75" customHeight="1">
      <c r="A697" s="675" t="s">
        <v>944</v>
      </c>
      <c r="D697" s="309"/>
      <c r="E697" s="1235" t="s">
        <v>1033</v>
      </c>
      <c r="F697" s="1236"/>
      <c r="G697" s="1236"/>
      <c r="H697" s="1236"/>
      <c r="I697" s="1236"/>
      <c r="J697" s="1237"/>
      <c r="K697" s="708">
        <f>SUM(K685:K696)</f>
        <v>1142700000</v>
      </c>
      <c r="L697" s="708">
        <f t="shared" ref="L697:S697" si="138">SUM(L685:L696)</f>
        <v>0</v>
      </c>
      <c r="M697" s="708">
        <f t="shared" si="138"/>
        <v>0</v>
      </c>
      <c r="N697" s="708">
        <f t="shared" si="138"/>
        <v>1142700000</v>
      </c>
      <c r="O697" s="708">
        <f t="shared" si="138"/>
        <v>843404167.00000024</v>
      </c>
      <c r="P697" s="708">
        <f t="shared" si="138"/>
        <v>142837500</v>
      </c>
      <c r="Q697" s="708">
        <f t="shared" si="138"/>
        <v>0</v>
      </c>
      <c r="R697" s="708">
        <f t="shared" si="138"/>
        <v>986241667.00000024</v>
      </c>
      <c r="S697" s="708">
        <f t="shared" si="138"/>
        <v>156458332.99999973</v>
      </c>
    </row>
    <row r="698" spans="1:19" s="763" customFormat="1" ht="25" customHeight="1">
      <c r="A698" s="675"/>
      <c r="B698" s="675"/>
      <c r="C698" s="675"/>
      <c r="D698" s="387"/>
      <c r="E698" s="324"/>
      <c r="F698" s="330"/>
      <c r="G698" s="721"/>
      <c r="H698" s="715"/>
      <c r="I698" s="716"/>
      <c r="J698" s="393"/>
      <c r="K698" s="830"/>
      <c r="L698" s="830"/>
      <c r="M698" s="830"/>
      <c r="N698" s="830"/>
      <c r="O698" s="830"/>
      <c r="P698" s="830"/>
      <c r="Q698" s="830"/>
      <c r="R698" s="830"/>
      <c r="S698" s="830"/>
    </row>
    <row r="699" spans="1:19" s="703" customFormat="1" ht="15.75" customHeight="1">
      <c r="A699" s="675"/>
      <c r="B699" s="675"/>
      <c r="C699" s="675"/>
      <c r="D699" s="1229" t="s">
        <v>1034</v>
      </c>
      <c r="E699" s="1230"/>
      <c r="F699" s="1230"/>
      <c r="G699" s="1230"/>
      <c r="H699" s="1230"/>
      <c r="I699" s="1230"/>
      <c r="J699" s="1231"/>
      <c r="K699" s="708">
        <f>K674+K682+K697</f>
        <v>7907060000</v>
      </c>
      <c r="L699" s="708">
        <f t="shared" ref="L699:S699" si="139">L674+L682+L697</f>
        <v>0</v>
      </c>
      <c r="M699" s="708">
        <f t="shared" si="139"/>
        <v>0</v>
      </c>
      <c r="N699" s="708">
        <f t="shared" si="139"/>
        <v>7907060000</v>
      </c>
      <c r="O699" s="708">
        <f t="shared" si="139"/>
        <v>5760981010.666667</v>
      </c>
      <c r="P699" s="708">
        <f t="shared" si="139"/>
        <v>951212500</v>
      </c>
      <c r="Q699" s="708">
        <f t="shared" si="139"/>
        <v>0</v>
      </c>
      <c r="R699" s="708">
        <f t="shared" si="139"/>
        <v>6712193510.666667</v>
      </c>
      <c r="S699" s="708">
        <f t="shared" si="139"/>
        <v>1194866489.3333325</v>
      </c>
    </row>
    <row r="700" spans="1:19" s="703" customFormat="1" ht="15.75" customHeight="1">
      <c r="A700" s="675"/>
      <c r="B700" s="675"/>
      <c r="C700" s="675"/>
      <c r="D700" s="309"/>
      <c r="E700" s="316"/>
      <c r="F700" s="353"/>
      <c r="G700" s="311"/>
      <c r="H700" s="312"/>
      <c r="I700" s="573"/>
      <c r="J700" s="396"/>
      <c r="K700" s="711"/>
      <c r="L700" s="711"/>
      <c r="M700" s="711"/>
      <c r="N700" s="711"/>
      <c r="O700" s="711"/>
      <c r="P700" s="711"/>
      <c r="Q700" s="711"/>
      <c r="R700" s="711"/>
      <c r="S700" s="711"/>
    </row>
    <row r="701" spans="1:19" s="703" customFormat="1" ht="15.75" customHeight="1">
      <c r="A701" s="675" t="s">
        <v>935</v>
      </c>
      <c r="B701" s="700" t="s">
        <v>1035</v>
      </c>
      <c r="C701" s="700" t="s">
        <v>1035</v>
      </c>
      <c r="D701" s="357">
        <v>8</v>
      </c>
      <c r="E701" s="353" t="s">
        <v>1035</v>
      </c>
      <c r="G701" s="583"/>
      <c r="H701" s="312"/>
      <c r="I701" s="537"/>
      <c r="J701" s="393"/>
      <c r="K701" s="712"/>
      <c r="L701" s="712"/>
      <c r="M701" s="712"/>
      <c r="N701" s="712"/>
      <c r="O701" s="712"/>
      <c r="P701" s="712"/>
      <c r="Q701" s="712"/>
      <c r="R701" s="712"/>
      <c r="S701" s="712"/>
    </row>
    <row r="702" spans="1:19" s="703" customFormat="1" ht="15.75" customHeight="1">
      <c r="A702" s="675" t="s">
        <v>935</v>
      </c>
      <c r="B702" s="675"/>
      <c r="C702" s="675"/>
      <c r="D702" s="357"/>
      <c r="E702" s="449" t="s">
        <v>1036</v>
      </c>
      <c r="F702" s="703" t="s">
        <v>759</v>
      </c>
      <c r="G702" s="261"/>
      <c r="H702" s="312"/>
      <c r="I702" s="537"/>
      <c r="J702" s="393"/>
      <c r="K702" s="712"/>
      <c r="L702" s="712"/>
      <c r="M702" s="712"/>
      <c r="N702" s="712"/>
      <c r="O702" s="712"/>
      <c r="P702" s="712"/>
      <c r="Q702" s="712"/>
      <c r="R702" s="712"/>
      <c r="S702" s="712"/>
    </row>
    <row r="703" spans="1:19" s="703" customFormat="1" ht="15.75" customHeight="1">
      <c r="A703" s="675" t="s">
        <v>935</v>
      </c>
      <c r="B703" s="675"/>
      <c r="C703" s="675"/>
      <c r="D703" s="357"/>
      <c r="E703" s="301"/>
      <c r="F703" s="466" t="s">
        <v>1037</v>
      </c>
      <c r="G703" s="261" t="s">
        <v>236</v>
      </c>
      <c r="H703" s="312"/>
      <c r="I703" s="537"/>
      <c r="J703" s="393"/>
      <c r="K703" s="712"/>
      <c r="L703" s="712"/>
      <c r="M703" s="712"/>
      <c r="N703" s="712"/>
      <c r="O703" s="712"/>
      <c r="P703" s="712"/>
      <c r="Q703" s="712"/>
      <c r="R703" s="712"/>
      <c r="S703" s="712"/>
    </row>
    <row r="704" spans="1:19" ht="15.75" customHeight="1">
      <c r="A704" s="675" t="s">
        <v>935</v>
      </c>
      <c r="D704" s="357"/>
      <c r="E704" s="301"/>
      <c r="F704" s="466"/>
      <c r="G704" s="583" t="s">
        <v>405</v>
      </c>
      <c r="H704" s="312"/>
      <c r="I704" s="537"/>
      <c r="J704" s="393"/>
      <c r="K704" s="712"/>
      <c r="L704" s="712"/>
      <c r="M704" s="712"/>
      <c r="N704" s="712"/>
      <c r="O704" s="712"/>
      <c r="P704" s="712"/>
      <c r="Q704" s="712"/>
      <c r="R704" s="712"/>
      <c r="S704" s="712"/>
    </row>
    <row r="705" spans="1:19" ht="15.75" customHeight="1">
      <c r="A705" s="675" t="s">
        <v>935</v>
      </c>
      <c r="B705" s="675">
        <v>1</v>
      </c>
      <c r="C705" s="675">
        <v>1</v>
      </c>
      <c r="D705" s="309"/>
      <c r="E705" s="316"/>
      <c r="F705" s="466"/>
      <c r="G705" s="583"/>
      <c r="H705" s="584" t="s">
        <v>760</v>
      </c>
      <c r="I705" s="716">
        <v>2015</v>
      </c>
      <c r="J705" s="393">
        <v>0.25</v>
      </c>
      <c r="K705" s="706">
        <v>5700000</v>
      </c>
      <c r="L705" s="706">
        <v>0</v>
      </c>
      <c r="M705" s="706">
        <v>0</v>
      </c>
      <c r="N705" s="705">
        <f t="shared" ref="N705:N755" si="140">K705+L705-M705</f>
        <v>5700000</v>
      </c>
      <c r="O705" s="705">
        <v>5700000</v>
      </c>
      <c r="P705" s="706">
        <v>0</v>
      </c>
      <c r="Q705" s="706"/>
      <c r="R705" s="705">
        <f>O705+P705-Q705</f>
        <v>5700000</v>
      </c>
      <c r="S705" s="706">
        <f t="shared" ref="S705:S754" si="141">N705-R705</f>
        <v>0</v>
      </c>
    </row>
    <row r="706" spans="1:19" ht="15.75" customHeight="1">
      <c r="A706" s="675" t="s">
        <v>935</v>
      </c>
      <c r="B706" s="675">
        <v>1</v>
      </c>
      <c r="C706" s="675">
        <v>1</v>
      </c>
      <c r="D706" s="309"/>
      <c r="E706" s="316"/>
      <c r="F706" s="466"/>
      <c r="G706" s="583"/>
      <c r="H706" s="584" t="s">
        <v>761</v>
      </c>
      <c r="I706" s="716">
        <v>2015</v>
      </c>
      <c r="J706" s="393">
        <v>0.25</v>
      </c>
      <c r="K706" s="706">
        <v>2260000</v>
      </c>
      <c r="L706" s="706">
        <v>0</v>
      </c>
      <c r="M706" s="706">
        <v>0</v>
      </c>
      <c r="N706" s="705">
        <f t="shared" si="140"/>
        <v>2260000</v>
      </c>
      <c r="O706" s="705">
        <v>2259999.666666666</v>
      </c>
      <c r="P706" s="706">
        <v>0</v>
      </c>
      <c r="Q706" s="706">
        <v>0</v>
      </c>
      <c r="R706" s="705">
        <f t="shared" ref="R706:R754" si="142">O706+P706-Q706</f>
        <v>2259999.666666666</v>
      </c>
      <c r="S706" s="706">
        <f t="shared" si="141"/>
        <v>0.33333333395421505</v>
      </c>
    </row>
    <row r="707" spans="1:19" ht="15.75" customHeight="1">
      <c r="A707" s="675" t="s">
        <v>935</v>
      </c>
      <c r="B707" s="675">
        <v>1</v>
      </c>
      <c r="C707" s="675">
        <v>1</v>
      </c>
      <c r="D707" s="309"/>
      <c r="E707" s="316"/>
      <c r="F707" s="466"/>
      <c r="G707" s="583"/>
      <c r="H707" s="584" t="s">
        <v>762</v>
      </c>
      <c r="I707" s="716">
        <v>2015</v>
      </c>
      <c r="J707" s="393">
        <v>0.25</v>
      </c>
      <c r="K707" s="706">
        <v>560000</v>
      </c>
      <c r="L707" s="706">
        <v>0</v>
      </c>
      <c r="M707" s="706">
        <v>0</v>
      </c>
      <c r="N707" s="705">
        <f t="shared" si="140"/>
        <v>560000</v>
      </c>
      <c r="O707" s="705">
        <v>560000.3333333336</v>
      </c>
      <c r="P707" s="706">
        <v>0</v>
      </c>
      <c r="Q707" s="706">
        <v>0</v>
      </c>
      <c r="R707" s="705">
        <f t="shared" si="142"/>
        <v>560000.3333333336</v>
      </c>
      <c r="S707" s="706">
        <f t="shared" si="141"/>
        <v>-0.33333333360496908</v>
      </c>
    </row>
    <row r="708" spans="1:19" ht="15.75" customHeight="1">
      <c r="A708" s="675" t="s">
        <v>935</v>
      </c>
      <c r="B708" s="675">
        <v>1</v>
      </c>
      <c r="C708" s="675">
        <v>1</v>
      </c>
      <c r="D708" s="309"/>
      <c r="E708" s="316"/>
      <c r="F708" s="466"/>
      <c r="G708" s="585"/>
      <c r="H708" s="270" t="s">
        <v>763</v>
      </c>
      <c r="I708" s="716">
        <v>2015</v>
      </c>
      <c r="J708" s="393">
        <v>0.25</v>
      </c>
      <c r="K708" s="705">
        <v>5750000</v>
      </c>
      <c r="L708" s="706">
        <v>0</v>
      </c>
      <c r="M708" s="705">
        <v>0</v>
      </c>
      <c r="N708" s="705">
        <f t="shared" si="140"/>
        <v>5750000</v>
      </c>
      <c r="O708" s="705">
        <v>5750000.3333333349</v>
      </c>
      <c r="P708" s="706">
        <v>0</v>
      </c>
      <c r="Q708" s="709">
        <v>0</v>
      </c>
      <c r="R708" s="705">
        <f t="shared" si="142"/>
        <v>5750000.3333333349</v>
      </c>
      <c r="S708" s="706">
        <f t="shared" si="141"/>
        <v>-0.33333333488553762</v>
      </c>
    </row>
    <row r="709" spans="1:19" ht="15.75" customHeight="1">
      <c r="A709" s="675" t="s">
        <v>935</v>
      </c>
      <c r="B709" s="675">
        <v>2</v>
      </c>
      <c r="C709" s="675">
        <v>2</v>
      </c>
      <c r="D709" s="309"/>
      <c r="E709" s="316"/>
      <c r="F709" s="466"/>
      <c r="G709" s="583"/>
      <c r="H709" s="586" t="s">
        <v>764</v>
      </c>
      <c r="I709" s="716">
        <v>2015</v>
      </c>
      <c r="J709" s="393">
        <v>0.25</v>
      </c>
      <c r="K709" s="706">
        <v>945000</v>
      </c>
      <c r="L709" s="706">
        <v>0</v>
      </c>
      <c r="M709" s="706">
        <v>0</v>
      </c>
      <c r="N709" s="705">
        <f t="shared" si="140"/>
        <v>945000</v>
      </c>
      <c r="O709" s="705">
        <v>945000</v>
      </c>
      <c r="P709" s="706">
        <v>0</v>
      </c>
      <c r="Q709" s="706">
        <v>0</v>
      </c>
      <c r="R709" s="705">
        <f t="shared" si="142"/>
        <v>945000</v>
      </c>
      <c r="S709" s="706">
        <f t="shared" si="141"/>
        <v>0</v>
      </c>
    </row>
    <row r="710" spans="1:19" ht="15.75" customHeight="1">
      <c r="A710" s="675" t="s">
        <v>935</v>
      </c>
      <c r="B710" s="675">
        <v>2</v>
      </c>
      <c r="C710" s="675">
        <v>2</v>
      </c>
      <c r="D710" s="309"/>
      <c r="E710" s="316"/>
      <c r="F710" s="466"/>
      <c r="G710" s="583"/>
      <c r="H710" s="586" t="s">
        <v>765</v>
      </c>
      <c r="I710" s="716">
        <v>2015</v>
      </c>
      <c r="J710" s="393">
        <v>0.25</v>
      </c>
      <c r="K710" s="706">
        <v>2200000</v>
      </c>
      <c r="L710" s="706">
        <v>0</v>
      </c>
      <c r="M710" s="706">
        <v>0</v>
      </c>
      <c r="N710" s="705">
        <f t="shared" si="140"/>
        <v>2200000</v>
      </c>
      <c r="O710" s="705">
        <v>2200000.3333333326</v>
      </c>
      <c r="P710" s="706">
        <v>0</v>
      </c>
      <c r="Q710" s="706">
        <v>0</v>
      </c>
      <c r="R710" s="705">
        <f t="shared" si="142"/>
        <v>2200000.3333333326</v>
      </c>
      <c r="S710" s="706">
        <f t="shared" si="141"/>
        <v>-0.33333333255723119</v>
      </c>
    </row>
    <row r="711" spans="1:19" ht="15.75" customHeight="1">
      <c r="A711" s="675" t="s">
        <v>935</v>
      </c>
      <c r="B711" s="675">
        <v>2</v>
      </c>
      <c r="C711" s="675">
        <v>2</v>
      </c>
      <c r="D711" s="309"/>
      <c r="E711" s="316"/>
      <c r="F711" s="466"/>
      <c r="G711" s="583"/>
      <c r="H711" s="586" t="s">
        <v>766</v>
      </c>
      <c r="I711" s="716">
        <v>2015</v>
      </c>
      <c r="J711" s="393">
        <v>0.25</v>
      </c>
      <c r="K711" s="706">
        <v>2395000</v>
      </c>
      <c r="L711" s="706">
        <v>0</v>
      </c>
      <c r="M711" s="706">
        <v>0</v>
      </c>
      <c r="N711" s="705">
        <f t="shared" si="140"/>
        <v>2395000</v>
      </c>
      <c r="O711" s="705">
        <v>2394999.833333333</v>
      </c>
      <c r="P711" s="706">
        <v>0</v>
      </c>
      <c r="Q711" s="706">
        <v>0</v>
      </c>
      <c r="R711" s="705">
        <f t="shared" si="142"/>
        <v>2394999.833333333</v>
      </c>
      <c r="S711" s="706">
        <f t="shared" si="141"/>
        <v>0.16666666697710752</v>
      </c>
    </row>
    <row r="712" spans="1:19" ht="15.75" customHeight="1">
      <c r="A712" s="675" t="s">
        <v>935</v>
      </c>
      <c r="B712" s="675">
        <v>4</v>
      </c>
      <c r="C712" s="675">
        <v>4</v>
      </c>
      <c r="D712" s="309"/>
      <c r="E712" s="316"/>
      <c r="F712" s="466"/>
      <c r="G712" s="351"/>
      <c r="H712" s="270" t="s">
        <v>767</v>
      </c>
      <c r="I712" s="716">
        <v>2015</v>
      </c>
      <c r="J712" s="393">
        <v>0.25</v>
      </c>
      <c r="K712" s="705">
        <v>820000</v>
      </c>
      <c r="L712" s="706">
        <v>0</v>
      </c>
      <c r="M712" s="706">
        <v>0</v>
      </c>
      <c r="N712" s="705">
        <f t="shared" si="140"/>
        <v>820000</v>
      </c>
      <c r="O712" s="705">
        <v>820000.33333333372</v>
      </c>
      <c r="P712" s="706">
        <v>0</v>
      </c>
      <c r="Q712" s="706">
        <v>0</v>
      </c>
      <c r="R712" s="705">
        <f t="shared" si="142"/>
        <v>820000.33333333372</v>
      </c>
      <c r="S712" s="706">
        <f t="shared" si="141"/>
        <v>-0.33333333372138441</v>
      </c>
    </row>
    <row r="713" spans="1:19" ht="15.75" customHeight="1">
      <c r="A713" s="675" t="s">
        <v>935</v>
      </c>
      <c r="B713" s="675">
        <v>5</v>
      </c>
      <c r="C713" s="675">
        <v>5</v>
      </c>
      <c r="D713" s="309"/>
      <c r="E713" s="316"/>
      <c r="F713" s="466"/>
      <c r="G713" s="583"/>
      <c r="H713" s="587" t="s">
        <v>768</v>
      </c>
      <c r="I713" s="716">
        <v>2015</v>
      </c>
      <c r="J713" s="393">
        <v>0.25</v>
      </c>
      <c r="K713" s="705">
        <v>3990000</v>
      </c>
      <c r="L713" s="706">
        <v>0</v>
      </c>
      <c r="M713" s="706">
        <v>0</v>
      </c>
      <c r="N713" s="705">
        <f t="shared" si="140"/>
        <v>3990000</v>
      </c>
      <c r="O713" s="705">
        <v>3990000</v>
      </c>
      <c r="P713" s="706">
        <v>0</v>
      </c>
      <c r="Q713" s="706">
        <v>0</v>
      </c>
      <c r="R713" s="705">
        <f t="shared" si="142"/>
        <v>3990000</v>
      </c>
      <c r="S713" s="706">
        <f t="shared" si="141"/>
        <v>0</v>
      </c>
    </row>
    <row r="714" spans="1:19" ht="15.75" customHeight="1">
      <c r="A714" s="675" t="s">
        <v>935</v>
      </c>
      <c r="B714" s="675">
        <v>5</v>
      </c>
      <c r="C714" s="675">
        <v>5</v>
      </c>
      <c r="D714" s="309"/>
      <c r="E714" s="316"/>
      <c r="F714" s="466"/>
      <c r="G714" s="583"/>
      <c r="H714" s="587" t="s">
        <v>769</v>
      </c>
      <c r="I714" s="716">
        <v>2015</v>
      </c>
      <c r="J714" s="393">
        <v>0.25</v>
      </c>
      <c r="K714" s="705">
        <v>900000</v>
      </c>
      <c r="L714" s="706">
        <v>0</v>
      </c>
      <c r="M714" s="706">
        <v>0</v>
      </c>
      <c r="N714" s="705">
        <f t="shared" si="140"/>
        <v>900000</v>
      </c>
      <c r="O714" s="705">
        <v>900000</v>
      </c>
      <c r="P714" s="706">
        <v>0</v>
      </c>
      <c r="Q714" s="706">
        <v>0</v>
      </c>
      <c r="R714" s="705">
        <f t="shared" si="142"/>
        <v>900000</v>
      </c>
      <c r="S714" s="706">
        <f t="shared" si="141"/>
        <v>0</v>
      </c>
    </row>
    <row r="715" spans="1:19" ht="15.75" customHeight="1">
      <c r="A715" s="675" t="s">
        <v>935</v>
      </c>
      <c r="B715" s="675">
        <v>5</v>
      </c>
      <c r="C715" s="675">
        <v>5</v>
      </c>
      <c r="D715" s="309"/>
      <c r="E715" s="316"/>
      <c r="F715" s="466"/>
      <c r="G715" s="583"/>
      <c r="H715" s="587" t="s">
        <v>770</v>
      </c>
      <c r="I715" s="716">
        <v>2015</v>
      </c>
      <c r="J715" s="393">
        <v>0.25</v>
      </c>
      <c r="K715" s="705">
        <v>1250000</v>
      </c>
      <c r="L715" s="706">
        <v>0</v>
      </c>
      <c r="M715" s="706">
        <v>0</v>
      </c>
      <c r="N715" s="705">
        <f t="shared" si="140"/>
        <v>1250000</v>
      </c>
      <c r="O715" s="705">
        <v>1250000</v>
      </c>
      <c r="P715" s="706">
        <v>0</v>
      </c>
      <c r="Q715" s="706">
        <v>0</v>
      </c>
      <c r="R715" s="705">
        <f t="shared" si="142"/>
        <v>1250000</v>
      </c>
      <c r="S715" s="706">
        <f t="shared" si="141"/>
        <v>0</v>
      </c>
    </row>
    <row r="716" spans="1:19" ht="15.75" customHeight="1">
      <c r="A716" s="675" t="s">
        <v>935</v>
      </c>
      <c r="B716" s="675">
        <v>5</v>
      </c>
      <c r="C716" s="675">
        <v>5</v>
      </c>
      <c r="D716" s="309"/>
      <c r="E716" s="316"/>
      <c r="F716" s="466"/>
      <c r="G716" s="583"/>
      <c r="H716" s="587" t="s">
        <v>771</v>
      </c>
      <c r="I716" s="716">
        <v>2015</v>
      </c>
      <c r="J716" s="393">
        <v>0.25</v>
      </c>
      <c r="K716" s="705">
        <v>175000</v>
      </c>
      <c r="L716" s="706">
        <v>0</v>
      </c>
      <c r="M716" s="705">
        <v>0</v>
      </c>
      <c r="N716" s="705">
        <f t="shared" si="140"/>
        <v>175000</v>
      </c>
      <c r="O716" s="705">
        <v>174999.50000000003</v>
      </c>
      <c r="P716" s="706">
        <v>0</v>
      </c>
      <c r="Q716" s="705">
        <v>0</v>
      </c>
      <c r="R716" s="705">
        <f t="shared" si="142"/>
        <v>174999.50000000003</v>
      </c>
      <c r="S716" s="706">
        <f t="shared" si="141"/>
        <v>0.49999999997089617</v>
      </c>
    </row>
    <row r="717" spans="1:19" ht="15.75" customHeight="1">
      <c r="A717" s="675" t="s">
        <v>935</v>
      </c>
      <c r="B717" s="675">
        <v>6</v>
      </c>
      <c r="C717" s="675">
        <v>6</v>
      </c>
      <c r="D717" s="309"/>
      <c r="E717" s="316"/>
      <c r="F717" s="466"/>
      <c r="G717" s="583"/>
      <c r="H717" s="587" t="s">
        <v>772</v>
      </c>
      <c r="I717" s="716">
        <v>2015</v>
      </c>
      <c r="J717" s="393">
        <v>0.25</v>
      </c>
      <c r="K717" s="705">
        <v>2350000</v>
      </c>
      <c r="L717" s="706">
        <v>0</v>
      </c>
      <c r="M717" s="706">
        <v>0</v>
      </c>
      <c r="N717" s="705">
        <f t="shared" si="140"/>
        <v>2350000</v>
      </c>
      <c r="O717" s="705">
        <v>2349999.666666666</v>
      </c>
      <c r="P717" s="706">
        <v>0</v>
      </c>
      <c r="Q717" s="706">
        <v>0</v>
      </c>
      <c r="R717" s="705">
        <f t="shared" si="142"/>
        <v>2349999.666666666</v>
      </c>
      <c r="S717" s="706">
        <f t="shared" si="141"/>
        <v>0.33333333395421505</v>
      </c>
    </row>
    <row r="718" spans="1:19" ht="15.75" customHeight="1">
      <c r="A718" s="675" t="s">
        <v>935</v>
      </c>
      <c r="B718" s="675">
        <v>6</v>
      </c>
      <c r="C718" s="675">
        <v>6</v>
      </c>
      <c r="D718" s="309"/>
      <c r="E718" s="316"/>
      <c r="F718" s="466"/>
      <c r="G718" s="583"/>
      <c r="H718" s="587" t="s">
        <v>773</v>
      </c>
      <c r="I718" s="716">
        <v>2015</v>
      </c>
      <c r="J718" s="393">
        <v>0.25</v>
      </c>
      <c r="K718" s="705">
        <v>980000</v>
      </c>
      <c r="L718" s="706">
        <v>0</v>
      </c>
      <c r="M718" s="706">
        <v>0</v>
      </c>
      <c r="N718" s="705">
        <f t="shared" si="140"/>
        <v>980000</v>
      </c>
      <c r="O718" s="705">
        <v>980000.33333333267</v>
      </c>
      <c r="P718" s="706">
        <v>0</v>
      </c>
      <c r="Q718" s="706">
        <v>0</v>
      </c>
      <c r="R718" s="705">
        <f t="shared" si="142"/>
        <v>980000.33333333267</v>
      </c>
      <c r="S718" s="706">
        <f t="shared" si="141"/>
        <v>-0.33333333267364651</v>
      </c>
    </row>
    <row r="719" spans="1:19" ht="15.75" customHeight="1">
      <c r="A719" s="675" t="s">
        <v>935</v>
      </c>
      <c r="B719" s="675">
        <v>6</v>
      </c>
      <c r="C719" s="675">
        <v>6</v>
      </c>
      <c r="D719" s="309"/>
      <c r="E719" s="316"/>
      <c r="F719" s="466"/>
      <c r="G719" s="583"/>
      <c r="H719" s="587" t="s">
        <v>774</v>
      </c>
      <c r="I719" s="716">
        <v>2015</v>
      </c>
      <c r="J719" s="393">
        <v>0.25</v>
      </c>
      <c r="K719" s="705">
        <v>595000</v>
      </c>
      <c r="L719" s="706">
        <v>0</v>
      </c>
      <c r="M719" s="706">
        <v>0</v>
      </c>
      <c r="N719" s="705">
        <f t="shared" si="140"/>
        <v>595000</v>
      </c>
      <c r="O719" s="705">
        <v>594999.66666666651</v>
      </c>
      <c r="P719" s="706">
        <v>0</v>
      </c>
      <c r="Q719" s="706">
        <v>0</v>
      </c>
      <c r="R719" s="705">
        <f t="shared" si="142"/>
        <v>594999.66666666651</v>
      </c>
      <c r="S719" s="706">
        <f t="shared" si="141"/>
        <v>0.33333333348855376</v>
      </c>
    </row>
    <row r="720" spans="1:19" ht="15.75" customHeight="1">
      <c r="A720" s="675" t="s">
        <v>935</v>
      </c>
      <c r="B720" s="675">
        <v>7</v>
      </c>
      <c r="C720" s="675">
        <v>7</v>
      </c>
      <c r="D720" s="309"/>
      <c r="E720" s="316"/>
      <c r="F720" s="466"/>
      <c r="G720" s="583"/>
      <c r="H720" s="587" t="s">
        <v>775</v>
      </c>
      <c r="I720" s="716">
        <v>2015</v>
      </c>
      <c r="J720" s="393">
        <v>0.25</v>
      </c>
      <c r="K720" s="705">
        <v>5733000</v>
      </c>
      <c r="L720" s="706">
        <v>0</v>
      </c>
      <c r="M720" s="706">
        <v>0</v>
      </c>
      <c r="N720" s="705">
        <f t="shared" si="140"/>
        <v>5733000</v>
      </c>
      <c r="O720" s="705">
        <v>5733000</v>
      </c>
      <c r="P720" s="706">
        <v>0</v>
      </c>
      <c r="Q720" s="706">
        <v>0</v>
      </c>
      <c r="R720" s="705">
        <f t="shared" si="142"/>
        <v>5733000</v>
      </c>
      <c r="S720" s="706">
        <f t="shared" si="141"/>
        <v>0</v>
      </c>
    </row>
    <row r="721" spans="1:19" ht="15.75" customHeight="1">
      <c r="A721" s="675" t="s">
        <v>935</v>
      </c>
      <c r="B721" s="675">
        <v>7</v>
      </c>
      <c r="C721" s="675">
        <v>7</v>
      </c>
      <c r="D721" s="309"/>
      <c r="E721" s="316"/>
      <c r="F721" s="466"/>
      <c r="G721" s="583"/>
      <c r="H721" s="587" t="s">
        <v>776</v>
      </c>
      <c r="I721" s="716">
        <v>2015</v>
      </c>
      <c r="J721" s="393">
        <v>0.25</v>
      </c>
      <c r="K721" s="705">
        <v>2760000</v>
      </c>
      <c r="L721" s="706">
        <v>0</v>
      </c>
      <c r="M721" s="706">
        <v>0</v>
      </c>
      <c r="N721" s="705">
        <f t="shared" si="140"/>
        <v>2760000</v>
      </c>
      <c r="O721" s="705">
        <v>2760000</v>
      </c>
      <c r="P721" s="706">
        <v>0</v>
      </c>
      <c r="Q721" s="706">
        <v>0</v>
      </c>
      <c r="R721" s="705">
        <f t="shared" si="142"/>
        <v>2760000</v>
      </c>
      <c r="S721" s="706">
        <f t="shared" si="141"/>
        <v>0</v>
      </c>
    </row>
    <row r="722" spans="1:19" ht="15.75" customHeight="1">
      <c r="A722" s="675" t="s">
        <v>935</v>
      </c>
      <c r="B722" s="675">
        <v>7</v>
      </c>
      <c r="C722" s="675">
        <v>7</v>
      </c>
      <c r="D722" s="309"/>
      <c r="E722" s="316"/>
      <c r="F722" s="466"/>
      <c r="G722" s="583"/>
      <c r="H722" s="587" t="s">
        <v>777</v>
      </c>
      <c r="I722" s="716">
        <v>2015</v>
      </c>
      <c r="J722" s="393">
        <v>0.25</v>
      </c>
      <c r="K722" s="705">
        <v>650000</v>
      </c>
      <c r="L722" s="706">
        <v>0</v>
      </c>
      <c r="M722" s="706">
        <v>0</v>
      </c>
      <c r="N722" s="705">
        <f t="shared" si="140"/>
        <v>650000</v>
      </c>
      <c r="O722" s="705">
        <v>649999.66666666663</v>
      </c>
      <c r="P722" s="706">
        <v>0</v>
      </c>
      <c r="Q722" s="706">
        <v>0</v>
      </c>
      <c r="R722" s="705">
        <f t="shared" si="142"/>
        <v>649999.66666666663</v>
      </c>
      <c r="S722" s="706">
        <f t="shared" si="141"/>
        <v>0.33333333337213844</v>
      </c>
    </row>
    <row r="723" spans="1:19" ht="15.75" customHeight="1">
      <c r="A723" s="675" t="s">
        <v>935</v>
      </c>
      <c r="B723" s="675">
        <v>9</v>
      </c>
      <c r="C723" s="675">
        <v>9</v>
      </c>
      <c r="D723" s="309"/>
      <c r="E723" s="316"/>
      <c r="F723" s="466"/>
      <c r="G723" s="588"/>
      <c r="H723" s="587" t="s">
        <v>778</v>
      </c>
      <c r="I723" s="724">
        <v>2015</v>
      </c>
      <c r="J723" s="377">
        <v>0.25</v>
      </c>
      <c r="K723" s="705">
        <v>2600000</v>
      </c>
      <c r="L723" s="705">
        <v>0</v>
      </c>
      <c r="M723" s="705">
        <v>0</v>
      </c>
      <c r="N723" s="705">
        <f t="shared" si="140"/>
        <v>2600000</v>
      </c>
      <c r="O723" s="705">
        <v>2599999.6666666665</v>
      </c>
      <c r="P723" s="706">
        <v>0</v>
      </c>
      <c r="Q723" s="705">
        <v>0</v>
      </c>
      <c r="R723" s="705">
        <f t="shared" si="142"/>
        <v>2599999.6666666665</v>
      </c>
      <c r="S723" s="706">
        <f t="shared" si="141"/>
        <v>0.33333333348855376</v>
      </c>
    </row>
    <row r="724" spans="1:19" ht="15.75" customHeight="1">
      <c r="D724" s="309"/>
      <c r="E724" s="316"/>
      <c r="F724" s="449"/>
      <c r="G724" s="454"/>
      <c r="H724" s="584" t="s">
        <v>779</v>
      </c>
      <c r="I724" s="824">
        <v>43679</v>
      </c>
      <c r="J724" s="393">
        <v>0.25</v>
      </c>
      <c r="K724" s="706">
        <v>111700000</v>
      </c>
      <c r="L724" s="705">
        <v>0</v>
      </c>
      <c r="M724" s="706">
        <v>0</v>
      </c>
      <c r="N724" s="705">
        <f t="shared" si="140"/>
        <v>111700000</v>
      </c>
      <c r="O724" s="706">
        <v>67485416.666666701</v>
      </c>
      <c r="P724" s="706">
        <f t="shared" ref="P724:P740" si="143">N724*J724</f>
        <v>27925000</v>
      </c>
      <c r="Q724" s="705">
        <v>0</v>
      </c>
      <c r="R724" s="705">
        <f t="shared" si="142"/>
        <v>95410416.666666701</v>
      </c>
      <c r="S724" s="706">
        <f t="shared" si="141"/>
        <v>16289583.333333299</v>
      </c>
    </row>
    <row r="725" spans="1:19" ht="15.75" customHeight="1">
      <c r="D725" s="309"/>
      <c r="E725" s="316"/>
      <c r="F725" s="449"/>
      <c r="G725" s="454"/>
      <c r="H725" s="584" t="s">
        <v>780</v>
      </c>
      <c r="I725" s="824">
        <v>43752</v>
      </c>
      <c r="J725" s="393">
        <v>0.25</v>
      </c>
      <c r="K725" s="706">
        <v>5600000</v>
      </c>
      <c r="L725" s="705">
        <v>0</v>
      </c>
      <c r="M725" s="706">
        <v>0</v>
      </c>
      <c r="N725" s="705">
        <f t="shared" si="140"/>
        <v>5600000</v>
      </c>
      <c r="O725" s="706">
        <v>3149999.9999999991</v>
      </c>
      <c r="P725" s="706">
        <f t="shared" si="143"/>
        <v>1400000</v>
      </c>
      <c r="Q725" s="705">
        <v>0</v>
      </c>
      <c r="R725" s="705">
        <f t="shared" si="142"/>
        <v>4549999.9999999991</v>
      </c>
      <c r="S725" s="706">
        <f t="shared" si="141"/>
        <v>1050000.0000000009</v>
      </c>
    </row>
    <row r="726" spans="1:19" ht="15.75" customHeight="1">
      <c r="D726" s="309"/>
      <c r="E726" s="316"/>
      <c r="F726" s="449"/>
      <c r="G726" s="454"/>
      <c r="H726" s="584" t="s">
        <v>781</v>
      </c>
      <c r="I726" s="824">
        <v>43748</v>
      </c>
      <c r="J726" s="393">
        <v>0.25</v>
      </c>
      <c r="K726" s="706">
        <v>7095000</v>
      </c>
      <c r="L726" s="705">
        <v>0</v>
      </c>
      <c r="M726" s="706">
        <v>0</v>
      </c>
      <c r="N726" s="705">
        <f t="shared" si="140"/>
        <v>7095000</v>
      </c>
      <c r="O726" s="706">
        <v>3990937.5</v>
      </c>
      <c r="P726" s="706">
        <f t="shared" si="143"/>
        <v>1773750</v>
      </c>
      <c r="Q726" s="705">
        <v>0</v>
      </c>
      <c r="R726" s="705">
        <f t="shared" si="142"/>
        <v>5764687.5</v>
      </c>
      <c r="S726" s="706">
        <f t="shared" si="141"/>
        <v>1330312.5</v>
      </c>
    </row>
    <row r="727" spans="1:19" ht="15.75" customHeight="1">
      <c r="D727" s="309"/>
      <c r="E727" s="316"/>
      <c r="F727" s="449"/>
      <c r="G727" s="454"/>
      <c r="H727" s="584" t="s">
        <v>782</v>
      </c>
      <c r="I727" s="824">
        <v>43773</v>
      </c>
      <c r="J727" s="393">
        <v>0.25</v>
      </c>
      <c r="K727" s="706">
        <v>11990000</v>
      </c>
      <c r="L727" s="705">
        <v>0</v>
      </c>
      <c r="M727" s="706">
        <v>0</v>
      </c>
      <c r="N727" s="705">
        <f t="shared" si="140"/>
        <v>11990000</v>
      </c>
      <c r="O727" s="706">
        <v>6494583.3333333349</v>
      </c>
      <c r="P727" s="706">
        <f t="shared" si="143"/>
        <v>2997500</v>
      </c>
      <c r="Q727" s="705">
        <v>0</v>
      </c>
      <c r="R727" s="705">
        <f t="shared" si="142"/>
        <v>9492083.3333333358</v>
      </c>
      <c r="S727" s="706">
        <f t="shared" si="141"/>
        <v>2497916.6666666642</v>
      </c>
    </row>
    <row r="728" spans="1:19" ht="15.75" customHeight="1">
      <c r="D728" s="309"/>
      <c r="E728" s="316"/>
      <c r="F728" s="449"/>
      <c r="G728" s="454"/>
      <c r="H728" s="584" t="s">
        <v>783</v>
      </c>
      <c r="I728" s="824">
        <v>43771</v>
      </c>
      <c r="J728" s="393">
        <v>0.25</v>
      </c>
      <c r="K728" s="706">
        <v>500000</v>
      </c>
      <c r="L728" s="705">
        <v>0</v>
      </c>
      <c r="M728" s="706">
        <v>0</v>
      </c>
      <c r="N728" s="705">
        <f t="shared" si="140"/>
        <v>500000</v>
      </c>
      <c r="O728" s="706">
        <v>270833.33333333326</v>
      </c>
      <c r="P728" s="706">
        <f t="shared" si="143"/>
        <v>125000</v>
      </c>
      <c r="Q728" s="705">
        <v>0</v>
      </c>
      <c r="R728" s="705">
        <f t="shared" si="142"/>
        <v>395833.33333333326</v>
      </c>
      <c r="S728" s="706">
        <f t="shared" si="141"/>
        <v>104166.66666666674</v>
      </c>
    </row>
    <row r="729" spans="1:19" ht="15.75" customHeight="1">
      <c r="D729" s="309"/>
      <c r="E729" s="316"/>
      <c r="F729" s="449"/>
      <c r="G729" s="454"/>
      <c r="H729" s="584" t="s">
        <v>784</v>
      </c>
      <c r="I729" s="824">
        <v>43770</v>
      </c>
      <c r="J729" s="393">
        <v>0.25</v>
      </c>
      <c r="K729" s="706">
        <v>1450000</v>
      </c>
      <c r="L729" s="705">
        <v>0</v>
      </c>
      <c r="M729" s="706">
        <v>0</v>
      </c>
      <c r="N729" s="705">
        <f t="shared" si="140"/>
        <v>1450000</v>
      </c>
      <c r="O729" s="706">
        <v>785416.66666666686</v>
      </c>
      <c r="P729" s="706">
        <f t="shared" si="143"/>
        <v>362500</v>
      </c>
      <c r="Q729" s="705">
        <v>0</v>
      </c>
      <c r="R729" s="705">
        <f t="shared" si="142"/>
        <v>1147916.666666667</v>
      </c>
      <c r="S729" s="706">
        <f t="shared" si="141"/>
        <v>302083.33333333302</v>
      </c>
    </row>
    <row r="730" spans="1:19" ht="15.75" customHeight="1">
      <c r="D730" s="309"/>
      <c r="E730" s="316"/>
      <c r="F730" s="449"/>
      <c r="G730" s="454"/>
      <c r="H730" s="584" t="s">
        <v>785</v>
      </c>
      <c r="I730" s="824">
        <v>43810</v>
      </c>
      <c r="J730" s="393">
        <v>0.25</v>
      </c>
      <c r="K730" s="706">
        <v>2500000</v>
      </c>
      <c r="L730" s="705">
        <v>0</v>
      </c>
      <c r="M730" s="706">
        <v>0</v>
      </c>
      <c r="N730" s="705">
        <f t="shared" si="140"/>
        <v>2500000</v>
      </c>
      <c r="O730" s="706">
        <v>1302083.3333333333</v>
      </c>
      <c r="P730" s="706">
        <f t="shared" si="143"/>
        <v>625000</v>
      </c>
      <c r="Q730" s="705">
        <v>0</v>
      </c>
      <c r="R730" s="705">
        <f t="shared" si="142"/>
        <v>1927083.3333333333</v>
      </c>
      <c r="S730" s="706">
        <f t="shared" si="141"/>
        <v>572916.66666666674</v>
      </c>
    </row>
    <row r="731" spans="1:19" ht="15.75" customHeight="1">
      <c r="D731" s="309"/>
      <c r="E731" s="316"/>
      <c r="F731" s="449"/>
      <c r="G731" s="589"/>
      <c r="H731" s="590" t="s">
        <v>784</v>
      </c>
      <c r="I731" s="726">
        <v>43820</v>
      </c>
      <c r="J731" s="377">
        <v>0.25</v>
      </c>
      <c r="K731" s="705">
        <v>1450000</v>
      </c>
      <c r="L731" s="705">
        <v>0</v>
      </c>
      <c r="M731" s="705">
        <v>0</v>
      </c>
      <c r="N731" s="705">
        <f t="shared" si="140"/>
        <v>1450000</v>
      </c>
      <c r="O731" s="705">
        <v>725000.00000000012</v>
      </c>
      <c r="P731" s="706">
        <f t="shared" si="143"/>
        <v>362500</v>
      </c>
      <c r="Q731" s="705">
        <v>0</v>
      </c>
      <c r="R731" s="705">
        <f t="shared" si="142"/>
        <v>1087500</v>
      </c>
      <c r="S731" s="705">
        <f t="shared" si="141"/>
        <v>362500</v>
      </c>
    </row>
    <row r="732" spans="1:19" ht="15.75" customHeight="1">
      <c r="D732" s="309"/>
      <c r="E732" s="316"/>
      <c r="F732" s="449"/>
      <c r="G732" s="467"/>
      <c r="H732" s="481" t="s">
        <v>786</v>
      </c>
      <c r="I732" s="247">
        <v>43858</v>
      </c>
      <c r="J732" s="483">
        <v>0.25</v>
      </c>
      <c r="K732" s="706">
        <v>1000000</v>
      </c>
      <c r="L732" s="705">
        <v>0</v>
      </c>
      <c r="M732" s="706">
        <v>0</v>
      </c>
      <c r="N732" s="706">
        <f t="shared" si="140"/>
        <v>1000000</v>
      </c>
      <c r="O732" s="706">
        <v>479166.66666666651</v>
      </c>
      <c r="P732" s="706">
        <f t="shared" si="143"/>
        <v>250000</v>
      </c>
      <c r="Q732" s="706">
        <v>0</v>
      </c>
      <c r="R732" s="706">
        <f t="shared" si="142"/>
        <v>729166.66666666651</v>
      </c>
      <c r="S732" s="706">
        <f t="shared" si="141"/>
        <v>270833.33333333349</v>
      </c>
    </row>
    <row r="733" spans="1:19" ht="15.75" customHeight="1">
      <c r="D733" s="309"/>
      <c r="E733" s="316"/>
      <c r="F733" s="449"/>
      <c r="G733" s="467"/>
      <c r="H733" s="481" t="s">
        <v>787</v>
      </c>
      <c r="I733" s="247">
        <v>43896</v>
      </c>
      <c r="J733" s="483">
        <v>0.25</v>
      </c>
      <c r="K733" s="706">
        <v>600000</v>
      </c>
      <c r="L733" s="705">
        <v>0</v>
      </c>
      <c r="M733" s="706">
        <v>0</v>
      </c>
      <c r="N733" s="706">
        <f t="shared" si="140"/>
        <v>600000</v>
      </c>
      <c r="O733" s="706">
        <v>275000</v>
      </c>
      <c r="P733" s="706">
        <f t="shared" si="143"/>
        <v>150000</v>
      </c>
      <c r="Q733" s="706">
        <v>0</v>
      </c>
      <c r="R733" s="706">
        <f t="shared" si="142"/>
        <v>425000</v>
      </c>
      <c r="S733" s="706">
        <f t="shared" si="141"/>
        <v>175000</v>
      </c>
    </row>
    <row r="734" spans="1:19" ht="15.75" customHeight="1">
      <c r="D734" s="309"/>
      <c r="E734" s="316"/>
      <c r="F734" s="449"/>
      <c r="G734" s="467"/>
      <c r="H734" s="481" t="s">
        <v>788</v>
      </c>
      <c r="I734" s="247">
        <v>44049</v>
      </c>
      <c r="J734" s="483">
        <v>0.25</v>
      </c>
      <c r="K734" s="706">
        <v>1900000</v>
      </c>
      <c r="L734" s="705">
        <v>0</v>
      </c>
      <c r="M734" s="706">
        <v>0</v>
      </c>
      <c r="N734" s="706">
        <f t="shared" si="140"/>
        <v>1900000</v>
      </c>
      <c r="O734" s="706">
        <v>672916.66666666674</v>
      </c>
      <c r="P734" s="706">
        <f t="shared" si="143"/>
        <v>475000</v>
      </c>
      <c r="Q734" s="706">
        <v>0</v>
      </c>
      <c r="R734" s="706">
        <f t="shared" si="142"/>
        <v>1147916.6666666667</v>
      </c>
      <c r="S734" s="706">
        <f t="shared" si="141"/>
        <v>752083.33333333326</v>
      </c>
    </row>
    <row r="735" spans="1:19" ht="15.75" customHeight="1">
      <c r="D735" s="309"/>
      <c r="E735" s="316"/>
      <c r="F735" s="449"/>
      <c r="G735" s="467"/>
      <c r="H735" s="481" t="s">
        <v>789</v>
      </c>
      <c r="I735" s="247">
        <v>44049</v>
      </c>
      <c r="J735" s="483">
        <v>0.25</v>
      </c>
      <c r="K735" s="706">
        <v>180000</v>
      </c>
      <c r="L735" s="705">
        <v>0</v>
      </c>
      <c r="M735" s="706">
        <v>0</v>
      </c>
      <c r="N735" s="706">
        <f t="shared" si="140"/>
        <v>180000</v>
      </c>
      <c r="O735" s="706">
        <v>63750</v>
      </c>
      <c r="P735" s="706">
        <f t="shared" si="143"/>
        <v>45000</v>
      </c>
      <c r="Q735" s="706">
        <v>0</v>
      </c>
      <c r="R735" s="706">
        <f t="shared" si="142"/>
        <v>108750</v>
      </c>
      <c r="S735" s="706">
        <f t="shared" si="141"/>
        <v>71250</v>
      </c>
    </row>
    <row r="736" spans="1:19" ht="15.75" customHeight="1">
      <c r="D736" s="309"/>
      <c r="E736" s="316"/>
      <c r="F736" s="449"/>
      <c r="G736" s="467"/>
      <c r="H736" s="481" t="s">
        <v>788</v>
      </c>
      <c r="I736" s="247">
        <v>44097</v>
      </c>
      <c r="J736" s="483">
        <v>0.25</v>
      </c>
      <c r="K736" s="706">
        <v>1900000</v>
      </c>
      <c r="L736" s="705">
        <v>0</v>
      </c>
      <c r="M736" s="706">
        <v>0</v>
      </c>
      <c r="N736" s="706">
        <f t="shared" si="140"/>
        <v>1900000</v>
      </c>
      <c r="O736" s="706">
        <v>633333.33333333337</v>
      </c>
      <c r="P736" s="706">
        <f t="shared" si="143"/>
        <v>475000</v>
      </c>
      <c r="Q736" s="706">
        <v>0</v>
      </c>
      <c r="R736" s="706">
        <f t="shared" si="142"/>
        <v>1108333.3333333335</v>
      </c>
      <c r="S736" s="706">
        <f t="shared" si="141"/>
        <v>791666.66666666651</v>
      </c>
    </row>
    <row r="737" spans="4:20" ht="15.75" customHeight="1">
      <c r="D737" s="309"/>
      <c r="E737" s="316"/>
      <c r="F737" s="449"/>
      <c r="G737" s="467"/>
      <c r="H737" s="481" t="s">
        <v>790</v>
      </c>
      <c r="I737" s="247">
        <v>44084</v>
      </c>
      <c r="J737" s="483">
        <v>0.25</v>
      </c>
      <c r="K737" s="706">
        <v>275000</v>
      </c>
      <c r="L737" s="705">
        <v>0</v>
      </c>
      <c r="M737" s="706">
        <v>0</v>
      </c>
      <c r="N737" s="706">
        <f t="shared" si="140"/>
        <v>275000</v>
      </c>
      <c r="O737" s="706">
        <v>91666.666666666672</v>
      </c>
      <c r="P737" s="706">
        <f t="shared" si="143"/>
        <v>68750</v>
      </c>
      <c r="Q737" s="706">
        <v>0</v>
      </c>
      <c r="R737" s="706">
        <f t="shared" si="142"/>
        <v>160416.66666666669</v>
      </c>
      <c r="S737" s="706">
        <f t="shared" si="141"/>
        <v>114583.33333333331</v>
      </c>
    </row>
    <row r="738" spans="4:20" ht="15.75" customHeight="1">
      <c r="D738" s="309"/>
      <c r="E738" s="316"/>
      <c r="F738" s="449"/>
      <c r="G738" s="467"/>
      <c r="H738" s="481" t="s">
        <v>788</v>
      </c>
      <c r="I738" s="247">
        <v>44162</v>
      </c>
      <c r="J738" s="483">
        <v>0.25</v>
      </c>
      <c r="K738" s="706">
        <v>1785000</v>
      </c>
      <c r="L738" s="705">
        <v>0</v>
      </c>
      <c r="M738" s="706">
        <v>0</v>
      </c>
      <c r="N738" s="706">
        <f t="shared" si="140"/>
        <v>1785000</v>
      </c>
      <c r="O738" s="706">
        <v>483437.5</v>
      </c>
      <c r="P738" s="706">
        <f t="shared" si="143"/>
        <v>446250</v>
      </c>
      <c r="Q738" s="706">
        <v>0</v>
      </c>
      <c r="R738" s="706">
        <f t="shared" si="142"/>
        <v>929687.5</v>
      </c>
      <c r="S738" s="706">
        <f t="shared" si="141"/>
        <v>855312.5</v>
      </c>
    </row>
    <row r="739" spans="4:20" ht="15.75" customHeight="1">
      <c r="D739" s="309"/>
      <c r="E739" s="316"/>
      <c r="F739" s="449"/>
      <c r="G739" s="467"/>
      <c r="H739" s="481" t="s">
        <v>791</v>
      </c>
      <c r="I739" s="247">
        <v>44323</v>
      </c>
      <c r="J739" s="483">
        <v>0.25</v>
      </c>
      <c r="K739" s="591">
        <v>2652000</v>
      </c>
      <c r="L739" s="705">
        <v>0</v>
      </c>
      <c r="M739" s="706">
        <v>0</v>
      </c>
      <c r="N739" s="706">
        <f t="shared" si="140"/>
        <v>2652000</v>
      </c>
      <c r="O739" s="706">
        <v>442000</v>
      </c>
      <c r="P739" s="706">
        <f t="shared" si="143"/>
        <v>663000</v>
      </c>
      <c r="Q739" s="706">
        <v>0</v>
      </c>
      <c r="R739" s="706">
        <f t="shared" si="142"/>
        <v>1105000</v>
      </c>
      <c r="S739" s="706">
        <f t="shared" si="141"/>
        <v>1547000</v>
      </c>
    </row>
    <row r="740" spans="4:20" ht="15.75" customHeight="1">
      <c r="D740" s="309"/>
      <c r="E740" s="316"/>
      <c r="F740" s="449"/>
      <c r="G740" s="467"/>
      <c r="H740" s="481" t="s">
        <v>792</v>
      </c>
      <c r="I740" s="247">
        <v>44405</v>
      </c>
      <c r="J740" s="483">
        <v>0.25</v>
      </c>
      <c r="K740" s="591">
        <v>1150000</v>
      </c>
      <c r="L740" s="705">
        <v>0</v>
      </c>
      <c r="M740" s="706">
        <v>0</v>
      </c>
      <c r="N740" s="706">
        <f t="shared" si="140"/>
        <v>1150000</v>
      </c>
      <c r="O740" s="706">
        <v>119791.66666666666</v>
      </c>
      <c r="P740" s="706">
        <f t="shared" si="143"/>
        <v>287500</v>
      </c>
      <c r="Q740" s="706">
        <v>0</v>
      </c>
      <c r="R740" s="706">
        <f t="shared" si="142"/>
        <v>407291.66666666663</v>
      </c>
      <c r="S740" s="706">
        <f t="shared" si="141"/>
        <v>742708.33333333337</v>
      </c>
    </row>
    <row r="741" spans="4:20" ht="15.75" customHeight="1">
      <c r="D741" s="309"/>
      <c r="E741" s="316"/>
      <c r="F741" s="449"/>
      <c r="G741" s="449"/>
      <c r="H741" s="834" t="s">
        <v>793</v>
      </c>
      <c r="I741" s="835">
        <v>44587</v>
      </c>
      <c r="J741" s="836">
        <v>0.25</v>
      </c>
      <c r="K741" s="837"/>
      <c r="L741" s="709">
        <v>1150000</v>
      </c>
      <c r="M741" s="735"/>
      <c r="N741" s="706">
        <f t="shared" si="140"/>
        <v>1150000</v>
      </c>
      <c r="O741" s="709"/>
      <c r="P741" s="709">
        <f>N741*J741/12*T741</f>
        <v>287500</v>
      </c>
      <c r="Q741" s="706">
        <v>0</v>
      </c>
      <c r="R741" s="706">
        <f t="shared" si="142"/>
        <v>287500</v>
      </c>
      <c r="S741" s="706">
        <f t="shared" si="141"/>
        <v>862500</v>
      </c>
      <c r="T741" s="679">
        <v>12</v>
      </c>
    </row>
    <row r="742" spans="4:20" ht="15.75" customHeight="1">
      <c r="D742" s="309"/>
      <c r="E742" s="316"/>
      <c r="F742" s="449"/>
      <c r="G742" s="449"/>
      <c r="H742" s="834" t="s">
        <v>794</v>
      </c>
      <c r="I742" s="835">
        <v>44637</v>
      </c>
      <c r="J742" s="836">
        <v>0.25</v>
      </c>
      <c r="K742" s="837"/>
      <c r="L742" s="709">
        <v>2050000</v>
      </c>
      <c r="M742" s="735"/>
      <c r="N742" s="706">
        <f t="shared" si="140"/>
        <v>2050000</v>
      </c>
      <c r="O742" s="709"/>
      <c r="P742" s="709">
        <f t="shared" ref="P742:P754" si="144">N742*J742/12*T742</f>
        <v>427083.33333333337</v>
      </c>
      <c r="Q742" s="706">
        <v>0</v>
      </c>
      <c r="R742" s="706">
        <f t="shared" si="142"/>
        <v>427083.33333333337</v>
      </c>
      <c r="S742" s="706">
        <f t="shared" si="141"/>
        <v>1622916.6666666665</v>
      </c>
      <c r="T742" s="679">
        <v>10</v>
      </c>
    </row>
    <row r="743" spans="4:20" ht="15.75" customHeight="1">
      <c r="D743" s="309"/>
      <c r="E743" s="316"/>
      <c r="F743" s="449"/>
      <c r="G743" s="449"/>
      <c r="H743" s="834" t="s">
        <v>793</v>
      </c>
      <c r="I743" s="835">
        <v>44652</v>
      </c>
      <c r="J743" s="836">
        <v>0.25</v>
      </c>
      <c r="K743" s="837"/>
      <c r="L743" s="709">
        <v>1120000</v>
      </c>
      <c r="M743" s="735"/>
      <c r="N743" s="706">
        <f t="shared" si="140"/>
        <v>1120000</v>
      </c>
      <c r="O743" s="709"/>
      <c r="P743" s="709">
        <f t="shared" si="144"/>
        <v>210000</v>
      </c>
      <c r="Q743" s="706">
        <v>0</v>
      </c>
      <c r="R743" s="706">
        <f t="shared" si="142"/>
        <v>210000</v>
      </c>
      <c r="S743" s="706">
        <f t="shared" si="141"/>
        <v>910000</v>
      </c>
      <c r="T743" s="679">
        <v>9</v>
      </c>
    </row>
    <row r="744" spans="4:20" ht="15.75" customHeight="1">
      <c r="D744" s="309"/>
      <c r="E744" s="316"/>
      <c r="F744" s="449"/>
      <c r="G744" s="449"/>
      <c r="H744" s="834" t="s">
        <v>794</v>
      </c>
      <c r="I744" s="835">
        <v>44704</v>
      </c>
      <c r="J744" s="836">
        <v>0.25</v>
      </c>
      <c r="K744" s="837"/>
      <c r="L744" s="709">
        <v>4960000</v>
      </c>
      <c r="M744" s="735"/>
      <c r="N744" s="706">
        <f t="shared" si="140"/>
        <v>4960000</v>
      </c>
      <c r="O744" s="709"/>
      <c r="P744" s="709">
        <f t="shared" si="144"/>
        <v>826666.66666666663</v>
      </c>
      <c r="Q744" s="706">
        <v>0</v>
      </c>
      <c r="R744" s="706">
        <f t="shared" si="142"/>
        <v>826666.66666666663</v>
      </c>
      <c r="S744" s="706">
        <f t="shared" si="141"/>
        <v>4133333.3333333335</v>
      </c>
      <c r="T744" s="679">
        <v>8</v>
      </c>
    </row>
    <row r="745" spans="4:20" ht="15.75" customHeight="1">
      <c r="D745" s="309"/>
      <c r="E745" s="316"/>
      <c r="F745" s="449"/>
      <c r="G745" s="449"/>
      <c r="H745" s="834" t="s">
        <v>795</v>
      </c>
      <c r="I745" s="835">
        <v>44706</v>
      </c>
      <c r="J745" s="836">
        <v>0.25</v>
      </c>
      <c r="K745" s="837"/>
      <c r="L745" s="709">
        <v>1800000</v>
      </c>
      <c r="M745" s="735"/>
      <c r="N745" s="706">
        <f t="shared" si="140"/>
        <v>1800000</v>
      </c>
      <c r="O745" s="709"/>
      <c r="P745" s="709">
        <f t="shared" si="144"/>
        <v>300000</v>
      </c>
      <c r="Q745" s="706">
        <v>0</v>
      </c>
      <c r="R745" s="706">
        <f t="shared" si="142"/>
        <v>300000</v>
      </c>
      <c r="S745" s="706">
        <f t="shared" si="141"/>
        <v>1500000</v>
      </c>
      <c r="T745" s="679">
        <v>8</v>
      </c>
    </row>
    <row r="746" spans="4:20" ht="15.75" customHeight="1">
      <c r="D746" s="309"/>
      <c r="E746" s="316"/>
      <c r="F746" s="449"/>
      <c r="G746" s="449"/>
      <c r="H746" s="834" t="s">
        <v>794</v>
      </c>
      <c r="I746" s="835">
        <v>44711</v>
      </c>
      <c r="J746" s="836">
        <v>0.25</v>
      </c>
      <c r="K746" s="837"/>
      <c r="L746" s="709">
        <v>2050000</v>
      </c>
      <c r="M746" s="735"/>
      <c r="N746" s="706">
        <f t="shared" si="140"/>
        <v>2050000</v>
      </c>
      <c r="O746" s="709"/>
      <c r="P746" s="709">
        <f t="shared" si="144"/>
        <v>341666.66666666669</v>
      </c>
      <c r="Q746" s="706">
        <v>0</v>
      </c>
      <c r="R746" s="706">
        <f t="shared" si="142"/>
        <v>341666.66666666669</v>
      </c>
      <c r="S746" s="706">
        <f t="shared" si="141"/>
        <v>1708333.3333333333</v>
      </c>
      <c r="T746" s="679">
        <v>8</v>
      </c>
    </row>
    <row r="747" spans="4:20" ht="15.75" customHeight="1">
      <c r="D747" s="309"/>
      <c r="E747" s="316"/>
      <c r="F747" s="449"/>
      <c r="G747" s="449"/>
      <c r="H747" s="834" t="s">
        <v>796</v>
      </c>
      <c r="I747" s="835">
        <v>44749</v>
      </c>
      <c r="J747" s="836">
        <v>0.25</v>
      </c>
      <c r="K747" s="837"/>
      <c r="L747" s="709">
        <v>1150000</v>
      </c>
      <c r="M747" s="735"/>
      <c r="N747" s="706">
        <f t="shared" si="140"/>
        <v>1150000</v>
      </c>
      <c r="O747" s="709"/>
      <c r="P747" s="709">
        <f t="shared" si="144"/>
        <v>143750</v>
      </c>
      <c r="Q747" s="706">
        <v>0</v>
      </c>
      <c r="R747" s="706">
        <f t="shared" si="142"/>
        <v>143750</v>
      </c>
      <c r="S747" s="706">
        <f t="shared" si="141"/>
        <v>1006250</v>
      </c>
      <c r="T747" s="679">
        <v>6</v>
      </c>
    </row>
    <row r="748" spans="4:20" ht="15.75" customHeight="1">
      <c r="D748" s="309"/>
      <c r="E748" s="316"/>
      <c r="F748" s="449"/>
      <c r="G748" s="449"/>
      <c r="H748" s="834" t="s">
        <v>793</v>
      </c>
      <c r="I748" s="835">
        <v>44817</v>
      </c>
      <c r="J748" s="836">
        <v>0.25</v>
      </c>
      <c r="K748" s="837"/>
      <c r="L748" s="709">
        <v>1050000</v>
      </c>
      <c r="M748" s="735"/>
      <c r="N748" s="706">
        <f t="shared" si="140"/>
        <v>1050000</v>
      </c>
      <c r="O748" s="709"/>
      <c r="P748" s="709">
        <f t="shared" si="144"/>
        <v>87500</v>
      </c>
      <c r="Q748" s="706">
        <v>0</v>
      </c>
      <c r="R748" s="706">
        <f t="shared" si="142"/>
        <v>87500</v>
      </c>
      <c r="S748" s="706">
        <f t="shared" si="141"/>
        <v>962500</v>
      </c>
      <c r="T748" s="679">
        <v>4</v>
      </c>
    </row>
    <row r="749" spans="4:20" ht="15.75" customHeight="1">
      <c r="D749" s="309"/>
      <c r="E749" s="316"/>
      <c r="F749" s="449"/>
      <c r="G749" s="449"/>
      <c r="H749" s="834" t="s">
        <v>794</v>
      </c>
      <c r="I749" s="835">
        <v>44869</v>
      </c>
      <c r="J749" s="836">
        <v>0.25</v>
      </c>
      <c r="K749" s="837"/>
      <c r="L749" s="709">
        <v>1925000</v>
      </c>
      <c r="M749" s="735"/>
      <c r="N749" s="706">
        <f t="shared" si="140"/>
        <v>1925000</v>
      </c>
      <c r="O749" s="709"/>
      <c r="P749" s="709">
        <f t="shared" si="144"/>
        <v>80208.333333333328</v>
      </c>
      <c r="Q749" s="706">
        <v>0</v>
      </c>
      <c r="R749" s="706">
        <f t="shared" si="142"/>
        <v>80208.333333333328</v>
      </c>
      <c r="S749" s="706">
        <f t="shared" si="141"/>
        <v>1844791.6666666667</v>
      </c>
      <c r="T749" s="679">
        <v>2</v>
      </c>
    </row>
    <row r="750" spans="4:20" ht="15.75" customHeight="1">
      <c r="D750" s="309"/>
      <c r="E750" s="316"/>
      <c r="F750" s="449"/>
      <c r="G750" s="449"/>
      <c r="H750" s="834" t="s">
        <v>797</v>
      </c>
      <c r="I750" s="835">
        <v>44874</v>
      </c>
      <c r="J750" s="836">
        <v>0.25</v>
      </c>
      <c r="K750" s="837"/>
      <c r="L750" s="709">
        <v>3680000</v>
      </c>
      <c r="M750" s="735"/>
      <c r="N750" s="706">
        <f t="shared" si="140"/>
        <v>3680000</v>
      </c>
      <c r="O750" s="709"/>
      <c r="P750" s="709">
        <f t="shared" si="144"/>
        <v>153333.33333333334</v>
      </c>
      <c r="Q750" s="706">
        <v>0</v>
      </c>
      <c r="R750" s="706">
        <f t="shared" si="142"/>
        <v>153333.33333333334</v>
      </c>
      <c r="S750" s="706">
        <f t="shared" si="141"/>
        <v>3526666.6666666665</v>
      </c>
      <c r="T750" s="679">
        <v>2</v>
      </c>
    </row>
    <row r="751" spans="4:20" ht="15.75" customHeight="1">
      <c r="D751" s="309"/>
      <c r="E751" s="316"/>
      <c r="F751" s="449"/>
      <c r="G751" s="449"/>
      <c r="H751" s="834" t="s">
        <v>798</v>
      </c>
      <c r="I751" s="835">
        <v>44888</v>
      </c>
      <c r="J751" s="836">
        <v>0.25</v>
      </c>
      <c r="K751" s="837"/>
      <c r="L751" s="709">
        <v>5850000</v>
      </c>
      <c r="M751" s="735"/>
      <c r="N751" s="706">
        <f t="shared" si="140"/>
        <v>5850000</v>
      </c>
      <c r="O751" s="709"/>
      <c r="P751" s="709">
        <f t="shared" si="144"/>
        <v>243750</v>
      </c>
      <c r="Q751" s="706">
        <v>0</v>
      </c>
      <c r="R751" s="706">
        <f t="shared" si="142"/>
        <v>243750</v>
      </c>
      <c r="S751" s="706">
        <f t="shared" si="141"/>
        <v>5606250</v>
      </c>
      <c r="T751" s="679">
        <v>2</v>
      </c>
    </row>
    <row r="752" spans="4:20" ht="15.75" customHeight="1">
      <c r="D752" s="309"/>
      <c r="E752" s="316"/>
      <c r="F752" s="449"/>
      <c r="G752" s="449"/>
      <c r="H752" s="834" t="s">
        <v>799</v>
      </c>
      <c r="I752" s="835">
        <v>44891</v>
      </c>
      <c r="J752" s="836">
        <v>0.25</v>
      </c>
      <c r="K752" s="837"/>
      <c r="L752" s="709">
        <v>4300000</v>
      </c>
      <c r="M752" s="735"/>
      <c r="N752" s="706">
        <f t="shared" si="140"/>
        <v>4300000</v>
      </c>
      <c r="O752" s="709"/>
      <c r="P752" s="709">
        <f t="shared" si="144"/>
        <v>179166.66666666666</v>
      </c>
      <c r="Q752" s="706">
        <v>0</v>
      </c>
      <c r="R752" s="706">
        <f t="shared" si="142"/>
        <v>179166.66666666666</v>
      </c>
      <c r="S752" s="706">
        <f t="shared" si="141"/>
        <v>4120833.3333333335</v>
      </c>
      <c r="T752" s="679">
        <v>2</v>
      </c>
    </row>
    <row r="753" spans="1:20" ht="15.75" customHeight="1">
      <c r="D753" s="309"/>
      <c r="E753" s="316"/>
      <c r="F753" s="449"/>
      <c r="G753" s="449"/>
      <c r="H753" s="834" t="s">
        <v>800</v>
      </c>
      <c r="I753" s="835">
        <v>44897</v>
      </c>
      <c r="J753" s="836">
        <v>0.25</v>
      </c>
      <c r="K753" s="837"/>
      <c r="L753" s="709">
        <v>2985000</v>
      </c>
      <c r="M753" s="735"/>
      <c r="N753" s="706">
        <f t="shared" si="140"/>
        <v>2985000</v>
      </c>
      <c r="O753" s="709"/>
      <c r="P753" s="709">
        <f t="shared" si="144"/>
        <v>62187.5</v>
      </c>
      <c r="Q753" s="706">
        <v>0</v>
      </c>
      <c r="R753" s="706">
        <f t="shared" si="142"/>
        <v>62187.5</v>
      </c>
      <c r="S753" s="706">
        <f t="shared" si="141"/>
        <v>2922812.5</v>
      </c>
      <c r="T753" s="679">
        <v>1</v>
      </c>
    </row>
    <row r="754" spans="1:20" ht="15.75" customHeight="1">
      <c r="D754" s="309"/>
      <c r="E754" s="316"/>
      <c r="F754" s="449"/>
      <c r="G754" s="449"/>
      <c r="H754" s="834" t="s">
        <v>801</v>
      </c>
      <c r="I754" s="835">
        <v>44924</v>
      </c>
      <c r="J754" s="836">
        <v>0.25</v>
      </c>
      <c r="K754" s="837"/>
      <c r="L754" s="709">
        <v>6300000</v>
      </c>
      <c r="M754" s="735"/>
      <c r="N754" s="706">
        <f t="shared" si="140"/>
        <v>6300000</v>
      </c>
      <c r="O754" s="709"/>
      <c r="P754" s="709">
        <f t="shared" si="144"/>
        <v>131250</v>
      </c>
      <c r="Q754" s="706">
        <v>0</v>
      </c>
      <c r="R754" s="706">
        <f t="shared" si="142"/>
        <v>131250</v>
      </c>
      <c r="S754" s="706">
        <f t="shared" si="141"/>
        <v>6168750</v>
      </c>
      <c r="T754" s="679">
        <v>1</v>
      </c>
    </row>
    <row r="755" spans="1:20" ht="15.75" customHeight="1">
      <c r="D755" s="309"/>
      <c r="E755" s="316"/>
      <c r="F755" s="449"/>
      <c r="G755" s="838"/>
      <c r="H755" s="592"/>
      <c r="I755" s="839"/>
      <c r="J755" s="593"/>
      <c r="K755" s="783"/>
      <c r="L755" s="783"/>
      <c r="M755" s="735"/>
      <c r="N755" s="706">
        <f t="shared" si="140"/>
        <v>0</v>
      </c>
      <c r="O755" s="783"/>
      <c r="P755" s="783"/>
      <c r="Q755" s="709"/>
      <c r="R755" s="709"/>
      <c r="S755" s="735"/>
    </row>
    <row r="756" spans="1:20" s="703" customFormat="1" ht="15.75" customHeight="1">
      <c r="A756" s="675" t="s">
        <v>935</v>
      </c>
      <c r="B756" s="675"/>
      <c r="C756" s="675"/>
      <c r="D756" s="309"/>
      <c r="E756" s="316"/>
      <c r="F756" s="1235" t="s">
        <v>1038</v>
      </c>
      <c r="G756" s="1236"/>
      <c r="H756" s="1236"/>
      <c r="I756" s="594"/>
      <c r="J756" s="595"/>
      <c r="K756" s="708">
        <f>SUM(K705:K755)</f>
        <v>196340000</v>
      </c>
      <c r="L756" s="708">
        <f t="shared" ref="L756:Q756" si="145">SUM(L705:L755)</f>
        <v>40370000</v>
      </c>
      <c r="M756" s="708">
        <f t="shared" si="145"/>
        <v>0</v>
      </c>
      <c r="N756" s="708">
        <f t="shared" si="145"/>
        <v>236710000</v>
      </c>
      <c r="O756" s="708">
        <f t="shared" si="145"/>
        <v>130078332.6666667</v>
      </c>
      <c r="P756" s="708">
        <f t="shared" si="145"/>
        <v>41905812.5</v>
      </c>
      <c r="Q756" s="708">
        <f t="shared" si="145"/>
        <v>0</v>
      </c>
      <c r="R756" s="708">
        <f>SUM(R705:R755)</f>
        <v>171984145.16666669</v>
      </c>
      <c r="S756" s="708">
        <f>SUM(S705:S755)</f>
        <v>64725854.833333299</v>
      </c>
    </row>
    <row r="757" spans="1:20" s="703" customFormat="1" ht="15.75" customHeight="1">
      <c r="A757" s="675" t="s">
        <v>935</v>
      </c>
      <c r="B757" s="675"/>
      <c r="C757" s="675"/>
      <c r="D757" s="357"/>
      <c r="E757" s="301"/>
      <c r="F757" s="596" t="s">
        <v>1039</v>
      </c>
      <c r="G757" s="302" t="s">
        <v>238</v>
      </c>
      <c r="H757" s="597"/>
      <c r="I757" s="573"/>
      <c r="J757" s="396"/>
      <c r="K757" s="711"/>
      <c r="L757" s="711"/>
      <c r="M757" s="711"/>
      <c r="N757" s="711"/>
      <c r="O757" s="711"/>
      <c r="P757" s="711"/>
      <c r="Q757" s="711"/>
      <c r="R757" s="711"/>
      <c r="S757" s="711"/>
    </row>
    <row r="758" spans="1:20" ht="15.75" customHeight="1">
      <c r="A758" s="675" t="s">
        <v>935</v>
      </c>
      <c r="D758" s="357"/>
      <c r="E758" s="301"/>
      <c r="F758" s="466"/>
      <c r="G758" s="583" t="s">
        <v>405</v>
      </c>
      <c r="H758" s="312"/>
      <c r="I758" s="537"/>
      <c r="J758" s="393"/>
      <c r="K758" s="712"/>
      <c r="L758" s="712"/>
      <c r="M758" s="712"/>
      <c r="N758" s="712"/>
      <c r="O758" s="712"/>
      <c r="P758" s="712"/>
      <c r="Q758" s="712"/>
      <c r="R758" s="712"/>
      <c r="S758" s="712"/>
    </row>
    <row r="759" spans="1:20" ht="15.75" customHeight="1">
      <c r="A759" s="675" t="s">
        <v>935</v>
      </c>
      <c r="B759" s="675">
        <v>2</v>
      </c>
      <c r="C759" s="675">
        <v>2</v>
      </c>
      <c r="D759" s="309"/>
      <c r="E759" s="316"/>
      <c r="F759" s="466"/>
      <c r="G759" s="583"/>
      <c r="H759" s="584" t="s">
        <v>802</v>
      </c>
      <c r="I759" s="716">
        <v>2015</v>
      </c>
      <c r="J759" s="393">
        <v>0.25</v>
      </c>
      <c r="K759" s="706">
        <v>9450000</v>
      </c>
      <c r="L759" s="706">
        <v>0</v>
      </c>
      <c r="M759" s="706">
        <v>0</v>
      </c>
      <c r="N759" s="705">
        <f t="shared" ref="N759:N778" si="146">K759+L759-M759</f>
        <v>9450000</v>
      </c>
      <c r="O759" s="705">
        <v>9450000</v>
      </c>
      <c r="P759" s="706">
        <v>0</v>
      </c>
      <c r="Q759" s="706">
        <v>0</v>
      </c>
      <c r="R759" s="705">
        <f>O759+P759-Q759</f>
        <v>9450000</v>
      </c>
      <c r="S759" s="706">
        <f t="shared" ref="S759:S777" si="147">N759-R759</f>
        <v>0</v>
      </c>
    </row>
    <row r="760" spans="1:20" ht="15.75" customHeight="1">
      <c r="A760" s="675" t="s">
        <v>935</v>
      </c>
      <c r="B760" s="675">
        <v>3</v>
      </c>
      <c r="C760" s="675">
        <v>3</v>
      </c>
      <c r="D760" s="309"/>
      <c r="E760" s="316"/>
      <c r="F760" s="466"/>
      <c r="G760" s="583"/>
      <c r="H760" s="586" t="s">
        <v>803</v>
      </c>
      <c r="I760" s="716">
        <v>2015</v>
      </c>
      <c r="J760" s="393">
        <v>0.25</v>
      </c>
      <c r="K760" s="706">
        <v>1300000</v>
      </c>
      <c r="L760" s="706">
        <v>0</v>
      </c>
      <c r="M760" s="706">
        <v>0</v>
      </c>
      <c r="N760" s="705">
        <f t="shared" si="146"/>
        <v>1300000</v>
      </c>
      <c r="O760" s="705">
        <v>1300000</v>
      </c>
      <c r="P760" s="706">
        <v>0</v>
      </c>
      <c r="Q760" s="706">
        <v>0</v>
      </c>
      <c r="R760" s="705">
        <f t="shared" ref="R760:R777" si="148">O760+P760-Q760</f>
        <v>1300000</v>
      </c>
      <c r="S760" s="706">
        <f t="shared" si="147"/>
        <v>0</v>
      </c>
    </row>
    <row r="761" spans="1:20" ht="15.75" customHeight="1">
      <c r="A761" s="675" t="s">
        <v>935</v>
      </c>
      <c r="B761" s="675">
        <v>6</v>
      </c>
      <c r="C761" s="675">
        <v>6</v>
      </c>
      <c r="D761" s="309"/>
      <c r="E761" s="316"/>
      <c r="F761" s="466"/>
      <c r="G761" s="598"/>
      <c r="H761" s="599" t="s">
        <v>804</v>
      </c>
      <c r="I761" s="716">
        <v>2015</v>
      </c>
      <c r="J761" s="393">
        <v>0.25</v>
      </c>
      <c r="K761" s="709">
        <v>2517500</v>
      </c>
      <c r="L761" s="706">
        <v>0</v>
      </c>
      <c r="M761" s="709">
        <v>0</v>
      </c>
      <c r="N761" s="705">
        <f t="shared" si="146"/>
        <v>2517500</v>
      </c>
      <c r="O761" s="705">
        <v>2517499.8333333335</v>
      </c>
      <c r="P761" s="706">
        <v>0</v>
      </c>
      <c r="Q761" s="709">
        <v>0</v>
      </c>
      <c r="R761" s="705">
        <f t="shared" si="148"/>
        <v>2517499.8333333335</v>
      </c>
      <c r="S761" s="706">
        <f t="shared" si="147"/>
        <v>0.16666666651144624</v>
      </c>
    </row>
    <row r="762" spans="1:20" ht="15.75" customHeight="1">
      <c r="A762" s="675" t="s">
        <v>935</v>
      </c>
      <c r="B762" s="675">
        <v>6</v>
      </c>
      <c r="C762" s="675">
        <v>6</v>
      </c>
      <c r="D762" s="309"/>
      <c r="E762" s="316"/>
      <c r="F762" s="466"/>
      <c r="G762" s="588"/>
      <c r="H762" s="590" t="s">
        <v>805</v>
      </c>
      <c r="I762" s="716">
        <v>2015</v>
      </c>
      <c r="J762" s="393">
        <v>0.25</v>
      </c>
      <c r="K762" s="705">
        <v>250000</v>
      </c>
      <c r="L762" s="706">
        <v>0</v>
      </c>
      <c r="M762" s="705">
        <v>0</v>
      </c>
      <c r="N762" s="705">
        <f t="shared" si="146"/>
        <v>250000</v>
      </c>
      <c r="O762" s="705">
        <v>249999.66666666683</v>
      </c>
      <c r="P762" s="706">
        <v>0</v>
      </c>
      <c r="Q762" s="705">
        <v>0</v>
      </c>
      <c r="R762" s="705">
        <f t="shared" si="148"/>
        <v>249999.66666666683</v>
      </c>
      <c r="S762" s="706">
        <f t="shared" si="147"/>
        <v>0.33333333316841163</v>
      </c>
    </row>
    <row r="763" spans="1:20" ht="15.75" customHeight="1">
      <c r="A763" s="675" t="s">
        <v>935</v>
      </c>
      <c r="B763" s="675">
        <v>6</v>
      </c>
      <c r="C763" s="675">
        <v>6</v>
      </c>
      <c r="D763" s="309"/>
      <c r="E763" s="316"/>
      <c r="F763" s="466"/>
      <c r="G763" s="588"/>
      <c r="H763" s="590" t="s">
        <v>806</v>
      </c>
      <c r="I763" s="716">
        <v>2015</v>
      </c>
      <c r="J763" s="393">
        <v>0.25</v>
      </c>
      <c r="K763" s="705">
        <v>1650000</v>
      </c>
      <c r="L763" s="706">
        <v>0</v>
      </c>
      <c r="M763" s="705">
        <v>0</v>
      </c>
      <c r="N763" s="705">
        <f t="shared" si="146"/>
        <v>1650000</v>
      </c>
      <c r="O763" s="705">
        <v>1650000</v>
      </c>
      <c r="P763" s="706">
        <v>0</v>
      </c>
      <c r="Q763" s="705">
        <v>0</v>
      </c>
      <c r="R763" s="705">
        <f t="shared" si="148"/>
        <v>1650000</v>
      </c>
      <c r="S763" s="706">
        <f t="shared" si="147"/>
        <v>0</v>
      </c>
    </row>
    <row r="764" spans="1:20" ht="15.75" customHeight="1">
      <c r="A764" s="675" t="s">
        <v>935</v>
      </c>
      <c r="B764" s="675">
        <v>7</v>
      </c>
      <c r="C764" s="675">
        <v>7</v>
      </c>
      <c r="D764" s="309"/>
      <c r="E764" s="316"/>
      <c r="F764" s="466"/>
      <c r="G764" s="588"/>
      <c r="H764" s="590" t="s">
        <v>807</v>
      </c>
      <c r="I764" s="716">
        <v>2015</v>
      </c>
      <c r="J764" s="393">
        <v>0.25</v>
      </c>
      <c r="K764" s="705">
        <v>2625000</v>
      </c>
      <c r="L764" s="706">
        <v>0</v>
      </c>
      <c r="M764" s="705">
        <v>0</v>
      </c>
      <c r="N764" s="705">
        <f t="shared" si="146"/>
        <v>2625000</v>
      </c>
      <c r="O764" s="705">
        <v>2625000.5</v>
      </c>
      <c r="P764" s="706">
        <v>-0.5</v>
      </c>
      <c r="Q764" s="705">
        <v>0</v>
      </c>
      <c r="R764" s="705">
        <f t="shared" si="148"/>
        <v>2625000</v>
      </c>
      <c r="S764" s="706">
        <f t="shared" si="147"/>
        <v>0</v>
      </c>
    </row>
    <row r="765" spans="1:20" ht="15.75" customHeight="1">
      <c r="A765" s="675" t="s">
        <v>935</v>
      </c>
      <c r="D765" s="309"/>
      <c r="E765" s="316"/>
      <c r="F765" s="473"/>
      <c r="G765" s="467"/>
      <c r="H765" s="584" t="s">
        <v>808</v>
      </c>
      <c r="I765" s="716">
        <v>2016</v>
      </c>
      <c r="J765" s="393">
        <v>0.25</v>
      </c>
      <c r="K765" s="706">
        <v>40654545.450000003</v>
      </c>
      <c r="L765" s="706">
        <v>0</v>
      </c>
      <c r="M765" s="706">
        <v>0</v>
      </c>
      <c r="N765" s="705">
        <f t="shared" si="146"/>
        <v>40654545.450000003</v>
      </c>
      <c r="O765" s="706">
        <v>40654545.450000003</v>
      </c>
      <c r="P765" s="706">
        <v>0</v>
      </c>
      <c r="Q765" s="706">
        <v>0</v>
      </c>
      <c r="R765" s="705">
        <f t="shared" si="148"/>
        <v>40654545.450000003</v>
      </c>
      <c r="S765" s="706">
        <f t="shared" si="147"/>
        <v>0</v>
      </c>
    </row>
    <row r="766" spans="1:20" ht="15.75" customHeight="1">
      <c r="A766" s="675" t="s">
        <v>935</v>
      </c>
      <c r="D766" s="309"/>
      <c r="E766" s="316"/>
      <c r="F766" s="466"/>
      <c r="G766" s="467"/>
      <c r="H766" s="584" t="s">
        <v>809</v>
      </c>
      <c r="I766" s="716">
        <v>2016</v>
      </c>
      <c r="J766" s="393">
        <v>0.25</v>
      </c>
      <c r="K766" s="706">
        <v>210000000</v>
      </c>
      <c r="L766" s="706">
        <v>0</v>
      </c>
      <c r="M766" s="706">
        <v>0</v>
      </c>
      <c r="N766" s="705">
        <f t="shared" si="146"/>
        <v>210000000</v>
      </c>
      <c r="O766" s="706">
        <v>210000000</v>
      </c>
      <c r="P766" s="706">
        <v>0</v>
      </c>
      <c r="Q766" s="706">
        <v>0</v>
      </c>
      <c r="R766" s="705">
        <f t="shared" si="148"/>
        <v>210000000</v>
      </c>
      <c r="S766" s="706">
        <f t="shared" si="147"/>
        <v>0</v>
      </c>
    </row>
    <row r="767" spans="1:20" ht="15.75" customHeight="1">
      <c r="A767" s="675" t="s">
        <v>935</v>
      </c>
      <c r="D767" s="309"/>
      <c r="E767" s="316"/>
      <c r="F767" s="466"/>
      <c r="G767" s="467"/>
      <c r="H767" s="584" t="s">
        <v>810</v>
      </c>
      <c r="I767" s="716">
        <v>2016</v>
      </c>
      <c r="J767" s="393">
        <v>0.25</v>
      </c>
      <c r="K767" s="706">
        <v>112000000</v>
      </c>
      <c r="L767" s="706">
        <v>0</v>
      </c>
      <c r="M767" s="706">
        <v>0</v>
      </c>
      <c r="N767" s="705">
        <f t="shared" si="146"/>
        <v>112000000</v>
      </c>
      <c r="O767" s="706">
        <v>112000000</v>
      </c>
      <c r="P767" s="706">
        <v>0</v>
      </c>
      <c r="Q767" s="706">
        <v>0</v>
      </c>
      <c r="R767" s="705">
        <f t="shared" si="148"/>
        <v>112000000</v>
      </c>
      <c r="S767" s="706">
        <f t="shared" si="147"/>
        <v>0</v>
      </c>
    </row>
    <row r="768" spans="1:20" ht="15.75" customHeight="1">
      <c r="D768" s="309"/>
      <c r="E768" s="316"/>
      <c r="F768" s="466"/>
      <c r="G768" s="467"/>
      <c r="H768" s="584" t="s">
        <v>811</v>
      </c>
      <c r="I768" s="250">
        <v>2017</v>
      </c>
      <c r="J768" s="393">
        <v>0.25</v>
      </c>
      <c r="K768" s="706">
        <v>301700000</v>
      </c>
      <c r="L768" s="706">
        <v>0</v>
      </c>
      <c r="M768" s="706">
        <v>0</v>
      </c>
      <c r="N768" s="705">
        <f t="shared" si="146"/>
        <v>301700000</v>
      </c>
      <c r="O768" s="706">
        <v>301700000</v>
      </c>
      <c r="P768" s="706">
        <v>0</v>
      </c>
      <c r="Q768" s="706">
        <v>0</v>
      </c>
      <c r="R768" s="705">
        <f t="shared" si="148"/>
        <v>301700000</v>
      </c>
      <c r="S768" s="706">
        <f t="shared" si="147"/>
        <v>0</v>
      </c>
    </row>
    <row r="769" spans="1:20" ht="15.75" customHeight="1">
      <c r="D769" s="309"/>
      <c r="E769" s="316"/>
      <c r="F769" s="466"/>
      <c r="G769" s="467"/>
      <c r="H769" s="584" t="s">
        <v>812</v>
      </c>
      <c r="I769" s="250">
        <v>2017</v>
      </c>
      <c r="J769" s="393">
        <v>0.25</v>
      </c>
      <c r="K769" s="706">
        <v>30000000</v>
      </c>
      <c r="L769" s="706">
        <v>0</v>
      </c>
      <c r="M769" s="706">
        <v>0</v>
      </c>
      <c r="N769" s="705">
        <f t="shared" si="146"/>
        <v>30000000</v>
      </c>
      <c r="O769" s="706">
        <v>30000000</v>
      </c>
      <c r="P769" s="706">
        <v>0</v>
      </c>
      <c r="Q769" s="706">
        <v>0</v>
      </c>
      <c r="R769" s="705">
        <f t="shared" si="148"/>
        <v>30000000</v>
      </c>
      <c r="S769" s="706">
        <f t="shared" si="147"/>
        <v>0</v>
      </c>
    </row>
    <row r="770" spans="1:20" ht="15.75" customHeight="1">
      <c r="D770" s="309"/>
      <c r="E770" s="316"/>
      <c r="F770" s="466"/>
      <c r="G770" s="467"/>
      <c r="H770" s="584" t="s">
        <v>813</v>
      </c>
      <c r="I770" s="250">
        <v>2017</v>
      </c>
      <c r="J770" s="393">
        <v>0.25</v>
      </c>
      <c r="K770" s="706">
        <v>17750000</v>
      </c>
      <c r="L770" s="706">
        <v>0</v>
      </c>
      <c r="M770" s="706">
        <v>0</v>
      </c>
      <c r="N770" s="705">
        <f t="shared" si="146"/>
        <v>17750000</v>
      </c>
      <c r="O770" s="706">
        <v>17749999.999999993</v>
      </c>
      <c r="P770" s="706">
        <v>0</v>
      </c>
      <c r="Q770" s="706">
        <v>0</v>
      </c>
      <c r="R770" s="705">
        <f t="shared" si="148"/>
        <v>17749999.999999993</v>
      </c>
      <c r="S770" s="706">
        <f t="shared" si="147"/>
        <v>0</v>
      </c>
    </row>
    <row r="771" spans="1:20" ht="15.75" customHeight="1">
      <c r="D771" s="309"/>
      <c r="E771" s="316"/>
      <c r="F771" s="466"/>
      <c r="G771" s="467"/>
      <c r="H771" s="584" t="s">
        <v>814</v>
      </c>
      <c r="I771" s="250">
        <v>2017</v>
      </c>
      <c r="J771" s="393">
        <v>0.25</v>
      </c>
      <c r="K771" s="706">
        <v>15105000</v>
      </c>
      <c r="L771" s="706">
        <v>0</v>
      </c>
      <c r="M771" s="706">
        <v>0</v>
      </c>
      <c r="N771" s="705">
        <f t="shared" si="146"/>
        <v>15105000</v>
      </c>
      <c r="O771" s="706">
        <v>15105000</v>
      </c>
      <c r="P771" s="706">
        <v>0</v>
      </c>
      <c r="Q771" s="706">
        <v>0</v>
      </c>
      <c r="R771" s="705">
        <f t="shared" si="148"/>
        <v>15105000</v>
      </c>
      <c r="S771" s="706">
        <f t="shared" si="147"/>
        <v>0</v>
      </c>
    </row>
    <row r="772" spans="1:20" ht="15.75" customHeight="1">
      <c r="D772" s="309"/>
      <c r="E772" s="316"/>
      <c r="F772" s="449"/>
      <c r="G772" s="467"/>
      <c r="H772" s="584" t="s">
        <v>815</v>
      </c>
      <c r="I772" s="250">
        <v>2017</v>
      </c>
      <c r="J772" s="393">
        <v>0.25</v>
      </c>
      <c r="K772" s="706">
        <v>11700000</v>
      </c>
      <c r="L772" s="706">
        <v>0</v>
      </c>
      <c r="M772" s="706">
        <v>0</v>
      </c>
      <c r="N772" s="705">
        <f t="shared" si="146"/>
        <v>11700000</v>
      </c>
      <c r="O772" s="706">
        <v>11700000</v>
      </c>
      <c r="P772" s="706">
        <v>0</v>
      </c>
      <c r="Q772" s="706">
        <v>0</v>
      </c>
      <c r="R772" s="705">
        <f t="shared" si="148"/>
        <v>11700000</v>
      </c>
      <c r="S772" s="706">
        <f t="shared" si="147"/>
        <v>0</v>
      </c>
    </row>
    <row r="773" spans="1:20" ht="15.75" customHeight="1">
      <c r="D773" s="309"/>
      <c r="E773" s="316"/>
      <c r="F773" s="449"/>
      <c r="G773" s="467"/>
      <c r="H773" s="584" t="s">
        <v>816</v>
      </c>
      <c r="I773" s="251">
        <v>43495</v>
      </c>
      <c r="J773" s="393">
        <v>0.25</v>
      </c>
      <c r="K773" s="706">
        <v>32470000</v>
      </c>
      <c r="L773" s="706"/>
      <c r="M773" s="706">
        <v>0</v>
      </c>
      <c r="N773" s="705">
        <f t="shared" si="146"/>
        <v>32470000</v>
      </c>
      <c r="O773" s="706">
        <v>23676041.66666666</v>
      </c>
      <c r="P773" s="706">
        <f>N773*J773</f>
        <v>8117500</v>
      </c>
      <c r="Q773" s="706">
        <v>0</v>
      </c>
      <c r="R773" s="705">
        <f t="shared" si="148"/>
        <v>31793541.66666666</v>
      </c>
      <c r="S773" s="706">
        <f t="shared" si="147"/>
        <v>676458.33333333954</v>
      </c>
    </row>
    <row r="774" spans="1:20" ht="15.75" customHeight="1">
      <c r="D774" s="309"/>
      <c r="E774" s="316"/>
      <c r="F774" s="449"/>
      <c r="G774" s="467"/>
      <c r="H774" s="584" t="s">
        <v>146</v>
      </c>
      <c r="I774" s="251">
        <v>43663</v>
      </c>
      <c r="J774" s="393">
        <v>0.25</v>
      </c>
      <c r="K774" s="706">
        <v>114349251</v>
      </c>
      <c r="L774" s="706"/>
      <c r="M774" s="706">
        <v>0</v>
      </c>
      <c r="N774" s="705">
        <f t="shared" si="146"/>
        <v>114349251</v>
      </c>
      <c r="O774" s="706">
        <v>69086005.8125</v>
      </c>
      <c r="P774" s="706">
        <f>N774*J774</f>
        <v>28587312.75</v>
      </c>
      <c r="Q774" s="706">
        <v>0</v>
      </c>
      <c r="R774" s="705">
        <f t="shared" si="148"/>
        <v>97673318.5625</v>
      </c>
      <c r="S774" s="706">
        <f t="shared" si="147"/>
        <v>16675932.4375</v>
      </c>
    </row>
    <row r="775" spans="1:20" ht="15.75" customHeight="1">
      <c r="D775" s="309"/>
      <c r="E775" s="316"/>
      <c r="F775" s="449"/>
      <c r="G775" s="473"/>
      <c r="H775" s="590" t="s">
        <v>817</v>
      </c>
      <c r="I775" s="252">
        <v>43801</v>
      </c>
      <c r="J775" s="377">
        <v>0.25</v>
      </c>
      <c r="K775" s="705">
        <v>3700000</v>
      </c>
      <c r="L775" s="705"/>
      <c r="M775" s="705">
        <v>0</v>
      </c>
      <c r="N775" s="705">
        <f t="shared" si="146"/>
        <v>3700000</v>
      </c>
      <c r="O775" s="705">
        <v>1927083.3333333326</v>
      </c>
      <c r="P775" s="706">
        <f>N775*J775</f>
        <v>925000</v>
      </c>
      <c r="Q775" s="705">
        <v>0</v>
      </c>
      <c r="R775" s="705">
        <f t="shared" si="148"/>
        <v>2852083.3333333326</v>
      </c>
      <c r="S775" s="705">
        <f t="shared" si="147"/>
        <v>847916.66666666744</v>
      </c>
    </row>
    <row r="776" spans="1:20" ht="15.75" customHeight="1">
      <c r="D776" s="309"/>
      <c r="E776" s="316"/>
      <c r="F776" s="467"/>
      <c r="G776" s="467"/>
      <c r="H776" s="502" t="s">
        <v>818</v>
      </c>
      <c r="I776" s="840">
        <v>44631</v>
      </c>
      <c r="J776" s="393">
        <v>0.25</v>
      </c>
      <c r="K776" s="706"/>
      <c r="L776" s="706">
        <v>3485000</v>
      </c>
      <c r="M776" s="706"/>
      <c r="N776" s="705">
        <f t="shared" si="146"/>
        <v>3485000</v>
      </c>
      <c r="O776" s="706"/>
      <c r="P776" s="706">
        <f>N776*J776/12*T776</f>
        <v>726041.66666666674</v>
      </c>
      <c r="Q776" s="706"/>
      <c r="R776" s="705">
        <f t="shared" si="148"/>
        <v>726041.66666666674</v>
      </c>
      <c r="S776" s="705">
        <f t="shared" si="147"/>
        <v>2758958.333333333</v>
      </c>
      <c r="T776" s="688">
        <v>10</v>
      </c>
    </row>
    <row r="777" spans="1:20" ht="15.75" customHeight="1">
      <c r="D777" s="309"/>
      <c r="E777" s="316"/>
      <c r="F777" s="467"/>
      <c r="G777" s="467"/>
      <c r="H777" s="502" t="s">
        <v>819</v>
      </c>
      <c r="I777" s="840">
        <v>44739</v>
      </c>
      <c r="J777" s="393">
        <v>0.25</v>
      </c>
      <c r="K777" s="706"/>
      <c r="L777" s="706">
        <v>17500000</v>
      </c>
      <c r="M777" s="706"/>
      <c r="N777" s="705">
        <f t="shared" si="146"/>
        <v>17500000</v>
      </c>
      <c r="O777" s="706"/>
      <c r="P777" s="706">
        <f>N777*J777/12*T777</f>
        <v>2552083.333333333</v>
      </c>
      <c r="Q777" s="706"/>
      <c r="R777" s="705">
        <f t="shared" si="148"/>
        <v>2552083.333333333</v>
      </c>
      <c r="S777" s="705">
        <f t="shared" si="147"/>
        <v>14947916.666666668</v>
      </c>
      <c r="T777" s="688">
        <v>7</v>
      </c>
    </row>
    <row r="778" spans="1:20" ht="15.75" customHeight="1">
      <c r="D778" s="309"/>
      <c r="E778" s="316"/>
      <c r="F778" s="600"/>
      <c r="G778" s="627"/>
      <c r="H778" s="592"/>
      <c r="I778" s="841"/>
      <c r="J778" s="593"/>
      <c r="K778" s="783"/>
      <c r="L778" s="783"/>
      <c r="M778" s="709"/>
      <c r="N778" s="705">
        <f t="shared" si="146"/>
        <v>0</v>
      </c>
      <c r="O778" s="783"/>
      <c r="P778" s="706"/>
      <c r="Q778" s="709"/>
      <c r="R778" s="709"/>
      <c r="S778" s="709"/>
    </row>
    <row r="779" spans="1:20" s="703" customFormat="1" ht="15.75" customHeight="1">
      <c r="A779" s="675" t="s">
        <v>935</v>
      </c>
      <c r="B779" s="675"/>
      <c r="C779" s="675"/>
      <c r="D779" s="309"/>
      <c r="E779" s="316"/>
      <c r="F779" s="1235" t="s">
        <v>1040</v>
      </c>
      <c r="G779" s="1236"/>
      <c r="H779" s="1236"/>
      <c r="I779" s="603"/>
      <c r="J779" s="595"/>
      <c r="K779" s="708">
        <f>SUM(K759:K778)</f>
        <v>907221296.45000005</v>
      </c>
      <c r="L779" s="708">
        <f t="shared" ref="L779:S779" si="149">SUM(L759:L778)</f>
        <v>20985000</v>
      </c>
      <c r="M779" s="708">
        <f t="shared" si="149"/>
        <v>0</v>
      </c>
      <c r="N779" s="708">
        <f t="shared" si="149"/>
        <v>928206296.45000005</v>
      </c>
      <c r="O779" s="708">
        <f t="shared" si="149"/>
        <v>851391176.26250005</v>
      </c>
      <c r="P779" s="708">
        <f t="shared" si="149"/>
        <v>40907937.25</v>
      </c>
      <c r="Q779" s="708">
        <f t="shared" si="149"/>
        <v>0</v>
      </c>
      <c r="R779" s="708">
        <f t="shared" si="149"/>
        <v>892299113.51250005</v>
      </c>
      <c r="S779" s="708">
        <f t="shared" si="149"/>
        <v>35907182.937500007</v>
      </c>
    </row>
    <row r="780" spans="1:20" ht="15.75" customHeight="1">
      <c r="A780" s="675" t="s">
        <v>935</v>
      </c>
      <c r="D780" s="309"/>
      <c r="E780" s="1235" t="s">
        <v>1041</v>
      </c>
      <c r="F780" s="1236"/>
      <c r="G780" s="1236"/>
      <c r="H780" s="1236"/>
      <c r="I780" s="1236"/>
      <c r="J780" s="1237"/>
      <c r="K780" s="708">
        <f>K756+K779</f>
        <v>1103561296.45</v>
      </c>
      <c r="L780" s="708">
        <f t="shared" ref="L780:S780" si="150">L756+L779</f>
        <v>61355000</v>
      </c>
      <c r="M780" s="708">
        <f t="shared" si="150"/>
        <v>0</v>
      </c>
      <c r="N780" s="708">
        <f t="shared" si="150"/>
        <v>1164916296.45</v>
      </c>
      <c r="O780" s="708">
        <f t="shared" si="150"/>
        <v>981469508.92916679</v>
      </c>
      <c r="P780" s="708">
        <f t="shared" si="150"/>
        <v>82813749.75</v>
      </c>
      <c r="Q780" s="708">
        <f t="shared" si="150"/>
        <v>0</v>
      </c>
      <c r="R780" s="708">
        <f t="shared" si="150"/>
        <v>1064283258.6791668</v>
      </c>
      <c r="S780" s="708">
        <f t="shared" si="150"/>
        <v>100633037.77083331</v>
      </c>
    </row>
    <row r="781" spans="1:20" ht="15.75" customHeight="1">
      <c r="D781" s="387"/>
      <c r="E781" s="324"/>
      <c r="F781" s="330"/>
      <c r="G781" s="721"/>
      <c r="H781" s="715"/>
      <c r="I781" s="716"/>
      <c r="J781" s="393"/>
      <c r="K781" s="830"/>
      <c r="L781" s="830"/>
      <c r="M781" s="830"/>
      <c r="N781" s="830"/>
      <c r="O781" s="830"/>
      <c r="P781" s="830"/>
      <c r="Q781" s="830"/>
      <c r="R781" s="830"/>
      <c r="S781" s="830"/>
    </row>
    <row r="782" spans="1:20" s="703" customFormat="1" ht="15.75" customHeight="1">
      <c r="A782" s="675" t="s">
        <v>938</v>
      </c>
      <c r="B782" s="675"/>
      <c r="C782" s="675"/>
      <c r="D782" s="387"/>
      <c r="E782" s="316" t="s">
        <v>1042</v>
      </c>
      <c r="F782" s="703" t="s">
        <v>820</v>
      </c>
      <c r="G782" s="842"/>
      <c r="H782" s="725"/>
      <c r="I782" s="724"/>
      <c r="J782" s="377"/>
      <c r="K782" s="843"/>
      <c r="L782" s="843"/>
      <c r="M782" s="843"/>
      <c r="N782" s="843"/>
      <c r="O782" s="843"/>
      <c r="P782" s="843"/>
      <c r="Q782" s="843"/>
      <c r="R782" s="843"/>
      <c r="S782" s="843"/>
    </row>
    <row r="783" spans="1:20" ht="15.75" customHeight="1">
      <c r="A783" s="675" t="s">
        <v>938</v>
      </c>
      <c r="D783" s="357"/>
      <c r="E783" s="301"/>
      <c r="F783" s="606" t="s">
        <v>1043</v>
      </c>
      <c r="G783" s="261" t="s">
        <v>236</v>
      </c>
      <c r="H783" s="312"/>
      <c r="I783" s="537"/>
      <c r="J783" s="393"/>
      <c r="K783" s="712"/>
      <c r="L783" s="712"/>
      <c r="M783" s="712"/>
      <c r="N783" s="712"/>
      <c r="O783" s="712"/>
      <c r="P783" s="712"/>
      <c r="Q783" s="712"/>
      <c r="R783" s="712"/>
      <c r="S783" s="712"/>
    </row>
    <row r="784" spans="1:20" ht="15.75" customHeight="1">
      <c r="A784" s="675" t="s">
        <v>938</v>
      </c>
      <c r="D784" s="309"/>
      <c r="E784" s="316"/>
      <c r="F784" s="606"/>
      <c r="G784" s="588"/>
      <c r="H784" s="590" t="s">
        <v>821</v>
      </c>
      <c r="I784" s="716">
        <v>2006</v>
      </c>
      <c r="J784" s="393">
        <v>0.25</v>
      </c>
      <c r="K784" s="705">
        <v>11300000</v>
      </c>
      <c r="L784" s="705">
        <v>0</v>
      </c>
      <c r="M784" s="705">
        <v>0</v>
      </c>
      <c r="N784" s="705">
        <f t="shared" ref="N784:N806" si="151">K784+L784-M784</f>
        <v>11300000</v>
      </c>
      <c r="O784" s="705">
        <v>8475000</v>
      </c>
      <c r="P784" s="738">
        <v>0</v>
      </c>
      <c r="Q784" s="705">
        <v>0</v>
      </c>
      <c r="R784" s="705">
        <f t="shared" ref="R784:R806" si="152">O784+P784-Q784</f>
        <v>8475000</v>
      </c>
      <c r="S784" s="706">
        <f t="shared" ref="S784:S806" si="153">N784-R784</f>
        <v>2825000</v>
      </c>
    </row>
    <row r="785" spans="1:19" ht="15.75" customHeight="1">
      <c r="A785" s="675" t="s">
        <v>938</v>
      </c>
      <c r="D785" s="309"/>
      <c r="E785" s="316"/>
      <c r="F785" s="606"/>
      <c r="G785" s="588"/>
      <c r="H785" s="590" t="s">
        <v>822</v>
      </c>
      <c r="I785" s="716">
        <v>2006</v>
      </c>
      <c r="J785" s="393">
        <v>0.25</v>
      </c>
      <c r="K785" s="705">
        <v>8000000</v>
      </c>
      <c r="L785" s="705">
        <v>0</v>
      </c>
      <c r="M785" s="705">
        <v>0</v>
      </c>
      <c r="N785" s="705">
        <f t="shared" si="151"/>
        <v>8000000</v>
      </c>
      <c r="O785" s="705">
        <v>6000000</v>
      </c>
      <c r="P785" s="738">
        <v>0</v>
      </c>
      <c r="Q785" s="705">
        <v>0</v>
      </c>
      <c r="R785" s="705">
        <f t="shared" si="152"/>
        <v>6000000</v>
      </c>
      <c r="S785" s="706">
        <f t="shared" si="153"/>
        <v>2000000</v>
      </c>
    </row>
    <row r="786" spans="1:19" ht="15.75" customHeight="1">
      <c r="A786" s="675" t="s">
        <v>938</v>
      </c>
      <c r="D786" s="309"/>
      <c r="E786" s="316"/>
      <c r="F786" s="606"/>
      <c r="G786" s="588"/>
      <c r="H786" s="590" t="s">
        <v>823</v>
      </c>
      <c r="I786" s="716">
        <v>2012</v>
      </c>
      <c r="J786" s="393">
        <v>0.25</v>
      </c>
      <c r="K786" s="705">
        <v>4700000</v>
      </c>
      <c r="L786" s="705">
        <v>0</v>
      </c>
      <c r="M786" s="705">
        <v>0</v>
      </c>
      <c r="N786" s="705">
        <f t="shared" si="151"/>
        <v>4700000</v>
      </c>
      <c r="O786" s="705">
        <v>3525000</v>
      </c>
      <c r="P786" s="738">
        <v>0</v>
      </c>
      <c r="Q786" s="705">
        <v>0</v>
      </c>
      <c r="R786" s="705">
        <f t="shared" si="152"/>
        <v>3525000</v>
      </c>
      <c r="S786" s="706">
        <f t="shared" si="153"/>
        <v>1175000</v>
      </c>
    </row>
    <row r="787" spans="1:19" ht="15.75" customHeight="1">
      <c r="A787" s="675" t="s">
        <v>938</v>
      </c>
      <c r="D787" s="309"/>
      <c r="E787" s="316"/>
      <c r="F787" s="606"/>
      <c r="G787" s="588"/>
      <c r="H787" s="590" t="s">
        <v>824</v>
      </c>
      <c r="I787" s="716">
        <v>2013</v>
      </c>
      <c r="J787" s="393">
        <v>0.25</v>
      </c>
      <c r="K787" s="705">
        <v>4700000</v>
      </c>
      <c r="L787" s="705">
        <v>0</v>
      </c>
      <c r="M787" s="705">
        <v>0</v>
      </c>
      <c r="N787" s="705">
        <f t="shared" si="151"/>
        <v>4700000</v>
      </c>
      <c r="O787" s="705">
        <v>3525000</v>
      </c>
      <c r="P787" s="738">
        <v>0</v>
      </c>
      <c r="Q787" s="705">
        <v>0</v>
      </c>
      <c r="R787" s="705">
        <f t="shared" si="152"/>
        <v>3525000</v>
      </c>
      <c r="S787" s="706">
        <f t="shared" si="153"/>
        <v>1175000</v>
      </c>
    </row>
    <row r="788" spans="1:19" ht="15.75" customHeight="1">
      <c r="A788" s="675" t="s">
        <v>938</v>
      </c>
      <c r="D788" s="309"/>
      <c r="E788" s="316"/>
      <c r="F788" s="606"/>
      <c r="G788" s="588"/>
      <c r="H788" s="590" t="s">
        <v>825</v>
      </c>
      <c r="I788" s="716">
        <v>2014</v>
      </c>
      <c r="J788" s="393">
        <v>0.25</v>
      </c>
      <c r="K788" s="705">
        <v>4200000</v>
      </c>
      <c r="L788" s="705">
        <v>0</v>
      </c>
      <c r="M788" s="705">
        <v>0</v>
      </c>
      <c r="N788" s="705">
        <f t="shared" si="151"/>
        <v>4200000</v>
      </c>
      <c r="O788" s="705">
        <v>3150000</v>
      </c>
      <c r="P788" s="738">
        <v>0</v>
      </c>
      <c r="Q788" s="705">
        <v>0</v>
      </c>
      <c r="R788" s="705">
        <f t="shared" si="152"/>
        <v>3150000</v>
      </c>
      <c r="S788" s="706">
        <f t="shared" si="153"/>
        <v>1050000</v>
      </c>
    </row>
    <row r="789" spans="1:19" ht="15.75" customHeight="1">
      <c r="A789" s="675" t="s">
        <v>938</v>
      </c>
      <c r="B789" s="675">
        <v>1</v>
      </c>
      <c r="C789" s="675">
        <v>1</v>
      </c>
      <c r="D789" s="309"/>
      <c r="E789" s="316"/>
      <c r="F789" s="606"/>
      <c r="G789" s="588"/>
      <c r="H789" s="590" t="s">
        <v>826</v>
      </c>
      <c r="I789" s="716">
        <v>2015</v>
      </c>
      <c r="J789" s="393">
        <v>0.25</v>
      </c>
      <c r="K789" s="705">
        <v>5100000</v>
      </c>
      <c r="L789" s="705">
        <v>0</v>
      </c>
      <c r="M789" s="705">
        <v>0</v>
      </c>
      <c r="N789" s="705">
        <f t="shared" si="151"/>
        <v>5100000</v>
      </c>
      <c r="O789" s="705">
        <v>5098125</v>
      </c>
      <c r="P789" s="738">
        <v>0</v>
      </c>
      <c r="Q789" s="705">
        <v>0</v>
      </c>
      <c r="R789" s="705">
        <f t="shared" si="152"/>
        <v>5098125</v>
      </c>
      <c r="S789" s="706">
        <f t="shared" si="153"/>
        <v>1875</v>
      </c>
    </row>
    <row r="790" spans="1:19" ht="15.75" customHeight="1">
      <c r="A790" s="675" t="s">
        <v>938</v>
      </c>
      <c r="B790" s="675">
        <v>2</v>
      </c>
      <c r="C790" s="675">
        <v>2</v>
      </c>
      <c r="D790" s="309"/>
      <c r="E790" s="316"/>
      <c r="F790" s="606"/>
      <c r="G790" s="588"/>
      <c r="H790" s="590" t="s">
        <v>827</v>
      </c>
      <c r="I790" s="716">
        <v>2015</v>
      </c>
      <c r="J790" s="393">
        <v>0.25</v>
      </c>
      <c r="K790" s="705">
        <v>3713000</v>
      </c>
      <c r="L790" s="705">
        <v>0</v>
      </c>
      <c r="M790" s="705">
        <v>0</v>
      </c>
      <c r="N790" s="705">
        <f t="shared" si="151"/>
        <v>3713000</v>
      </c>
      <c r="O790" s="705">
        <v>3465466.666666667</v>
      </c>
      <c r="P790" s="738">
        <v>0</v>
      </c>
      <c r="Q790" s="705">
        <v>0</v>
      </c>
      <c r="R790" s="705">
        <f t="shared" si="152"/>
        <v>3465466.666666667</v>
      </c>
      <c r="S790" s="706">
        <f t="shared" si="153"/>
        <v>247533.33333333302</v>
      </c>
    </row>
    <row r="791" spans="1:19" ht="15.75" customHeight="1">
      <c r="D791" s="309"/>
      <c r="E791" s="316"/>
      <c r="F791" s="606"/>
      <c r="G791" s="588"/>
      <c r="H791" s="590" t="s">
        <v>828</v>
      </c>
      <c r="I791" s="716">
        <v>2015</v>
      </c>
      <c r="J791" s="393">
        <v>0.25</v>
      </c>
      <c r="K791" s="705">
        <v>530000</v>
      </c>
      <c r="L791" s="705">
        <v>0</v>
      </c>
      <c r="M791" s="705">
        <v>0</v>
      </c>
      <c r="N791" s="705">
        <f t="shared" si="151"/>
        <v>530000</v>
      </c>
      <c r="O791" s="705">
        <v>494666.66666666674</v>
      </c>
      <c r="P791" s="738">
        <v>0</v>
      </c>
      <c r="Q791" s="705">
        <v>0</v>
      </c>
      <c r="R791" s="705">
        <f t="shared" si="152"/>
        <v>494666.66666666674</v>
      </c>
      <c r="S791" s="706">
        <f t="shared" si="153"/>
        <v>35333.333333333256</v>
      </c>
    </row>
    <row r="792" spans="1:19" ht="15.75" customHeight="1">
      <c r="A792" s="675" t="s">
        <v>938</v>
      </c>
      <c r="B792" s="675">
        <v>3</v>
      </c>
      <c r="C792" s="675">
        <v>3</v>
      </c>
      <c r="D792" s="309"/>
      <c r="E792" s="316"/>
      <c r="F792" s="606"/>
      <c r="G792" s="588"/>
      <c r="H792" s="590" t="s">
        <v>829</v>
      </c>
      <c r="I792" s="716">
        <v>2015</v>
      </c>
      <c r="J792" s="393">
        <v>0.25</v>
      </c>
      <c r="K792" s="705">
        <v>525000</v>
      </c>
      <c r="L792" s="705">
        <v>0</v>
      </c>
      <c r="M792" s="705">
        <v>0</v>
      </c>
      <c r="N792" s="705">
        <f t="shared" si="151"/>
        <v>525000</v>
      </c>
      <c r="O792" s="705">
        <v>481250</v>
      </c>
      <c r="P792" s="738">
        <v>0</v>
      </c>
      <c r="Q792" s="705">
        <v>0</v>
      </c>
      <c r="R792" s="705">
        <f t="shared" si="152"/>
        <v>481250</v>
      </c>
      <c r="S792" s="706">
        <f t="shared" si="153"/>
        <v>43750</v>
      </c>
    </row>
    <row r="793" spans="1:19" ht="15.75" customHeight="1">
      <c r="A793" s="675" t="s">
        <v>938</v>
      </c>
      <c r="B793" s="675">
        <v>4</v>
      </c>
      <c r="C793" s="675">
        <v>4</v>
      </c>
      <c r="D793" s="309"/>
      <c r="E793" s="316"/>
      <c r="F793" s="606"/>
      <c r="G793" s="588"/>
      <c r="H793" s="590" t="s">
        <v>830</v>
      </c>
      <c r="I793" s="716">
        <v>2015</v>
      </c>
      <c r="J793" s="393">
        <v>0.25</v>
      </c>
      <c r="K793" s="705">
        <v>2970000</v>
      </c>
      <c r="L793" s="705">
        <v>0</v>
      </c>
      <c r="M793" s="705">
        <v>0</v>
      </c>
      <c r="N793" s="705">
        <f t="shared" si="151"/>
        <v>2970000</v>
      </c>
      <c r="O793" s="705">
        <v>2673000</v>
      </c>
      <c r="P793" s="738">
        <v>0</v>
      </c>
      <c r="Q793" s="705">
        <v>0</v>
      </c>
      <c r="R793" s="705">
        <f t="shared" si="152"/>
        <v>2673000</v>
      </c>
      <c r="S793" s="706">
        <f t="shared" si="153"/>
        <v>297000</v>
      </c>
    </row>
    <row r="794" spans="1:19" ht="15.75" customHeight="1">
      <c r="A794" s="675" t="s">
        <v>938</v>
      </c>
      <c r="B794" s="675">
        <v>4</v>
      </c>
      <c r="C794" s="675">
        <v>4</v>
      </c>
      <c r="D794" s="309"/>
      <c r="E794" s="316"/>
      <c r="F794" s="606"/>
      <c r="G794" s="588"/>
      <c r="H794" s="590" t="s">
        <v>831</v>
      </c>
      <c r="I794" s="716">
        <v>2015</v>
      </c>
      <c r="J794" s="393">
        <v>0.25</v>
      </c>
      <c r="K794" s="705">
        <v>565000</v>
      </c>
      <c r="L794" s="705">
        <v>0</v>
      </c>
      <c r="M794" s="705">
        <v>0</v>
      </c>
      <c r="N794" s="705">
        <f t="shared" si="151"/>
        <v>565000</v>
      </c>
      <c r="O794" s="705">
        <v>508500</v>
      </c>
      <c r="P794" s="738">
        <v>0</v>
      </c>
      <c r="Q794" s="705">
        <v>0</v>
      </c>
      <c r="R794" s="705">
        <f t="shared" si="152"/>
        <v>508500</v>
      </c>
      <c r="S794" s="706">
        <f t="shared" si="153"/>
        <v>56500</v>
      </c>
    </row>
    <row r="795" spans="1:19" ht="15.75" customHeight="1">
      <c r="A795" s="675" t="s">
        <v>938</v>
      </c>
      <c r="B795" s="675">
        <v>4</v>
      </c>
      <c r="C795" s="675">
        <v>4</v>
      </c>
      <c r="D795" s="309"/>
      <c r="E795" s="316"/>
      <c r="F795" s="606"/>
      <c r="G795" s="588"/>
      <c r="H795" s="590" t="s">
        <v>826</v>
      </c>
      <c r="I795" s="716">
        <v>2016</v>
      </c>
      <c r="J795" s="393">
        <v>0.25</v>
      </c>
      <c r="K795" s="705">
        <v>3350000</v>
      </c>
      <c r="L795" s="705">
        <v>0</v>
      </c>
      <c r="M795" s="705">
        <v>0</v>
      </c>
      <c r="N795" s="705">
        <f t="shared" si="151"/>
        <v>3350000</v>
      </c>
      <c r="O795" s="705">
        <v>2093750</v>
      </c>
      <c r="P795" s="738">
        <v>0</v>
      </c>
      <c r="Q795" s="705">
        <v>0</v>
      </c>
      <c r="R795" s="705">
        <f t="shared" si="152"/>
        <v>2093750</v>
      </c>
      <c r="S795" s="706">
        <f t="shared" si="153"/>
        <v>1256250</v>
      </c>
    </row>
    <row r="796" spans="1:19" ht="15.75" customHeight="1">
      <c r="A796" s="675" t="s">
        <v>938</v>
      </c>
      <c r="B796" s="675">
        <v>4</v>
      </c>
      <c r="C796" s="675">
        <v>4</v>
      </c>
      <c r="D796" s="309"/>
      <c r="E796" s="316"/>
      <c r="F796" s="606"/>
      <c r="G796" s="454"/>
      <c r="H796" s="584" t="s">
        <v>832</v>
      </c>
      <c r="I796" s="716">
        <v>2016</v>
      </c>
      <c r="J796" s="393">
        <v>0.25</v>
      </c>
      <c r="K796" s="706">
        <v>5900000</v>
      </c>
      <c r="L796" s="706">
        <v>0</v>
      </c>
      <c r="M796" s="706">
        <v>0</v>
      </c>
      <c r="N796" s="705">
        <f t="shared" si="151"/>
        <v>5900000</v>
      </c>
      <c r="O796" s="706">
        <v>3441666.666666667</v>
      </c>
      <c r="P796" s="738">
        <v>0</v>
      </c>
      <c r="Q796" s="706">
        <v>0</v>
      </c>
      <c r="R796" s="705">
        <f t="shared" si="152"/>
        <v>3441666.666666667</v>
      </c>
      <c r="S796" s="706">
        <f t="shared" si="153"/>
        <v>2458333.333333333</v>
      </c>
    </row>
    <row r="797" spans="1:19" ht="15.75" customHeight="1">
      <c r="A797" s="675" t="s">
        <v>938</v>
      </c>
      <c r="B797" s="675">
        <v>4</v>
      </c>
      <c r="C797" s="675">
        <v>4</v>
      </c>
      <c r="D797" s="309"/>
      <c r="E797" s="316"/>
      <c r="F797" s="316"/>
      <c r="G797" s="454"/>
      <c r="H797" s="607" t="s">
        <v>833</v>
      </c>
      <c r="I797" s="716">
        <v>2016</v>
      </c>
      <c r="J797" s="393">
        <v>0.25</v>
      </c>
      <c r="K797" s="706">
        <v>5400000</v>
      </c>
      <c r="L797" s="706">
        <v>0</v>
      </c>
      <c r="M797" s="706">
        <v>0</v>
      </c>
      <c r="N797" s="705">
        <f t="shared" si="151"/>
        <v>5400000</v>
      </c>
      <c r="O797" s="706">
        <v>3037500</v>
      </c>
      <c r="P797" s="738">
        <v>0</v>
      </c>
      <c r="Q797" s="706">
        <v>0</v>
      </c>
      <c r="R797" s="705">
        <f t="shared" si="152"/>
        <v>3037500</v>
      </c>
      <c r="S797" s="706">
        <f t="shared" si="153"/>
        <v>2362500</v>
      </c>
    </row>
    <row r="798" spans="1:19" ht="15.75" customHeight="1">
      <c r="D798" s="309"/>
      <c r="E798" s="316"/>
      <c r="F798" s="316"/>
      <c r="G798" s="454"/>
      <c r="H798" s="607" t="s">
        <v>834</v>
      </c>
      <c r="I798" s="257">
        <v>2017</v>
      </c>
      <c r="J798" s="393">
        <v>0.25</v>
      </c>
      <c r="K798" s="706">
        <v>5510000</v>
      </c>
      <c r="L798" s="706">
        <v>0</v>
      </c>
      <c r="M798" s="706">
        <v>0</v>
      </c>
      <c r="N798" s="705">
        <f t="shared" si="151"/>
        <v>5510000</v>
      </c>
      <c r="O798" s="706">
        <v>2410625</v>
      </c>
      <c r="P798" s="738">
        <v>0</v>
      </c>
      <c r="Q798" s="706">
        <v>0</v>
      </c>
      <c r="R798" s="705">
        <f t="shared" si="152"/>
        <v>2410625</v>
      </c>
      <c r="S798" s="706">
        <f t="shared" si="153"/>
        <v>3099375</v>
      </c>
    </row>
    <row r="799" spans="1:19" ht="15.75" customHeight="1">
      <c r="D799" s="309"/>
      <c r="E799" s="316"/>
      <c r="F799" s="316"/>
      <c r="G799" s="454"/>
      <c r="H799" s="607" t="s">
        <v>835</v>
      </c>
      <c r="I799" s="257">
        <v>2017</v>
      </c>
      <c r="J799" s="393">
        <v>0.25</v>
      </c>
      <c r="K799" s="706">
        <v>34963500</v>
      </c>
      <c r="L799" s="706">
        <v>0</v>
      </c>
      <c r="M799" s="706">
        <v>0</v>
      </c>
      <c r="N799" s="705">
        <f t="shared" si="151"/>
        <v>34963500</v>
      </c>
      <c r="O799" s="706">
        <v>10197687.5</v>
      </c>
      <c r="P799" s="738">
        <v>0</v>
      </c>
      <c r="Q799" s="706">
        <v>0</v>
      </c>
      <c r="R799" s="705">
        <f t="shared" si="152"/>
        <v>10197687.5</v>
      </c>
      <c r="S799" s="706">
        <f t="shared" si="153"/>
        <v>24765812.5</v>
      </c>
    </row>
    <row r="800" spans="1:19" ht="15.75" customHeight="1">
      <c r="D800" s="309"/>
      <c r="E800" s="316"/>
      <c r="F800" s="316"/>
      <c r="G800" s="454"/>
      <c r="H800" s="607" t="s">
        <v>836</v>
      </c>
      <c r="I800" s="258" t="s">
        <v>690</v>
      </c>
      <c r="J800" s="393">
        <v>0.25</v>
      </c>
      <c r="K800" s="706">
        <v>14500000</v>
      </c>
      <c r="L800" s="706">
        <v>0</v>
      </c>
      <c r="M800" s="706">
        <v>0</v>
      </c>
      <c r="N800" s="705">
        <f t="shared" si="151"/>
        <v>14500000</v>
      </c>
      <c r="O800" s="706">
        <v>2718750</v>
      </c>
      <c r="P800" s="738">
        <v>0</v>
      </c>
      <c r="Q800" s="706">
        <v>0</v>
      </c>
      <c r="R800" s="705">
        <f t="shared" si="152"/>
        <v>2718750</v>
      </c>
      <c r="S800" s="706">
        <f t="shared" si="153"/>
        <v>11781250</v>
      </c>
    </row>
    <row r="801" spans="1:19" ht="15.75" customHeight="1">
      <c r="D801" s="309"/>
      <c r="E801" s="316"/>
      <c r="F801" s="316"/>
      <c r="G801" s="454"/>
      <c r="H801" s="607" t="s">
        <v>837</v>
      </c>
      <c r="I801" s="258" t="s">
        <v>690</v>
      </c>
      <c r="J801" s="393">
        <v>0.25</v>
      </c>
      <c r="K801" s="706">
        <v>7425000</v>
      </c>
      <c r="L801" s="706">
        <v>0</v>
      </c>
      <c r="M801" s="706">
        <v>0</v>
      </c>
      <c r="N801" s="705">
        <f t="shared" si="151"/>
        <v>7425000</v>
      </c>
      <c r="O801" s="706">
        <v>1392187.5</v>
      </c>
      <c r="P801" s="738">
        <v>0</v>
      </c>
      <c r="Q801" s="706">
        <v>0</v>
      </c>
      <c r="R801" s="705">
        <f t="shared" si="152"/>
        <v>1392187.5</v>
      </c>
      <c r="S801" s="706">
        <f t="shared" si="153"/>
        <v>6032812.5</v>
      </c>
    </row>
    <row r="802" spans="1:19" ht="15.75" customHeight="1">
      <c r="D802" s="309"/>
      <c r="E802" s="316"/>
      <c r="F802" s="316"/>
      <c r="G802" s="454"/>
      <c r="H802" s="607" t="s">
        <v>838</v>
      </c>
      <c r="I802" s="258" t="s">
        <v>690</v>
      </c>
      <c r="J802" s="393">
        <v>0.25</v>
      </c>
      <c r="K802" s="706">
        <v>2930000</v>
      </c>
      <c r="L802" s="706">
        <v>0</v>
      </c>
      <c r="M802" s="706">
        <v>0</v>
      </c>
      <c r="N802" s="705">
        <f t="shared" si="151"/>
        <v>2930000</v>
      </c>
      <c r="O802" s="706">
        <v>549375</v>
      </c>
      <c r="P802" s="738">
        <v>0</v>
      </c>
      <c r="Q802" s="706">
        <v>0</v>
      </c>
      <c r="R802" s="705">
        <f t="shared" si="152"/>
        <v>549375</v>
      </c>
      <c r="S802" s="706">
        <f t="shared" si="153"/>
        <v>2380625</v>
      </c>
    </row>
    <row r="803" spans="1:19" ht="15.75" customHeight="1">
      <c r="D803" s="309"/>
      <c r="E803" s="316"/>
      <c r="F803" s="316"/>
      <c r="G803" s="454"/>
      <c r="H803" s="607" t="s">
        <v>837</v>
      </c>
      <c r="I803" s="258" t="s">
        <v>691</v>
      </c>
      <c r="J803" s="393">
        <v>0.25</v>
      </c>
      <c r="K803" s="706">
        <v>6125000</v>
      </c>
      <c r="L803" s="706">
        <v>0</v>
      </c>
      <c r="M803" s="706">
        <v>0</v>
      </c>
      <c r="N803" s="705">
        <f t="shared" si="151"/>
        <v>6125000</v>
      </c>
      <c r="O803" s="706">
        <v>1020833.3333333333</v>
      </c>
      <c r="P803" s="738">
        <v>0</v>
      </c>
      <c r="Q803" s="706">
        <v>0</v>
      </c>
      <c r="R803" s="705">
        <f t="shared" si="152"/>
        <v>1020833.3333333333</v>
      </c>
      <c r="S803" s="706">
        <f t="shared" si="153"/>
        <v>5104166.666666667</v>
      </c>
    </row>
    <row r="804" spans="1:19" ht="15.75" customHeight="1">
      <c r="D804" s="309"/>
      <c r="E804" s="316"/>
      <c r="F804" s="316"/>
      <c r="G804" s="454"/>
      <c r="H804" s="607" t="s">
        <v>826</v>
      </c>
      <c r="I804" s="258" t="s">
        <v>840</v>
      </c>
      <c r="J804" s="393">
        <v>0.25</v>
      </c>
      <c r="K804" s="706">
        <v>3200000</v>
      </c>
      <c r="L804" s="706">
        <v>0</v>
      </c>
      <c r="M804" s="706">
        <v>0</v>
      </c>
      <c r="N804" s="705">
        <f t="shared" si="151"/>
        <v>3200000</v>
      </c>
      <c r="O804" s="706">
        <v>466666.66666666674</v>
      </c>
      <c r="P804" s="738">
        <v>0</v>
      </c>
      <c r="Q804" s="706">
        <v>0</v>
      </c>
      <c r="R804" s="705">
        <f t="shared" si="152"/>
        <v>466666.66666666674</v>
      </c>
      <c r="S804" s="706">
        <f t="shared" si="153"/>
        <v>2733333.333333333</v>
      </c>
    </row>
    <row r="805" spans="1:19" ht="15.75" customHeight="1">
      <c r="D805" s="309"/>
      <c r="E805" s="316"/>
      <c r="F805" s="316"/>
      <c r="G805" s="589"/>
      <c r="H805" s="608" t="s">
        <v>839</v>
      </c>
      <c r="I805" s="259" t="s">
        <v>694</v>
      </c>
      <c r="J805" s="377">
        <v>0.25</v>
      </c>
      <c r="K805" s="705">
        <v>7030000</v>
      </c>
      <c r="L805" s="705">
        <v>0</v>
      </c>
      <c r="M805" s="705">
        <v>0</v>
      </c>
      <c r="N805" s="705">
        <f t="shared" si="151"/>
        <v>7030000</v>
      </c>
      <c r="O805" s="705">
        <v>585833.33333333337</v>
      </c>
      <c r="P805" s="831">
        <v>0</v>
      </c>
      <c r="Q805" s="705">
        <v>0</v>
      </c>
      <c r="R805" s="705">
        <f t="shared" si="152"/>
        <v>585833.33333333337</v>
      </c>
      <c r="S805" s="705">
        <f t="shared" si="153"/>
        <v>6444166.666666667</v>
      </c>
    </row>
    <row r="806" spans="1:19" ht="15.75" customHeight="1">
      <c r="D806" s="309"/>
      <c r="E806" s="316"/>
      <c r="F806" s="316"/>
      <c r="G806" s="455"/>
      <c r="H806" s="608" t="s">
        <v>835</v>
      </c>
      <c r="I806" s="844" t="s">
        <v>841</v>
      </c>
      <c r="J806" s="609">
        <v>0.25</v>
      </c>
      <c r="K806" s="707">
        <v>4000000</v>
      </c>
      <c r="L806" s="707"/>
      <c r="M806" s="707">
        <v>0</v>
      </c>
      <c r="N806" s="707">
        <f t="shared" si="151"/>
        <v>4000000</v>
      </c>
      <c r="O806" s="707">
        <v>0</v>
      </c>
      <c r="P806" s="707">
        <v>0</v>
      </c>
      <c r="Q806" s="707">
        <v>0</v>
      </c>
      <c r="R806" s="707">
        <f t="shared" si="152"/>
        <v>0</v>
      </c>
      <c r="S806" s="707">
        <f t="shared" si="153"/>
        <v>4000000</v>
      </c>
    </row>
    <row r="807" spans="1:19" ht="15.75" customHeight="1">
      <c r="A807" s="675" t="s">
        <v>938</v>
      </c>
      <c r="D807" s="309"/>
      <c r="E807" s="316"/>
      <c r="F807" s="1235" t="s">
        <v>1038</v>
      </c>
      <c r="G807" s="1236"/>
      <c r="H807" s="1237"/>
      <c r="I807" s="594"/>
      <c r="J807" s="595"/>
      <c r="K807" s="708">
        <f>SUM(K784:K806)</f>
        <v>146636500</v>
      </c>
      <c r="L807" s="708">
        <f t="shared" ref="L807:S807" si="154">SUM(L784:L806)</f>
        <v>0</v>
      </c>
      <c r="M807" s="708">
        <f t="shared" si="154"/>
        <v>0</v>
      </c>
      <c r="N807" s="708">
        <f t="shared" si="154"/>
        <v>146636500</v>
      </c>
      <c r="O807" s="708">
        <f t="shared" si="154"/>
        <v>65310883.333333336</v>
      </c>
      <c r="P807" s="708">
        <f t="shared" si="154"/>
        <v>0</v>
      </c>
      <c r="Q807" s="708">
        <f t="shared" si="154"/>
        <v>0</v>
      </c>
      <c r="R807" s="708">
        <f t="shared" si="154"/>
        <v>65310883.333333336</v>
      </c>
      <c r="S807" s="708">
        <f t="shared" si="154"/>
        <v>81325616.666666672</v>
      </c>
    </row>
    <row r="808" spans="1:19" s="703" customFormat="1" ht="15.75" customHeight="1">
      <c r="A808" s="675" t="s">
        <v>938</v>
      </c>
      <c r="B808" s="675"/>
      <c r="C808" s="675"/>
      <c r="D808" s="387"/>
      <c r="E808" s="324"/>
      <c r="F808" s="610"/>
      <c r="G808" s="722"/>
      <c r="H808" s="723"/>
      <c r="I808" s="845"/>
      <c r="J808" s="377"/>
      <c r="K808" s="843"/>
      <c r="L808" s="843"/>
      <c r="M808" s="843"/>
      <c r="N808" s="843"/>
      <c r="O808" s="843"/>
      <c r="P808" s="843"/>
      <c r="Q808" s="843"/>
      <c r="R808" s="843"/>
      <c r="S808" s="843"/>
    </row>
    <row r="809" spans="1:19" ht="15.75" customHeight="1">
      <c r="A809" s="675" t="s">
        <v>938</v>
      </c>
      <c r="D809" s="357"/>
      <c r="E809" s="301"/>
      <c r="F809" s="612" t="s">
        <v>1044</v>
      </c>
      <c r="G809" s="341" t="s">
        <v>842</v>
      </c>
      <c r="H809" s="613"/>
      <c r="I809" s="614"/>
      <c r="J809" s="595"/>
      <c r="K809" s="708"/>
      <c r="L809" s="708"/>
      <c r="M809" s="708"/>
      <c r="N809" s="708"/>
      <c r="O809" s="708"/>
      <c r="P809" s="708"/>
      <c r="Q809" s="708"/>
      <c r="R809" s="708"/>
      <c r="S809" s="708"/>
    </row>
    <row r="810" spans="1:19" ht="15.75" customHeight="1">
      <c r="A810" s="675" t="s">
        <v>938</v>
      </c>
      <c r="B810" s="675">
        <v>4</v>
      </c>
      <c r="C810" s="675">
        <v>4</v>
      </c>
      <c r="D810" s="309"/>
      <c r="E810" s="316"/>
      <c r="F810" s="606"/>
      <c r="G810" s="585"/>
      <c r="H810" s="270" t="s">
        <v>843</v>
      </c>
      <c r="I810" s="817">
        <v>2015</v>
      </c>
      <c r="J810" s="396">
        <v>0.25</v>
      </c>
      <c r="K810" s="709">
        <v>257000</v>
      </c>
      <c r="L810" s="709">
        <v>0</v>
      </c>
      <c r="M810" s="709">
        <v>0</v>
      </c>
      <c r="N810" s="705">
        <f>K810+L810-M810</f>
        <v>257000</v>
      </c>
      <c r="O810" s="709">
        <v>231300</v>
      </c>
      <c r="P810" s="738">
        <v>0</v>
      </c>
      <c r="Q810" s="709">
        <v>0</v>
      </c>
      <c r="R810" s="705">
        <f>O810+P810-Q810</f>
        <v>231300</v>
      </c>
      <c r="S810" s="706">
        <f>N810-R810</f>
        <v>25700</v>
      </c>
    </row>
    <row r="811" spans="1:19" ht="15.75" customHeight="1">
      <c r="A811" s="675" t="s">
        <v>938</v>
      </c>
      <c r="B811" s="675">
        <v>12</v>
      </c>
      <c r="C811" s="675">
        <v>12</v>
      </c>
      <c r="D811" s="309"/>
      <c r="E811" s="316"/>
      <c r="F811" s="606"/>
      <c r="G811" s="588"/>
      <c r="H811" s="590" t="s">
        <v>844</v>
      </c>
      <c r="I811" s="716">
        <v>2015</v>
      </c>
      <c r="J811" s="393">
        <v>0.25</v>
      </c>
      <c r="K811" s="705">
        <v>3700000</v>
      </c>
      <c r="L811" s="705">
        <v>0</v>
      </c>
      <c r="M811" s="705">
        <v>0</v>
      </c>
      <c r="N811" s="705">
        <f>K811+L811-M811</f>
        <v>3700000</v>
      </c>
      <c r="O811" s="705">
        <v>2836666.6666666665</v>
      </c>
      <c r="P811" s="738">
        <v>0</v>
      </c>
      <c r="Q811" s="705">
        <v>0</v>
      </c>
      <c r="R811" s="705">
        <f>O811+P811-Q811</f>
        <v>2836666.6666666665</v>
      </c>
      <c r="S811" s="706">
        <f>N811-R811</f>
        <v>863333.33333333349</v>
      </c>
    </row>
    <row r="812" spans="1:19" s="703" customFormat="1" ht="15.75" customHeight="1">
      <c r="A812" s="675" t="s">
        <v>938</v>
      </c>
      <c r="B812" s="675"/>
      <c r="C812" s="675"/>
      <c r="D812" s="309"/>
      <c r="E812" s="316"/>
      <c r="F812" s="1235" t="s">
        <v>1045</v>
      </c>
      <c r="G812" s="1236"/>
      <c r="H812" s="1237"/>
      <c r="I812" s="594"/>
      <c r="J812" s="595"/>
      <c r="K812" s="708">
        <f>SUM(K810:K811)</f>
        <v>3957000</v>
      </c>
      <c r="L812" s="708">
        <f t="shared" ref="L812:S812" si="155">SUM(L810:L811)</f>
        <v>0</v>
      </c>
      <c r="M812" s="708">
        <f t="shared" si="155"/>
        <v>0</v>
      </c>
      <c r="N812" s="708">
        <f t="shared" si="155"/>
        <v>3957000</v>
      </c>
      <c r="O812" s="708">
        <f t="shared" si="155"/>
        <v>3067966.6666666665</v>
      </c>
      <c r="P812" s="708">
        <f t="shared" si="155"/>
        <v>0</v>
      </c>
      <c r="Q812" s="708">
        <f t="shared" si="155"/>
        <v>0</v>
      </c>
      <c r="R812" s="708">
        <f t="shared" si="155"/>
        <v>3067966.6666666665</v>
      </c>
      <c r="S812" s="708">
        <f t="shared" si="155"/>
        <v>889033.33333333349</v>
      </c>
    </row>
    <row r="813" spans="1:19" s="703" customFormat="1" ht="15.75" customHeight="1">
      <c r="A813" s="675"/>
      <c r="B813" s="675"/>
      <c r="C813" s="675"/>
      <c r="D813" s="309"/>
      <c r="E813" s="316"/>
      <c r="F813" s="616" t="s">
        <v>1046</v>
      </c>
      <c r="G813" s="341" t="s">
        <v>845</v>
      </c>
      <c r="H813" s="341"/>
      <c r="I813" s="594"/>
      <c r="J813" s="617"/>
      <c r="K813" s="708"/>
      <c r="L813" s="708"/>
      <c r="M813" s="708"/>
      <c r="N813" s="708"/>
      <c r="O813" s="708"/>
      <c r="P813" s="708"/>
      <c r="Q813" s="708"/>
      <c r="R813" s="708"/>
      <c r="S813" s="708"/>
    </row>
    <row r="814" spans="1:19" s="703" customFormat="1" ht="15.75" customHeight="1">
      <c r="A814" s="675"/>
      <c r="B814" s="675"/>
      <c r="C814" s="675"/>
      <c r="D814" s="309"/>
      <c r="E814" s="316"/>
      <c r="F814" s="340"/>
      <c r="G814" s="341"/>
      <c r="H814" s="618" t="s">
        <v>411</v>
      </c>
      <c r="I814" s="594" t="s">
        <v>846</v>
      </c>
      <c r="J814" s="617">
        <v>0.25</v>
      </c>
      <c r="K814" s="846">
        <v>10200000</v>
      </c>
      <c r="L814" s="846">
        <v>0</v>
      </c>
      <c r="M814" s="846">
        <v>0</v>
      </c>
      <c r="N814" s="705">
        <f>K814+L814-M814</f>
        <v>10200000</v>
      </c>
      <c r="O814" s="705">
        <v>1062500</v>
      </c>
      <c r="P814" s="738">
        <v>0</v>
      </c>
      <c r="Q814" s="846">
        <v>0</v>
      </c>
      <c r="R814" s="705">
        <f>O814+P814-Q814</f>
        <v>1062500</v>
      </c>
      <c r="S814" s="706">
        <f>N814-R814</f>
        <v>9137500</v>
      </c>
    </row>
    <row r="815" spans="1:19" s="703" customFormat="1" ht="15.75" customHeight="1">
      <c r="A815" s="675"/>
      <c r="B815" s="675"/>
      <c r="C815" s="675"/>
      <c r="D815" s="309"/>
      <c r="E815" s="316"/>
      <c r="F815" s="341" t="s">
        <v>1047</v>
      </c>
      <c r="G815" s="341"/>
      <c r="H815" s="341"/>
      <c r="I815" s="594"/>
      <c r="J815" s="617"/>
      <c r="K815" s="708">
        <f>SUM(K814)</f>
        <v>10200000</v>
      </c>
      <c r="L815" s="708">
        <f t="shared" ref="L815:S815" si="156">SUM(L814)</f>
        <v>0</v>
      </c>
      <c r="M815" s="708">
        <f t="shared" si="156"/>
        <v>0</v>
      </c>
      <c r="N815" s="708">
        <f t="shared" si="156"/>
        <v>10200000</v>
      </c>
      <c r="O815" s="708">
        <f t="shared" si="156"/>
        <v>1062500</v>
      </c>
      <c r="P815" s="708">
        <f t="shared" si="156"/>
        <v>0</v>
      </c>
      <c r="Q815" s="708">
        <f t="shared" si="156"/>
        <v>0</v>
      </c>
      <c r="R815" s="708">
        <f t="shared" si="156"/>
        <v>1062500</v>
      </c>
      <c r="S815" s="708">
        <f t="shared" si="156"/>
        <v>9137500</v>
      </c>
    </row>
    <row r="816" spans="1:19" ht="15.75" customHeight="1">
      <c r="A816" s="675" t="s">
        <v>938</v>
      </c>
      <c r="D816" s="309"/>
      <c r="E816" s="1235" t="s">
        <v>1048</v>
      </c>
      <c r="F816" s="1236"/>
      <c r="G816" s="1236"/>
      <c r="H816" s="1236"/>
      <c r="I816" s="1236"/>
      <c r="J816" s="1237"/>
      <c r="K816" s="708">
        <f>K807+K812+K815</f>
        <v>160793500</v>
      </c>
      <c r="L816" s="708">
        <f t="shared" ref="L816:S816" si="157">L807+L812+L815</f>
        <v>0</v>
      </c>
      <c r="M816" s="708">
        <f t="shared" si="157"/>
        <v>0</v>
      </c>
      <c r="N816" s="708">
        <f t="shared" si="157"/>
        <v>160793500</v>
      </c>
      <c r="O816" s="708">
        <f t="shared" si="157"/>
        <v>69441350</v>
      </c>
      <c r="P816" s="708">
        <f t="shared" si="157"/>
        <v>0</v>
      </c>
      <c r="Q816" s="708">
        <f t="shared" si="157"/>
        <v>0</v>
      </c>
      <c r="R816" s="708">
        <f t="shared" si="157"/>
        <v>69441350</v>
      </c>
      <c r="S816" s="708">
        <f t="shared" si="157"/>
        <v>91352150</v>
      </c>
    </row>
    <row r="817" spans="1:19" ht="15.75" customHeight="1">
      <c r="D817" s="387"/>
      <c r="E817" s="324"/>
      <c r="F817" s="620"/>
      <c r="G817" s="721"/>
      <c r="H817" s="715"/>
      <c r="I817" s="716"/>
      <c r="J817" s="393"/>
      <c r="K817" s="830"/>
      <c r="L817" s="830"/>
      <c r="M817" s="830"/>
      <c r="N817" s="830"/>
      <c r="O817" s="830"/>
      <c r="P817" s="830"/>
      <c r="Q817" s="830"/>
      <c r="R817" s="830"/>
      <c r="S817" s="830"/>
    </row>
    <row r="818" spans="1:19" s="703" customFormat="1" ht="15.75" customHeight="1">
      <c r="A818" s="675" t="s">
        <v>941</v>
      </c>
      <c r="B818" s="675"/>
      <c r="C818" s="675"/>
      <c r="D818" s="387"/>
      <c r="E818" s="316" t="s">
        <v>1049</v>
      </c>
      <c r="F818" s="703" t="s">
        <v>847</v>
      </c>
      <c r="G818" s="842"/>
      <c r="H818" s="725"/>
      <c r="I818" s="724"/>
      <c r="J818" s="377"/>
      <c r="K818" s="843"/>
      <c r="L818" s="843"/>
      <c r="M818" s="843"/>
      <c r="N818" s="843"/>
      <c r="O818" s="843"/>
      <c r="P818" s="843"/>
      <c r="Q818" s="843"/>
      <c r="R818" s="843"/>
      <c r="S818" s="843"/>
    </row>
    <row r="819" spans="1:19" ht="15.75" customHeight="1">
      <c r="A819" s="675" t="s">
        <v>941</v>
      </c>
      <c r="D819" s="357"/>
      <c r="E819" s="301"/>
      <c r="F819" s="606" t="s">
        <v>1050</v>
      </c>
      <c r="G819" s="261" t="s">
        <v>236</v>
      </c>
      <c r="H819" s="312"/>
      <c r="I819" s="537"/>
      <c r="J819" s="393"/>
      <c r="K819" s="712"/>
      <c r="L819" s="712"/>
      <c r="M819" s="712"/>
      <c r="N819" s="712"/>
      <c r="O819" s="712"/>
      <c r="P819" s="712"/>
      <c r="Q819" s="712"/>
      <c r="R819" s="712"/>
      <c r="S819" s="712"/>
    </row>
    <row r="820" spans="1:19" ht="15.75" customHeight="1">
      <c r="A820" s="675" t="s">
        <v>941</v>
      </c>
      <c r="D820" s="309"/>
      <c r="E820" s="316"/>
      <c r="F820" s="606"/>
      <c r="G820" s="588"/>
      <c r="H820" s="590" t="s">
        <v>849</v>
      </c>
      <c r="I820" s="847">
        <v>2013</v>
      </c>
      <c r="J820" s="393">
        <v>0.25</v>
      </c>
      <c r="K820" s="705">
        <v>15700000</v>
      </c>
      <c r="L820" s="705">
        <v>0</v>
      </c>
      <c r="M820" s="705">
        <v>0</v>
      </c>
      <c r="N820" s="705">
        <f>K820+L820-M820</f>
        <v>15700000</v>
      </c>
      <c r="O820" s="705">
        <v>15700000</v>
      </c>
      <c r="P820" s="706">
        <v>0</v>
      </c>
      <c r="Q820" s="705">
        <v>0</v>
      </c>
      <c r="R820" s="705">
        <f>O820+P820-Q820</f>
        <v>15700000</v>
      </c>
      <c r="S820" s="706">
        <f>N820-R820</f>
        <v>0</v>
      </c>
    </row>
    <row r="821" spans="1:19" ht="15.75" customHeight="1">
      <c r="A821" s="675" t="s">
        <v>941</v>
      </c>
      <c r="D821" s="309"/>
      <c r="E821" s="316"/>
      <c r="F821" s="606"/>
      <c r="G821" s="588"/>
      <c r="H821" s="590" t="s">
        <v>850</v>
      </c>
      <c r="I821" s="847">
        <v>2014</v>
      </c>
      <c r="J821" s="393">
        <v>0.25</v>
      </c>
      <c r="K821" s="705">
        <v>6600000</v>
      </c>
      <c r="L821" s="705">
        <v>0</v>
      </c>
      <c r="M821" s="705">
        <v>0</v>
      </c>
      <c r="N821" s="705">
        <f>K821+L821-M821</f>
        <v>6600000</v>
      </c>
      <c r="O821" s="705">
        <v>6600000</v>
      </c>
      <c r="P821" s="706">
        <v>0</v>
      </c>
      <c r="Q821" s="705">
        <v>0</v>
      </c>
      <c r="R821" s="705">
        <f>O821+P821-Q821</f>
        <v>6600000</v>
      </c>
      <c r="S821" s="706">
        <f>N821-R821</f>
        <v>0</v>
      </c>
    </row>
    <row r="822" spans="1:19" s="703" customFormat="1" ht="15.75" customHeight="1">
      <c r="A822" s="675" t="s">
        <v>941</v>
      </c>
      <c r="B822" s="675"/>
      <c r="C822" s="675"/>
      <c r="D822" s="309"/>
      <c r="E822" s="316"/>
      <c r="F822" s="1235" t="s">
        <v>1038</v>
      </c>
      <c r="G822" s="1236"/>
      <c r="H822" s="1237"/>
      <c r="I822" s="594"/>
      <c r="J822" s="595"/>
      <c r="K822" s="708">
        <f>SUM(K820:K821)</f>
        <v>22300000</v>
      </c>
      <c r="L822" s="708">
        <f t="shared" ref="L822:S822" si="158">SUM(L820:L821)</f>
        <v>0</v>
      </c>
      <c r="M822" s="708">
        <f t="shared" si="158"/>
        <v>0</v>
      </c>
      <c r="N822" s="708">
        <f t="shared" si="158"/>
        <v>22300000</v>
      </c>
      <c r="O822" s="708">
        <f t="shared" si="158"/>
        <v>22300000</v>
      </c>
      <c r="P822" s="708">
        <f t="shared" si="158"/>
        <v>0</v>
      </c>
      <c r="Q822" s="708">
        <f t="shared" si="158"/>
        <v>0</v>
      </c>
      <c r="R822" s="708">
        <f t="shared" si="158"/>
        <v>22300000</v>
      </c>
      <c r="S822" s="708">
        <f t="shared" si="158"/>
        <v>0</v>
      </c>
    </row>
    <row r="823" spans="1:19" ht="15.75" customHeight="1">
      <c r="A823" s="675" t="s">
        <v>941</v>
      </c>
      <c r="D823" s="309"/>
      <c r="E823" s="1235" t="s">
        <v>1051</v>
      </c>
      <c r="F823" s="1236"/>
      <c r="G823" s="1236"/>
      <c r="H823" s="1236"/>
      <c r="I823" s="1236"/>
      <c r="J823" s="1237"/>
      <c r="K823" s="708">
        <f>K822</f>
        <v>22300000</v>
      </c>
      <c r="L823" s="708">
        <f t="shared" ref="L823:S823" si="159">L822</f>
        <v>0</v>
      </c>
      <c r="M823" s="708">
        <f t="shared" si="159"/>
        <v>0</v>
      </c>
      <c r="N823" s="708">
        <f t="shared" si="159"/>
        <v>22300000</v>
      </c>
      <c r="O823" s="708">
        <f t="shared" si="159"/>
        <v>22300000</v>
      </c>
      <c r="P823" s="708">
        <f t="shared" si="159"/>
        <v>0</v>
      </c>
      <c r="Q823" s="708">
        <f t="shared" si="159"/>
        <v>0</v>
      </c>
      <c r="R823" s="708">
        <f t="shared" si="159"/>
        <v>22300000</v>
      </c>
      <c r="S823" s="708">
        <f t="shared" si="159"/>
        <v>0</v>
      </c>
    </row>
    <row r="824" spans="1:19" ht="15.75" customHeight="1">
      <c r="D824" s="387"/>
      <c r="E824" s="324"/>
      <c r="F824" s="620"/>
      <c r="G824" s="721"/>
      <c r="H824" s="715"/>
      <c r="I824" s="716"/>
      <c r="J824" s="393"/>
      <c r="K824" s="830"/>
      <c r="L824" s="830"/>
      <c r="M824" s="830"/>
      <c r="N824" s="830"/>
      <c r="O824" s="830"/>
      <c r="P824" s="830"/>
      <c r="Q824" s="830"/>
      <c r="R824" s="830"/>
      <c r="S824" s="830"/>
    </row>
    <row r="825" spans="1:19" s="703" customFormat="1" ht="15.75" customHeight="1">
      <c r="A825" s="675" t="s">
        <v>944</v>
      </c>
      <c r="B825" s="675"/>
      <c r="C825" s="675"/>
      <c r="D825" s="387"/>
      <c r="E825" s="316" t="s">
        <v>1052</v>
      </c>
      <c r="F825" s="703" t="s">
        <v>851</v>
      </c>
      <c r="G825" s="842"/>
      <c r="H825" s="725"/>
      <c r="I825" s="724"/>
      <c r="J825" s="377"/>
      <c r="K825" s="843"/>
      <c r="L825" s="843"/>
      <c r="M825" s="843"/>
      <c r="N825" s="843"/>
      <c r="O825" s="843"/>
      <c r="P825" s="843"/>
      <c r="Q825" s="843"/>
      <c r="R825" s="843"/>
      <c r="S825" s="843"/>
    </row>
    <row r="826" spans="1:19" ht="15.75" customHeight="1">
      <c r="A826" s="675" t="s">
        <v>944</v>
      </c>
      <c r="D826" s="357"/>
      <c r="E826" s="301"/>
      <c r="F826" s="606" t="s">
        <v>1053</v>
      </c>
      <c r="G826" s="261" t="s">
        <v>236</v>
      </c>
      <c r="H826" s="312"/>
      <c r="I826" s="537"/>
      <c r="J826" s="393"/>
      <c r="K826" s="712"/>
      <c r="L826" s="712"/>
      <c r="M826" s="712"/>
      <c r="N826" s="712"/>
      <c r="O826" s="712"/>
      <c r="P826" s="712"/>
      <c r="Q826" s="712"/>
      <c r="R826" s="712"/>
      <c r="S826" s="712"/>
    </row>
    <row r="827" spans="1:19" ht="15.75" customHeight="1">
      <c r="A827" s="675" t="s">
        <v>944</v>
      </c>
      <c r="D827" s="309"/>
      <c r="E827" s="316"/>
      <c r="F827" s="606"/>
      <c r="G827" s="588"/>
      <c r="H827" s="590" t="s">
        <v>855</v>
      </c>
      <c r="I827" s="847">
        <v>2014</v>
      </c>
      <c r="J827" s="393">
        <v>0.25</v>
      </c>
      <c r="K827" s="705">
        <v>8000000</v>
      </c>
      <c r="L827" s="705">
        <v>0</v>
      </c>
      <c r="M827" s="705">
        <v>0</v>
      </c>
      <c r="N827" s="705">
        <f t="shared" ref="N827:N841" si="160">K827+L827-M827</f>
        <v>8000000</v>
      </c>
      <c r="O827" s="705">
        <v>8000000</v>
      </c>
      <c r="P827" s="706">
        <v>0</v>
      </c>
      <c r="Q827" s="705">
        <v>0</v>
      </c>
      <c r="R827" s="705">
        <f>O827+P827-Q827</f>
        <v>8000000</v>
      </c>
      <c r="S827" s="706">
        <f t="shared" ref="S827:S840" si="161">N827-R827</f>
        <v>0</v>
      </c>
    </row>
    <row r="828" spans="1:19" ht="15.75" customHeight="1">
      <c r="A828" s="675" t="s">
        <v>944</v>
      </c>
      <c r="D828" s="309"/>
      <c r="E828" s="316"/>
      <c r="F828" s="606"/>
      <c r="G828" s="588"/>
      <c r="H828" s="590" t="s">
        <v>856</v>
      </c>
      <c r="I828" s="847">
        <v>2012</v>
      </c>
      <c r="J828" s="393">
        <v>0.25</v>
      </c>
      <c r="K828" s="705">
        <v>7200000</v>
      </c>
      <c r="L828" s="705">
        <v>0</v>
      </c>
      <c r="M828" s="705">
        <v>0</v>
      </c>
      <c r="N828" s="705">
        <f t="shared" si="160"/>
        <v>7200000</v>
      </c>
      <c r="O828" s="705">
        <v>7200000</v>
      </c>
      <c r="P828" s="706">
        <v>0</v>
      </c>
      <c r="Q828" s="705">
        <v>0</v>
      </c>
      <c r="R828" s="705">
        <f t="shared" ref="R828:R840" si="162">O828+P828-Q828</f>
        <v>7200000</v>
      </c>
      <c r="S828" s="706">
        <f t="shared" si="161"/>
        <v>0</v>
      </c>
    </row>
    <row r="829" spans="1:19" ht="15.75" customHeight="1">
      <c r="A829" s="675" t="s">
        <v>944</v>
      </c>
      <c r="D829" s="309"/>
      <c r="E829" s="316"/>
      <c r="F829" s="606"/>
      <c r="G829" s="588"/>
      <c r="H829" s="590" t="s">
        <v>857</v>
      </c>
      <c r="I829" s="847">
        <v>2010</v>
      </c>
      <c r="J829" s="393">
        <v>0.25</v>
      </c>
      <c r="K829" s="705">
        <v>12500000</v>
      </c>
      <c r="L829" s="705">
        <v>0</v>
      </c>
      <c r="M829" s="705">
        <v>0</v>
      </c>
      <c r="N829" s="705">
        <f t="shared" si="160"/>
        <v>12500000</v>
      </c>
      <c r="O829" s="705">
        <v>12500000</v>
      </c>
      <c r="P829" s="706">
        <v>0</v>
      </c>
      <c r="Q829" s="705">
        <v>0</v>
      </c>
      <c r="R829" s="705">
        <f t="shared" si="162"/>
        <v>12500000</v>
      </c>
      <c r="S829" s="706">
        <f t="shared" si="161"/>
        <v>0</v>
      </c>
    </row>
    <row r="830" spans="1:19" ht="15.75" customHeight="1">
      <c r="A830" s="675" t="s">
        <v>944</v>
      </c>
      <c r="D830" s="309"/>
      <c r="E830" s="316"/>
      <c r="F830" s="606"/>
      <c r="G830" s="588"/>
      <c r="H830" s="590" t="s">
        <v>858</v>
      </c>
      <c r="I830" s="847">
        <v>2013</v>
      </c>
      <c r="J830" s="393">
        <v>0.25</v>
      </c>
      <c r="K830" s="705">
        <v>5100000</v>
      </c>
      <c r="L830" s="705">
        <v>0</v>
      </c>
      <c r="M830" s="705">
        <v>0</v>
      </c>
      <c r="N830" s="705">
        <f t="shared" si="160"/>
        <v>5100000</v>
      </c>
      <c r="O830" s="705">
        <v>5100000</v>
      </c>
      <c r="P830" s="706">
        <v>0</v>
      </c>
      <c r="Q830" s="705">
        <v>0</v>
      </c>
      <c r="R830" s="705">
        <f t="shared" si="162"/>
        <v>5100000</v>
      </c>
      <c r="S830" s="706">
        <f t="shared" si="161"/>
        <v>0</v>
      </c>
    </row>
    <row r="831" spans="1:19" ht="15.75" customHeight="1">
      <c r="A831" s="675" t="s">
        <v>944</v>
      </c>
      <c r="D831" s="309"/>
      <c r="E831" s="316"/>
      <c r="F831" s="606"/>
      <c r="G831" s="588"/>
      <c r="H831" s="590" t="s">
        <v>859</v>
      </c>
      <c r="I831" s="847">
        <v>2014</v>
      </c>
      <c r="J831" s="393">
        <v>0.25</v>
      </c>
      <c r="K831" s="705">
        <v>4300000</v>
      </c>
      <c r="L831" s="705">
        <v>0</v>
      </c>
      <c r="M831" s="705">
        <v>0</v>
      </c>
      <c r="N831" s="705">
        <f t="shared" si="160"/>
        <v>4300000</v>
      </c>
      <c r="O831" s="705">
        <v>4300000</v>
      </c>
      <c r="P831" s="706">
        <v>0</v>
      </c>
      <c r="Q831" s="705">
        <v>0</v>
      </c>
      <c r="R831" s="705">
        <f t="shared" si="162"/>
        <v>4300000</v>
      </c>
      <c r="S831" s="706">
        <f t="shared" si="161"/>
        <v>0</v>
      </c>
    </row>
    <row r="832" spans="1:19" ht="15.75" customHeight="1">
      <c r="A832" s="675" t="s">
        <v>944</v>
      </c>
      <c r="D832" s="309"/>
      <c r="E832" s="316"/>
      <c r="F832" s="606"/>
      <c r="G832" s="588"/>
      <c r="H832" s="590" t="s">
        <v>860</v>
      </c>
      <c r="I832" s="848">
        <v>2014</v>
      </c>
      <c r="J832" s="377">
        <v>0.25</v>
      </c>
      <c r="K832" s="705">
        <v>8200000</v>
      </c>
      <c r="L832" s="705">
        <v>0</v>
      </c>
      <c r="M832" s="705">
        <v>0</v>
      </c>
      <c r="N832" s="705">
        <f t="shared" si="160"/>
        <v>8200000</v>
      </c>
      <c r="O832" s="705">
        <v>8200000</v>
      </c>
      <c r="P832" s="706">
        <v>0</v>
      </c>
      <c r="Q832" s="705">
        <v>0</v>
      </c>
      <c r="R832" s="705">
        <f t="shared" si="162"/>
        <v>8200000</v>
      </c>
      <c r="S832" s="706">
        <f t="shared" si="161"/>
        <v>0</v>
      </c>
    </row>
    <row r="833" spans="1:19" ht="15.75" customHeight="1">
      <c r="A833" s="675" t="s">
        <v>944</v>
      </c>
      <c r="D833" s="623"/>
      <c r="E833" s="606"/>
      <c r="F833" s="606"/>
      <c r="G833" s="454"/>
      <c r="H833" s="607" t="s">
        <v>861</v>
      </c>
      <c r="I833" s="847">
        <v>2013</v>
      </c>
      <c r="J833" s="393">
        <v>0.25</v>
      </c>
      <c r="K833" s="706">
        <v>5000000</v>
      </c>
      <c r="L833" s="706">
        <v>0</v>
      </c>
      <c r="M833" s="706">
        <v>0</v>
      </c>
      <c r="N833" s="705">
        <f t="shared" si="160"/>
        <v>5000000</v>
      </c>
      <c r="O833" s="706">
        <v>5000000</v>
      </c>
      <c r="P833" s="706">
        <v>0</v>
      </c>
      <c r="Q833" s="706">
        <v>0</v>
      </c>
      <c r="R833" s="705">
        <f t="shared" si="162"/>
        <v>5000000</v>
      </c>
      <c r="S833" s="706">
        <f t="shared" si="161"/>
        <v>0</v>
      </c>
    </row>
    <row r="834" spans="1:19" ht="15.75" customHeight="1">
      <c r="D834" s="623"/>
      <c r="E834" s="606"/>
      <c r="F834" s="606"/>
      <c r="G834" s="454"/>
      <c r="H834" s="607" t="s">
        <v>862</v>
      </c>
      <c r="I834" s="716">
        <v>2015</v>
      </c>
      <c r="J834" s="393">
        <v>0.25</v>
      </c>
      <c r="K834" s="706">
        <v>5937500</v>
      </c>
      <c r="L834" s="706">
        <v>0</v>
      </c>
      <c r="M834" s="706">
        <v>0</v>
      </c>
      <c r="N834" s="705">
        <f t="shared" si="160"/>
        <v>5937500</v>
      </c>
      <c r="O834" s="706">
        <v>5937500</v>
      </c>
      <c r="P834" s="706">
        <v>0</v>
      </c>
      <c r="Q834" s="706">
        <v>0</v>
      </c>
      <c r="R834" s="705">
        <f t="shared" si="162"/>
        <v>5937500</v>
      </c>
      <c r="S834" s="706">
        <f t="shared" si="161"/>
        <v>0</v>
      </c>
    </row>
    <row r="835" spans="1:19" ht="15.75" customHeight="1">
      <c r="D835" s="623"/>
      <c r="E835" s="606"/>
      <c r="F835" s="606"/>
      <c r="G835" s="454"/>
      <c r="H835" s="607" t="s">
        <v>863</v>
      </c>
      <c r="I835" s="716">
        <v>2018</v>
      </c>
      <c r="J835" s="393">
        <v>0.25</v>
      </c>
      <c r="K835" s="706">
        <v>2930000</v>
      </c>
      <c r="L835" s="706">
        <v>0</v>
      </c>
      <c r="M835" s="706">
        <v>0</v>
      </c>
      <c r="N835" s="705">
        <f t="shared" si="160"/>
        <v>2930000</v>
      </c>
      <c r="O835" s="706">
        <v>2685833.333333333</v>
      </c>
      <c r="P835" s="706">
        <v>244166.66666666698</v>
      </c>
      <c r="Q835" s="706">
        <v>0</v>
      </c>
      <c r="R835" s="705">
        <f t="shared" si="162"/>
        <v>2930000</v>
      </c>
      <c r="S835" s="706">
        <f t="shared" si="161"/>
        <v>0</v>
      </c>
    </row>
    <row r="836" spans="1:19" ht="15.75" customHeight="1">
      <c r="D836" s="623"/>
      <c r="E836" s="606"/>
      <c r="F836" s="606"/>
      <c r="G836" s="454"/>
      <c r="H836" s="607" t="s">
        <v>864</v>
      </c>
      <c r="I836" s="716">
        <v>2018</v>
      </c>
      <c r="J836" s="393">
        <v>0.25</v>
      </c>
      <c r="K836" s="706">
        <v>4785000</v>
      </c>
      <c r="L836" s="706">
        <v>0</v>
      </c>
      <c r="M836" s="706">
        <v>0</v>
      </c>
      <c r="N836" s="705">
        <f t="shared" si="160"/>
        <v>4785000</v>
      </c>
      <c r="O836" s="706">
        <v>3887812.5</v>
      </c>
      <c r="P836" s="706">
        <v>897187.5</v>
      </c>
      <c r="Q836" s="706">
        <v>0</v>
      </c>
      <c r="R836" s="705">
        <f t="shared" si="162"/>
        <v>4785000</v>
      </c>
      <c r="S836" s="706">
        <f t="shared" si="161"/>
        <v>0</v>
      </c>
    </row>
    <row r="837" spans="1:19" ht="15.75" customHeight="1">
      <c r="D837" s="623"/>
      <c r="E837" s="606"/>
      <c r="F837" s="606"/>
      <c r="G837" s="454"/>
      <c r="H837" s="607" t="s">
        <v>865</v>
      </c>
      <c r="I837" s="716">
        <v>2018</v>
      </c>
      <c r="J837" s="393">
        <v>0.25</v>
      </c>
      <c r="K837" s="706">
        <v>3000000</v>
      </c>
      <c r="L837" s="706">
        <v>0</v>
      </c>
      <c r="M837" s="706">
        <v>0</v>
      </c>
      <c r="N837" s="705">
        <f t="shared" si="160"/>
        <v>3000000</v>
      </c>
      <c r="O837" s="706">
        <v>2250000</v>
      </c>
      <c r="P837" s="706">
        <f>N837*J837</f>
        <v>750000</v>
      </c>
      <c r="Q837" s="706">
        <v>0</v>
      </c>
      <c r="R837" s="705">
        <f t="shared" si="162"/>
        <v>3000000</v>
      </c>
      <c r="S837" s="706">
        <f t="shared" si="161"/>
        <v>0</v>
      </c>
    </row>
    <row r="838" spans="1:19" ht="15.75" customHeight="1">
      <c r="D838" s="623"/>
      <c r="E838" s="606"/>
      <c r="F838" s="606"/>
      <c r="G838" s="454"/>
      <c r="H838" s="608" t="s">
        <v>866</v>
      </c>
      <c r="I838" s="724">
        <v>2018</v>
      </c>
      <c r="J838" s="377">
        <v>0.25</v>
      </c>
      <c r="K838" s="705">
        <v>5890000</v>
      </c>
      <c r="L838" s="705">
        <v>0</v>
      </c>
      <c r="M838" s="705">
        <v>0</v>
      </c>
      <c r="N838" s="705">
        <f t="shared" si="160"/>
        <v>5890000</v>
      </c>
      <c r="O838" s="705">
        <v>4417500.0000000019</v>
      </c>
      <c r="P838" s="706">
        <f>N838*J838</f>
        <v>1472500</v>
      </c>
      <c r="Q838" s="705">
        <v>0</v>
      </c>
      <c r="R838" s="705">
        <f t="shared" si="162"/>
        <v>5890000.0000000019</v>
      </c>
      <c r="S838" s="706">
        <f t="shared" si="161"/>
        <v>0</v>
      </c>
    </row>
    <row r="839" spans="1:19" ht="15.75" customHeight="1">
      <c r="D839" s="309"/>
      <c r="E839" s="316"/>
      <c r="F839" s="606"/>
      <c r="G839" s="454"/>
      <c r="H839" s="607" t="s">
        <v>867</v>
      </c>
      <c r="I839" s="824">
        <v>43776</v>
      </c>
      <c r="J839" s="393">
        <v>0.25</v>
      </c>
      <c r="K839" s="706">
        <v>3300000</v>
      </c>
      <c r="L839" s="705">
        <v>0</v>
      </c>
      <c r="M839" s="705">
        <v>0</v>
      </c>
      <c r="N839" s="705">
        <f t="shared" si="160"/>
        <v>3300000</v>
      </c>
      <c r="O839" s="706">
        <v>1787500</v>
      </c>
      <c r="P839" s="706">
        <f>N839*J839</f>
        <v>825000</v>
      </c>
      <c r="Q839" s="705">
        <v>0</v>
      </c>
      <c r="R839" s="705">
        <f t="shared" si="162"/>
        <v>2612500</v>
      </c>
      <c r="S839" s="706">
        <f t="shared" si="161"/>
        <v>687500</v>
      </c>
    </row>
    <row r="840" spans="1:19" ht="15.75" customHeight="1">
      <c r="D840" s="309"/>
      <c r="E840" s="316"/>
      <c r="F840" s="606"/>
      <c r="G840" s="589"/>
      <c r="H840" s="608" t="s">
        <v>868</v>
      </c>
      <c r="I840" s="849">
        <v>43787</v>
      </c>
      <c r="J840" s="377">
        <v>0.25</v>
      </c>
      <c r="K840" s="705">
        <v>1288952</v>
      </c>
      <c r="L840" s="705">
        <v>0</v>
      </c>
      <c r="M840" s="705">
        <v>0</v>
      </c>
      <c r="N840" s="705">
        <f t="shared" si="160"/>
        <v>1288952</v>
      </c>
      <c r="O840" s="705">
        <v>671329.16666666663</v>
      </c>
      <c r="P840" s="706">
        <f>N840*J840</f>
        <v>322238</v>
      </c>
      <c r="Q840" s="705">
        <v>0</v>
      </c>
      <c r="R840" s="705">
        <f t="shared" si="162"/>
        <v>993567.16666666663</v>
      </c>
      <c r="S840" s="705">
        <f t="shared" si="161"/>
        <v>295384.83333333337</v>
      </c>
    </row>
    <row r="841" spans="1:19" ht="15.75" customHeight="1">
      <c r="D841" s="309"/>
      <c r="E841" s="316"/>
      <c r="F841" s="625"/>
      <c r="G841" s="626"/>
      <c r="H841" s="463" t="s">
        <v>869</v>
      </c>
      <c r="I841" s="262">
        <v>2021</v>
      </c>
      <c r="J841" s="850">
        <v>0.25</v>
      </c>
      <c r="K841" s="707">
        <v>1050000</v>
      </c>
      <c r="L841" s="705">
        <v>0</v>
      </c>
      <c r="M841" s="705">
        <v>0</v>
      </c>
      <c r="N841" s="705">
        <f t="shared" si="160"/>
        <v>1050000</v>
      </c>
      <c r="O841" s="707">
        <v>65625</v>
      </c>
      <c r="P841" s="706">
        <f>N841*J841</f>
        <v>262500</v>
      </c>
      <c r="Q841" s="707"/>
      <c r="R841" s="707">
        <v>65625</v>
      </c>
      <c r="S841" s="705">
        <f>N841-R841</f>
        <v>984375</v>
      </c>
    </row>
    <row r="842" spans="1:19" ht="15.75" customHeight="1">
      <c r="A842" s="675" t="s">
        <v>944</v>
      </c>
      <c r="D842" s="309"/>
      <c r="E842" s="316"/>
      <c r="F842" s="1238" t="s">
        <v>1038</v>
      </c>
      <c r="G842" s="1239"/>
      <c r="H842" s="1240"/>
      <c r="I842" s="628"/>
      <c r="J842" s="593"/>
      <c r="K842" s="851">
        <f>SUM(K827:K841)</f>
        <v>78481452</v>
      </c>
      <c r="L842" s="851">
        <f t="shared" ref="L842:S842" si="163">SUM(L827:L841)</f>
        <v>0</v>
      </c>
      <c r="M842" s="851">
        <f t="shared" si="163"/>
        <v>0</v>
      </c>
      <c r="N842" s="708">
        <f t="shared" si="163"/>
        <v>78481452</v>
      </c>
      <c r="O842" s="851">
        <f t="shared" si="163"/>
        <v>72003100.000000015</v>
      </c>
      <c r="P842" s="851">
        <f t="shared" si="163"/>
        <v>4773592.166666667</v>
      </c>
      <c r="Q842" s="851">
        <f t="shared" si="163"/>
        <v>0</v>
      </c>
      <c r="R842" s="851">
        <f t="shared" si="163"/>
        <v>76514192.166666672</v>
      </c>
      <c r="S842" s="708">
        <f t="shared" si="163"/>
        <v>1967259.8333333335</v>
      </c>
    </row>
    <row r="843" spans="1:19" s="703" customFormat="1" ht="15.75" customHeight="1">
      <c r="A843" s="675" t="s">
        <v>944</v>
      </c>
      <c r="B843" s="675"/>
      <c r="C843" s="675"/>
      <c r="D843" s="309"/>
      <c r="E843" s="316"/>
      <c r="F843" s="606"/>
      <c r="G843" s="588"/>
      <c r="H843" s="590"/>
      <c r="I843" s="847"/>
      <c r="J843" s="377"/>
      <c r="K843" s="705"/>
      <c r="L843" s="705"/>
      <c r="M843" s="705"/>
      <c r="N843" s="705"/>
      <c r="O843" s="705"/>
      <c r="P843" s="705"/>
      <c r="Q843" s="705"/>
      <c r="R843" s="705"/>
      <c r="S843" s="705"/>
    </row>
    <row r="844" spans="1:19" ht="15.75" customHeight="1">
      <c r="A844" s="675" t="s">
        <v>944</v>
      </c>
      <c r="D844" s="357"/>
      <c r="E844" s="301"/>
      <c r="F844" s="606" t="s">
        <v>1054</v>
      </c>
      <c r="G844" s="261" t="s">
        <v>1055</v>
      </c>
      <c r="H844" s="312"/>
      <c r="I844" s="537"/>
      <c r="J844" s="393"/>
      <c r="K844" s="712"/>
      <c r="L844" s="712"/>
      <c r="M844" s="712"/>
      <c r="N844" s="712"/>
      <c r="O844" s="712"/>
      <c r="P844" s="712"/>
      <c r="Q844" s="712"/>
      <c r="R844" s="712"/>
      <c r="S844" s="712"/>
    </row>
    <row r="845" spans="1:19" ht="15.75" customHeight="1">
      <c r="A845" s="675" t="s">
        <v>944</v>
      </c>
      <c r="D845" s="309"/>
      <c r="E845" s="316"/>
      <c r="F845" s="606"/>
      <c r="G845" s="467"/>
      <c r="H845" s="590" t="s">
        <v>872</v>
      </c>
      <c r="I845" s="847">
        <v>2010</v>
      </c>
      <c r="J845" s="393">
        <v>0.25</v>
      </c>
      <c r="K845" s="705">
        <v>50500000</v>
      </c>
      <c r="L845" s="705">
        <v>0</v>
      </c>
      <c r="M845" s="705">
        <v>0</v>
      </c>
      <c r="N845" s="705">
        <f t="shared" ref="N845:N854" si="164">K845+L845-M845</f>
        <v>50500000</v>
      </c>
      <c r="O845" s="705">
        <v>50500000</v>
      </c>
      <c r="P845" s="706">
        <v>0</v>
      </c>
      <c r="Q845" s="705">
        <v>0</v>
      </c>
      <c r="R845" s="705">
        <f>O845+P845-Q845</f>
        <v>50500000</v>
      </c>
      <c r="S845" s="706">
        <f t="shared" ref="S845:S855" si="165">N845-R845</f>
        <v>0</v>
      </c>
    </row>
    <row r="846" spans="1:19" ht="15.75" customHeight="1">
      <c r="A846" s="675" t="s">
        <v>944</v>
      </c>
      <c r="D846" s="309"/>
      <c r="E846" s="316"/>
      <c r="F846" s="606"/>
      <c r="G846" s="467"/>
      <c r="H846" s="590" t="s">
        <v>873</v>
      </c>
      <c r="I846" s="847">
        <v>2011</v>
      </c>
      <c r="J846" s="393">
        <v>0.25</v>
      </c>
      <c r="K846" s="705">
        <v>26000000</v>
      </c>
      <c r="L846" s="705">
        <v>0</v>
      </c>
      <c r="M846" s="705">
        <v>0</v>
      </c>
      <c r="N846" s="705">
        <f t="shared" si="164"/>
        <v>26000000</v>
      </c>
      <c r="O846" s="705">
        <v>26000000</v>
      </c>
      <c r="P846" s="706">
        <v>0</v>
      </c>
      <c r="Q846" s="705">
        <v>0</v>
      </c>
      <c r="R846" s="705">
        <f t="shared" ref="R846:R855" si="166">O846+P846-Q846</f>
        <v>26000000</v>
      </c>
      <c r="S846" s="706">
        <f t="shared" si="165"/>
        <v>0</v>
      </c>
    </row>
    <row r="847" spans="1:19" ht="15.75" customHeight="1">
      <c r="A847" s="675" t="s">
        <v>944</v>
      </c>
      <c r="D847" s="309"/>
      <c r="E847" s="316"/>
      <c r="F847" s="606"/>
      <c r="G847" s="467"/>
      <c r="H847" s="590" t="s">
        <v>874</v>
      </c>
      <c r="I847" s="847">
        <v>2014</v>
      </c>
      <c r="J847" s="393">
        <v>0.25</v>
      </c>
      <c r="K847" s="705">
        <v>18000000</v>
      </c>
      <c r="L847" s="705">
        <v>0</v>
      </c>
      <c r="M847" s="705">
        <v>0</v>
      </c>
      <c r="N847" s="705">
        <f t="shared" si="164"/>
        <v>18000000</v>
      </c>
      <c r="O847" s="705">
        <v>18000000</v>
      </c>
      <c r="P847" s="706">
        <v>0</v>
      </c>
      <c r="Q847" s="705">
        <v>0</v>
      </c>
      <c r="R847" s="705">
        <f t="shared" si="166"/>
        <v>18000000</v>
      </c>
      <c r="S847" s="706">
        <f t="shared" si="165"/>
        <v>0</v>
      </c>
    </row>
    <row r="848" spans="1:19" ht="15.75" customHeight="1">
      <c r="A848" s="675" t="s">
        <v>944</v>
      </c>
      <c r="D848" s="309"/>
      <c r="E848" s="316"/>
      <c r="F848" s="606"/>
      <c r="G848" s="467"/>
      <c r="H848" s="590" t="s">
        <v>875</v>
      </c>
      <c r="I848" s="847">
        <v>2014</v>
      </c>
      <c r="J848" s="393">
        <v>0.25</v>
      </c>
      <c r="K848" s="705">
        <v>11300000</v>
      </c>
      <c r="L848" s="705">
        <v>0</v>
      </c>
      <c r="M848" s="705">
        <v>0</v>
      </c>
      <c r="N848" s="705">
        <f t="shared" si="164"/>
        <v>11300000</v>
      </c>
      <c r="O848" s="705">
        <v>11300000</v>
      </c>
      <c r="P848" s="706">
        <v>0</v>
      </c>
      <c r="Q848" s="705">
        <v>0</v>
      </c>
      <c r="R848" s="705">
        <f t="shared" si="166"/>
        <v>11300000</v>
      </c>
      <c r="S848" s="706">
        <f t="shared" si="165"/>
        <v>0</v>
      </c>
    </row>
    <row r="849" spans="1:20" ht="15.75" customHeight="1">
      <c r="A849" s="675" t="s">
        <v>944</v>
      </c>
      <c r="D849" s="309"/>
      <c r="E849" s="316"/>
      <c r="F849" s="606"/>
      <c r="G849" s="467"/>
      <c r="H849" s="590" t="s">
        <v>876</v>
      </c>
      <c r="I849" s="848">
        <v>2014</v>
      </c>
      <c r="J849" s="377">
        <v>0.25</v>
      </c>
      <c r="K849" s="705">
        <v>10800000</v>
      </c>
      <c r="L849" s="705">
        <v>0</v>
      </c>
      <c r="M849" s="705">
        <v>0</v>
      </c>
      <c r="N849" s="705">
        <f t="shared" si="164"/>
        <v>10800000</v>
      </c>
      <c r="O849" s="705">
        <v>10800000</v>
      </c>
      <c r="P849" s="706">
        <v>0</v>
      </c>
      <c r="Q849" s="705">
        <v>0</v>
      </c>
      <c r="R849" s="705">
        <f t="shared" si="166"/>
        <v>10800000</v>
      </c>
      <c r="S849" s="706">
        <f t="shared" si="165"/>
        <v>0</v>
      </c>
    </row>
    <row r="850" spans="1:20" ht="15.75" customHeight="1">
      <c r="A850" s="675" t="s">
        <v>944</v>
      </c>
      <c r="B850" s="675">
        <v>3</v>
      </c>
      <c r="C850" s="675">
        <v>3</v>
      </c>
      <c r="D850" s="623"/>
      <c r="E850" s="606"/>
      <c r="F850" s="606"/>
      <c r="G850" s="467"/>
      <c r="H850" s="502" t="s">
        <v>877</v>
      </c>
      <c r="I850" s="716">
        <v>2015</v>
      </c>
      <c r="J850" s="393">
        <v>0.25</v>
      </c>
      <c r="K850" s="706">
        <v>12550000</v>
      </c>
      <c r="L850" s="706">
        <v>0</v>
      </c>
      <c r="M850" s="706">
        <v>0</v>
      </c>
      <c r="N850" s="705">
        <f t="shared" si="164"/>
        <v>12550000</v>
      </c>
      <c r="O850" s="706">
        <v>12550000.333333338</v>
      </c>
      <c r="P850" s="706">
        <v>-0.33333333767950535</v>
      </c>
      <c r="Q850" s="706">
        <v>0</v>
      </c>
      <c r="R850" s="705">
        <f t="shared" si="166"/>
        <v>12550000</v>
      </c>
      <c r="S850" s="706">
        <f t="shared" si="165"/>
        <v>0</v>
      </c>
    </row>
    <row r="851" spans="1:20" ht="15.75" customHeight="1">
      <c r="D851" s="623"/>
      <c r="E851" s="606"/>
      <c r="F851" s="606"/>
      <c r="G851" s="467"/>
      <c r="H851" s="502" t="s">
        <v>878</v>
      </c>
      <c r="I851" s="716">
        <v>2017</v>
      </c>
      <c r="J851" s="393">
        <v>0.25</v>
      </c>
      <c r="K851" s="706">
        <v>16272728</v>
      </c>
      <c r="L851" s="705">
        <v>0</v>
      </c>
      <c r="M851" s="706">
        <v>0</v>
      </c>
      <c r="N851" s="705">
        <f t="shared" si="164"/>
        <v>16272728</v>
      </c>
      <c r="O851" s="706">
        <v>14916667.333333325</v>
      </c>
      <c r="P851" s="706">
        <v>1356060.6666666754</v>
      </c>
      <c r="Q851" s="706">
        <v>0</v>
      </c>
      <c r="R851" s="705">
        <f t="shared" si="166"/>
        <v>16272728</v>
      </c>
      <c r="S851" s="706">
        <f t="shared" si="165"/>
        <v>0</v>
      </c>
    </row>
    <row r="852" spans="1:20" ht="15.75" customHeight="1">
      <c r="D852" s="623"/>
      <c r="E852" s="606"/>
      <c r="F852" s="606"/>
      <c r="G852" s="467"/>
      <c r="H852" s="502" t="s">
        <v>879</v>
      </c>
      <c r="I852" s="716">
        <v>2018</v>
      </c>
      <c r="J852" s="393">
        <v>0.25</v>
      </c>
      <c r="K852" s="706">
        <v>8647375</v>
      </c>
      <c r="L852" s="705">
        <v>0</v>
      </c>
      <c r="M852" s="706">
        <v>0</v>
      </c>
      <c r="N852" s="705">
        <f t="shared" si="164"/>
        <v>8647375</v>
      </c>
      <c r="O852" s="706">
        <v>7566453.1249999953</v>
      </c>
      <c r="P852" s="706">
        <v>1080921.8750000047</v>
      </c>
      <c r="Q852" s="706">
        <v>0</v>
      </c>
      <c r="R852" s="705">
        <f t="shared" si="166"/>
        <v>8647375</v>
      </c>
      <c r="S852" s="706">
        <f t="shared" si="165"/>
        <v>0</v>
      </c>
    </row>
    <row r="853" spans="1:20" ht="15.75" customHeight="1">
      <c r="D853" s="623"/>
      <c r="E853" s="606"/>
      <c r="F853" s="606"/>
      <c r="G853" s="473"/>
      <c r="H853" s="501" t="s">
        <v>880</v>
      </c>
      <c r="I853" s="724">
        <v>2018</v>
      </c>
      <c r="J853" s="377">
        <v>0.25</v>
      </c>
      <c r="K853" s="705">
        <v>10200000</v>
      </c>
      <c r="L853" s="705">
        <v>0</v>
      </c>
      <c r="M853" s="705">
        <v>0</v>
      </c>
      <c r="N853" s="705">
        <f t="shared" si="164"/>
        <v>10200000</v>
      </c>
      <c r="O853" s="705">
        <v>8712500</v>
      </c>
      <c r="P853" s="706">
        <v>1487500</v>
      </c>
      <c r="Q853" s="705">
        <v>0</v>
      </c>
      <c r="R853" s="705">
        <f t="shared" si="166"/>
        <v>10200000</v>
      </c>
      <c r="S853" s="705">
        <f t="shared" si="165"/>
        <v>0</v>
      </c>
    </row>
    <row r="854" spans="1:20" ht="15.75" customHeight="1">
      <c r="D854" s="309"/>
      <c r="E854" s="852"/>
      <c r="F854" s="852"/>
      <c r="G854" s="467"/>
      <c r="H854" s="502" t="s">
        <v>881</v>
      </c>
      <c r="I854" s="775">
        <v>2022</v>
      </c>
      <c r="J854" s="393">
        <v>0.25</v>
      </c>
      <c r="K854" s="706"/>
      <c r="L854" s="706">
        <v>3000000</v>
      </c>
      <c r="M854" s="706"/>
      <c r="N854" s="705">
        <f t="shared" si="164"/>
        <v>3000000</v>
      </c>
      <c r="O854" s="706"/>
      <c r="P854" s="706">
        <f>N854*J854/12*T854</f>
        <v>375000</v>
      </c>
      <c r="Q854" s="706"/>
      <c r="R854" s="705">
        <f t="shared" si="166"/>
        <v>375000</v>
      </c>
      <c r="S854" s="705">
        <f t="shared" si="165"/>
        <v>2625000</v>
      </c>
      <c r="T854" s="679">
        <v>6</v>
      </c>
    </row>
    <row r="855" spans="1:20" ht="15.75" customHeight="1">
      <c r="D855" s="309"/>
      <c r="E855" s="316"/>
      <c r="F855" s="631"/>
      <c r="G855" s="627"/>
      <c r="H855" s="853"/>
      <c r="I855" s="854"/>
      <c r="J855" s="428"/>
      <c r="K855" s="709"/>
      <c r="L855" s="709"/>
      <c r="M855" s="709"/>
      <c r="N855" s="709"/>
      <c r="O855" s="709"/>
      <c r="P855" s="709"/>
      <c r="Q855" s="709"/>
      <c r="R855" s="705">
        <f t="shared" si="166"/>
        <v>0</v>
      </c>
      <c r="S855" s="705">
        <f t="shared" si="165"/>
        <v>0</v>
      </c>
    </row>
    <row r="856" spans="1:20" s="703" customFormat="1" ht="15.75" customHeight="1">
      <c r="A856" s="675" t="s">
        <v>944</v>
      </c>
      <c r="B856" s="675"/>
      <c r="C856" s="675"/>
      <c r="D856" s="309"/>
      <c r="E856" s="316"/>
      <c r="F856" s="1238" t="s">
        <v>1056</v>
      </c>
      <c r="G856" s="1239"/>
      <c r="H856" s="1237"/>
      <c r="I856" s="594"/>
      <c r="J856" s="595"/>
      <c r="K856" s="708">
        <f>SUM(K845:K855)</f>
        <v>164270103</v>
      </c>
      <c r="L856" s="708">
        <f t="shared" ref="L856:S856" si="167">SUM(L845:L855)</f>
        <v>3000000</v>
      </c>
      <c r="M856" s="708">
        <f t="shared" si="167"/>
        <v>0</v>
      </c>
      <c r="N856" s="708">
        <f t="shared" si="167"/>
        <v>167270103</v>
      </c>
      <c r="O856" s="708">
        <f t="shared" si="167"/>
        <v>160345620.79166666</v>
      </c>
      <c r="P856" s="708">
        <f t="shared" si="167"/>
        <v>4299482.2083333423</v>
      </c>
      <c r="Q856" s="708">
        <f t="shared" si="167"/>
        <v>0</v>
      </c>
      <c r="R856" s="708">
        <f t="shared" si="167"/>
        <v>164645103</v>
      </c>
      <c r="S856" s="708">
        <f t="shared" si="167"/>
        <v>2625000</v>
      </c>
    </row>
    <row r="857" spans="1:20" ht="15.75" customHeight="1">
      <c r="A857" s="675" t="s">
        <v>944</v>
      </c>
      <c r="D857" s="309"/>
      <c r="E857" s="1235" t="s">
        <v>1057</v>
      </c>
      <c r="F857" s="1236"/>
      <c r="G857" s="1236"/>
      <c r="H857" s="1236"/>
      <c r="I857" s="1236"/>
      <c r="J857" s="1237"/>
      <c r="K857" s="708">
        <f>K842+K856</f>
        <v>242751555</v>
      </c>
      <c r="L857" s="708">
        <f t="shared" ref="L857:S857" si="168">L842+L856</f>
        <v>3000000</v>
      </c>
      <c r="M857" s="708">
        <f t="shared" si="168"/>
        <v>0</v>
      </c>
      <c r="N857" s="708">
        <f t="shared" si="168"/>
        <v>245751555</v>
      </c>
      <c r="O857" s="708">
        <f t="shared" si="168"/>
        <v>232348720.79166669</v>
      </c>
      <c r="P857" s="708">
        <f t="shared" si="168"/>
        <v>9073074.3750000093</v>
      </c>
      <c r="Q857" s="708">
        <f t="shared" si="168"/>
        <v>0</v>
      </c>
      <c r="R857" s="708">
        <f t="shared" si="168"/>
        <v>241159295.16666669</v>
      </c>
      <c r="S857" s="708">
        <f t="shared" si="168"/>
        <v>4592259.833333334</v>
      </c>
    </row>
    <row r="858" spans="1:20" s="763" customFormat="1" ht="25" customHeight="1">
      <c r="A858" s="675"/>
      <c r="B858" s="675"/>
      <c r="C858" s="675"/>
      <c r="D858" s="387"/>
      <c r="E858" s="324"/>
      <c r="F858" s="606"/>
      <c r="G858" s="588"/>
      <c r="H858" s="715"/>
      <c r="I858" s="716"/>
      <c r="J858" s="393"/>
      <c r="K858" s="830"/>
      <c r="L858" s="830"/>
      <c r="M858" s="830"/>
      <c r="N858" s="830"/>
      <c r="O858" s="830"/>
      <c r="P858" s="830"/>
      <c r="Q858" s="830"/>
      <c r="R858" s="830"/>
      <c r="S858" s="830"/>
    </row>
    <row r="859" spans="1:20" s="703" customFormat="1" ht="15.75" customHeight="1">
      <c r="A859" s="675"/>
      <c r="B859" s="675"/>
      <c r="C859" s="675"/>
      <c r="D859" s="1229" t="s">
        <v>1058</v>
      </c>
      <c r="E859" s="1230"/>
      <c r="F859" s="1230"/>
      <c r="G859" s="1230"/>
      <c r="H859" s="1230"/>
      <c r="I859" s="1230"/>
      <c r="J859" s="1231"/>
      <c r="K859" s="708">
        <f>K780+K816+K823+K857</f>
        <v>1529406351.45</v>
      </c>
      <c r="L859" s="708">
        <f t="shared" ref="L859:S859" si="169">L780+L816+L823+L857</f>
        <v>64355000</v>
      </c>
      <c r="M859" s="708">
        <f t="shared" si="169"/>
        <v>0</v>
      </c>
      <c r="N859" s="708">
        <f t="shared" si="169"/>
        <v>1593761351.45</v>
      </c>
      <c r="O859" s="708">
        <f t="shared" si="169"/>
        <v>1305559579.7208335</v>
      </c>
      <c r="P859" s="708">
        <f t="shared" si="169"/>
        <v>91886824.125000015</v>
      </c>
      <c r="Q859" s="708">
        <f t="shared" si="169"/>
        <v>0</v>
      </c>
      <c r="R859" s="708">
        <f t="shared" si="169"/>
        <v>1397183903.8458335</v>
      </c>
      <c r="S859" s="708">
        <f t="shared" si="169"/>
        <v>196577447.60416666</v>
      </c>
    </row>
    <row r="860" spans="1:20" s="703" customFormat="1" ht="15.75" customHeight="1">
      <c r="A860" s="675"/>
      <c r="B860" s="675"/>
      <c r="C860" s="675"/>
      <c r="D860" s="309"/>
      <c r="E860" s="316"/>
      <c r="F860" s="353"/>
      <c r="G860" s="311"/>
      <c r="H860" s="312"/>
      <c r="I860" s="573"/>
      <c r="J860" s="396"/>
      <c r="K860" s="711"/>
      <c r="L860" s="711"/>
      <c r="M860" s="711"/>
      <c r="N860" s="711"/>
      <c r="O860" s="711"/>
      <c r="P860" s="711"/>
      <c r="Q860" s="711"/>
      <c r="R860" s="711"/>
      <c r="S860" s="711"/>
    </row>
    <row r="861" spans="1:20" s="703" customFormat="1" ht="15.75" customHeight="1">
      <c r="A861" s="675" t="s">
        <v>935</v>
      </c>
      <c r="B861" s="700" t="s">
        <v>1059</v>
      </c>
      <c r="C861" s="700" t="s">
        <v>1059</v>
      </c>
      <c r="D861" s="357">
        <v>9</v>
      </c>
      <c r="E861" s="302" t="s">
        <v>1059</v>
      </c>
      <c r="G861" s="302"/>
      <c r="H861" s="632"/>
      <c r="I861" s="573"/>
      <c r="J861" s="396"/>
      <c r="K861" s="711"/>
      <c r="L861" s="711"/>
      <c r="M861" s="711"/>
      <c r="N861" s="711"/>
      <c r="O861" s="711"/>
      <c r="P861" s="711"/>
      <c r="Q861" s="711"/>
      <c r="R861" s="711"/>
      <c r="S861" s="711"/>
    </row>
    <row r="862" spans="1:20" s="703" customFormat="1" ht="15.75" customHeight="1">
      <c r="A862" s="675" t="s">
        <v>935</v>
      </c>
      <c r="B862" s="675"/>
      <c r="C862" s="675"/>
      <c r="D862" s="357"/>
      <c r="E862" s="449" t="s">
        <v>1060</v>
      </c>
      <c r="F862" s="703" t="s">
        <v>882</v>
      </c>
      <c r="G862" s="633"/>
      <c r="H862" s="632"/>
      <c r="I862" s="573"/>
      <c r="J862" s="396"/>
      <c r="K862" s="711"/>
      <c r="L862" s="711"/>
      <c r="M862" s="711"/>
      <c r="N862" s="711"/>
      <c r="O862" s="711"/>
      <c r="P862" s="711"/>
      <c r="Q862" s="711"/>
      <c r="R862" s="711"/>
      <c r="S862" s="711"/>
    </row>
    <row r="863" spans="1:20" ht="15.75" customHeight="1">
      <c r="A863" s="675" t="s">
        <v>935</v>
      </c>
      <c r="D863" s="357"/>
      <c r="E863" s="301"/>
      <c r="F863" s="466" t="s">
        <v>1061</v>
      </c>
      <c r="G863" s="311" t="s">
        <v>405</v>
      </c>
      <c r="H863" s="312"/>
      <c r="I863" s="537"/>
      <c r="J863" s="393"/>
      <c r="K863" s="712"/>
      <c r="L863" s="712"/>
      <c r="M863" s="712"/>
      <c r="N863" s="712"/>
      <c r="O863" s="712"/>
      <c r="P863" s="712"/>
      <c r="Q863" s="712"/>
      <c r="R863" s="712"/>
      <c r="S863" s="712"/>
    </row>
    <row r="864" spans="1:20" ht="15.75" customHeight="1">
      <c r="A864" s="675" t="s">
        <v>935</v>
      </c>
      <c r="B864" s="675">
        <v>4</v>
      </c>
      <c r="C864" s="675">
        <v>4</v>
      </c>
      <c r="D864" s="517"/>
      <c r="E864" s="518"/>
      <c r="F864" s="263"/>
      <c r="G864" s="634"/>
      <c r="H864" s="635" t="s">
        <v>883</v>
      </c>
      <c r="I864" s="716">
        <v>2015</v>
      </c>
      <c r="J864" s="377">
        <v>0.25</v>
      </c>
      <c r="K864" s="705">
        <v>1335000</v>
      </c>
      <c r="L864" s="706">
        <v>0</v>
      </c>
      <c r="M864" s="706">
        <v>0</v>
      </c>
      <c r="N864" s="705">
        <f>K864+L864-M864</f>
        <v>1335000</v>
      </c>
      <c r="O864" s="705">
        <v>1335000</v>
      </c>
      <c r="P864" s="706">
        <v>0</v>
      </c>
      <c r="Q864" s="705">
        <v>0</v>
      </c>
      <c r="R864" s="705">
        <f>O864+P864-Q864</f>
        <v>1335000</v>
      </c>
      <c r="S864" s="706">
        <f>N864-R864</f>
        <v>0</v>
      </c>
    </row>
    <row r="865" spans="1:19" ht="15.75" customHeight="1">
      <c r="A865" s="675" t="s">
        <v>935</v>
      </c>
      <c r="B865" s="675">
        <v>4</v>
      </c>
      <c r="C865" s="675">
        <v>4</v>
      </c>
      <c r="D865" s="517"/>
      <c r="E865" s="518"/>
      <c r="F865" s="526"/>
      <c r="G865" s="636"/>
      <c r="H865" s="637" t="s">
        <v>884</v>
      </c>
      <c r="I865" s="716">
        <v>2015</v>
      </c>
      <c r="J865" s="393">
        <v>0.25</v>
      </c>
      <c r="K865" s="706">
        <v>11770000</v>
      </c>
      <c r="L865" s="706">
        <v>0</v>
      </c>
      <c r="M865" s="706">
        <v>0</v>
      </c>
      <c r="N865" s="705">
        <f>K865+L865-M865</f>
        <v>11770000</v>
      </c>
      <c r="O865" s="706">
        <v>11770000</v>
      </c>
      <c r="P865" s="706">
        <v>0</v>
      </c>
      <c r="Q865" s="706">
        <v>0</v>
      </c>
      <c r="R865" s="705">
        <f>O865+P865-Q865</f>
        <v>11770000</v>
      </c>
      <c r="S865" s="706">
        <f>N865-R865</f>
        <v>0</v>
      </c>
    </row>
    <row r="866" spans="1:19" s="703" customFormat="1" ht="15.75" customHeight="1">
      <c r="A866" s="675" t="s">
        <v>935</v>
      </c>
      <c r="B866" s="675">
        <v>9</v>
      </c>
      <c r="C866" s="675">
        <v>9</v>
      </c>
      <c r="D866" s="517"/>
      <c r="E866" s="518"/>
      <c r="F866" s="638"/>
      <c r="G866" s="636"/>
      <c r="H866" s="637" t="s">
        <v>885</v>
      </c>
      <c r="I866" s="716">
        <v>2015</v>
      </c>
      <c r="J866" s="393">
        <v>0.25</v>
      </c>
      <c r="K866" s="706">
        <v>6798000</v>
      </c>
      <c r="L866" s="855">
        <v>0</v>
      </c>
      <c r="M866" s="706">
        <v>0</v>
      </c>
      <c r="N866" s="705">
        <f>K866+L866-M866</f>
        <v>6798000</v>
      </c>
      <c r="O866" s="706">
        <v>6798000</v>
      </c>
      <c r="P866" s="706">
        <v>0</v>
      </c>
      <c r="Q866" s="856">
        <v>0</v>
      </c>
      <c r="R866" s="705">
        <f>O866+P866-Q866</f>
        <v>6798000</v>
      </c>
      <c r="S866" s="706">
        <f>N866-R866</f>
        <v>0</v>
      </c>
    </row>
    <row r="867" spans="1:19" s="703" customFormat="1" ht="15.75" customHeight="1">
      <c r="A867" s="675"/>
      <c r="B867" s="675"/>
      <c r="C867" s="675"/>
      <c r="D867" s="517"/>
      <c r="E867" s="518"/>
      <c r="F867" s="529"/>
      <c r="G867" s="857"/>
      <c r="H867" s="664" t="s">
        <v>886</v>
      </c>
      <c r="I867" s="739">
        <v>2018</v>
      </c>
      <c r="J867" s="383">
        <v>0.25</v>
      </c>
      <c r="K867" s="707">
        <v>101945945</v>
      </c>
      <c r="L867" s="858">
        <v>0</v>
      </c>
      <c r="M867" s="707">
        <v>0</v>
      </c>
      <c r="N867" s="705">
        <f>K867+L867-M867</f>
        <v>101945945</v>
      </c>
      <c r="O867" s="707">
        <v>95574323.43749997</v>
      </c>
      <c r="P867" s="706">
        <v>6371621.5625000298</v>
      </c>
      <c r="Q867" s="859">
        <v>0</v>
      </c>
      <c r="R867" s="705">
        <f>O867+P867-Q867</f>
        <v>101945945</v>
      </c>
      <c r="S867" s="706">
        <f>N867-R867</f>
        <v>0</v>
      </c>
    </row>
    <row r="868" spans="1:19" ht="15.75" customHeight="1">
      <c r="A868" s="675" t="s">
        <v>935</v>
      </c>
      <c r="D868" s="309"/>
      <c r="E868" s="1235" t="s">
        <v>1062</v>
      </c>
      <c r="F868" s="1236"/>
      <c r="G868" s="1236"/>
      <c r="H868" s="1236"/>
      <c r="I868" s="1236"/>
      <c r="J868" s="1237"/>
      <c r="K868" s="708">
        <f>SUM(K864:K867)</f>
        <v>121848945</v>
      </c>
      <c r="L868" s="708">
        <f t="shared" ref="L868:S868" si="170">SUM(L864:L867)</f>
        <v>0</v>
      </c>
      <c r="M868" s="708">
        <f t="shared" si="170"/>
        <v>0</v>
      </c>
      <c r="N868" s="708">
        <f t="shared" si="170"/>
        <v>121848945</v>
      </c>
      <c r="O868" s="708">
        <f t="shared" si="170"/>
        <v>115477323.43749997</v>
      </c>
      <c r="P868" s="708">
        <f t="shared" si="170"/>
        <v>6371621.5625000298</v>
      </c>
      <c r="Q868" s="708">
        <f t="shared" si="170"/>
        <v>0</v>
      </c>
      <c r="R868" s="708">
        <f t="shared" si="170"/>
        <v>121848945</v>
      </c>
      <c r="S868" s="708">
        <f t="shared" si="170"/>
        <v>0</v>
      </c>
    </row>
    <row r="869" spans="1:19" ht="15.75" customHeight="1">
      <c r="D869" s="517"/>
      <c r="E869" s="518"/>
      <c r="F869" s="647"/>
      <c r="G869" s="634"/>
      <c r="H869" s="635"/>
      <c r="I869" s="648"/>
      <c r="J869" s="648"/>
      <c r="K869" s="712"/>
      <c r="L869" s="712"/>
      <c r="M869" s="712"/>
      <c r="N869" s="712"/>
      <c r="O869" s="712"/>
      <c r="P869" s="712"/>
      <c r="Q869" s="712"/>
      <c r="R869" s="712"/>
      <c r="S869" s="712"/>
    </row>
    <row r="870" spans="1:19" ht="15.75" customHeight="1">
      <c r="A870" s="675" t="s">
        <v>938</v>
      </c>
      <c r="D870" s="517"/>
      <c r="E870" s="518" t="s">
        <v>1063</v>
      </c>
      <c r="F870" s="263" t="s">
        <v>887</v>
      </c>
      <c r="G870" s="634"/>
      <c r="H870" s="635"/>
      <c r="I870" s="649"/>
      <c r="J870" s="377"/>
      <c r="K870" s="705"/>
      <c r="L870" s="706"/>
      <c r="M870" s="706"/>
      <c r="N870" s="705"/>
      <c r="O870" s="705"/>
      <c r="P870" s="705"/>
      <c r="Q870" s="705"/>
      <c r="R870" s="705"/>
      <c r="S870" s="705"/>
    </row>
    <row r="871" spans="1:19" ht="15.75" customHeight="1">
      <c r="A871" s="675" t="s">
        <v>938</v>
      </c>
      <c r="D871" s="517"/>
      <c r="E871" s="518"/>
      <c r="F871" s="263"/>
      <c r="G871" s="634"/>
      <c r="H871" s="635" t="s">
        <v>889</v>
      </c>
      <c r="I871" s="716">
        <v>2014</v>
      </c>
      <c r="J871" s="377">
        <v>0.25</v>
      </c>
      <c r="K871" s="705">
        <v>617500000</v>
      </c>
      <c r="L871" s="706">
        <v>0</v>
      </c>
      <c r="M871" s="706">
        <v>0</v>
      </c>
      <c r="N871" s="705">
        <f t="shared" ref="N871:N891" si="171">K871+L871-M871</f>
        <v>617500000</v>
      </c>
      <c r="O871" s="705">
        <v>463125000</v>
      </c>
      <c r="P871" s="738">
        <v>0</v>
      </c>
      <c r="Q871" s="705">
        <v>0</v>
      </c>
      <c r="R871" s="705">
        <f t="shared" ref="R871:R891" si="172">O871+P871-Q871</f>
        <v>463125000</v>
      </c>
      <c r="S871" s="706">
        <f t="shared" ref="S871:S891" si="173">N871-R871</f>
        <v>154375000</v>
      </c>
    </row>
    <row r="872" spans="1:19" ht="15.75" customHeight="1">
      <c r="A872" s="675" t="s">
        <v>938</v>
      </c>
      <c r="D872" s="517"/>
      <c r="E872" s="518"/>
      <c r="F872" s="263"/>
      <c r="G872" s="634"/>
      <c r="H872" s="635" t="s">
        <v>890</v>
      </c>
      <c r="I872" s="716">
        <v>2012</v>
      </c>
      <c r="J872" s="377">
        <v>0.25</v>
      </c>
      <c r="K872" s="705">
        <v>95400000</v>
      </c>
      <c r="L872" s="706">
        <v>0</v>
      </c>
      <c r="M872" s="706">
        <v>0</v>
      </c>
      <c r="N872" s="705">
        <f t="shared" si="171"/>
        <v>95400000</v>
      </c>
      <c r="O872" s="705">
        <v>71550000</v>
      </c>
      <c r="P872" s="738">
        <v>0</v>
      </c>
      <c r="Q872" s="705">
        <v>0</v>
      </c>
      <c r="R872" s="705">
        <f t="shared" si="172"/>
        <v>71550000</v>
      </c>
      <c r="S872" s="706">
        <f t="shared" si="173"/>
        <v>23850000</v>
      </c>
    </row>
    <row r="873" spans="1:19" ht="15.75" customHeight="1">
      <c r="A873" s="675" t="s">
        <v>938</v>
      </c>
      <c r="D873" s="517"/>
      <c r="E873" s="518"/>
      <c r="F873" s="263"/>
      <c r="G873" s="634"/>
      <c r="H873" s="635" t="s">
        <v>891</v>
      </c>
      <c r="I873" s="716">
        <v>2014</v>
      </c>
      <c r="J873" s="377">
        <v>0.25</v>
      </c>
      <c r="K873" s="705">
        <v>48900000</v>
      </c>
      <c r="L873" s="706">
        <v>0</v>
      </c>
      <c r="M873" s="706">
        <v>0</v>
      </c>
      <c r="N873" s="705">
        <f t="shared" si="171"/>
        <v>48900000</v>
      </c>
      <c r="O873" s="705">
        <v>36675000</v>
      </c>
      <c r="P873" s="738">
        <v>0</v>
      </c>
      <c r="Q873" s="705">
        <v>0</v>
      </c>
      <c r="R873" s="705">
        <f t="shared" si="172"/>
        <v>36675000</v>
      </c>
      <c r="S873" s="706">
        <f t="shared" si="173"/>
        <v>12225000</v>
      </c>
    </row>
    <row r="874" spans="1:19" ht="15.75" customHeight="1">
      <c r="A874" s="675" t="s">
        <v>938</v>
      </c>
      <c r="D874" s="517"/>
      <c r="E874" s="518"/>
      <c r="F874" s="263"/>
      <c r="G874" s="634"/>
      <c r="H874" s="635" t="s">
        <v>892</v>
      </c>
      <c r="I874" s="716">
        <v>2016</v>
      </c>
      <c r="J874" s="377">
        <v>0.25</v>
      </c>
      <c r="K874" s="705">
        <v>959327031.60000002</v>
      </c>
      <c r="L874" s="706">
        <v>0</v>
      </c>
      <c r="M874" s="706">
        <v>0</v>
      </c>
      <c r="N874" s="705">
        <f t="shared" si="171"/>
        <v>959327031.60000002</v>
      </c>
      <c r="O874" s="705">
        <v>679010060.92499983</v>
      </c>
      <c r="P874" s="738">
        <v>0</v>
      </c>
      <c r="Q874" s="705">
        <v>0</v>
      </c>
      <c r="R874" s="705">
        <f t="shared" si="172"/>
        <v>679010060.92499983</v>
      </c>
      <c r="S874" s="706">
        <f t="shared" si="173"/>
        <v>280316970.67500019</v>
      </c>
    </row>
    <row r="875" spans="1:19" ht="15.75" customHeight="1">
      <c r="A875" s="675" t="s">
        <v>938</v>
      </c>
      <c r="D875" s="517"/>
      <c r="E875" s="518"/>
      <c r="F875" s="263"/>
      <c r="G875" s="634"/>
      <c r="H875" s="635" t="s">
        <v>893</v>
      </c>
      <c r="I875" s="716">
        <v>2016</v>
      </c>
      <c r="J875" s="377">
        <v>0.25</v>
      </c>
      <c r="K875" s="705">
        <v>1295126985</v>
      </c>
      <c r="L875" s="706">
        <v>0</v>
      </c>
      <c r="M875" s="706">
        <v>0</v>
      </c>
      <c r="N875" s="705">
        <f t="shared" si="171"/>
        <v>1295126985</v>
      </c>
      <c r="O875" s="705">
        <v>782472553.4375</v>
      </c>
      <c r="P875" s="738">
        <v>0</v>
      </c>
      <c r="Q875" s="705">
        <v>0</v>
      </c>
      <c r="R875" s="705">
        <f t="shared" si="172"/>
        <v>782472553.4375</v>
      </c>
      <c r="S875" s="706">
        <f t="shared" si="173"/>
        <v>512654431.5625</v>
      </c>
    </row>
    <row r="876" spans="1:19" ht="15.75" customHeight="1">
      <c r="A876" s="675" t="s">
        <v>938</v>
      </c>
      <c r="D876" s="517"/>
      <c r="E876" s="518"/>
      <c r="F876" s="263"/>
      <c r="G876" s="634"/>
      <c r="H876" s="635" t="s">
        <v>894</v>
      </c>
      <c r="I876" s="716">
        <v>2016</v>
      </c>
      <c r="J876" s="377">
        <v>0.25</v>
      </c>
      <c r="K876" s="705">
        <v>1673691360</v>
      </c>
      <c r="L876" s="706">
        <v>0</v>
      </c>
      <c r="M876" s="706">
        <v>0</v>
      </c>
      <c r="N876" s="705">
        <f t="shared" si="171"/>
        <v>1673691360</v>
      </c>
      <c r="O876" s="705">
        <v>976319960</v>
      </c>
      <c r="P876" s="738">
        <v>0</v>
      </c>
      <c r="Q876" s="705">
        <v>0</v>
      </c>
      <c r="R876" s="705">
        <f t="shared" si="172"/>
        <v>976319960</v>
      </c>
      <c r="S876" s="706">
        <f t="shared" si="173"/>
        <v>697371400</v>
      </c>
    </row>
    <row r="877" spans="1:19" ht="15.75" customHeight="1">
      <c r="A877" s="675" t="s">
        <v>938</v>
      </c>
      <c r="D877" s="517"/>
      <c r="E877" s="518"/>
      <c r="F877" s="263"/>
      <c r="G877" s="634"/>
      <c r="H877" s="635" t="s">
        <v>895</v>
      </c>
      <c r="I877" s="716">
        <v>2016</v>
      </c>
      <c r="J877" s="377">
        <v>0.25</v>
      </c>
      <c r="K877" s="705">
        <v>138272764</v>
      </c>
      <c r="L877" s="706">
        <v>0</v>
      </c>
      <c r="M877" s="706">
        <v>0</v>
      </c>
      <c r="N877" s="705">
        <f t="shared" si="171"/>
        <v>138272764</v>
      </c>
      <c r="O877" s="705">
        <v>77778429.75</v>
      </c>
      <c r="P877" s="738">
        <v>0</v>
      </c>
      <c r="Q877" s="705">
        <v>0</v>
      </c>
      <c r="R877" s="705">
        <f t="shared" si="172"/>
        <v>77778429.75</v>
      </c>
      <c r="S877" s="706">
        <f t="shared" si="173"/>
        <v>60494334.25</v>
      </c>
    </row>
    <row r="878" spans="1:19" ht="15.75" customHeight="1">
      <c r="A878" s="675" t="s">
        <v>938</v>
      </c>
      <c r="D878" s="517"/>
      <c r="E878" s="518"/>
      <c r="F878" s="263"/>
      <c r="G878" s="634"/>
      <c r="H878" s="635" t="s">
        <v>896</v>
      </c>
      <c r="I878" s="716">
        <v>2016</v>
      </c>
      <c r="J878" s="377">
        <v>0.25</v>
      </c>
      <c r="K878" s="705">
        <v>240394000</v>
      </c>
      <c r="L878" s="706">
        <v>0</v>
      </c>
      <c r="M878" s="706">
        <v>0</v>
      </c>
      <c r="N878" s="705">
        <f t="shared" si="171"/>
        <v>240394000</v>
      </c>
      <c r="O878" s="705">
        <v>135221625</v>
      </c>
      <c r="P878" s="738">
        <v>0</v>
      </c>
      <c r="Q878" s="705">
        <v>0</v>
      </c>
      <c r="R878" s="705">
        <f t="shared" si="172"/>
        <v>135221625</v>
      </c>
      <c r="S878" s="706">
        <f t="shared" si="173"/>
        <v>105172375</v>
      </c>
    </row>
    <row r="879" spans="1:19" ht="15.75" customHeight="1">
      <c r="A879" s="675" t="s">
        <v>938</v>
      </c>
      <c r="D879" s="517"/>
      <c r="E879" s="518"/>
      <c r="F879" s="263"/>
      <c r="G879" s="634"/>
      <c r="H879" s="635" t="s">
        <v>897</v>
      </c>
      <c r="I879" s="716">
        <v>2016</v>
      </c>
      <c r="J879" s="377">
        <v>0.25</v>
      </c>
      <c r="K879" s="705">
        <v>953018035</v>
      </c>
      <c r="L879" s="706">
        <v>0</v>
      </c>
      <c r="M879" s="706">
        <v>0</v>
      </c>
      <c r="N879" s="705">
        <f t="shared" si="171"/>
        <v>953018035</v>
      </c>
      <c r="O879" s="705">
        <v>516218102.29166669</v>
      </c>
      <c r="P879" s="738">
        <v>0</v>
      </c>
      <c r="Q879" s="705">
        <v>0</v>
      </c>
      <c r="R879" s="705">
        <f t="shared" si="172"/>
        <v>516218102.29166669</v>
      </c>
      <c r="S879" s="706">
        <f t="shared" si="173"/>
        <v>436799932.70833331</v>
      </c>
    </row>
    <row r="880" spans="1:19" s="703" customFormat="1" ht="15.75" customHeight="1">
      <c r="A880" s="675" t="s">
        <v>938</v>
      </c>
      <c r="B880" s="675"/>
      <c r="C880" s="675"/>
      <c r="D880" s="517"/>
      <c r="E880" s="518"/>
      <c r="F880" s="638"/>
      <c r="G880" s="636"/>
      <c r="H880" s="641" t="s">
        <v>898</v>
      </c>
      <c r="I880" s="716">
        <v>2016</v>
      </c>
      <c r="J880" s="377">
        <v>0.25</v>
      </c>
      <c r="K880" s="705">
        <v>953018035</v>
      </c>
      <c r="L880" s="706">
        <v>0</v>
      </c>
      <c r="M880" s="706">
        <v>0</v>
      </c>
      <c r="N880" s="705">
        <f t="shared" si="171"/>
        <v>953018035</v>
      </c>
      <c r="O880" s="705">
        <v>496363559.89583337</v>
      </c>
      <c r="P880" s="738">
        <v>0</v>
      </c>
      <c r="Q880" s="705">
        <v>0</v>
      </c>
      <c r="R880" s="705">
        <f t="shared" si="172"/>
        <v>496363559.89583337</v>
      </c>
      <c r="S880" s="706">
        <f t="shared" si="173"/>
        <v>456654475.10416663</v>
      </c>
    </row>
    <row r="881" spans="1:19" s="703" customFormat="1" ht="15.75" customHeight="1">
      <c r="A881" s="675"/>
      <c r="B881" s="675"/>
      <c r="C881" s="675"/>
      <c r="D881" s="517"/>
      <c r="E881" s="518"/>
      <c r="F881" s="638"/>
      <c r="G881" s="636"/>
      <c r="H881" s="650" t="s">
        <v>899</v>
      </c>
      <c r="I881" s="860">
        <v>2017</v>
      </c>
      <c r="J881" s="377">
        <v>0.25</v>
      </c>
      <c r="K881" s="705">
        <v>476509018</v>
      </c>
      <c r="L881" s="706">
        <v>0</v>
      </c>
      <c r="M881" s="706">
        <v>0</v>
      </c>
      <c r="N881" s="705">
        <f t="shared" si="171"/>
        <v>476509018</v>
      </c>
      <c r="O881" s="705">
        <v>208472695.375</v>
      </c>
      <c r="P881" s="738">
        <v>0</v>
      </c>
      <c r="Q881" s="705">
        <v>0</v>
      </c>
      <c r="R881" s="705">
        <f t="shared" si="172"/>
        <v>208472695.375</v>
      </c>
      <c r="S881" s="706">
        <f t="shared" si="173"/>
        <v>268036322.625</v>
      </c>
    </row>
    <row r="882" spans="1:19" s="703" customFormat="1" ht="15.75" customHeight="1">
      <c r="A882" s="675"/>
      <c r="B882" s="675"/>
      <c r="C882" s="675"/>
      <c r="D882" s="517"/>
      <c r="E882" s="518"/>
      <c r="F882" s="638"/>
      <c r="G882" s="636"/>
      <c r="H882" s="652" t="s">
        <v>900</v>
      </c>
      <c r="I882" s="860">
        <v>2017</v>
      </c>
      <c r="J882" s="377">
        <v>0.25</v>
      </c>
      <c r="K882" s="705">
        <v>467349120</v>
      </c>
      <c r="L882" s="706">
        <v>0</v>
      </c>
      <c r="M882" s="706">
        <v>0</v>
      </c>
      <c r="N882" s="705">
        <f t="shared" si="171"/>
        <v>467349120</v>
      </c>
      <c r="O882" s="705">
        <v>194728800</v>
      </c>
      <c r="P882" s="738">
        <v>0</v>
      </c>
      <c r="Q882" s="705">
        <v>0</v>
      </c>
      <c r="R882" s="705">
        <f t="shared" si="172"/>
        <v>194728800</v>
      </c>
      <c r="S882" s="706">
        <f t="shared" si="173"/>
        <v>272620320</v>
      </c>
    </row>
    <row r="883" spans="1:19" s="703" customFormat="1" ht="15.75" customHeight="1">
      <c r="A883" s="675"/>
      <c r="B883" s="675"/>
      <c r="C883" s="675"/>
      <c r="D883" s="517"/>
      <c r="E883" s="518"/>
      <c r="F883" s="638"/>
      <c r="G883" s="636"/>
      <c r="H883" s="652" t="s">
        <v>900</v>
      </c>
      <c r="I883" s="860">
        <v>2017</v>
      </c>
      <c r="J883" s="377">
        <v>0.25</v>
      </c>
      <c r="K883" s="705">
        <v>934698240</v>
      </c>
      <c r="L883" s="706">
        <v>0</v>
      </c>
      <c r="M883" s="706">
        <v>0</v>
      </c>
      <c r="N883" s="705">
        <f t="shared" si="171"/>
        <v>934698240</v>
      </c>
      <c r="O883" s="705">
        <v>369984720</v>
      </c>
      <c r="P883" s="738">
        <v>0</v>
      </c>
      <c r="Q883" s="705">
        <v>0</v>
      </c>
      <c r="R883" s="705">
        <f t="shared" si="172"/>
        <v>369984720</v>
      </c>
      <c r="S883" s="706">
        <f t="shared" si="173"/>
        <v>564713520</v>
      </c>
    </row>
    <row r="884" spans="1:19" s="703" customFormat="1" ht="15.75" customHeight="1">
      <c r="A884" s="675"/>
      <c r="B884" s="675"/>
      <c r="C884" s="675"/>
      <c r="D884" s="517"/>
      <c r="E884" s="518"/>
      <c r="F884" s="638"/>
      <c r="G884" s="636"/>
      <c r="H884" s="652" t="s">
        <v>900</v>
      </c>
      <c r="I884" s="860">
        <v>2017</v>
      </c>
      <c r="J884" s="377">
        <v>0.25</v>
      </c>
      <c r="K884" s="705">
        <v>467349120</v>
      </c>
      <c r="L884" s="706">
        <v>0</v>
      </c>
      <c r="M884" s="706">
        <v>0</v>
      </c>
      <c r="N884" s="705">
        <f t="shared" si="171"/>
        <v>467349120</v>
      </c>
      <c r="O884" s="705">
        <v>165519480</v>
      </c>
      <c r="P884" s="738">
        <v>0</v>
      </c>
      <c r="Q884" s="705">
        <v>0</v>
      </c>
      <c r="R884" s="705">
        <f t="shared" si="172"/>
        <v>165519480</v>
      </c>
      <c r="S884" s="706">
        <f t="shared" si="173"/>
        <v>301829640</v>
      </c>
    </row>
    <row r="885" spans="1:19" s="703" customFormat="1" ht="15.75" customHeight="1">
      <c r="A885" s="675"/>
      <c r="B885" s="675"/>
      <c r="C885" s="675"/>
      <c r="D885" s="517"/>
      <c r="E885" s="518"/>
      <c r="F885" s="638"/>
      <c r="G885" s="636"/>
      <c r="H885" s="652" t="s">
        <v>901</v>
      </c>
      <c r="I885" s="860">
        <v>2017</v>
      </c>
      <c r="J885" s="377">
        <v>0.25</v>
      </c>
      <c r="K885" s="705">
        <v>499520000</v>
      </c>
      <c r="L885" s="706">
        <v>0</v>
      </c>
      <c r="M885" s="706">
        <v>0</v>
      </c>
      <c r="N885" s="705">
        <f t="shared" si="171"/>
        <v>499520000</v>
      </c>
      <c r="O885" s="705">
        <v>145693333.33333334</v>
      </c>
      <c r="P885" s="738">
        <v>0</v>
      </c>
      <c r="Q885" s="705">
        <v>0</v>
      </c>
      <c r="R885" s="705">
        <f t="shared" si="172"/>
        <v>145693333.33333334</v>
      </c>
      <c r="S885" s="706">
        <f t="shared" si="173"/>
        <v>353826666.66666663</v>
      </c>
    </row>
    <row r="886" spans="1:19" s="703" customFormat="1" ht="15.75" customHeight="1">
      <c r="A886" s="675"/>
      <c r="B886" s="675"/>
      <c r="C886" s="675"/>
      <c r="D886" s="517"/>
      <c r="E886" s="518"/>
      <c r="F886" s="653"/>
      <c r="G886" s="634"/>
      <c r="H886" s="654" t="s">
        <v>902</v>
      </c>
      <c r="I886" s="861">
        <v>2017</v>
      </c>
      <c r="J886" s="377">
        <v>0.25</v>
      </c>
      <c r="K886" s="705">
        <v>447552000</v>
      </c>
      <c r="L886" s="705">
        <v>0</v>
      </c>
      <c r="M886" s="705">
        <v>0</v>
      </c>
      <c r="N886" s="705">
        <f t="shared" si="171"/>
        <v>447552000</v>
      </c>
      <c r="O886" s="705">
        <v>121212000</v>
      </c>
      <c r="P886" s="738">
        <v>0</v>
      </c>
      <c r="Q886" s="705">
        <v>0</v>
      </c>
      <c r="R886" s="705">
        <f t="shared" si="172"/>
        <v>121212000</v>
      </c>
      <c r="S886" s="706">
        <f t="shared" si="173"/>
        <v>326340000</v>
      </c>
    </row>
    <row r="887" spans="1:19" s="703" customFormat="1" ht="15.75" customHeight="1">
      <c r="A887" s="675"/>
      <c r="B887" s="675"/>
      <c r="C887" s="675"/>
      <c r="D887" s="517"/>
      <c r="E887" s="518"/>
      <c r="F887" s="526"/>
      <c r="G887" s="636"/>
      <c r="H887" s="656" t="s">
        <v>902</v>
      </c>
      <c r="I887" s="798" t="s">
        <v>689</v>
      </c>
      <c r="J887" s="377">
        <v>0.25</v>
      </c>
      <c r="K887" s="706">
        <v>1019607120</v>
      </c>
      <c r="L887" s="705">
        <v>0</v>
      </c>
      <c r="M887" s="705">
        <v>0</v>
      </c>
      <c r="N887" s="705">
        <f t="shared" si="171"/>
        <v>1019607120</v>
      </c>
      <c r="O887" s="705">
        <v>212418150</v>
      </c>
      <c r="P887" s="738">
        <v>0</v>
      </c>
      <c r="Q887" s="705">
        <v>0</v>
      </c>
      <c r="R887" s="705">
        <f t="shared" si="172"/>
        <v>212418150</v>
      </c>
      <c r="S887" s="706">
        <f t="shared" si="173"/>
        <v>807188970</v>
      </c>
    </row>
    <row r="888" spans="1:19" s="703" customFormat="1" ht="15.75" customHeight="1">
      <c r="A888" s="675"/>
      <c r="B888" s="675"/>
      <c r="C888" s="675"/>
      <c r="D888" s="517"/>
      <c r="E888" s="518"/>
      <c r="F888" s="526"/>
      <c r="G888" s="636"/>
      <c r="H888" s="656" t="s">
        <v>903</v>
      </c>
      <c r="I888" s="798" t="s">
        <v>690</v>
      </c>
      <c r="J888" s="377">
        <v>0.25</v>
      </c>
      <c r="K888" s="706">
        <v>3111405223</v>
      </c>
      <c r="L888" s="705">
        <v>0</v>
      </c>
      <c r="M888" s="705">
        <v>0</v>
      </c>
      <c r="N888" s="705">
        <f t="shared" si="171"/>
        <v>3111405223</v>
      </c>
      <c r="O888" s="705">
        <v>648209421.45833337</v>
      </c>
      <c r="P888" s="738">
        <v>0</v>
      </c>
      <c r="Q888" s="705">
        <v>0</v>
      </c>
      <c r="R888" s="705">
        <f t="shared" si="172"/>
        <v>648209421.45833337</v>
      </c>
      <c r="S888" s="706">
        <f t="shared" si="173"/>
        <v>2463195801.5416665</v>
      </c>
    </row>
    <row r="889" spans="1:19" s="703" customFormat="1" ht="15.75" customHeight="1">
      <c r="A889" s="675"/>
      <c r="B889" s="675"/>
      <c r="C889" s="675"/>
      <c r="D889" s="517"/>
      <c r="E889" s="518"/>
      <c r="F889" s="526"/>
      <c r="G889" s="636"/>
      <c r="H889" s="656" t="s">
        <v>902</v>
      </c>
      <c r="I889" s="798" t="s">
        <v>840</v>
      </c>
      <c r="J889" s="377">
        <v>0.25</v>
      </c>
      <c r="K889" s="706">
        <v>118109091</v>
      </c>
      <c r="L889" s="705">
        <v>0</v>
      </c>
      <c r="M889" s="705">
        <v>0</v>
      </c>
      <c r="N889" s="705">
        <f t="shared" si="171"/>
        <v>118109091</v>
      </c>
      <c r="O889" s="705">
        <v>17224242.4375</v>
      </c>
      <c r="P889" s="738">
        <v>0</v>
      </c>
      <c r="Q889" s="705">
        <v>0</v>
      </c>
      <c r="R889" s="705">
        <f t="shared" si="172"/>
        <v>17224242.4375</v>
      </c>
      <c r="S889" s="706">
        <f t="shared" si="173"/>
        <v>100884848.5625</v>
      </c>
    </row>
    <row r="890" spans="1:19" s="703" customFormat="1" ht="15.75" customHeight="1">
      <c r="A890" s="675"/>
      <c r="B890" s="675"/>
      <c r="C890" s="675"/>
      <c r="D890" s="517"/>
      <c r="E890" s="518"/>
      <c r="F890" s="526"/>
      <c r="G890" s="636"/>
      <c r="H890" s="656" t="s">
        <v>904</v>
      </c>
      <c r="I890" s="798" t="s">
        <v>846</v>
      </c>
      <c r="J890" s="377">
        <v>0.25</v>
      </c>
      <c r="K890" s="706">
        <v>194880026</v>
      </c>
      <c r="L890" s="705">
        <v>0</v>
      </c>
      <c r="M890" s="705">
        <v>0</v>
      </c>
      <c r="N890" s="705">
        <f t="shared" si="171"/>
        <v>194880026</v>
      </c>
      <c r="O890" s="705">
        <v>20300002.708333332</v>
      </c>
      <c r="P890" s="738">
        <v>0</v>
      </c>
      <c r="Q890" s="705">
        <v>0</v>
      </c>
      <c r="R890" s="705">
        <f t="shared" si="172"/>
        <v>20300002.708333332</v>
      </c>
      <c r="S890" s="706">
        <f t="shared" si="173"/>
        <v>174580023.29166666</v>
      </c>
    </row>
    <row r="891" spans="1:19" s="703" customFormat="1" ht="15.75" customHeight="1">
      <c r="A891" s="675"/>
      <c r="B891" s="675"/>
      <c r="C891" s="675"/>
      <c r="D891" s="517"/>
      <c r="E891" s="518"/>
      <c r="F891" s="529"/>
      <c r="G891" s="657"/>
      <c r="H891" s="658" t="s">
        <v>905</v>
      </c>
      <c r="I891" s="862" t="s">
        <v>694</v>
      </c>
      <c r="J891" s="377">
        <v>0.25</v>
      </c>
      <c r="K891" s="706">
        <v>65808556</v>
      </c>
      <c r="L891" s="705">
        <v>0</v>
      </c>
      <c r="M891" s="705">
        <v>0</v>
      </c>
      <c r="N891" s="705">
        <f t="shared" si="171"/>
        <v>65808556</v>
      </c>
      <c r="O891" s="705">
        <v>6855057.916666666</v>
      </c>
      <c r="P891" s="738">
        <v>0</v>
      </c>
      <c r="Q891" s="705">
        <v>0</v>
      </c>
      <c r="R891" s="705">
        <f t="shared" si="172"/>
        <v>6855057.916666666</v>
      </c>
      <c r="S891" s="706">
        <f t="shared" si="173"/>
        <v>58953498.083333336</v>
      </c>
    </row>
    <row r="892" spans="1:19" ht="15.75" customHeight="1">
      <c r="A892" s="675" t="s">
        <v>938</v>
      </c>
      <c r="D892" s="309"/>
      <c r="E892" s="1235" t="s">
        <v>1064</v>
      </c>
      <c r="F892" s="1236"/>
      <c r="G892" s="1236"/>
      <c r="H892" s="1236"/>
      <c r="I892" s="1236"/>
      <c r="J892" s="1237"/>
      <c r="K892" s="708">
        <f>SUM(K871:K891)</f>
        <v>14777435724.6</v>
      </c>
      <c r="L892" s="708">
        <f t="shared" ref="L892:S892" si="174">SUM(L871:L891)</f>
        <v>0</v>
      </c>
      <c r="M892" s="708">
        <f t="shared" si="174"/>
        <v>0</v>
      </c>
      <c r="N892" s="708">
        <f t="shared" si="174"/>
        <v>14777435724.6</v>
      </c>
      <c r="O892" s="708">
        <f t="shared" si="174"/>
        <v>6345352194.5291653</v>
      </c>
      <c r="P892" s="708">
        <f t="shared" si="174"/>
        <v>0</v>
      </c>
      <c r="Q892" s="708">
        <f t="shared" si="174"/>
        <v>0</v>
      </c>
      <c r="R892" s="708">
        <f t="shared" si="174"/>
        <v>6345352194.5291653</v>
      </c>
      <c r="S892" s="708">
        <f t="shared" si="174"/>
        <v>8432083530.0708332</v>
      </c>
    </row>
    <row r="893" spans="1:19" ht="15.75" customHeight="1">
      <c r="D893" s="517"/>
      <c r="E893" s="518"/>
      <c r="F893" s="647"/>
      <c r="G893" s="634"/>
      <c r="H893" s="635"/>
      <c r="I893" s="648"/>
      <c r="J893" s="648"/>
      <c r="K893" s="712"/>
      <c r="L893" s="712"/>
      <c r="M893" s="712"/>
      <c r="N893" s="712"/>
      <c r="O893" s="712"/>
      <c r="P893" s="712"/>
      <c r="Q893" s="712"/>
      <c r="R893" s="712"/>
      <c r="S893" s="712"/>
    </row>
    <row r="894" spans="1:19" ht="15.75" customHeight="1">
      <c r="A894" s="675" t="s">
        <v>941</v>
      </c>
      <c r="D894" s="517"/>
      <c r="E894" s="518" t="s">
        <v>1065</v>
      </c>
      <c r="F894" s="263" t="s">
        <v>906</v>
      </c>
      <c r="G894" s="634"/>
      <c r="H894" s="635"/>
      <c r="I894" s="649"/>
      <c r="J894" s="377"/>
      <c r="K894" s="705"/>
      <c r="L894" s="706"/>
      <c r="M894" s="706"/>
      <c r="N894" s="705"/>
      <c r="O894" s="705"/>
      <c r="P894" s="705"/>
      <c r="Q894" s="705"/>
      <c r="R894" s="705"/>
      <c r="S894" s="705"/>
    </row>
    <row r="895" spans="1:19" ht="15.75" customHeight="1">
      <c r="A895" s="675" t="s">
        <v>941</v>
      </c>
      <c r="D895" s="517"/>
      <c r="E895" s="518"/>
      <c r="F895" s="263"/>
      <c r="G895" s="634"/>
      <c r="H895" s="635" t="s">
        <v>907</v>
      </c>
      <c r="I895" s="716">
        <v>2009</v>
      </c>
      <c r="J895" s="377">
        <v>0.25</v>
      </c>
      <c r="K895" s="706">
        <v>267700000</v>
      </c>
      <c r="L895" s="706">
        <v>0</v>
      </c>
      <c r="M895" s="706">
        <v>0</v>
      </c>
      <c r="N895" s="705">
        <f>K895+L895-M895</f>
        <v>267700000</v>
      </c>
      <c r="O895" s="705">
        <v>267700000</v>
      </c>
      <c r="P895" s="706">
        <v>0</v>
      </c>
      <c r="Q895" s="705">
        <v>0</v>
      </c>
      <c r="R895" s="705">
        <f>O895+P895-Q895</f>
        <v>267700000</v>
      </c>
      <c r="S895" s="706">
        <f>N895-R895</f>
        <v>0</v>
      </c>
    </row>
    <row r="896" spans="1:19" ht="15.75" customHeight="1">
      <c r="A896" s="675" t="s">
        <v>941</v>
      </c>
      <c r="D896" s="517"/>
      <c r="E896" s="518"/>
      <c r="F896" s="263"/>
      <c r="G896" s="634"/>
      <c r="H896" s="635" t="s">
        <v>908</v>
      </c>
      <c r="I896" s="716">
        <v>2010</v>
      </c>
      <c r="J896" s="377">
        <v>0.25</v>
      </c>
      <c r="K896" s="706">
        <v>627500000</v>
      </c>
      <c r="L896" s="706">
        <v>0</v>
      </c>
      <c r="M896" s="706">
        <v>0</v>
      </c>
      <c r="N896" s="705">
        <f>K896+L896-M896</f>
        <v>627500000</v>
      </c>
      <c r="O896" s="705">
        <v>627500000</v>
      </c>
      <c r="P896" s="706">
        <v>0</v>
      </c>
      <c r="Q896" s="705">
        <v>0</v>
      </c>
      <c r="R896" s="705">
        <f>O896+P896-Q896</f>
        <v>627500000</v>
      </c>
      <c r="S896" s="706">
        <f>N896-R896</f>
        <v>0</v>
      </c>
    </row>
    <row r="897" spans="1:19" ht="15.75" customHeight="1">
      <c r="A897" s="675" t="s">
        <v>941</v>
      </c>
      <c r="D897" s="517"/>
      <c r="E897" s="518"/>
      <c r="F897" s="263"/>
      <c r="G897" s="634"/>
      <c r="H897" s="635" t="s">
        <v>909</v>
      </c>
      <c r="I897" s="716">
        <v>2014</v>
      </c>
      <c r="J897" s="377">
        <v>0.25</v>
      </c>
      <c r="K897" s="706">
        <v>38300000</v>
      </c>
      <c r="L897" s="706">
        <v>0</v>
      </c>
      <c r="M897" s="706">
        <v>0</v>
      </c>
      <c r="N897" s="705">
        <f>K897+L897-M897</f>
        <v>38300000</v>
      </c>
      <c r="O897" s="705">
        <v>38300000</v>
      </c>
      <c r="P897" s="706">
        <v>0</v>
      </c>
      <c r="Q897" s="705">
        <v>0</v>
      </c>
      <c r="R897" s="705">
        <f>O897+P897-Q897</f>
        <v>38300000</v>
      </c>
      <c r="S897" s="706">
        <f>N897-R897</f>
        <v>0</v>
      </c>
    </row>
    <row r="898" spans="1:19" s="703" customFormat="1" ht="15.75" customHeight="1">
      <c r="A898" s="675" t="s">
        <v>941</v>
      </c>
      <c r="B898" s="675"/>
      <c r="C898" s="675"/>
      <c r="D898" s="517"/>
      <c r="E898" s="518"/>
      <c r="F898" s="263"/>
      <c r="G898" s="634"/>
      <c r="H898" s="635" t="s">
        <v>910</v>
      </c>
      <c r="I898" s="716">
        <v>2014</v>
      </c>
      <c r="J898" s="377">
        <v>0.25</v>
      </c>
      <c r="K898" s="706">
        <v>285200000</v>
      </c>
      <c r="L898" s="706">
        <v>0</v>
      </c>
      <c r="M898" s="706">
        <v>0</v>
      </c>
      <c r="N898" s="705">
        <f>K898+L898-M898</f>
        <v>285200000</v>
      </c>
      <c r="O898" s="705">
        <v>285200000</v>
      </c>
      <c r="P898" s="706">
        <v>0</v>
      </c>
      <c r="Q898" s="705">
        <v>0</v>
      </c>
      <c r="R898" s="705">
        <f>O898+P898-Q898</f>
        <v>285200000</v>
      </c>
      <c r="S898" s="706">
        <f>N898-R898</f>
        <v>0</v>
      </c>
    </row>
    <row r="899" spans="1:19" ht="15.75" customHeight="1">
      <c r="A899" s="675" t="s">
        <v>941</v>
      </c>
      <c r="D899" s="309"/>
      <c r="E899" s="1235" t="s">
        <v>1066</v>
      </c>
      <c r="F899" s="1236"/>
      <c r="G899" s="1236"/>
      <c r="H899" s="1236"/>
      <c r="I899" s="1236"/>
      <c r="J899" s="1237"/>
      <c r="K899" s="708">
        <f>SUM(K895:K898)</f>
        <v>1218700000</v>
      </c>
      <c r="L899" s="708">
        <f t="shared" ref="L899:S899" si="175">SUM(L895:L898)</f>
        <v>0</v>
      </c>
      <c r="M899" s="708">
        <f t="shared" si="175"/>
        <v>0</v>
      </c>
      <c r="N899" s="708">
        <f t="shared" si="175"/>
        <v>1218700000</v>
      </c>
      <c r="O899" s="708">
        <f t="shared" si="175"/>
        <v>1218700000</v>
      </c>
      <c r="P899" s="708">
        <f t="shared" si="175"/>
        <v>0</v>
      </c>
      <c r="Q899" s="708">
        <f t="shared" si="175"/>
        <v>0</v>
      </c>
      <c r="R899" s="708">
        <f t="shared" si="175"/>
        <v>1218700000</v>
      </c>
      <c r="S899" s="708">
        <f t="shared" si="175"/>
        <v>0</v>
      </c>
    </row>
    <row r="900" spans="1:19" ht="15.75" customHeight="1">
      <c r="D900" s="517"/>
      <c r="E900" s="518"/>
      <c r="F900" s="647"/>
      <c r="G900" s="634"/>
      <c r="H900" s="635"/>
      <c r="I900" s="648"/>
      <c r="J900" s="648"/>
      <c r="K900" s="712"/>
      <c r="L900" s="712"/>
      <c r="M900" s="712"/>
      <c r="N900" s="712"/>
      <c r="O900" s="712"/>
      <c r="P900" s="712"/>
      <c r="Q900" s="712"/>
      <c r="R900" s="712"/>
      <c r="S900" s="712"/>
    </row>
    <row r="901" spans="1:19" ht="15.75" customHeight="1">
      <c r="A901" s="675" t="s">
        <v>944</v>
      </c>
      <c r="D901" s="517"/>
      <c r="E901" s="518" t="s">
        <v>1067</v>
      </c>
      <c r="F901" s="263" t="s">
        <v>911</v>
      </c>
      <c r="G901" s="634"/>
      <c r="H901" s="635"/>
      <c r="I901" s="649"/>
      <c r="J901" s="377"/>
      <c r="K901" s="705"/>
      <c r="L901" s="706"/>
      <c r="M901" s="706"/>
      <c r="N901" s="705"/>
      <c r="O901" s="705"/>
      <c r="P901" s="705"/>
      <c r="Q901" s="705"/>
      <c r="R901" s="705"/>
      <c r="S901" s="705"/>
    </row>
    <row r="902" spans="1:19" ht="15.75" customHeight="1">
      <c r="A902" s="675" t="s">
        <v>944</v>
      </c>
      <c r="D902" s="517"/>
      <c r="E902" s="518"/>
      <c r="F902" s="263"/>
      <c r="G902" s="634"/>
      <c r="H902" s="635" t="s">
        <v>889</v>
      </c>
      <c r="I902" s="716">
        <v>2010</v>
      </c>
      <c r="J902" s="377">
        <v>0.25</v>
      </c>
      <c r="K902" s="705">
        <v>221200000</v>
      </c>
      <c r="L902" s="706">
        <v>0</v>
      </c>
      <c r="M902" s="706">
        <v>0</v>
      </c>
      <c r="N902" s="705">
        <f t="shared" ref="N902:N909" si="176">K902+L902-M902</f>
        <v>221200000</v>
      </c>
      <c r="O902" s="705">
        <v>221199999.99999997</v>
      </c>
      <c r="P902" s="706">
        <v>0</v>
      </c>
      <c r="Q902" s="705">
        <v>0</v>
      </c>
      <c r="R902" s="705">
        <f>O902+P902-Q902</f>
        <v>221199999.99999997</v>
      </c>
      <c r="S902" s="706">
        <f t="shared" ref="S902:S909" si="177">N902-R902</f>
        <v>0</v>
      </c>
    </row>
    <row r="903" spans="1:19" s="703" customFormat="1" ht="15.75" customHeight="1">
      <c r="A903" s="675" t="s">
        <v>944</v>
      </c>
      <c r="B903" s="675"/>
      <c r="C903" s="675"/>
      <c r="D903" s="517"/>
      <c r="E903" s="518"/>
      <c r="F903" s="263"/>
      <c r="G903" s="634"/>
      <c r="H903" s="641" t="s">
        <v>912</v>
      </c>
      <c r="I903" s="724">
        <v>2014</v>
      </c>
      <c r="J903" s="377">
        <v>0.25</v>
      </c>
      <c r="K903" s="705">
        <v>995300000</v>
      </c>
      <c r="L903" s="705">
        <v>0</v>
      </c>
      <c r="M903" s="705">
        <v>0</v>
      </c>
      <c r="N903" s="705">
        <f t="shared" si="176"/>
        <v>995300000</v>
      </c>
      <c r="O903" s="705">
        <v>995299999.99999928</v>
      </c>
      <c r="P903" s="706">
        <v>0</v>
      </c>
      <c r="Q903" s="705">
        <v>0</v>
      </c>
      <c r="R903" s="705">
        <f t="shared" ref="R903:R909" si="178">O903+P903-Q903</f>
        <v>995299999.99999928</v>
      </c>
      <c r="S903" s="706">
        <f t="shared" si="177"/>
        <v>0</v>
      </c>
    </row>
    <row r="904" spans="1:19" s="703" customFormat="1" ht="15.75" customHeight="1">
      <c r="A904" s="675"/>
      <c r="B904" s="675"/>
      <c r="C904" s="675"/>
      <c r="D904" s="660"/>
      <c r="E904" s="661"/>
      <c r="F904" s="638"/>
      <c r="G904" s="636"/>
      <c r="H904" s="656" t="s">
        <v>913</v>
      </c>
      <c r="I904" s="716">
        <v>2017</v>
      </c>
      <c r="J904" s="393">
        <v>0.25</v>
      </c>
      <c r="K904" s="706">
        <v>309176000</v>
      </c>
      <c r="L904" s="706">
        <v>0</v>
      </c>
      <c r="M904" s="706">
        <v>0</v>
      </c>
      <c r="N904" s="705">
        <f t="shared" si="176"/>
        <v>309176000</v>
      </c>
      <c r="O904" s="706">
        <v>309175999.99999994</v>
      </c>
      <c r="P904" s="706">
        <v>0</v>
      </c>
      <c r="Q904" s="706">
        <v>0</v>
      </c>
      <c r="R904" s="705">
        <f t="shared" si="178"/>
        <v>309175999.99999994</v>
      </c>
      <c r="S904" s="706">
        <f t="shared" si="177"/>
        <v>0</v>
      </c>
    </row>
    <row r="905" spans="1:19" s="703" customFormat="1" ht="15.75" customHeight="1">
      <c r="A905" s="675"/>
      <c r="B905" s="675"/>
      <c r="C905" s="675"/>
      <c r="D905" s="660"/>
      <c r="E905" s="661"/>
      <c r="F905" s="638"/>
      <c r="G905" s="636"/>
      <c r="H905" s="656" t="s">
        <v>903</v>
      </c>
      <c r="I905" s="716">
        <v>2018</v>
      </c>
      <c r="J905" s="393">
        <v>0.25</v>
      </c>
      <c r="K905" s="706">
        <v>1144009868</v>
      </c>
      <c r="L905" s="706">
        <v>0</v>
      </c>
      <c r="M905" s="706">
        <v>0</v>
      </c>
      <c r="N905" s="705">
        <f t="shared" si="176"/>
        <v>1144009868</v>
      </c>
      <c r="O905" s="706">
        <v>1096342790.166666</v>
      </c>
      <c r="P905" s="706">
        <v>47667077.833333969</v>
      </c>
      <c r="Q905" s="706">
        <v>0</v>
      </c>
      <c r="R905" s="705">
        <f t="shared" si="178"/>
        <v>1144009868</v>
      </c>
      <c r="S905" s="706">
        <f t="shared" si="177"/>
        <v>0</v>
      </c>
    </row>
    <row r="906" spans="1:19" s="703" customFormat="1" ht="15.75" customHeight="1">
      <c r="A906" s="675"/>
      <c r="B906" s="675"/>
      <c r="C906" s="675"/>
      <c r="D906" s="660"/>
      <c r="E906" s="661"/>
      <c r="F906" s="638"/>
      <c r="G906" s="636"/>
      <c r="H906" s="656" t="s">
        <v>914</v>
      </c>
      <c r="I906" s="716">
        <v>2018</v>
      </c>
      <c r="J906" s="393">
        <v>0.25</v>
      </c>
      <c r="K906" s="706">
        <v>8166600</v>
      </c>
      <c r="L906" s="706">
        <v>0</v>
      </c>
      <c r="M906" s="706">
        <v>0</v>
      </c>
      <c r="N906" s="705">
        <f t="shared" si="176"/>
        <v>8166600</v>
      </c>
      <c r="O906" s="706">
        <v>6295087.5</v>
      </c>
      <c r="P906" s="706">
        <v>1871512.5</v>
      </c>
      <c r="Q906" s="706">
        <v>0</v>
      </c>
      <c r="R906" s="705">
        <f t="shared" si="178"/>
        <v>8166600</v>
      </c>
      <c r="S906" s="706">
        <f t="shared" si="177"/>
        <v>0</v>
      </c>
    </row>
    <row r="907" spans="1:19" s="703" customFormat="1" ht="15.75" customHeight="1">
      <c r="A907" s="675"/>
      <c r="B907" s="675"/>
      <c r="C907" s="675"/>
      <c r="D907" s="660"/>
      <c r="E907" s="661"/>
      <c r="F907" s="638"/>
      <c r="G907" s="636"/>
      <c r="H907" s="656" t="s">
        <v>915</v>
      </c>
      <c r="I907" s="716">
        <v>2018</v>
      </c>
      <c r="J907" s="393">
        <v>0.25</v>
      </c>
      <c r="K907" s="706">
        <v>315897213</v>
      </c>
      <c r="L907" s="706">
        <v>0</v>
      </c>
      <c r="M907" s="706">
        <v>0</v>
      </c>
      <c r="N907" s="705">
        <f t="shared" si="176"/>
        <v>315897213</v>
      </c>
      <c r="O907" s="706">
        <v>243504101.6875</v>
      </c>
      <c r="P907" s="706">
        <v>72393111.3125</v>
      </c>
      <c r="Q907" s="706">
        <v>0</v>
      </c>
      <c r="R907" s="705">
        <f t="shared" si="178"/>
        <v>315897213</v>
      </c>
      <c r="S907" s="706">
        <f t="shared" si="177"/>
        <v>0</v>
      </c>
    </row>
    <row r="908" spans="1:19" s="703" customFormat="1" ht="15.75" customHeight="1">
      <c r="A908" s="675"/>
      <c r="B908" s="675"/>
      <c r="C908" s="675"/>
      <c r="D908" s="660"/>
      <c r="E908" s="661"/>
      <c r="F908" s="638"/>
      <c r="G908" s="636"/>
      <c r="H908" s="656" t="s">
        <v>916</v>
      </c>
      <c r="I908" s="716">
        <v>2018</v>
      </c>
      <c r="J908" s="393">
        <v>0.25</v>
      </c>
      <c r="K908" s="706">
        <v>269252000</v>
      </c>
      <c r="L908" s="706">
        <v>0</v>
      </c>
      <c r="M908" s="706">
        <v>0</v>
      </c>
      <c r="N908" s="705">
        <f t="shared" si="176"/>
        <v>269252000</v>
      </c>
      <c r="O908" s="706">
        <v>201938999.99999991</v>
      </c>
      <c r="P908" s="706">
        <f>N908*J908</f>
        <v>67313000</v>
      </c>
      <c r="Q908" s="706">
        <v>0</v>
      </c>
      <c r="R908" s="705">
        <f t="shared" si="178"/>
        <v>269251999.99999988</v>
      </c>
      <c r="S908" s="706">
        <f t="shared" si="177"/>
        <v>0</v>
      </c>
    </row>
    <row r="909" spans="1:19" s="703" customFormat="1" ht="15.75" customHeight="1">
      <c r="A909" s="675"/>
      <c r="B909" s="675"/>
      <c r="C909" s="675"/>
      <c r="D909" s="517"/>
      <c r="E909" s="662"/>
      <c r="F909" s="663"/>
      <c r="G909" s="657"/>
      <c r="H909" s="664" t="s">
        <v>917</v>
      </c>
      <c r="I909" s="729">
        <v>43524</v>
      </c>
      <c r="J909" s="383">
        <v>0.25</v>
      </c>
      <c r="K909" s="707">
        <v>246294901</v>
      </c>
      <c r="L909" s="707"/>
      <c r="M909" s="707">
        <v>0</v>
      </c>
      <c r="N909" s="707">
        <f t="shared" si="176"/>
        <v>246294901</v>
      </c>
      <c r="O909" s="707">
        <v>174458887.85416666</v>
      </c>
      <c r="P909" s="706">
        <f>N909*J909</f>
        <v>61573725.25</v>
      </c>
      <c r="Q909" s="707">
        <v>0</v>
      </c>
      <c r="R909" s="705">
        <f t="shared" si="178"/>
        <v>236032613.10416666</v>
      </c>
      <c r="S909" s="707">
        <f t="shared" si="177"/>
        <v>10262287.895833343</v>
      </c>
    </row>
    <row r="910" spans="1:19" ht="15.75" customHeight="1">
      <c r="A910" s="675" t="s">
        <v>944</v>
      </c>
      <c r="D910" s="309"/>
      <c r="E910" s="1238" t="s">
        <v>1068</v>
      </c>
      <c r="F910" s="1239"/>
      <c r="G910" s="1239"/>
      <c r="H910" s="1239"/>
      <c r="I910" s="1239"/>
      <c r="J910" s="1240"/>
      <c r="K910" s="851">
        <f>SUM(K902:K909)</f>
        <v>3509296582</v>
      </c>
      <c r="L910" s="851">
        <f t="shared" ref="L910:S910" si="179">SUM(L902:L909)</f>
        <v>0</v>
      </c>
      <c r="M910" s="851">
        <f t="shared" si="179"/>
        <v>0</v>
      </c>
      <c r="N910" s="851">
        <f t="shared" si="179"/>
        <v>3509296582</v>
      </c>
      <c r="O910" s="851">
        <f t="shared" si="179"/>
        <v>3248215867.2083316</v>
      </c>
      <c r="P910" s="708">
        <f t="shared" si="179"/>
        <v>250818426.89583397</v>
      </c>
      <c r="Q910" s="851">
        <f t="shared" si="179"/>
        <v>0</v>
      </c>
      <c r="R910" s="708">
        <f t="shared" si="179"/>
        <v>3499034294.1041656</v>
      </c>
      <c r="S910" s="851">
        <f t="shared" si="179"/>
        <v>10262287.895833343</v>
      </c>
    </row>
    <row r="911" spans="1:19" s="763" customFormat="1" ht="25" customHeight="1">
      <c r="A911" s="675"/>
      <c r="B911" s="675"/>
      <c r="C911" s="675"/>
      <c r="D911" s="517"/>
      <c r="E911" s="518"/>
      <c r="F911" s="647"/>
      <c r="G911" s="634"/>
      <c r="H911" s="635"/>
      <c r="I911" s="648"/>
      <c r="J911" s="648"/>
      <c r="K911" s="712"/>
      <c r="L911" s="712"/>
      <c r="M911" s="712"/>
      <c r="N911" s="712"/>
      <c r="O911" s="712"/>
      <c r="P911" s="712"/>
      <c r="Q911" s="712"/>
      <c r="R911" s="712"/>
      <c r="S911" s="712"/>
    </row>
    <row r="912" spans="1:19" ht="15.75" customHeight="1">
      <c r="D912" s="1229" t="s">
        <v>1069</v>
      </c>
      <c r="E912" s="1230"/>
      <c r="F912" s="1230"/>
      <c r="G912" s="1230"/>
      <c r="H912" s="1230"/>
      <c r="I912" s="1230"/>
      <c r="J912" s="1231"/>
      <c r="K912" s="708">
        <f>K868+K892+K899+K910</f>
        <v>19627281251.599998</v>
      </c>
      <c r="L912" s="708">
        <f t="shared" ref="L912:S912" si="180">L868+L892+L899+L910</f>
        <v>0</v>
      </c>
      <c r="M912" s="708">
        <f t="shared" si="180"/>
        <v>0</v>
      </c>
      <c r="N912" s="708">
        <f t="shared" si="180"/>
        <v>19627281251.599998</v>
      </c>
      <c r="O912" s="708">
        <f t="shared" si="180"/>
        <v>10927745385.174997</v>
      </c>
      <c r="P912" s="708">
        <f t="shared" si="180"/>
        <v>257190048.458334</v>
      </c>
      <c r="Q912" s="708">
        <f t="shared" si="180"/>
        <v>0</v>
      </c>
      <c r="R912" s="708">
        <f t="shared" si="180"/>
        <v>11184935433.633331</v>
      </c>
      <c r="S912" s="708">
        <f t="shared" si="180"/>
        <v>8442345817.9666662</v>
      </c>
    </row>
    <row r="913" spans="1:19" ht="25" customHeight="1">
      <c r="B913" s="675">
        <v>1</v>
      </c>
      <c r="C913" s="675">
        <v>1</v>
      </c>
      <c r="D913" s="387"/>
      <c r="E913" s="324"/>
      <c r="F913" s="330"/>
      <c r="G913" s="721"/>
      <c r="H913" s="715"/>
      <c r="I913" s="716"/>
      <c r="J913" s="393"/>
      <c r="K913" s="830"/>
      <c r="L913" s="830"/>
      <c r="M913" s="830"/>
      <c r="N913" s="830"/>
      <c r="O913" s="830"/>
      <c r="P913" s="830"/>
      <c r="Q913" s="830"/>
      <c r="R913" s="830"/>
      <c r="S913" s="830"/>
    </row>
    <row r="914" spans="1:19" s="864" customFormat="1" ht="15.75" customHeight="1" thickBot="1">
      <c r="A914" s="675"/>
      <c r="B914" s="675"/>
      <c r="C914" s="675"/>
      <c r="D914" s="1232" t="s">
        <v>1070</v>
      </c>
      <c r="E914" s="1233"/>
      <c r="F914" s="1233"/>
      <c r="G914" s="1233"/>
      <c r="H914" s="1233"/>
      <c r="I914" s="1233"/>
      <c r="J914" s="1234"/>
      <c r="K914" s="863">
        <f t="shared" ref="K914:S914" si="181">K35+K164+K206+K242+K591+K637+K699+K859+K912</f>
        <v>152252716900.97559</v>
      </c>
      <c r="L914" s="863">
        <f t="shared" si="181"/>
        <v>123039130</v>
      </c>
      <c r="M914" s="863">
        <f t="shared" si="181"/>
        <v>0</v>
      </c>
      <c r="N914" s="863">
        <f t="shared" si="181"/>
        <v>152375756030.97559</v>
      </c>
      <c r="O914" s="863">
        <f t="shared" si="181"/>
        <v>62765126331.723778</v>
      </c>
      <c r="P914" s="863">
        <f t="shared" si="181"/>
        <v>8277536383.2805347</v>
      </c>
      <c r="Q914" s="863">
        <f t="shared" si="181"/>
        <v>0</v>
      </c>
      <c r="R914" s="863">
        <f t="shared" si="181"/>
        <v>71042400215.004318</v>
      </c>
      <c r="S914" s="863">
        <f t="shared" si="181"/>
        <v>81333355815.971283</v>
      </c>
    </row>
    <row r="915" spans="1:19" ht="15.75" customHeight="1" thickTop="1">
      <c r="A915" s="865"/>
      <c r="B915" s="865"/>
      <c r="C915" s="865"/>
    </row>
    <row r="916" spans="1:19">
      <c r="E916" s="868" t="str">
        <f>[64]Neraca!A69</f>
        <v>Lampung Selatan, 26 April 2023</v>
      </c>
    </row>
    <row r="917" spans="1:19">
      <c r="E917" s="679"/>
    </row>
    <row r="918" spans="1:19">
      <c r="E918" s="679" t="str">
        <f>[64]Neraca!A73</f>
        <v>Ibnu Syena Alfitra</v>
      </c>
    </row>
    <row r="919" spans="1:19">
      <c r="E919" s="679" t="str">
        <f>[64]Neraca!A74</f>
        <v>Direktur</v>
      </c>
    </row>
  </sheetData>
  <mergeCells count="81">
    <mergeCell ref="E910:J910"/>
    <mergeCell ref="D912:J912"/>
    <mergeCell ref="D914:J914"/>
    <mergeCell ref="F856:H856"/>
    <mergeCell ref="E857:J857"/>
    <mergeCell ref="D859:J859"/>
    <mergeCell ref="E868:J868"/>
    <mergeCell ref="E892:J892"/>
    <mergeCell ref="E899:J899"/>
    <mergeCell ref="F842:H842"/>
    <mergeCell ref="E682:J682"/>
    <mergeCell ref="E697:J697"/>
    <mergeCell ref="D699:J699"/>
    <mergeCell ref="F756:H756"/>
    <mergeCell ref="F779:H779"/>
    <mergeCell ref="E780:J780"/>
    <mergeCell ref="F807:H807"/>
    <mergeCell ref="F812:H812"/>
    <mergeCell ref="E816:J816"/>
    <mergeCell ref="F822:H822"/>
    <mergeCell ref="E823:J823"/>
    <mergeCell ref="E674:J674"/>
    <mergeCell ref="F340:J340"/>
    <mergeCell ref="F353:J353"/>
    <mergeCell ref="E354:J354"/>
    <mergeCell ref="E506:J506"/>
    <mergeCell ref="E578:J578"/>
    <mergeCell ref="E589:J589"/>
    <mergeCell ref="D591:J591"/>
    <mergeCell ref="F603:J603"/>
    <mergeCell ref="E604:J604"/>
    <mergeCell ref="E635:J635"/>
    <mergeCell ref="D637:J637"/>
    <mergeCell ref="F321:J321"/>
    <mergeCell ref="E216:J216"/>
    <mergeCell ref="E226:J226"/>
    <mergeCell ref="E240:J240"/>
    <mergeCell ref="D242:J242"/>
    <mergeCell ref="G250:J250"/>
    <mergeCell ref="G260:J260"/>
    <mergeCell ref="G266:J266"/>
    <mergeCell ref="G270:J270"/>
    <mergeCell ref="G273:J273"/>
    <mergeCell ref="G281:J281"/>
    <mergeCell ref="G320:J320"/>
    <mergeCell ref="F215:J215"/>
    <mergeCell ref="F114:J114"/>
    <mergeCell ref="F125:J125"/>
    <mergeCell ref="E127:J127"/>
    <mergeCell ref="E155:J155"/>
    <mergeCell ref="E162:J162"/>
    <mergeCell ref="D164:J164"/>
    <mergeCell ref="F178:J178"/>
    <mergeCell ref="E179:J179"/>
    <mergeCell ref="E189:J189"/>
    <mergeCell ref="E204:J204"/>
    <mergeCell ref="D206:J206"/>
    <mergeCell ref="F103:J103"/>
    <mergeCell ref="E20:J20"/>
    <mergeCell ref="E25:J25"/>
    <mergeCell ref="E29:J29"/>
    <mergeCell ref="E33:J33"/>
    <mergeCell ref="D35:J35"/>
    <mergeCell ref="F56:J56"/>
    <mergeCell ref="F61:J61"/>
    <mergeCell ref="F65:J65"/>
    <mergeCell ref="E66:J66"/>
    <mergeCell ref="F79:J79"/>
    <mergeCell ref="F93:J93"/>
    <mergeCell ref="N6:N7"/>
    <mergeCell ref="O6:O7"/>
    <mergeCell ref="P6:Q8"/>
    <mergeCell ref="R6:R7"/>
    <mergeCell ref="S6:S7"/>
    <mergeCell ref="K6:K7"/>
    <mergeCell ref="L6:M8"/>
    <mergeCell ref="E16:J16"/>
    <mergeCell ref="D6:D9"/>
    <mergeCell ref="F6:H8"/>
    <mergeCell ref="I6:I7"/>
    <mergeCell ref="J6:J9"/>
  </mergeCells>
  <pageMargins left="0.15748031496063" right="0.23622047244094499" top="0.511811023622047" bottom="0.511811023622047" header="0.31496062992126" footer="0.31496062992126"/>
  <pageSetup paperSize="5" scale="65" fitToHeight="3" orientation="landscape" verticalDpi="1200" r:id="rId1"/>
  <headerFooter>
    <oddFooter>&amp;R&amp;P -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DB32-D94C-4604-B72C-41857A210E2B}">
  <dimension ref="A2:E32"/>
  <sheetViews>
    <sheetView topLeftCell="A17" workbookViewId="0">
      <selection activeCell="C28" sqref="C28"/>
    </sheetView>
  </sheetViews>
  <sheetFormatPr defaultRowHeight="14.5"/>
  <cols>
    <col min="2" max="2" width="38.453125" bestFit="1" customWidth="1"/>
    <col min="3" max="3" width="14.7265625" style="31" bestFit="1" customWidth="1"/>
    <col min="5" max="6" width="14.7265625" bestFit="1" customWidth="1"/>
  </cols>
  <sheetData>
    <row r="2" spans="1:2">
      <c r="A2" t="s">
        <v>268</v>
      </c>
      <c r="B2" t="s">
        <v>1279</v>
      </c>
    </row>
    <row r="3" spans="1:2">
      <c r="A3" t="s">
        <v>1237</v>
      </c>
      <c r="B3" t="s">
        <v>1238</v>
      </c>
    </row>
    <row r="4" spans="1:2">
      <c r="A4" t="s">
        <v>1239</v>
      </c>
      <c r="B4" t="s">
        <v>1240</v>
      </c>
    </row>
    <row r="5" spans="1:2">
      <c r="A5" t="s">
        <v>1241</v>
      </c>
      <c r="B5" t="s">
        <v>47</v>
      </c>
    </row>
    <row r="6" spans="1:2">
      <c r="A6" t="s">
        <v>1242</v>
      </c>
      <c r="B6" t="s">
        <v>1109</v>
      </c>
    </row>
    <row r="7" spans="1:2">
      <c r="A7" t="s">
        <v>1243</v>
      </c>
      <c r="B7" t="s">
        <v>1244</v>
      </c>
    </row>
    <row r="8" spans="1:2">
      <c r="A8" t="s">
        <v>1245</v>
      </c>
      <c r="B8" t="s">
        <v>203</v>
      </c>
    </row>
    <row r="9" spans="1:2">
      <c r="A9" t="s">
        <v>1246</v>
      </c>
      <c r="B9" t="s">
        <v>111</v>
      </c>
    </row>
    <row r="10" spans="1:2">
      <c r="A10" t="s">
        <v>1247</v>
      </c>
      <c r="B10" t="s">
        <v>1248</v>
      </c>
    </row>
    <row r="11" spans="1:2">
      <c r="A11" t="s">
        <v>1249</v>
      </c>
      <c r="B11" t="s">
        <v>903</v>
      </c>
    </row>
    <row r="12" spans="1:2">
      <c r="A12" t="s">
        <v>1250</v>
      </c>
      <c r="B12" t="s">
        <v>211</v>
      </c>
    </row>
    <row r="14" spans="1:2">
      <c r="A14" t="s">
        <v>1251</v>
      </c>
      <c r="B14" t="s">
        <v>1252</v>
      </c>
    </row>
    <row r="15" spans="1:2">
      <c r="A15" t="s">
        <v>1253</v>
      </c>
      <c r="B15" t="s">
        <v>1254</v>
      </c>
    </row>
    <row r="16" spans="1:2">
      <c r="A16" t="s">
        <v>1255</v>
      </c>
      <c r="B16" t="s">
        <v>1256</v>
      </c>
    </row>
    <row r="17" spans="1:5">
      <c r="A17" t="s">
        <v>1257</v>
      </c>
      <c r="B17" t="s">
        <v>1258</v>
      </c>
    </row>
    <row r="18" spans="1:5">
      <c r="A18" t="s">
        <v>1259</v>
      </c>
      <c r="B18" t="s">
        <v>1260</v>
      </c>
    </row>
    <row r="19" spans="1:5">
      <c r="A19" t="s">
        <v>1261</v>
      </c>
      <c r="B19" t="s">
        <v>1262</v>
      </c>
    </row>
    <row r="20" spans="1:5">
      <c r="A20" t="s">
        <v>1263</v>
      </c>
      <c r="B20" t="s">
        <v>1264</v>
      </c>
    </row>
    <row r="21" spans="1:5">
      <c r="A21" t="s">
        <v>1265</v>
      </c>
      <c r="B21" t="s">
        <v>1266</v>
      </c>
    </row>
    <row r="23" spans="1:5">
      <c r="A23" t="s">
        <v>1267</v>
      </c>
      <c r="B23" t="s">
        <v>1268</v>
      </c>
    </row>
    <row r="25" spans="1:5">
      <c r="A25" t="s">
        <v>1269</v>
      </c>
      <c r="B25" t="s">
        <v>1270</v>
      </c>
      <c r="C25" t="s">
        <v>1278</v>
      </c>
      <c r="E25" s="31">
        <v>51186083.333333313</v>
      </c>
    </row>
    <row r="26" spans="1:5">
      <c r="A26" t="s">
        <v>1271</v>
      </c>
      <c r="B26" t="s">
        <v>1123</v>
      </c>
      <c r="C26" t="s">
        <v>1278</v>
      </c>
      <c r="E26" s="31">
        <v>497213967.5</v>
      </c>
    </row>
    <row r="27" spans="1:5">
      <c r="A27" t="s">
        <v>1272</v>
      </c>
      <c r="B27" t="s">
        <v>1124</v>
      </c>
      <c r="C27" t="s">
        <v>1278</v>
      </c>
      <c r="E27" s="31">
        <v>41407000</v>
      </c>
    </row>
    <row r="28" spans="1:5">
      <c r="A28" t="s">
        <v>1273</v>
      </c>
      <c r="B28" t="s">
        <v>1125</v>
      </c>
      <c r="C28" t="s">
        <v>259</v>
      </c>
      <c r="E28" s="31">
        <v>0</v>
      </c>
    </row>
    <row r="29" spans="1:5">
      <c r="A29" t="s">
        <v>1274</v>
      </c>
      <c r="B29" t="s">
        <v>1126</v>
      </c>
      <c r="C29" t="s">
        <v>259</v>
      </c>
      <c r="E29" s="31">
        <v>0</v>
      </c>
    </row>
    <row r="30" spans="1:5">
      <c r="A30" t="s">
        <v>1275</v>
      </c>
      <c r="B30" t="s">
        <v>1127</v>
      </c>
      <c r="C30" t="s">
        <v>1278</v>
      </c>
      <c r="E30" s="31">
        <v>789225000</v>
      </c>
    </row>
    <row r="31" spans="1:5">
      <c r="A31" t="s">
        <v>1276</v>
      </c>
      <c r="B31" t="s">
        <v>1128</v>
      </c>
      <c r="C31" t="s">
        <v>259</v>
      </c>
      <c r="E31" s="31">
        <v>0</v>
      </c>
    </row>
    <row r="32" spans="1:5">
      <c r="A32" t="s">
        <v>1277</v>
      </c>
      <c r="B32" t="s">
        <v>1130</v>
      </c>
      <c r="C32" t="s">
        <v>259</v>
      </c>
      <c r="E32" s="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C429-8F70-40AF-8459-566132004E58}">
  <dimension ref="A1:J232"/>
  <sheetViews>
    <sheetView zoomScale="75" workbookViewId="0">
      <pane xSplit="3" ySplit="3" topLeftCell="D8" activePane="bottomRight" state="frozen"/>
      <selection pane="topRight" activeCell="D1" sqref="D1"/>
      <selection pane="bottomLeft" activeCell="A4" sqref="A4"/>
      <selection pane="bottomRight"/>
    </sheetView>
  </sheetViews>
  <sheetFormatPr defaultRowHeight="14.5"/>
  <cols>
    <col min="1" max="1" width="10.81640625" style="1126" bestFit="1" customWidth="1"/>
    <col min="2" max="2" width="11" style="1124" customWidth="1"/>
    <col min="3" max="3" width="49.26953125" style="1124" bestFit="1" customWidth="1"/>
    <col min="4" max="4" width="8.7265625" style="1124"/>
    <col min="5" max="6" width="16.26953125" style="1125" bestFit="1" customWidth="1"/>
    <col min="7" max="7" width="68" style="1124" bestFit="1" customWidth="1"/>
    <col min="8" max="8" width="14.54296875" style="1120" customWidth="1"/>
    <col min="9" max="9" width="16.36328125" style="1120" bestFit="1" customWidth="1"/>
    <col min="10" max="10" width="16.26953125" style="1120" bestFit="1" customWidth="1"/>
    <col min="11" max="16384" width="8.7265625" style="1120"/>
  </cols>
  <sheetData>
    <row r="1" spans="1:10">
      <c r="A1" s="1120"/>
      <c r="B1" s="1120"/>
      <c r="C1" s="1120"/>
      <c r="D1" s="1128">
        <f>E1-F1</f>
        <v>0</v>
      </c>
      <c r="E1" s="1121">
        <f>SUM(E4:E295)</f>
        <v>12622751500.496662</v>
      </c>
      <c r="F1" s="1121">
        <f>SUM(F4:F295)</f>
        <v>12622751500.496662</v>
      </c>
      <c r="G1" s="1120"/>
    </row>
    <row r="2" spans="1:10">
      <c r="A2" s="1293" t="s">
        <v>1230</v>
      </c>
      <c r="B2" s="1295" t="s">
        <v>1231</v>
      </c>
      <c r="C2" s="1291" t="s">
        <v>1232</v>
      </c>
      <c r="D2" s="1295" t="s">
        <v>1233</v>
      </c>
      <c r="E2" s="1297" t="s">
        <v>1234</v>
      </c>
      <c r="F2" s="1298"/>
      <c r="G2" s="1291" t="s">
        <v>1235</v>
      </c>
    </row>
    <row r="3" spans="1:10">
      <c r="A3" s="1294"/>
      <c r="B3" s="1296"/>
      <c r="C3" s="1292"/>
      <c r="D3" s="1296"/>
      <c r="E3" s="1122" t="s">
        <v>262</v>
      </c>
      <c r="F3" s="1122" t="s">
        <v>1236</v>
      </c>
      <c r="G3" s="1292"/>
    </row>
    <row r="4" spans="1:10">
      <c r="A4" s="1123"/>
    </row>
    <row r="5" spans="1:10">
      <c r="A5" s="1123"/>
      <c r="B5" s="1152" t="s">
        <v>1269</v>
      </c>
      <c r="C5" s="1124" t="s">
        <v>1270</v>
      </c>
      <c r="E5" s="1125">
        <f>'Disclosure Aset'!E32</f>
        <v>64098843.875000007</v>
      </c>
      <c r="G5" s="1124" t="s">
        <v>1280</v>
      </c>
    </row>
    <row r="6" spans="1:10">
      <c r="B6" s="1152" t="s">
        <v>1271</v>
      </c>
      <c r="C6" s="1127" t="s">
        <v>1123</v>
      </c>
      <c r="E6" s="1125">
        <f>'Disclosure Aset'!E28</f>
        <v>378489750</v>
      </c>
      <c r="G6" s="1124" t="str">
        <f>G5</f>
        <v>Adjustment Penyusutan Aset Tetap Jan s.d Des 2023</v>
      </c>
      <c r="I6" s="1128"/>
    </row>
    <row r="7" spans="1:10" customFormat="1">
      <c r="A7" s="1129"/>
      <c r="B7" s="1152" t="s">
        <v>1272</v>
      </c>
      <c r="C7" s="1124" t="s">
        <v>1124</v>
      </c>
      <c r="D7" s="1130"/>
      <c r="E7" s="1131">
        <f>'Disclosure Aset'!E26</f>
        <v>1860373507.605001</v>
      </c>
      <c r="F7" s="1131"/>
      <c r="G7" s="1124" t="str">
        <f t="shared" ref="G7:G20" si="0">G6</f>
        <v>Adjustment Penyusutan Aset Tetap Jan s.d Des 2023</v>
      </c>
      <c r="I7" s="1132"/>
    </row>
    <row r="8" spans="1:10" customFormat="1">
      <c r="A8" s="1129"/>
      <c r="B8" s="1152" t="s">
        <v>1273</v>
      </c>
      <c r="C8" s="1124" t="s">
        <v>1125</v>
      </c>
      <c r="D8" s="1130"/>
      <c r="E8" s="1131">
        <f>'Disclosure Aset'!E30</f>
        <v>72614000</v>
      </c>
      <c r="F8" s="1131"/>
      <c r="G8" s="1124" t="str">
        <f t="shared" si="0"/>
        <v>Adjustment Penyusutan Aset Tetap Jan s.d Des 2023</v>
      </c>
      <c r="H8" s="1133"/>
      <c r="I8" s="1134"/>
      <c r="J8" s="1134"/>
    </row>
    <row r="9" spans="1:10">
      <c r="B9" s="1152" t="s">
        <v>1274</v>
      </c>
      <c r="C9" s="1127" t="s">
        <v>1126</v>
      </c>
      <c r="E9" s="1131">
        <f>'Disclosure Aset'!E33</f>
        <v>1324753493.2</v>
      </c>
      <c r="F9" s="1131"/>
      <c r="G9" s="1124" t="str">
        <f t="shared" si="0"/>
        <v>Adjustment Penyusutan Aset Tetap Jan s.d Des 2023</v>
      </c>
    </row>
    <row r="10" spans="1:10">
      <c r="A10" s="1123"/>
      <c r="B10" s="1152" t="s">
        <v>1275</v>
      </c>
      <c r="C10" s="1124" t="s">
        <v>1127</v>
      </c>
      <c r="E10" s="1135">
        <f>'Disclosure Aset'!E31</f>
        <v>982475000</v>
      </c>
      <c r="F10" s="1135"/>
      <c r="G10" s="1124" t="str">
        <f t="shared" si="0"/>
        <v>Adjustment Penyusutan Aset Tetap Jan s.d Des 2023</v>
      </c>
    </row>
    <row r="11" spans="1:10">
      <c r="A11" s="1123"/>
      <c r="B11" s="1152" t="s">
        <v>1276</v>
      </c>
      <c r="C11" s="1124" t="s">
        <v>1128</v>
      </c>
      <c r="E11" s="1135">
        <f>'Disclosure Aset'!E29</f>
        <v>3217782268.8083305</v>
      </c>
      <c r="F11" s="1135"/>
      <c r="G11" s="1124" t="str">
        <f t="shared" si="0"/>
        <v>Adjustment Penyusutan Aset Tetap Jan s.d Des 2023</v>
      </c>
      <c r="I11" s="1132"/>
    </row>
    <row r="12" spans="1:10">
      <c r="B12" s="1152" t="s">
        <v>1277</v>
      </c>
      <c r="C12" s="1127" t="s">
        <v>1130</v>
      </c>
      <c r="E12" s="1131">
        <f>'Disclosure Aset'!E27</f>
        <v>53507437.5</v>
      </c>
      <c r="F12" s="1131"/>
      <c r="G12" s="1124" t="str">
        <f t="shared" si="0"/>
        <v>Adjustment Penyusutan Aset Tetap Jan s.d Des 2023</v>
      </c>
      <c r="I12" s="1132"/>
    </row>
    <row r="13" spans="1:10">
      <c r="A13" s="1123"/>
      <c r="B13" s="1152" t="s">
        <v>1251</v>
      </c>
      <c r="C13" s="1142" t="s">
        <v>1252</v>
      </c>
      <c r="E13" s="1131"/>
      <c r="F13" s="1131">
        <f>E7</f>
        <v>1860373507.605001</v>
      </c>
      <c r="G13" s="1124" t="str">
        <f t="shared" si="0"/>
        <v>Adjustment Penyusutan Aset Tetap Jan s.d Des 2023</v>
      </c>
      <c r="H13" s="1136"/>
      <c r="I13" s="1128"/>
    </row>
    <row r="14" spans="1:10">
      <c r="A14" s="1123"/>
      <c r="B14" s="1152" t="s">
        <v>1253</v>
      </c>
      <c r="C14" s="1142" t="s">
        <v>1254</v>
      </c>
      <c r="E14" s="1131"/>
      <c r="F14" s="1131">
        <f>E6</f>
        <v>378489750</v>
      </c>
      <c r="G14" s="1124" t="str">
        <f t="shared" si="0"/>
        <v>Adjustment Penyusutan Aset Tetap Jan s.d Des 2023</v>
      </c>
      <c r="H14" s="1136"/>
      <c r="I14" s="1128"/>
    </row>
    <row r="15" spans="1:10">
      <c r="B15" s="1152" t="s">
        <v>1255</v>
      </c>
      <c r="C15" s="1142" t="s">
        <v>1256</v>
      </c>
      <c r="E15" s="1131"/>
      <c r="F15" s="1131">
        <f>E11</f>
        <v>3217782268.8083305</v>
      </c>
      <c r="G15" s="1124" t="str">
        <f t="shared" si="0"/>
        <v>Adjustment Penyusutan Aset Tetap Jan s.d Des 2023</v>
      </c>
      <c r="I15" s="1137"/>
    </row>
    <row r="16" spans="1:10">
      <c r="A16" s="1123"/>
      <c r="B16" s="1153" t="s">
        <v>1257</v>
      </c>
      <c r="C16" s="1142" t="s">
        <v>1258</v>
      </c>
      <c r="D16" s="1138"/>
      <c r="E16" s="1139"/>
      <c r="F16" s="1140">
        <f>E10</f>
        <v>982475000</v>
      </c>
      <c r="G16" s="1124" t="str">
        <f t="shared" si="0"/>
        <v>Adjustment Penyusutan Aset Tetap Jan s.d Des 2023</v>
      </c>
      <c r="I16" s="1137"/>
    </row>
    <row r="17" spans="1:9">
      <c r="A17" s="1123"/>
      <c r="B17" s="1153" t="s">
        <v>1259</v>
      </c>
      <c r="C17" s="1142" t="s">
        <v>1260</v>
      </c>
      <c r="E17" s="1131"/>
      <c r="F17" s="1131">
        <f>E5</f>
        <v>64098843.875000007</v>
      </c>
      <c r="G17" s="1124" t="str">
        <f t="shared" si="0"/>
        <v>Adjustment Penyusutan Aset Tetap Jan s.d Des 2023</v>
      </c>
    </row>
    <row r="18" spans="1:9">
      <c r="B18" s="1152" t="s">
        <v>1261</v>
      </c>
      <c r="C18" s="1142" t="s">
        <v>1262</v>
      </c>
      <c r="E18" s="1131"/>
      <c r="F18" s="1131">
        <f>E8</f>
        <v>72614000</v>
      </c>
      <c r="G18" s="1124" t="str">
        <f t="shared" si="0"/>
        <v>Adjustment Penyusutan Aset Tetap Jan s.d Des 2023</v>
      </c>
    </row>
    <row r="19" spans="1:9">
      <c r="A19" s="1123"/>
      <c r="B19" s="1152" t="s">
        <v>1263</v>
      </c>
      <c r="C19" s="1142" t="s">
        <v>1264</v>
      </c>
      <c r="E19" s="1139"/>
      <c r="F19" s="1140">
        <f>E9</f>
        <v>1324753493.2</v>
      </c>
      <c r="G19" s="1124" t="str">
        <f t="shared" si="0"/>
        <v>Adjustment Penyusutan Aset Tetap Jan s.d Des 2023</v>
      </c>
      <c r="I19" s="1137"/>
    </row>
    <row r="20" spans="1:9">
      <c r="A20" s="1123"/>
      <c r="B20" s="1152" t="s">
        <v>1265</v>
      </c>
      <c r="C20" s="1142" t="s">
        <v>1266</v>
      </c>
      <c r="E20" s="1131"/>
      <c r="F20" s="1131">
        <f>E12</f>
        <v>53507437.5</v>
      </c>
      <c r="G20" s="1124" t="str">
        <f t="shared" si="0"/>
        <v>Adjustment Penyusutan Aset Tetap Jan s.d Des 2023</v>
      </c>
    </row>
    <row r="21" spans="1:9">
      <c r="C21" s="1127"/>
      <c r="E21" s="1131"/>
      <c r="F21" s="1131"/>
    </row>
    <row r="22" spans="1:9">
      <c r="A22" s="1123"/>
      <c r="B22" s="1153" t="s">
        <v>1267</v>
      </c>
      <c r="C22" s="1127" t="s">
        <v>1268</v>
      </c>
      <c r="D22" s="1138"/>
      <c r="E22" s="1139">
        <f>SUM(F23:F26)</f>
        <v>4668657199.5083303</v>
      </c>
      <c r="F22" s="1140"/>
      <c r="G22" s="1124" t="s">
        <v>1281</v>
      </c>
      <c r="I22" s="1137"/>
    </row>
    <row r="23" spans="1:9">
      <c r="A23" s="1123"/>
      <c r="B23" s="1153" t="str">
        <f>'COA AT'!A28</f>
        <v>6-11.504</v>
      </c>
      <c r="C23" s="1142" t="str">
        <f>'COA AT'!B28</f>
        <v>Penyusutan Electricity Instalasi, Biaya</v>
      </c>
      <c r="E23" s="1131"/>
      <c r="F23" s="1131">
        <f>E8</f>
        <v>72614000</v>
      </c>
      <c r="G23" s="1124" t="str">
        <f>G22</f>
        <v>Reklas Penyusutan GA ke penyusutan COGS per 2023</v>
      </c>
    </row>
    <row r="24" spans="1:9">
      <c r="B24" s="1153" t="str">
        <f>'COA AT'!A29</f>
        <v>6-11.505</v>
      </c>
      <c r="C24" s="1142" t="str">
        <f>'COA AT'!B29</f>
        <v>Penyusutan Infrastruktur, Biaya</v>
      </c>
      <c r="E24" s="1131"/>
      <c r="F24" s="1131">
        <f>E9</f>
        <v>1324753493.2</v>
      </c>
      <c r="G24" s="1124" t="str">
        <f t="shared" ref="G24:G26" si="1">G23</f>
        <v>Reklas Penyusutan GA ke penyusutan COGS per 2023</v>
      </c>
    </row>
    <row r="25" spans="1:9">
      <c r="A25" s="1123"/>
      <c r="B25" s="1152" t="str">
        <f>'COA AT'!A31</f>
        <v>6-11.507</v>
      </c>
      <c r="C25" s="1142" t="str">
        <f>'COA AT'!B31</f>
        <v>Penyusutan Mesin-Mesin, Biaya</v>
      </c>
      <c r="E25" s="1135"/>
      <c r="F25" s="1135">
        <f>E11</f>
        <v>3217782268.8083305</v>
      </c>
      <c r="G25" s="1124" t="str">
        <f t="shared" si="1"/>
        <v>Reklas Penyusutan GA ke penyusutan COGS per 2023</v>
      </c>
    </row>
    <row r="26" spans="1:9">
      <c r="A26" s="1123"/>
      <c r="B26" s="1152" t="str">
        <f>'COA AT'!A32</f>
        <v>6-11.508</v>
      </c>
      <c r="C26" s="1142" t="str">
        <f>'COA AT'!B32</f>
        <v>Penyusutan Sumur Bor, Biaya</v>
      </c>
      <c r="E26" s="1135"/>
      <c r="F26" s="1135">
        <f>E12</f>
        <v>53507437.5</v>
      </c>
      <c r="G26" s="1124" t="str">
        <f t="shared" si="1"/>
        <v>Reklas Penyusutan GA ke penyusutan COGS per 2023</v>
      </c>
    </row>
    <row r="27" spans="1:9">
      <c r="A27" s="1123"/>
      <c r="E27" s="1135"/>
      <c r="F27" s="1135"/>
      <c r="G27" s="1141"/>
    </row>
    <row r="28" spans="1:9">
      <c r="A28" s="1123"/>
      <c r="C28" s="1127"/>
      <c r="E28" s="1131"/>
      <c r="F28" s="1131"/>
      <c r="G28" s="1141"/>
    </row>
    <row r="29" spans="1:9">
      <c r="A29" s="1123"/>
      <c r="C29" s="1127"/>
      <c r="E29" s="1135"/>
      <c r="F29" s="1135"/>
      <c r="G29" s="1141"/>
    </row>
    <row r="30" spans="1:9">
      <c r="E30" s="1135"/>
      <c r="F30" s="1135"/>
    </row>
    <row r="31" spans="1:9">
      <c r="A31" s="1123"/>
      <c r="E31" s="1131"/>
      <c r="F31" s="1131"/>
    </row>
    <row r="32" spans="1:9">
      <c r="A32" s="1123"/>
      <c r="C32" s="1127"/>
      <c r="E32" s="1135"/>
      <c r="F32" s="1135"/>
    </row>
    <row r="33" spans="1:7">
      <c r="E33" s="1135"/>
      <c r="F33" s="1135"/>
    </row>
    <row r="34" spans="1:7">
      <c r="A34" s="1123"/>
      <c r="E34" s="1131"/>
      <c r="F34" s="1131"/>
    </row>
    <row r="35" spans="1:7">
      <c r="A35" s="1123"/>
      <c r="E35" s="1131"/>
      <c r="F35" s="1131"/>
    </row>
    <row r="36" spans="1:7">
      <c r="C36" s="1127"/>
      <c r="E36" s="1131"/>
      <c r="F36" s="1131"/>
    </row>
    <row r="37" spans="1:7">
      <c r="A37" s="1123"/>
      <c r="C37" s="1127"/>
      <c r="E37" s="1131"/>
      <c r="F37" s="1131"/>
    </row>
    <row r="38" spans="1:7">
      <c r="A38" s="1123"/>
      <c r="C38" s="1127"/>
      <c r="E38" s="1131"/>
      <c r="F38" s="1131"/>
    </row>
    <row r="39" spans="1:7">
      <c r="C39" s="1127"/>
      <c r="E39" s="1131"/>
      <c r="F39" s="1131"/>
      <c r="G39" s="1141"/>
    </row>
    <row r="40" spans="1:7" s="111" customFormat="1">
      <c r="A40" s="1143"/>
      <c r="B40" s="1124"/>
      <c r="C40" s="1127"/>
      <c r="D40" s="1144"/>
      <c r="E40" s="1131"/>
      <c r="F40" s="1132"/>
      <c r="G40" s="1124"/>
    </row>
    <row r="41" spans="1:7">
      <c r="E41" s="1131"/>
      <c r="F41" s="1131"/>
    </row>
    <row r="42" spans="1:7">
      <c r="C42" s="1127"/>
      <c r="E42" s="1131"/>
      <c r="F42" s="1131"/>
    </row>
    <row r="43" spans="1:7">
      <c r="C43" s="1127"/>
      <c r="E43" s="1131"/>
      <c r="F43" s="1131"/>
    </row>
    <row r="44" spans="1:7">
      <c r="C44" s="1127"/>
      <c r="E44" s="1131"/>
      <c r="F44" s="1131"/>
    </row>
    <row r="45" spans="1:7">
      <c r="E45" s="1131"/>
      <c r="F45" s="1131"/>
    </row>
    <row r="46" spans="1:7">
      <c r="C46" s="1127"/>
      <c r="E46" s="1131"/>
      <c r="F46" s="1131"/>
    </row>
    <row r="47" spans="1:7">
      <c r="C47" s="1127"/>
      <c r="E47" s="1131"/>
      <c r="F47" s="1131"/>
    </row>
    <row r="48" spans="1:7">
      <c r="C48" s="1145"/>
      <c r="E48" s="1131"/>
      <c r="F48" s="1131"/>
    </row>
    <row r="49" spans="1:9">
      <c r="C49" s="1127"/>
      <c r="E49" s="1131"/>
      <c r="F49" s="1131"/>
    </row>
    <row r="50" spans="1:9">
      <c r="C50" s="1127"/>
      <c r="E50" s="1131"/>
      <c r="F50" s="1131"/>
    </row>
    <row r="51" spans="1:9">
      <c r="C51" s="1145"/>
      <c r="E51" s="1131"/>
      <c r="F51" s="1131"/>
    </row>
    <row r="52" spans="1:9">
      <c r="C52" s="1127"/>
      <c r="E52" s="1131"/>
      <c r="F52" s="1131"/>
    </row>
    <row r="53" spans="1:9">
      <c r="C53" s="1127"/>
      <c r="E53" s="1131"/>
      <c r="F53" s="1131"/>
    </row>
    <row r="54" spans="1:9">
      <c r="B54" s="1130"/>
      <c r="C54" s="1127"/>
      <c r="E54" s="1131"/>
      <c r="F54" s="1131"/>
    </row>
    <row r="55" spans="1:9" s="1124" customFormat="1">
      <c r="A55" s="1126"/>
      <c r="B55" s="1130"/>
      <c r="C55" s="1127"/>
      <c r="E55" s="1131"/>
      <c r="F55" s="1131"/>
      <c r="H55" s="1120"/>
      <c r="I55" s="1120"/>
    </row>
    <row r="56" spans="1:9" s="1124" customFormat="1">
      <c r="A56" s="1126"/>
      <c r="C56" s="1127"/>
      <c r="E56" s="1131"/>
      <c r="F56" s="1131"/>
      <c r="H56" s="1120"/>
      <c r="I56" s="1120"/>
    </row>
    <row r="57" spans="1:9" s="1124" customFormat="1">
      <c r="A57" s="1126"/>
      <c r="C57" s="1127"/>
      <c r="E57" s="1131"/>
      <c r="F57" s="1131"/>
      <c r="H57" s="1120"/>
      <c r="I57" s="1120"/>
    </row>
    <row r="58" spans="1:9" s="1124" customFormat="1">
      <c r="A58" s="1126"/>
      <c r="C58" s="1127"/>
      <c r="E58" s="1131"/>
      <c r="F58" s="1131"/>
      <c r="H58" s="1120"/>
      <c r="I58" s="1120"/>
    </row>
    <row r="59" spans="1:9" s="1124" customFormat="1">
      <c r="A59" s="1126"/>
      <c r="C59" s="1127"/>
      <c r="E59" s="1131"/>
      <c r="F59" s="1131"/>
      <c r="H59" s="1120"/>
      <c r="I59" s="1120"/>
    </row>
    <row r="60" spans="1:9" s="1124" customFormat="1">
      <c r="A60" s="1126"/>
      <c r="C60" s="1145"/>
      <c r="E60" s="1131"/>
      <c r="F60" s="1131"/>
      <c r="H60" s="1120"/>
      <c r="I60" s="1120"/>
    </row>
    <row r="61" spans="1:9" s="1124" customFormat="1">
      <c r="A61" s="1126"/>
      <c r="C61" s="1127"/>
      <c r="E61" s="1131"/>
      <c r="F61" s="1131"/>
      <c r="H61" s="1120"/>
      <c r="I61" s="1120"/>
    </row>
    <row r="62" spans="1:9" s="1124" customFormat="1">
      <c r="A62" s="1126"/>
      <c r="C62" s="1142"/>
      <c r="E62" s="1131"/>
      <c r="F62" s="1131"/>
      <c r="H62" s="1120"/>
      <c r="I62" s="1120"/>
    </row>
    <row r="63" spans="1:9" s="1124" customFormat="1">
      <c r="A63" s="1126"/>
      <c r="C63" s="1127"/>
      <c r="E63" s="1131"/>
      <c r="F63" s="1131"/>
      <c r="H63" s="1120"/>
      <c r="I63" s="1120"/>
    </row>
    <row r="64" spans="1:9" s="1124" customFormat="1">
      <c r="A64" s="1126"/>
      <c r="C64" s="1127"/>
      <c r="E64" s="1131"/>
      <c r="F64" s="1131"/>
      <c r="H64" s="1120"/>
      <c r="I64" s="1120"/>
    </row>
    <row r="65" spans="1:9" s="1124" customFormat="1">
      <c r="A65" s="1126"/>
      <c r="C65" s="1127"/>
      <c r="E65" s="1131"/>
      <c r="F65" s="1131"/>
      <c r="H65" s="1120"/>
      <c r="I65" s="1120"/>
    </row>
    <row r="66" spans="1:9" s="1124" customFormat="1">
      <c r="A66" s="1126"/>
      <c r="C66" s="1127"/>
      <c r="E66" s="1131"/>
      <c r="F66" s="1131"/>
      <c r="H66" s="1120"/>
      <c r="I66" s="1120"/>
    </row>
    <row r="67" spans="1:9" s="1124" customFormat="1">
      <c r="A67" s="1126"/>
      <c r="E67" s="1131"/>
      <c r="F67" s="1131"/>
      <c r="H67" s="1120"/>
      <c r="I67" s="1120"/>
    </row>
    <row r="68" spans="1:9" s="1124" customFormat="1">
      <c r="A68" s="1126"/>
      <c r="E68" s="1131"/>
      <c r="F68" s="1131"/>
      <c r="H68" s="1120"/>
      <c r="I68" s="1120"/>
    </row>
    <row r="69" spans="1:9" s="1124" customFormat="1">
      <c r="A69" s="1126"/>
      <c r="E69" s="1146"/>
      <c r="F69" s="1131"/>
      <c r="H69" s="1120"/>
      <c r="I69" s="1120"/>
    </row>
    <row r="70" spans="1:9" s="1124" customFormat="1">
      <c r="A70" s="1126"/>
      <c r="E70" s="1131"/>
      <c r="F70" s="1131"/>
      <c r="H70" s="1120"/>
      <c r="I70" s="1120"/>
    </row>
    <row r="71" spans="1:9" s="1124" customFormat="1">
      <c r="A71" s="1126"/>
      <c r="E71" s="1131"/>
      <c r="F71" s="1131"/>
      <c r="H71" s="1120"/>
      <c r="I71" s="1120"/>
    </row>
    <row r="72" spans="1:9" s="1124" customFormat="1">
      <c r="A72" s="1126"/>
      <c r="E72" s="1131"/>
      <c r="F72" s="1131"/>
      <c r="H72" s="1120"/>
      <c r="I72" s="1120"/>
    </row>
    <row r="73" spans="1:9" s="1124" customFormat="1">
      <c r="A73" s="1126"/>
      <c r="E73" s="1131"/>
      <c r="F73" s="1131"/>
      <c r="H73" s="1120"/>
      <c r="I73" s="1120"/>
    </row>
    <row r="74" spans="1:9" s="1124" customFormat="1">
      <c r="A74" s="1126"/>
      <c r="C74" s="1147"/>
      <c r="E74" s="1131"/>
      <c r="F74" s="1131"/>
      <c r="H74" s="1120"/>
      <c r="I74" s="1120"/>
    </row>
    <row r="75" spans="1:9" s="1124" customFormat="1">
      <c r="A75" s="1126"/>
      <c r="E75" s="1131"/>
      <c r="F75" s="1131"/>
      <c r="H75" s="1120"/>
      <c r="I75" s="1120"/>
    </row>
    <row r="76" spans="1:9" s="1124" customFormat="1">
      <c r="A76" s="1126"/>
      <c r="E76" s="1131"/>
      <c r="F76" s="1131"/>
      <c r="H76" s="1120"/>
      <c r="I76" s="1120"/>
    </row>
    <row r="77" spans="1:9" s="1124" customFormat="1">
      <c r="A77" s="1126"/>
      <c r="E77" s="1131"/>
      <c r="F77" s="1131"/>
      <c r="H77" s="1120"/>
      <c r="I77" s="1120"/>
    </row>
    <row r="78" spans="1:9" s="1124" customFormat="1">
      <c r="A78" s="1126"/>
      <c r="E78" s="1131"/>
      <c r="F78" s="1131"/>
      <c r="H78" s="1120"/>
      <c r="I78" s="1120"/>
    </row>
    <row r="79" spans="1:9" s="1124" customFormat="1">
      <c r="A79" s="1126"/>
      <c r="E79" s="1131"/>
      <c r="F79" s="1131"/>
      <c r="H79" s="1120"/>
      <c r="I79" s="1120"/>
    </row>
    <row r="80" spans="1:9" s="1124" customFormat="1">
      <c r="A80" s="1126"/>
      <c r="E80" s="1131"/>
      <c r="F80" s="1131"/>
      <c r="H80" s="1120"/>
      <c r="I80" s="1120"/>
    </row>
    <row r="81" spans="1:9" s="1124" customFormat="1">
      <c r="A81" s="1126"/>
      <c r="C81" s="1147"/>
      <c r="E81" s="1131"/>
      <c r="F81" s="1131"/>
      <c r="H81" s="1120"/>
      <c r="I81" s="1120"/>
    </row>
    <row r="82" spans="1:9" s="1124" customFormat="1">
      <c r="A82" s="1126"/>
      <c r="E82" s="1131"/>
      <c r="F82" s="1131"/>
      <c r="H82" s="1120"/>
      <c r="I82" s="1120"/>
    </row>
    <row r="83" spans="1:9" s="1124" customFormat="1">
      <c r="A83" s="1126"/>
      <c r="E83" s="1131"/>
      <c r="F83" s="1131"/>
      <c r="H83" s="1120"/>
      <c r="I83" s="1120"/>
    </row>
    <row r="84" spans="1:9" s="1124" customFormat="1">
      <c r="A84" s="1126"/>
      <c r="E84" s="1131"/>
      <c r="F84" s="1131"/>
      <c r="H84" s="1120"/>
      <c r="I84" s="1120"/>
    </row>
    <row r="85" spans="1:9" s="1124" customFormat="1">
      <c r="A85" s="1126"/>
      <c r="E85" s="1131"/>
      <c r="F85" s="1131"/>
      <c r="H85" s="1120"/>
      <c r="I85" s="1120"/>
    </row>
    <row r="86" spans="1:9" s="1124" customFormat="1" ht="14.5" hidden="1" customHeight="1">
      <c r="A86" s="1126"/>
      <c r="E86" s="1131"/>
      <c r="F86" s="1131"/>
      <c r="H86" s="1120"/>
      <c r="I86" s="1120"/>
    </row>
    <row r="87" spans="1:9" s="1124" customFormat="1" ht="14.5" hidden="1" customHeight="1">
      <c r="A87" s="1126"/>
      <c r="B87" s="1148"/>
      <c r="C87" s="1149"/>
      <c r="E87" s="1131"/>
      <c r="F87" s="1131"/>
      <c r="H87" s="1120"/>
      <c r="I87" s="1120"/>
    </row>
    <row r="88" spans="1:9" s="1124" customFormat="1" ht="14.5" hidden="1" customHeight="1">
      <c r="A88" s="1126"/>
      <c r="E88" s="1131"/>
      <c r="F88" s="1131"/>
      <c r="H88" s="1120"/>
      <c r="I88" s="1120"/>
    </row>
    <row r="89" spans="1:9" s="1124" customFormat="1" ht="14.5" hidden="1" customHeight="1">
      <c r="A89" s="1126"/>
      <c r="E89" s="1131"/>
      <c r="F89" s="1131"/>
      <c r="H89" s="1120"/>
      <c r="I89" s="1120"/>
    </row>
    <row r="90" spans="1:9" s="1124" customFormat="1" ht="14.5" hidden="1" customHeight="1">
      <c r="A90" s="1126"/>
      <c r="E90" s="1131"/>
      <c r="F90" s="1131"/>
      <c r="H90" s="1120"/>
      <c r="I90" s="1120"/>
    </row>
    <row r="91" spans="1:9" s="1124" customFormat="1" ht="14.5" hidden="1" customHeight="1">
      <c r="A91" s="1126"/>
      <c r="E91" s="1131"/>
      <c r="F91" s="1131"/>
      <c r="H91" s="1120"/>
      <c r="I91" s="1120"/>
    </row>
    <row r="92" spans="1:9" s="1124" customFormat="1" ht="14.5" hidden="1" customHeight="1">
      <c r="A92" s="1126"/>
      <c r="E92" s="1131"/>
      <c r="F92" s="1131"/>
      <c r="H92" s="1120"/>
      <c r="I92" s="1120"/>
    </row>
    <row r="93" spans="1:9" s="1124" customFormat="1" ht="14.5" hidden="1" customHeight="1">
      <c r="A93" s="1126"/>
      <c r="E93" s="1131"/>
      <c r="F93" s="1131"/>
      <c r="H93" s="1120"/>
      <c r="I93" s="1120"/>
    </row>
    <row r="94" spans="1:9" s="1124" customFormat="1" ht="14.5" hidden="1" customHeight="1">
      <c r="A94" s="1126"/>
      <c r="E94" s="1131"/>
      <c r="F94" s="1131"/>
      <c r="H94" s="1120"/>
      <c r="I94" s="1120"/>
    </row>
    <row r="95" spans="1:9" s="1124" customFormat="1" ht="14.5" hidden="1" customHeight="1">
      <c r="A95" s="1126"/>
      <c r="E95" s="1131"/>
      <c r="F95" s="1131"/>
      <c r="H95" s="1120"/>
      <c r="I95" s="1120"/>
    </row>
    <row r="96" spans="1:9" s="1124" customFormat="1" ht="14.5" hidden="1" customHeight="1">
      <c r="A96" s="1126"/>
      <c r="E96" s="1131"/>
      <c r="F96" s="1131"/>
      <c r="H96" s="1120"/>
      <c r="I96" s="1120"/>
    </row>
    <row r="97" spans="1:9" s="1124" customFormat="1" ht="14.5" hidden="1" customHeight="1">
      <c r="A97" s="1126"/>
      <c r="E97" s="1131"/>
      <c r="F97" s="1131"/>
      <c r="H97" s="1120"/>
      <c r="I97" s="1120"/>
    </row>
    <row r="98" spans="1:9" s="1124" customFormat="1" ht="14.5" hidden="1" customHeight="1">
      <c r="A98" s="1126"/>
      <c r="E98" s="1131"/>
      <c r="F98" s="1131"/>
      <c r="H98" s="1120"/>
      <c r="I98" s="1120"/>
    </row>
    <row r="99" spans="1:9" s="1124" customFormat="1" ht="14.5" hidden="1" customHeight="1">
      <c r="A99" s="1126"/>
      <c r="B99" s="1148"/>
      <c r="C99" s="1149"/>
      <c r="E99" s="1131"/>
      <c r="F99" s="1131"/>
      <c r="H99" s="1120"/>
      <c r="I99" s="1120"/>
    </row>
    <row r="100" spans="1:9" s="1124" customFormat="1" ht="14.5" hidden="1" customHeight="1">
      <c r="A100" s="1126"/>
      <c r="B100" s="1148"/>
      <c r="C100" s="1149"/>
      <c r="E100" s="1131"/>
      <c r="F100" s="1131"/>
      <c r="H100" s="1120"/>
      <c r="I100" s="1120"/>
    </row>
    <row r="101" spans="1:9" s="1124" customFormat="1" ht="14.5" hidden="1" customHeight="1">
      <c r="A101" s="1126"/>
      <c r="B101" s="1148"/>
      <c r="C101" s="1149"/>
      <c r="E101" s="1131"/>
      <c r="F101" s="1131"/>
      <c r="H101" s="1120"/>
      <c r="I101" s="1120"/>
    </row>
    <row r="102" spans="1:9" s="1124" customFormat="1" ht="14.5" hidden="1" customHeight="1">
      <c r="A102" s="1126"/>
      <c r="B102" s="1148"/>
      <c r="C102" s="1149"/>
      <c r="E102" s="1131"/>
      <c r="F102" s="1131"/>
      <c r="H102" s="1120"/>
      <c r="I102" s="1120"/>
    </row>
    <row r="103" spans="1:9" s="1124" customFormat="1" ht="14.5" hidden="1" customHeight="1">
      <c r="A103" s="1126"/>
      <c r="B103" s="1148"/>
      <c r="C103" s="1149"/>
      <c r="E103" s="1131"/>
      <c r="F103" s="1131"/>
      <c r="H103" s="1120"/>
      <c r="I103" s="1120"/>
    </row>
    <row r="104" spans="1:9" s="1124" customFormat="1" ht="14.5" hidden="1" customHeight="1">
      <c r="A104" s="1126"/>
      <c r="E104" s="1131"/>
      <c r="F104" s="1131"/>
      <c r="H104" s="1120"/>
      <c r="I104" s="1120"/>
    </row>
    <row r="105" spans="1:9" s="1124" customFormat="1" ht="14.5" hidden="1" customHeight="1">
      <c r="A105" s="1126"/>
      <c r="E105" s="1131"/>
      <c r="F105" s="1131"/>
      <c r="H105" s="1120"/>
      <c r="I105" s="1120"/>
    </row>
    <row r="106" spans="1:9" s="1124" customFormat="1" ht="14.5" hidden="1" customHeight="1">
      <c r="A106" s="1126"/>
      <c r="E106" s="1131"/>
      <c r="F106" s="1131"/>
      <c r="H106" s="1120"/>
      <c r="I106" s="1120"/>
    </row>
    <row r="107" spans="1:9" s="1124" customFormat="1">
      <c r="A107" s="1126"/>
      <c r="E107" s="1131"/>
      <c r="F107" s="1131"/>
      <c r="H107" s="1120"/>
      <c r="I107" s="1120"/>
    </row>
    <row r="108" spans="1:9" s="1124" customFormat="1">
      <c r="A108" s="1126"/>
      <c r="C108" s="1127"/>
      <c r="E108" s="1135"/>
      <c r="F108" s="1135"/>
      <c r="H108" s="1120"/>
      <c r="I108" s="1120"/>
    </row>
    <row r="109" spans="1:9" s="1124" customFormat="1">
      <c r="A109" s="1126"/>
      <c r="C109" s="1127"/>
      <c r="E109" s="1135"/>
      <c r="F109" s="1135"/>
      <c r="H109" s="1120"/>
      <c r="I109" s="1120"/>
    </row>
    <row r="110" spans="1:9" s="1124" customFormat="1">
      <c r="A110" s="1126"/>
      <c r="C110" s="1127"/>
      <c r="D110" s="1144"/>
      <c r="E110" s="1135"/>
      <c r="F110" s="1150"/>
      <c r="H110" s="1120"/>
      <c r="I110" s="1120"/>
    </row>
    <row r="111" spans="1:9" s="1124" customFormat="1">
      <c r="A111" s="1126"/>
      <c r="E111" s="1135"/>
      <c r="F111" s="1135"/>
      <c r="H111" s="1120"/>
      <c r="I111" s="1120"/>
    </row>
    <row r="112" spans="1:9" s="1124" customFormat="1">
      <c r="A112" s="1126"/>
      <c r="C112" s="1127"/>
      <c r="E112" s="1135"/>
      <c r="F112" s="1135"/>
      <c r="H112" s="1120"/>
      <c r="I112" s="1120"/>
    </row>
    <row r="113" spans="1:9" s="1124" customFormat="1">
      <c r="A113" s="1126"/>
      <c r="C113" s="1142"/>
      <c r="E113" s="1135"/>
      <c r="F113" s="1135"/>
      <c r="H113" s="1120"/>
      <c r="I113" s="1120"/>
    </row>
    <row r="114" spans="1:9" s="1124" customFormat="1">
      <c r="A114" s="1126"/>
      <c r="C114" s="1142"/>
      <c r="E114" s="1135"/>
      <c r="F114" s="1135"/>
      <c r="H114" s="1120"/>
      <c r="I114" s="1120"/>
    </row>
    <row r="115" spans="1:9" s="1124" customFormat="1">
      <c r="A115" s="1126"/>
      <c r="C115" s="1142"/>
      <c r="E115" s="1135"/>
      <c r="F115" s="1135"/>
      <c r="H115" s="1120"/>
      <c r="I115" s="1120"/>
    </row>
    <row r="116" spans="1:9" s="1124" customFormat="1">
      <c r="A116" s="1126"/>
      <c r="E116" s="1131"/>
      <c r="F116" s="1131"/>
      <c r="H116" s="1120"/>
      <c r="I116" s="1120"/>
    </row>
    <row r="117" spans="1:9" s="1124" customFormat="1">
      <c r="A117" s="1126"/>
      <c r="E117" s="1131"/>
      <c r="F117" s="1131"/>
      <c r="H117" s="1120"/>
      <c r="I117" s="1120"/>
    </row>
    <row r="118" spans="1:9" s="1124" customFormat="1">
      <c r="A118" s="1126"/>
      <c r="E118" s="1131"/>
      <c r="F118" s="1131"/>
      <c r="H118" s="1120"/>
      <c r="I118" s="1120"/>
    </row>
    <row r="119" spans="1:9" s="1124" customFormat="1">
      <c r="A119" s="1126"/>
      <c r="E119" s="1131"/>
      <c r="F119" s="1131"/>
      <c r="H119" s="1120"/>
      <c r="I119" s="1120"/>
    </row>
    <row r="120" spans="1:9" s="1124" customFormat="1">
      <c r="A120" s="1126"/>
      <c r="E120" s="1131"/>
      <c r="F120" s="1131"/>
      <c r="H120" s="1120"/>
      <c r="I120" s="1120"/>
    </row>
    <row r="121" spans="1:9" s="1124" customFormat="1">
      <c r="A121" s="1126"/>
      <c r="E121" s="1131"/>
      <c r="F121" s="1131"/>
      <c r="H121" s="1120"/>
      <c r="I121" s="1120"/>
    </row>
    <row r="122" spans="1:9" s="1124" customFormat="1">
      <c r="A122" s="1126"/>
      <c r="C122" s="1142"/>
      <c r="E122" s="1131"/>
      <c r="F122" s="1131"/>
      <c r="H122" s="1120"/>
      <c r="I122" s="1120"/>
    </row>
    <row r="123" spans="1:9" s="1124" customFormat="1">
      <c r="A123" s="1126"/>
      <c r="C123" s="1142"/>
      <c r="E123" s="1131"/>
      <c r="F123" s="1131"/>
      <c r="H123" s="1120"/>
      <c r="I123" s="1120"/>
    </row>
    <row r="124" spans="1:9" s="1124" customFormat="1">
      <c r="A124" s="1126"/>
      <c r="C124" s="1142"/>
      <c r="E124" s="1131"/>
      <c r="F124" s="1131"/>
      <c r="H124" s="1120"/>
      <c r="I124" s="1120"/>
    </row>
    <row r="125" spans="1:9" s="1124" customFormat="1">
      <c r="A125" s="1126"/>
      <c r="E125" s="1131"/>
      <c r="F125" s="1131"/>
      <c r="H125" s="1120"/>
      <c r="I125" s="1120"/>
    </row>
    <row r="126" spans="1:9" s="1124" customFormat="1">
      <c r="A126" s="1126"/>
      <c r="E126" s="1131"/>
      <c r="F126" s="1131"/>
      <c r="H126" s="1120"/>
      <c r="I126" s="1120"/>
    </row>
    <row r="127" spans="1:9" s="1124" customFormat="1">
      <c r="A127" s="1126"/>
      <c r="E127" s="1131"/>
      <c r="F127" s="1131"/>
      <c r="H127" s="1120"/>
      <c r="I127" s="1120"/>
    </row>
    <row r="128" spans="1:9" s="1124" customFormat="1">
      <c r="A128" s="1126"/>
      <c r="E128" s="1131"/>
      <c r="F128" s="1131"/>
      <c r="H128" s="1120"/>
      <c r="I128" s="1120"/>
    </row>
    <row r="129" spans="1:9" s="1124" customFormat="1">
      <c r="A129" s="1126"/>
      <c r="E129" s="1131"/>
      <c r="F129" s="1131"/>
      <c r="H129" s="1120"/>
      <c r="I129" s="1120"/>
    </row>
    <row r="130" spans="1:9" s="1124" customFormat="1">
      <c r="A130" s="1126"/>
      <c r="E130" s="1131"/>
      <c r="F130" s="1131"/>
      <c r="H130" s="1120"/>
      <c r="I130" s="1120"/>
    </row>
    <row r="131" spans="1:9" s="1124" customFormat="1">
      <c r="A131" s="1126"/>
      <c r="E131" s="1131"/>
      <c r="F131" s="1131"/>
      <c r="H131" s="1120"/>
      <c r="I131" s="1120"/>
    </row>
    <row r="132" spans="1:9" s="1124" customFormat="1">
      <c r="A132" s="1126"/>
      <c r="E132" s="1131"/>
      <c r="F132" s="1131"/>
      <c r="H132" s="1120"/>
      <c r="I132" s="1120"/>
    </row>
    <row r="133" spans="1:9" s="1124" customFormat="1">
      <c r="A133" s="1126"/>
      <c r="E133" s="1131"/>
      <c r="F133" s="1131"/>
      <c r="H133" s="1120"/>
      <c r="I133" s="1120"/>
    </row>
    <row r="134" spans="1:9" s="1124" customFormat="1">
      <c r="A134" s="1126"/>
      <c r="E134" s="1131"/>
      <c r="F134" s="1131"/>
      <c r="H134" s="1120"/>
      <c r="I134" s="1120"/>
    </row>
    <row r="135" spans="1:9">
      <c r="E135" s="1131"/>
      <c r="F135" s="1131"/>
    </row>
    <row r="136" spans="1:9">
      <c r="E136" s="1131"/>
      <c r="F136" s="1131"/>
    </row>
    <row r="137" spans="1:9">
      <c r="E137" s="1131"/>
      <c r="F137" s="1131"/>
    </row>
    <row r="138" spans="1:9">
      <c r="E138" s="1131"/>
      <c r="F138" s="1131"/>
    </row>
    <row r="139" spans="1:9">
      <c r="E139" s="1131"/>
      <c r="F139" s="1131"/>
    </row>
    <row r="140" spans="1:9">
      <c r="E140" s="1131"/>
      <c r="F140" s="1131"/>
    </row>
    <row r="141" spans="1:9">
      <c r="E141" s="1131"/>
      <c r="F141" s="1131"/>
      <c r="G141" s="1151"/>
    </row>
    <row r="142" spans="1:9">
      <c r="E142" s="1131"/>
      <c r="F142" s="1131"/>
      <c r="G142" s="1151"/>
    </row>
    <row r="143" spans="1:9">
      <c r="E143" s="1131"/>
      <c r="F143" s="1131"/>
      <c r="G143" s="1151"/>
    </row>
    <row r="144" spans="1:9">
      <c r="E144" s="1131"/>
      <c r="F144" s="1131"/>
      <c r="G144" s="1151"/>
      <c r="H144" s="1150"/>
    </row>
    <row r="145" spans="5:8">
      <c r="E145" s="1131"/>
      <c r="F145" s="1131"/>
      <c r="G145" s="1151"/>
      <c r="H145" s="1150"/>
    </row>
    <row r="146" spans="5:8">
      <c r="E146" s="1131"/>
      <c r="F146" s="1131"/>
      <c r="G146" s="1151"/>
    </row>
    <row r="147" spans="5:8">
      <c r="E147" s="1131"/>
      <c r="F147" s="1131"/>
      <c r="G147" s="1151"/>
    </row>
    <row r="148" spans="5:8">
      <c r="E148" s="1131"/>
      <c r="F148" s="1131"/>
      <c r="G148" s="1151"/>
    </row>
    <row r="149" spans="5:8">
      <c r="E149" s="1131"/>
      <c r="F149" s="1131"/>
      <c r="G149" s="1151"/>
    </row>
    <row r="150" spans="5:8">
      <c r="E150" s="1131"/>
      <c r="F150" s="1131"/>
      <c r="G150" s="1151"/>
    </row>
    <row r="151" spans="5:8">
      <c r="E151" s="1131"/>
      <c r="F151" s="1131"/>
      <c r="G151" s="1151"/>
    </row>
    <row r="152" spans="5:8">
      <c r="E152" s="1131"/>
      <c r="F152" s="1131"/>
    </row>
    <row r="153" spans="5:8">
      <c r="E153" s="1131"/>
      <c r="F153" s="1131"/>
      <c r="G153" s="1151"/>
    </row>
    <row r="154" spans="5:8">
      <c r="E154" s="1131"/>
      <c r="F154" s="1150"/>
      <c r="G154" s="1151"/>
    </row>
    <row r="155" spans="5:8">
      <c r="E155" s="1131"/>
      <c r="F155" s="1131"/>
    </row>
    <row r="156" spans="5:8">
      <c r="E156" s="1131"/>
      <c r="F156" s="1131"/>
    </row>
    <row r="157" spans="5:8">
      <c r="E157" s="1131"/>
      <c r="F157" s="1131"/>
    </row>
    <row r="158" spans="5:8">
      <c r="E158" s="1131"/>
      <c r="F158" s="1131"/>
    </row>
    <row r="159" spans="5:8">
      <c r="E159" s="1131"/>
      <c r="F159" s="1131"/>
    </row>
    <row r="160" spans="5:8">
      <c r="E160" s="1131"/>
      <c r="F160" s="1150"/>
    </row>
    <row r="161" spans="1:9">
      <c r="E161" s="1131"/>
      <c r="F161" s="1131"/>
    </row>
    <row r="162" spans="1:9">
      <c r="E162" s="1135"/>
      <c r="F162" s="1135"/>
    </row>
    <row r="163" spans="1:9">
      <c r="C163" s="1142"/>
      <c r="E163" s="1135"/>
      <c r="F163" s="1135"/>
    </row>
    <row r="164" spans="1:9">
      <c r="E164" s="1131"/>
      <c r="F164" s="1131"/>
    </row>
    <row r="165" spans="1:9">
      <c r="E165" s="1131"/>
      <c r="F165" s="1131"/>
    </row>
    <row r="166" spans="1:9">
      <c r="C166" s="1142"/>
      <c r="E166" s="1131"/>
      <c r="F166" s="1131"/>
    </row>
    <row r="167" spans="1:9" s="1124" customFormat="1">
      <c r="A167" s="1126"/>
      <c r="E167" s="1131"/>
      <c r="F167" s="1131"/>
      <c r="H167" s="1120"/>
      <c r="I167" s="1120"/>
    </row>
    <row r="168" spans="1:9" s="1124" customFormat="1">
      <c r="A168" s="1126"/>
      <c r="E168" s="1131"/>
      <c r="F168" s="1131"/>
      <c r="H168" s="1120"/>
      <c r="I168" s="1120"/>
    </row>
    <row r="169" spans="1:9" s="1124" customFormat="1">
      <c r="A169" s="1126"/>
      <c r="C169" s="1142"/>
      <c r="E169" s="1131"/>
      <c r="F169" s="1131"/>
      <c r="H169" s="1120"/>
      <c r="I169" s="1120"/>
    </row>
    <row r="170" spans="1:9" s="1124" customFormat="1">
      <c r="A170" s="1126"/>
      <c r="E170" s="1131"/>
      <c r="F170" s="1131"/>
      <c r="H170" s="1120"/>
      <c r="I170" s="1120"/>
    </row>
    <row r="171" spans="1:9" s="1124" customFormat="1">
      <c r="A171" s="1126"/>
      <c r="E171" s="1131"/>
      <c r="F171" s="1131"/>
      <c r="H171" s="1120"/>
      <c r="I171" s="1120"/>
    </row>
    <row r="172" spans="1:9" s="1124" customFormat="1">
      <c r="A172" s="1126"/>
      <c r="E172" s="1131"/>
      <c r="F172" s="1150"/>
      <c r="H172" s="1120"/>
      <c r="I172" s="1120"/>
    </row>
    <row r="173" spans="1:9" s="1124" customFormat="1">
      <c r="A173" s="1126"/>
      <c r="E173" s="1131"/>
      <c r="F173" s="1135"/>
      <c r="H173" s="1120"/>
      <c r="I173" s="1120"/>
    </row>
    <row r="174" spans="1:9" s="1124" customFormat="1">
      <c r="A174" s="1126"/>
      <c r="E174" s="1131"/>
      <c r="F174" s="1135"/>
      <c r="H174" s="1120"/>
      <c r="I174" s="1120"/>
    </row>
    <row r="175" spans="1:9" s="1124" customFormat="1">
      <c r="A175" s="1126"/>
      <c r="E175" s="1131"/>
      <c r="F175" s="1135"/>
      <c r="H175" s="1120"/>
      <c r="I175" s="1120"/>
    </row>
    <row r="176" spans="1:9" s="1124" customFormat="1">
      <c r="A176" s="1126"/>
      <c r="E176" s="1131"/>
      <c r="F176" s="1131"/>
      <c r="H176" s="1120"/>
      <c r="I176" s="1120"/>
    </row>
    <row r="177" spans="1:9" s="1124" customFormat="1">
      <c r="A177" s="1126"/>
      <c r="E177" s="1131"/>
      <c r="F177" s="1131"/>
      <c r="H177" s="1120"/>
      <c r="I177" s="1120"/>
    </row>
    <row r="178" spans="1:9" s="1124" customFormat="1">
      <c r="A178" s="1126"/>
      <c r="E178" s="1131"/>
      <c r="F178" s="1131"/>
      <c r="H178" s="1120"/>
      <c r="I178" s="1120"/>
    </row>
    <row r="179" spans="1:9" s="1124" customFormat="1">
      <c r="A179" s="1126"/>
      <c r="E179" s="1131"/>
      <c r="F179" s="1131"/>
      <c r="H179" s="1120"/>
      <c r="I179" s="1120"/>
    </row>
    <row r="180" spans="1:9" s="1124" customFormat="1">
      <c r="A180" s="1126"/>
      <c r="E180" s="1131"/>
      <c r="F180" s="1131"/>
      <c r="H180" s="1120"/>
      <c r="I180" s="1120"/>
    </row>
    <row r="181" spans="1:9" s="1124" customFormat="1">
      <c r="A181" s="1126"/>
      <c r="E181" s="1131"/>
      <c r="F181" s="1131"/>
      <c r="H181" s="1120"/>
      <c r="I181" s="1120"/>
    </row>
    <row r="182" spans="1:9" s="1124" customFormat="1">
      <c r="A182" s="1126"/>
      <c r="E182" s="1131"/>
      <c r="F182" s="1131"/>
      <c r="H182" s="1120"/>
      <c r="I182" s="1120"/>
    </row>
    <row r="183" spans="1:9" s="1124" customFormat="1">
      <c r="A183" s="1126"/>
      <c r="E183" s="1131"/>
      <c r="F183" s="1131"/>
      <c r="H183" s="1120"/>
      <c r="I183" s="1120"/>
    </row>
    <row r="184" spans="1:9" s="1124" customFormat="1">
      <c r="A184" s="1126"/>
      <c r="E184" s="1131"/>
      <c r="F184" s="1131"/>
      <c r="H184" s="1120"/>
      <c r="I184" s="1120"/>
    </row>
    <row r="185" spans="1:9" s="1124" customFormat="1">
      <c r="A185" s="1126"/>
      <c r="E185" s="1131"/>
      <c r="F185" s="1131"/>
      <c r="H185" s="1120"/>
      <c r="I185" s="1120"/>
    </row>
    <row r="186" spans="1:9" s="1124" customFormat="1">
      <c r="A186" s="1126"/>
      <c r="E186" s="1131"/>
      <c r="F186" s="1131"/>
      <c r="H186" s="1120"/>
      <c r="I186" s="1120"/>
    </row>
    <row r="187" spans="1:9" s="1124" customFormat="1">
      <c r="A187" s="1126"/>
      <c r="E187" s="1131"/>
      <c r="F187" s="1131"/>
      <c r="H187" s="1120"/>
      <c r="I187" s="1120"/>
    </row>
    <row r="188" spans="1:9" s="1124" customFormat="1">
      <c r="A188" s="1126"/>
      <c r="E188" s="1131"/>
      <c r="F188" s="1131"/>
      <c r="H188" s="1120"/>
      <c r="I188" s="1120"/>
    </row>
    <row r="189" spans="1:9" s="1124" customFormat="1">
      <c r="A189" s="1126"/>
      <c r="E189" s="1131"/>
      <c r="F189" s="1131"/>
      <c r="H189" s="1120"/>
      <c r="I189" s="1120"/>
    </row>
    <row r="190" spans="1:9" s="1124" customFormat="1">
      <c r="A190" s="1126"/>
      <c r="E190" s="1131"/>
      <c r="F190" s="1131"/>
      <c r="H190" s="1120"/>
      <c r="I190" s="1120"/>
    </row>
    <row r="191" spans="1:9" s="1124" customFormat="1">
      <c r="A191" s="1126"/>
      <c r="E191" s="1131"/>
      <c r="F191" s="1131"/>
      <c r="H191" s="1120"/>
      <c r="I191" s="1120"/>
    </row>
    <row r="192" spans="1:9" s="1124" customFormat="1">
      <c r="A192" s="1126"/>
      <c r="E192" s="1131"/>
      <c r="F192" s="1131"/>
      <c r="H192" s="1120"/>
      <c r="I192" s="1120"/>
    </row>
    <row r="193" spans="1:9" s="1124" customFormat="1">
      <c r="A193" s="1126"/>
      <c r="E193" s="1131"/>
      <c r="F193" s="1131"/>
      <c r="H193" s="1120"/>
      <c r="I193" s="1120"/>
    </row>
    <row r="194" spans="1:9" s="1124" customFormat="1">
      <c r="A194" s="1126"/>
      <c r="E194" s="1131"/>
      <c r="F194" s="1131"/>
      <c r="H194" s="1120"/>
      <c r="I194" s="1120"/>
    </row>
    <row r="195" spans="1:9" s="1124" customFormat="1">
      <c r="A195" s="1126"/>
      <c r="E195" s="1131"/>
      <c r="F195" s="1131"/>
      <c r="H195" s="1120"/>
      <c r="I195" s="1120"/>
    </row>
    <row r="196" spans="1:9" s="1124" customFormat="1">
      <c r="A196" s="1126"/>
      <c r="E196" s="1131"/>
      <c r="F196" s="1131"/>
      <c r="H196" s="1120"/>
      <c r="I196" s="1120"/>
    </row>
    <row r="197" spans="1:9" s="1124" customFormat="1">
      <c r="A197" s="1126"/>
      <c r="E197" s="1131"/>
      <c r="F197" s="1131"/>
      <c r="H197" s="1120"/>
      <c r="I197" s="1120"/>
    </row>
    <row r="198" spans="1:9" s="1124" customFormat="1">
      <c r="A198" s="1126"/>
      <c r="E198" s="1131"/>
      <c r="F198" s="1131"/>
      <c r="H198" s="1120"/>
      <c r="I198" s="1120"/>
    </row>
    <row r="199" spans="1:9" s="1124" customFormat="1">
      <c r="A199" s="1126"/>
      <c r="E199" s="1131"/>
      <c r="F199" s="1131"/>
      <c r="H199" s="1120"/>
      <c r="I199" s="1120"/>
    </row>
    <row r="200" spans="1:9" s="1124" customFormat="1">
      <c r="A200" s="1126"/>
      <c r="E200" s="1131"/>
      <c r="F200" s="1131"/>
      <c r="H200" s="1120"/>
      <c r="I200" s="1120"/>
    </row>
    <row r="201" spans="1:9" s="1124" customFormat="1">
      <c r="A201" s="1126"/>
      <c r="E201" s="1131"/>
      <c r="F201" s="1131"/>
      <c r="H201" s="1120"/>
      <c r="I201" s="1120"/>
    </row>
    <row r="202" spans="1:9" s="1124" customFormat="1">
      <c r="A202" s="1126"/>
      <c r="E202" s="1131"/>
      <c r="F202" s="1131"/>
      <c r="H202" s="1120"/>
      <c r="I202" s="1120"/>
    </row>
    <row r="203" spans="1:9" s="1124" customFormat="1">
      <c r="A203" s="1126"/>
      <c r="E203" s="1131"/>
      <c r="F203" s="1131"/>
      <c r="H203" s="1120"/>
      <c r="I203" s="1120"/>
    </row>
    <row r="204" spans="1:9" s="1124" customFormat="1">
      <c r="A204" s="1126"/>
      <c r="E204" s="1131"/>
      <c r="F204" s="1131"/>
      <c r="H204" s="1120"/>
      <c r="I204" s="1120"/>
    </row>
    <row r="205" spans="1:9" s="1124" customFormat="1">
      <c r="A205" s="1126"/>
      <c r="E205" s="1131"/>
      <c r="F205" s="1131"/>
      <c r="H205" s="1120"/>
      <c r="I205" s="1120"/>
    </row>
    <row r="206" spans="1:9" s="1124" customFormat="1">
      <c r="A206" s="1126"/>
      <c r="E206" s="1131"/>
      <c r="F206" s="1131"/>
      <c r="H206" s="1120"/>
      <c r="I206" s="1120"/>
    </row>
    <row r="207" spans="1:9" s="1124" customFormat="1">
      <c r="A207" s="1126"/>
      <c r="E207" s="1131"/>
      <c r="F207" s="1131"/>
      <c r="H207" s="1120"/>
      <c r="I207" s="1120"/>
    </row>
    <row r="208" spans="1:9" s="1124" customFormat="1">
      <c r="A208" s="1126"/>
      <c r="E208" s="1131"/>
      <c r="F208" s="1131"/>
      <c r="H208" s="1120"/>
      <c r="I208" s="1120"/>
    </row>
    <row r="209" spans="1:9" s="1124" customFormat="1">
      <c r="A209" s="1126"/>
      <c r="E209" s="1131"/>
      <c r="F209" s="1131"/>
      <c r="H209" s="1120"/>
      <c r="I209" s="1120"/>
    </row>
    <row r="210" spans="1:9" s="1124" customFormat="1">
      <c r="A210" s="1126"/>
      <c r="E210" s="1131"/>
      <c r="F210" s="1131"/>
      <c r="H210" s="1120"/>
      <c r="I210" s="1120"/>
    </row>
    <row r="211" spans="1:9" s="1124" customFormat="1">
      <c r="A211" s="1126"/>
      <c r="E211" s="1131"/>
      <c r="F211" s="1131"/>
      <c r="H211" s="1120"/>
      <c r="I211" s="1120"/>
    </row>
    <row r="212" spans="1:9" s="1124" customFormat="1">
      <c r="A212" s="1126"/>
      <c r="E212" s="1131"/>
      <c r="F212" s="1131"/>
      <c r="H212" s="1120"/>
      <c r="I212" s="1120"/>
    </row>
    <row r="213" spans="1:9" s="1124" customFormat="1">
      <c r="A213" s="1126"/>
      <c r="E213" s="1131"/>
      <c r="F213" s="1131"/>
      <c r="H213" s="1120"/>
      <c r="I213" s="1120"/>
    </row>
    <row r="214" spans="1:9" s="1124" customFormat="1">
      <c r="A214" s="1126"/>
      <c r="E214" s="1131"/>
      <c r="F214" s="1131"/>
      <c r="H214" s="1120"/>
      <c r="I214" s="1120"/>
    </row>
    <row r="215" spans="1:9" s="1124" customFormat="1">
      <c r="A215" s="1126"/>
      <c r="E215" s="1131"/>
      <c r="F215" s="1131"/>
      <c r="H215" s="1120"/>
      <c r="I215" s="1120"/>
    </row>
    <row r="216" spans="1:9" s="1124" customFormat="1">
      <c r="A216" s="1126"/>
      <c r="E216" s="1131"/>
      <c r="F216" s="1131"/>
      <c r="H216" s="1120"/>
      <c r="I216" s="1120"/>
    </row>
    <row r="217" spans="1:9" s="1124" customFormat="1">
      <c r="A217" s="1126"/>
      <c r="E217" s="1131"/>
      <c r="F217" s="1131"/>
      <c r="H217" s="1120"/>
      <c r="I217" s="1120"/>
    </row>
    <row r="218" spans="1:9" s="1124" customFormat="1">
      <c r="A218" s="1126"/>
      <c r="E218" s="1131"/>
      <c r="F218" s="1131"/>
      <c r="H218" s="1120"/>
      <c r="I218" s="1120"/>
    </row>
    <row r="219" spans="1:9" s="1124" customFormat="1">
      <c r="A219" s="1126"/>
      <c r="E219" s="1131"/>
      <c r="F219" s="1131"/>
      <c r="H219" s="1120"/>
      <c r="I219" s="1120"/>
    </row>
    <row r="220" spans="1:9" s="1124" customFormat="1">
      <c r="A220" s="1126"/>
      <c r="E220" s="1131"/>
      <c r="F220" s="1131"/>
      <c r="H220" s="1120"/>
      <c r="I220" s="1120"/>
    </row>
    <row r="221" spans="1:9" s="1124" customFormat="1">
      <c r="A221" s="1126"/>
      <c r="E221" s="1131"/>
      <c r="F221" s="1131"/>
      <c r="H221" s="1120"/>
      <c r="I221" s="1120"/>
    </row>
    <row r="222" spans="1:9" s="1124" customFormat="1">
      <c r="A222" s="1126"/>
      <c r="E222" s="1131"/>
      <c r="F222" s="1131"/>
      <c r="H222" s="1120"/>
      <c r="I222" s="1120"/>
    </row>
    <row r="223" spans="1:9" s="1124" customFormat="1">
      <c r="A223" s="1126"/>
      <c r="E223" s="1131"/>
      <c r="F223" s="1131"/>
      <c r="H223" s="1120"/>
      <c r="I223" s="1120"/>
    </row>
    <row r="224" spans="1:9" s="1124" customFormat="1">
      <c r="A224" s="1126"/>
      <c r="E224" s="1131"/>
      <c r="F224" s="1131"/>
      <c r="H224" s="1120"/>
      <c r="I224" s="1120"/>
    </row>
    <row r="225" spans="1:9" s="1124" customFormat="1">
      <c r="A225" s="1126"/>
      <c r="E225" s="1131"/>
      <c r="F225" s="1131"/>
      <c r="H225" s="1120"/>
      <c r="I225" s="1120"/>
    </row>
    <row r="226" spans="1:9" s="1124" customFormat="1">
      <c r="A226" s="1126"/>
      <c r="E226" s="1131"/>
      <c r="F226" s="1131"/>
      <c r="H226" s="1120"/>
      <c r="I226" s="1120"/>
    </row>
    <row r="227" spans="1:9" s="1124" customFormat="1">
      <c r="A227" s="1126"/>
      <c r="E227" s="1131"/>
      <c r="F227" s="1131"/>
      <c r="H227" s="1120"/>
      <c r="I227" s="1120"/>
    </row>
    <row r="228" spans="1:9" s="1124" customFormat="1">
      <c r="A228" s="1126"/>
      <c r="E228" s="1131"/>
      <c r="F228" s="1131"/>
      <c r="H228" s="1120"/>
      <c r="I228" s="1120"/>
    </row>
    <row r="229" spans="1:9" s="1124" customFormat="1">
      <c r="A229" s="1126"/>
      <c r="E229" s="1131"/>
      <c r="F229" s="1131"/>
      <c r="H229" s="1120"/>
      <c r="I229" s="1120"/>
    </row>
    <row r="230" spans="1:9" s="1124" customFormat="1">
      <c r="A230" s="1126"/>
      <c r="E230" s="1131"/>
      <c r="F230" s="1131"/>
      <c r="H230" s="1120"/>
      <c r="I230" s="1120"/>
    </row>
    <row r="231" spans="1:9" s="1124" customFormat="1">
      <c r="A231" s="1126"/>
      <c r="E231" s="1131"/>
      <c r="F231" s="1131"/>
      <c r="H231" s="1120"/>
      <c r="I231" s="1120"/>
    </row>
    <row r="232" spans="1:9" s="1124" customFormat="1">
      <c r="A232" s="1126"/>
      <c r="E232" s="1131"/>
      <c r="F232" s="1131"/>
      <c r="H232" s="1120"/>
      <c r="I232" s="1120"/>
    </row>
  </sheetData>
  <mergeCells count="6">
    <mergeCell ref="G2:G3"/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56FE-AE9F-4A5A-95CA-47980A68D851}">
  <sheetPr>
    <tabColor rgb="FFFFC000"/>
  </sheetPr>
  <dimension ref="A1:AU220"/>
  <sheetViews>
    <sheetView showGridLines="0" zoomScale="70" zoomScaleNormal="70" workbookViewId="0">
      <selection activeCell="G9" sqref="G9"/>
    </sheetView>
  </sheetViews>
  <sheetFormatPr defaultColWidth="9.1796875" defaultRowHeight="12.5"/>
  <cols>
    <col min="1" max="1" width="5.7265625" style="62" customWidth="1"/>
    <col min="2" max="2" width="44.54296875" style="66" customWidth="1"/>
    <col min="3" max="3" width="17.453125" style="66" customWidth="1"/>
    <col min="4" max="4" width="0.81640625" style="66" customWidth="1"/>
    <col min="5" max="5" width="17.453125" style="66" customWidth="1"/>
    <col min="6" max="6" width="0.81640625" style="66" customWidth="1"/>
    <col min="7" max="7" width="17.453125" style="66" customWidth="1"/>
    <col min="8" max="8" width="0.81640625" style="66" hidden="1" customWidth="1"/>
    <col min="9" max="9" width="17.453125" style="66" hidden="1" customWidth="1"/>
    <col min="10" max="10" width="0.81640625" style="66" customWidth="1"/>
    <col min="11" max="11" width="17.453125" style="66" customWidth="1"/>
    <col min="12" max="12" width="16.453125" style="110" hidden="1" customWidth="1"/>
    <col min="13" max="13" width="17.453125" style="68" hidden="1" customWidth="1"/>
    <col min="14" max="14" width="0.81640625" style="68" hidden="1" customWidth="1"/>
    <col min="15" max="15" width="36" style="68" hidden="1" customWidth="1"/>
    <col min="16" max="16" width="0.81640625" style="68" hidden="1" customWidth="1"/>
    <col min="17" max="17" width="17.453125" style="68" hidden="1" customWidth="1"/>
    <col min="18" max="18" width="0.81640625" style="68" hidden="1" customWidth="1"/>
    <col min="19" max="19" width="17.453125" style="68" hidden="1" customWidth="1"/>
    <col min="20" max="20" width="17.453125" style="110" hidden="1" customWidth="1"/>
    <col min="21" max="21" width="17.453125" style="931" hidden="1" customWidth="1"/>
    <col min="22" max="22" width="0.81640625" style="931" hidden="1" customWidth="1"/>
    <col min="23" max="23" width="9.1796875" style="66" hidden="1" customWidth="1"/>
    <col min="24" max="24" width="15.26953125" style="66" hidden="1" customWidth="1"/>
    <col min="25" max="25" width="16.08984375" style="66" hidden="1" customWidth="1"/>
    <col min="26" max="26" width="0" style="66" hidden="1" customWidth="1"/>
    <col min="27" max="27" width="15.26953125" style="66" hidden="1" customWidth="1"/>
    <col min="28" max="28" width="14.90625" style="66" hidden="1" customWidth="1"/>
    <col min="29" max="29" width="9.1796875" style="66" hidden="1" customWidth="1"/>
    <col min="30" max="33" width="15.26953125" style="66" hidden="1" customWidth="1"/>
    <col min="34" max="34" width="18.54296875" style="66" hidden="1" customWidth="1"/>
    <col min="35" max="35" width="15.26953125" style="110" hidden="1" customWidth="1"/>
    <col min="36" max="37" width="15.26953125" style="66" hidden="1" customWidth="1"/>
    <col min="38" max="38" width="0" style="66" hidden="1" customWidth="1"/>
    <col min="39" max="40" width="14.26953125" style="66" hidden="1" customWidth="1"/>
    <col min="41" max="41" width="15.26953125" style="66" hidden="1" customWidth="1"/>
    <col min="42" max="42" width="13.36328125" style="66" hidden="1" customWidth="1"/>
    <col min="43" max="43" width="16.453125" style="66" hidden="1" customWidth="1"/>
    <col min="44" max="44" width="23.1796875" style="66" hidden="1" customWidth="1"/>
    <col min="45" max="45" width="16.08984375" style="66" hidden="1" customWidth="1"/>
    <col min="46" max="46" width="24.7265625" style="66" hidden="1" customWidth="1"/>
    <col min="47" max="47" width="15.26953125" style="66" hidden="1" customWidth="1"/>
    <col min="48" max="16384" width="9.1796875" style="66"/>
  </cols>
  <sheetData>
    <row r="1" spans="1:35" s="64" customFormat="1" ht="12.75" customHeight="1">
      <c r="A1" s="62"/>
      <c r="B1" s="63"/>
      <c r="C1" s="63"/>
      <c r="L1" s="188"/>
      <c r="M1" s="950">
        <v>0.05</v>
      </c>
      <c r="N1" s="99"/>
      <c r="O1" s="99"/>
      <c r="P1" s="99"/>
      <c r="Q1" s="99"/>
      <c r="R1" s="99"/>
      <c r="S1" s="99"/>
      <c r="T1" s="188"/>
      <c r="U1" s="189"/>
      <c r="V1" s="189"/>
      <c r="AI1" s="188"/>
    </row>
    <row r="2" spans="1:35" s="64" customFormat="1" ht="12.75" customHeight="1">
      <c r="A2" s="62"/>
      <c r="B2" s="65" t="s">
        <v>195</v>
      </c>
      <c r="G2" s="1024" t="s">
        <v>1147</v>
      </c>
      <c r="L2" s="951" t="s">
        <v>451</v>
      </c>
      <c r="M2" s="952">
        <v>0.125</v>
      </c>
      <c r="N2" s="99"/>
      <c r="O2" s="99"/>
      <c r="P2" s="99"/>
      <c r="Q2" s="99"/>
      <c r="R2" s="99"/>
      <c r="S2" s="99"/>
      <c r="T2" s="188"/>
      <c r="U2" s="189"/>
      <c r="V2" s="189"/>
      <c r="AI2" s="188"/>
    </row>
    <row r="3" spans="1:35" s="64" customFormat="1" ht="12.75" customHeight="1">
      <c r="A3" s="62"/>
      <c r="B3" s="1040" t="s">
        <v>1171</v>
      </c>
      <c r="M3" s="950">
        <v>0.25</v>
      </c>
      <c r="N3" s="99"/>
      <c r="O3" s="99"/>
      <c r="P3" s="99"/>
      <c r="Q3" s="99"/>
      <c r="R3" s="99"/>
      <c r="S3" s="99"/>
      <c r="U3" s="189"/>
      <c r="V3" s="189"/>
      <c r="AI3" s="188"/>
    </row>
    <row r="4" spans="1:35" s="64" customFormat="1" ht="12.75" customHeight="1">
      <c r="A4" s="62"/>
      <c r="C4" s="1299" t="s">
        <v>224</v>
      </c>
      <c r="D4" s="1299"/>
      <c r="E4" s="1299"/>
      <c r="F4" s="1299"/>
      <c r="G4" s="1299"/>
      <c r="H4" s="1299"/>
      <c r="I4" s="1299"/>
      <c r="J4" s="1299"/>
      <c r="K4" s="1299"/>
      <c r="L4" s="951" t="s">
        <v>452</v>
      </c>
      <c r="M4" s="953">
        <v>6.25E-2</v>
      </c>
      <c r="N4" s="99"/>
      <c r="O4" s="99"/>
      <c r="P4" s="99"/>
      <c r="Q4" s="99"/>
      <c r="R4" s="99"/>
      <c r="S4" s="99"/>
      <c r="T4" s="188"/>
      <c r="U4" s="189"/>
      <c r="V4" s="189"/>
      <c r="AI4" s="188"/>
    </row>
    <row r="5" spans="1:35" s="64" customFormat="1" ht="12.75" customHeight="1">
      <c r="A5" s="62"/>
      <c r="B5" s="66"/>
      <c r="C5" s="1300" t="s">
        <v>1222</v>
      </c>
      <c r="D5" s="1301"/>
      <c r="E5" s="1301"/>
      <c r="F5" s="1301"/>
      <c r="G5" s="1301"/>
      <c r="H5" s="1301"/>
      <c r="I5" s="1301"/>
      <c r="J5" s="1301"/>
      <c r="K5" s="1301"/>
      <c r="L5" s="110"/>
      <c r="M5" s="99"/>
      <c r="N5" s="99"/>
      <c r="O5" s="99"/>
      <c r="P5" s="99"/>
      <c r="Q5" s="99"/>
      <c r="R5" s="99"/>
      <c r="S5" s="99"/>
      <c r="T5" s="188"/>
      <c r="U5" s="189"/>
      <c r="V5" s="189"/>
      <c r="AI5" s="188"/>
    </row>
    <row r="6" spans="1:35" s="64" customFormat="1" ht="12.75" customHeight="1">
      <c r="A6" s="62"/>
      <c r="B6" s="66"/>
      <c r="C6" s="67" t="s">
        <v>30</v>
      </c>
      <c r="D6" s="69"/>
      <c r="E6" s="67" t="s">
        <v>29</v>
      </c>
      <c r="F6" s="69"/>
      <c r="G6" s="67" t="s">
        <v>196</v>
      </c>
      <c r="H6" s="69"/>
      <c r="I6" s="67" t="s">
        <v>197</v>
      </c>
      <c r="J6" s="69"/>
      <c r="K6" s="67" t="s">
        <v>198</v>
      </c>
      <c r="L6" s="110"/>
      <c r="M6" s="99"/>
      <c r="N6" s="99"/>
      <c r="O6" s="99"/>
      <c r="P6" s="99"/>
      <c r="Q6" s="995" t="s">
        <v>1158</v>
      </c>
      <c r="R6" s="99"/>
      <c r="S6" s="995" t="s">
        <v>225</v>
      </c>
      <c r="T6" s="188"/>
      <c r="U6" s="189"/>
      <c r="V6" s="189"/>
      <c r="AI6" s="188"/>
    </row>
    <row r="7" spans="1:35" s="64" customFormat="1" ht="12.75" customHeight="1">
      <c r="A7" s="62"/>
      <c r="B7" s="66"/>
      <c r="C7" s="71"/>
      <c r="D7" s="72"/>
      <c r="E7" s="66"/>
      <c r="F7" s="72"/>
      <c r="G7" s="66"/>
      <c r="H7" s="72"/>
      <c r="I7" s="66"/>
      <c r="J7" s="72"/>
      <c r="K7" s="66"/>
      <c r="L7" s="110"/>
      <c r="M7" s="99"/>
      <c r="N7" s="99"/>
      <c r="O7" s="99"/>
      <c r="P7" s="99"/>
      <c r="Q7" s="99"/>
      <c r="R7" s="99"/>
      <c r="S7" s="99"/>
      <c r="T7" s="188"/>
      <c r="U7" s="189"/>
      <c r="V7" s="189"/>
      <c r="AI7" s="188"/>
    </row>
    <row r="8" spans="1:35" s="64" customFormat="1" ht="12.75" customHeight="1">
      <c r="A8" s="62"/>
      <c r="B8" s="72" t="s">
        <v>201</v>
      </c>
      <c r="C8" s="66"/>
      <c r="D8" s="72"/>
      <c r="E8" s="66"/>
      <c r="F8" s="72"/>
      <c r="G8" s="66"/>
      <c r="H8" s="72"/>
      <c r="I8" s="66"/>
      <c r="J8" s="72"/>
      <c r="K8" s="66"/>
      <c r="L8" s="110"/>
      <c r="M8" s="99"/>
      <c r="N8" s="99"/>
      <c r="O8" s="99"/>
      <c r="P8" s="99"/>
      <c r="Q8" s="99"/>
      <c r="R8" s="99"/>
      <c r="S8" s="99"/>
      <c r="T8" s="188"/>
      <c r="U8" s="189"/>
      <c r="V8" s="189"/>
      <c r="AI8" s="188"/>
    </row>
    <row r="9" spans="1:35" s="64" customFormat="1" ht="12.75" customHeight="1">
      <c r="A9" s="62"/>
      <c r="B9" s="66" t="s">
        <v>207</v>
      </c>
      <c r="C9" s="73">
        <f t="shared" ref="C9:C17" si="0">K46</f>
        <v>0</v>
      </c>
      <c r="D9" s="66"/>
      <c r="E9" s="73">
        <f>0</f>
        <v>0</v>
      </c>
      <c r="F9" s="66"/>
      <c r="G9" s="73">
        <v>0</v>
      </c>
      <c r="H9" s="66"/>
      <c r="I9" s="66"/>
      <c r="J9" s="66"/>
      <c r="K9" s="73">
        <f t="shared" ref="K9:K17" si="1">C9+E9+G9+I9</f>
        <v>0</v>
      </c>
      <c r="L9" s="110"/>
      <c r="M9" s="99"/>
      <c r="N9" s="99"/>
      <c r="O9" s="99"/>
      <c r="P9" s="99"/>
      <c r="Q9" s="99"/>
      <c r="R9" s="99"/>
      <c r="S9" s="99"/>
      <c r="T9" s="188"/>
      <c r="U9" s="189"/>
      <c r="V9" s="189"/>
      <c r="AI9" s="188"/>
    </row>
    <row r="10" spans="1:35" s="64" customFormat="1" ht="12.75" customHeight="1">
      <c r="A10" s="62"/>
      <c r="B10" s="66" t="s">
        <v>47</v>
      </c>
      <c r="C10" s="73">
        <f t="shared" si="0"/>
        <v>37188156152.100014</v>
      </c>
      <c r="D10" s="73"/>
      <c r="E10" s="73">
        <f>'2. Bangunan'!F129</f>
        <v>0</v>
      </c>
      <c r="F10" s="73"/>
      <c r="G10" s="73">
        <v>0</v>
      </c>
      <c r="H10" s="73"/>
      <c r="I10" s="73">
        <v>0</v>
      </c>
      <c r="J10" s="74"/>
      <c r="K10" s="73">
        <f t="shared" si="1"/>
        <v>37188156152.100014</v>
      </c>
      <c r="L10" s="110"/>
      <c r="M10" s="99"/>
      <c r="N10" s="99"/>
      <c r="O10" s="99"/>
      <c r="P10" s="99"/>
      <c r="Q10" s="99"/>
      <c r="R10" s="99"/>
      <c r="S10" s="99"/>
      <c r="T10" s="188"/>
      <c r="U10" s="189"/>
      <c r="V10" s="189"/>
      <c r="AI10" s="188"/>
    </row>
    <row r="11" spans="1:35" s="64" customFormat="1" ht="12.75" customHeight="1">
      <c r="A11" s="62"/>
      <c r="B11" s="66" t="s">
        <v>211</v>
      </c>
      <c r="C11" s="73">
        <f t="shared" si="0"/>
        <v>445059500</v>
      </c>
      <c r="D11" s="73"/>
      <c r="E11" s="73">
        <f>'3. Sumur Bor'!F54</f>
        <v>0</v>
      </c>
      <c r="F11" s="73"/>
      <c r="G11" s="73">
        <v>0</v>
      </c>
      <c r="H11" s="73"/>
      <c r="I11" s="73"/>
      <c r="J11" s="74"/>
      <c r="K11" s="73">
        <f t="shared" si="1"/>
        <v>445059500</v>
      </c>
      <c r="L11" s="110"/>
      <c r="M11" s="99"/>
      <c r="N11" s="99"/>
      <c r="O11" s="99"/>
      <c r="P11" s="99"/>
      <c r="Q11" s="99"/>
      <c r="R11" s="99"/>
      <c r="S11" s="99"/>
      <c r="T11" s="188"/>
      <c r="U11" s="189"/>
      <c r="V11" s="189"/>
      <c r="AI11" s="188"/>
    </row>
    <row r="12" spans="1:35" s="64" customFormat="1" ht="12.75" customHeight="1">
      <c r="A12" s="62"/>
      <c r="B12" s="66" t="s">
        <v>922</v>
      </c>
      <c r="C12" s="73">
        <f t="shared" si="0"/>
        <v>6200217370</v>
      </c>
      <c r="D12" s="73"/>
      <c r="E12" s="73">
        <f>'4. Sarana &amp; Prasarana'!F43</f>
        <v>0</v>
      </c>
      <c r="F12" s="73"/>
      <c r="G12" s="73">
        <v>0</v>
      </c>
      <c r="H12" s="73"/>
      <c r="I12" s="73"/>
      <c r="J12" s="74"/>
      <c r="K12" s="73">
        <f t="shared" si="1"/>
        <v>6200217370</v>
      </c>
      <c r="L12" s="110"/>
      <c r="M12" s="99"/>
      <c r="N12" s="99"/>
      <c r="O12" s="99"/>
      <c r="P12" s="99"/>
      <c r="Q12" s="99"/>
      <c r="R12" s="99"/>
      <c r="S12" s="99"/>
      <c r="T12" s="188"/>
      <c r="U12" s="189"/>
      <c r="V12" s="189"/>
      <c r="AI12" s="188"/>
    </row>
    <row r="13" spans="1:35" s="64" customFormat="1" ht="12.75" customHeight="1">
      <c r="A13" s="62"/>
      <c r="B13" s="66" t="s">
        <v>208</v>
      </c>
      <c r="C13" s="73">
        <f t="shared" si="0"/>
        <v>37618136451.599983</v>
      </c>
      <c r="D13" s="73"/>
      <c r="E13" s="73">
        <f>'5. Mesin'!F329</f>
        <v>0</v>
      </c>
      <c r="F13" s="73"/>
      <c r="G13" s="73">
        <v>0</v>
      </c>
      <c r="H13" s="73"/>
      <c r="I13" s="73"/>
      <c r="J13" s="74"/>
      <c r="K13" s="73">
        <f t="shared" si="1"/>
        <v>37618136451.599983</v>
      </c>
      <c r="L13" s="110"/>
      <c r="M13" s="99"/>
      <c r="N13" s="99"/>
      <c r="O13" s="99"/>
      <c r="P13" s="99"/>
      <c r="Q13" s="99"/>
      <c r="R13" s="99"/>
      <c r="S13" s="99"/>
      <c r="T13" s="188"/>
      <c r="U13" s="189"/>
      <c r="V13" s="189"/>
      <c r="AI13" s="188"/>
    </row>
    <row r="14" spans="1:35" s="64" customFormat="1" ht="12.75" customHeight="1">
      <c r="A14" s="62"/>
      <c r="B14" s="66" t="s">
        <v>923</v>
      </c>
      <c r="C14" s="73">
        <f t="shared" si="0"/>
        <v>1452280000</v>
      </c>
      <c r="D14" s="73"/>
      <c r="E14" s="73">
        <f>'6. Instalasi Elektrik'!F56</f>
        <v>0</v>
      </c>
      <c r="F14" s="73"/>
      <c r="G14" s="73">
        <v>0</v>
      </c>
      <c r="H14" s="73"/>
      <c r="I14" s="73"/>
      <c r="J14" s="74"/>
      <c r="K14" s="73">
        <f t="shared" si="1"/>
        <v>1452280000</v>
      </c>
      <c r="L14" s="110"/>
      <c r="M14" s="99"/>
      <c r="N14" s="99"/>
      <c r="O14" s="99"/>
      <c r="P14" s="99"/>
      <c r="Q14" s="99"/>
      <c r="R14" s="99"/>
      <c r="S14" s="99"/>
      <c r="T14" s="188"/>
      <c r="U14" s="189"/>
      <c r="V14" s="189"/>
      <c r="AI14" s="188"/>
    </row>
    <row r="15" spans="1:35" s="64" customFormat="1" ht="12.75" customHeight="1">
      <c r="A15" s="62"/>
      <c r="B15" s="66" t="s">
        <v>203</v>
      </c>
      <c r="C15" s="73">
        <f t="shared" si="0"/>
        <v>8342660000</v>
      </c>
      <c r="D15" s="73"/>
      <c r="E15" s="73">
        <f>'7. Kendaraan'!F82</f>
        <v>120000000</v>
      </c>
      <c r="F15" s="73"/>
      <c r="G15" s="73">
        <v>0</v>
      </c>
      <c r="H15" s="73"/>
      <c r="I15" s="73">
        <v>0</v>
      </c>
      <c r="J15" s="75"/>
      <c r="K15" s="73">
        <f t="shared" si="1"/>
        <v>8462660000</v>
      </c>
      <c r="L15" s="110"/>
      <c r="M15" s="99"/>
      <c r="N15" s="99"/>
      <c r="O15" s="99"/>
      <c r="P15" s="99"/>
      <c r="Q15" s="99"/>
      <c r="R15" s="99"/>
      <c r="S15" s="99"/>
      <c r="T15" s="188"/>
      <c r="U15" s="189"/>
      <c r="V15" s="189"/>
      <c r="AI15" s="188"/>
    </row>
    <row r="16" spans="1:35" s="64" customFormat="1" ht="12.75" customHeight="1">
      <c r="A16" s="62"/>
      <c r="B16" s="66" t="s">
        <v>924</v>
      </c>
      <c r="C16" s="73">
        <f t="shared" si="0"/>
        <v>1274154796</v>
      </c>
      <c r="D16" s="73"/>
      <c r="E16" s="73">
        <f>'8 Peralatan &amp; Perlengkapan'!F162</f>
        <v>29115000</v>
      </c>
      <c r="F16" s="73"/>
      <c r="G16" s="73">
        <v>0</v>
      </c>
      <c r="H16" s="73"/>
      <c r="I16" s="73">
        <v>0</v>
      </c>
      <c r="J16" s="76"/>
      <c r="K16" s="73">
        <f t="shared" si="1"/>
        <v>1303269796</v>
      </c>
      <c r="L16" s="110"/>
      <c r="M16" s="99"/>
      <c r="N16" s="99"/>
      <c r="O16" s="99"/>
      <c r="P16" s="99"/>
      <c r="Q16" s="99"/>
      <c r="R16" s="99"/>
      <c r="S16" s="99"/>
      <c r="T16" s="188"/>
      <c r="U16" s="189"/>
      <c r="V16" s="189"/>
      <c r="AI16" s="188"/>
    </row>
    <row r="17" spans="1:47" s="64" customFormat="1" ht="12.75" customHeight="1">
      <c r="A17" s="62"/>
      <c r="B17" s="66" t="s">
        <v>903</v>
      </c>
      <c r="C17" s="73">
        <f t="shared" si="0"/>
        <v>11170379446.6</v>
      </c>
      <c r="D17" s="73"/>
      <c r="E17" s="73">
        <f>'9. Infrastruktur'!F63</f>
        <v>0</v>
      </c>
      <c r="F17" s="73"/>
      <c r="G17" s="73">
        <v>0</v>
      </c>
      <c r="H17" s="73"/>
      <c r="I17" s="73">
        <v>0</v>
      </c>
      <c r="J17" s="77"/>
      <c r="K17" s="73">
        <f t="shared" si="1"/>
        <v>11170379446.6</v>
      </c>
      <c r="L17" s="110"/>
      <c r="M17" s="99"/>
      <c r="N17" s="99"/>
      <c r="O17" s="99"/>
      <c r="P17" s="99"/>
      <c r="Q17" s="99"/>
      <c r="R17" s="99"/>
      <c r="S17" s="99"/>
      <c r="T17" s="188"/>
      <c r="U17" s="189"/>
      <c r="V17" s="189"/>
      <c r="AI17" s="188"/>
      <c r="AQ17" s="1154" t="s">
        <v>1158</v>
      </c>
      <c r="AR17" s="1155" t="s">
        <v>1132</v>
      </c>
      <c r="AS17" s="66"/>
      <c r="AT17" s="66"/>
    </row>
    <row r="18" spans="1:47" s="64" customFormat="1" ht="12.75" customHeight="1">
      <c r="A18" s="62"/>
      <c r="B18" s="78"/>
      <c r="C18" s="79"/>
      <c r="D18" s="80"/>
      <c r="E18" s="79"/>
      <c r="F18" s="80"/>
      <c r="G18" s="79"/>
      <c r="H18" s="80"/>
      <c r="I18" s="79"/>
      <c r="J18" s="81"/>
      <c r="K18" s="79"/>
      <c r="L18" s="188"/>
      <c r="M18" s="99"/>
      <c r="N18" s="99"/>
      <c r="O18" s="99"/>
      <c r="P18" s="99"/>
      <c r="Q18" s="99"/>
      <c r="R18" s="99"/>
      <c r="S18" s="99"/>
      <c r="T18" s="188"/>
      <c r="U18" s="189"/>
      <c r="V18" s="189"/>
      <c r="AI18" s="188"/>
      <c r="AR18" s="188"/>
    </row>
    <row r="19" spans="1:47" s="64" customFormat="1" ht="12.75" customHeight="1">
      <c r="A19" s="62"/>
      <c r="B19" s="72" t="s">
        <v>223</v>
      </c>
      <c r="C19" s="82">
        <f>SUM(C9:C17)</f>
        <v>103691043716.3</v>
      </c>
      <c r="D19" s="77"/>
      <c r="E19" s="82">
        <f>SUM(E9:E17)</f>
        <v>149115000</v>
      </c>
      <c r="F19" s="83"/>
      <c r="G19" s="82">
        <f>SUM(G9:G17)</f>
        <v>0</v>
      </c>
      <c r="H19" s="83">
        <f>SUM(H10:H17)</f>
        <v>0</v>
      </c>
      <c r="I19" s="82">
        <f>SUM(I10:I17)</f>
        <v>0</v>
      </c>
      <c r="J19" s="83">
        <f>SUM(J10:J17)</f>
        <v>0</v>
      </c>
      <c r="K19" s="82">
        <f>SUM(K9:K17)</f>
        <v>103840158716.3</v>
      </c>
      <c r="L19" s="110"/>
      <c r="M19" s="99"/>
      <c r="N19" s="99"/>
      <c r="O19" s="99"/>
      <c r="P19" s="99"/>
      <c r="Q19" s="99"/>
      <c r="R19" s="99"/>
      <c r="S19" s="99"/>
      <c r="T19" s="188"/>
      <c r="U19" s="189"/>
      <c r="V19" s="189"/>
      <c r="AI19" s="188"/>
      <c r="AQ19" s="110">
        <v>103840158717.2</v>
      </c>
      <c r="AR19" s="110">
        <f>AQ19-K19</f>
        <v>0.899993896484375</v>
      </c>
      <c r="AS19" s="66"/>
      <c r="AT19" s="66"/>
    </row>
    <row r="20" spans="1:47" s="64" customFormat="1" ht="12.75" customHeight="1">
      <c r="A20" s="62"/>
      <c r="B20" s="66"/>
      <c r="C20" s="84"/>
      <c r="D20" s="85"/>
      <c r="E20" s="84"/>
      <c r="F20" s="85"/>
      <c r="G20" s="84"/>
      <c r="H20" s="85"/>
      <c r="I20" s="84"/>
      <c r="J20" s="85"/>
      <c r="K20" s="84"/>
      <c r="L20" s="110"/>
      <c r="M20" s="99"/>
      <c r="N20" s="99"/>
      <c r="O20" s="99"/>
      <c r="P20" s="99"/>
      <c r="Q20" s="99"/>
      <c r="R20" s="99"/>
      <c r="S20" s="99"/>
      <c r="T20" s="188"/>
      <c r="U20" s="189"/>
      <c r="V20" s="189"/>
      <c r="AI20" s="188"/>
      <c r="AQ20" s="66"/>
      <c r="AR20" s="110"/>
      <c r="AS20" s="66"/>
      <c r="AT20" s="66"/>
    </row>
    <row r="21" spans="1:47" s="64" customFormat="1" ht="12.75" customHeight="1">
      <c r="A21" s="62"/>
      <c r="B21" s="66" t="s">
        <v>222</v>
      </c>
      <c r="C21" s="73">
        <f>K58</f>
        <v>0</v>
      </c>
      <c r="D21" s="73"/>
      <c r="E21" s="73"/>
      <c r="F21" s="73"/>
      <c r="G21" s="73">
        <v>0</v>
      </c>
      <c r="H21" s="73"/>
      <c r="I21" s="73">
        <v>0</v>
      </c>
      <c r="J21" s="77"/>
      <c r="K21" s="73">
        <f>C21+E21-G21+I21</f>
        <v>0</v>
      </c>
      <c r="L21" s="110"/>
      <c r="M21" s="99"/>
      <c r="N21" s="99"/>
      <c r="O21" s="99"/>
      <c r="P21" s="99"/>
      <c r="Q21" s="99"/>
      <c r="R21" s="99"/>
      <c r="S21" s="99"/>
      <c r="T21" s="188"/>
      <c r="U21" s="189"/>
      <c r="V21" s="189"/>
      <c r="AI21" s="188"/>
      <c r="AQ21" s="66"/>
      <c r="AR21" s="110"/>
      <c r="AS21" s="66"/>
      <c r="AT21" s="66"/>
    </row>
    <row r="22" spans="1:47" s="64" customFormat="1" ht="12.75" customHeight="1">
      <c r="A22" s="62"/>
      <c r="B22" s="66"/>
      <c r="C22" s="79"/>
      <c r="D22" s="80"/>
      <c r="E22" s="79"/>
      <c r="F22" s="80"/>
      <c r="G22" s="79"/>
      <c r="H22" s="80"/>
      <c r="I22" s="79"/>
      <c r="J22" s="81"/>
      <c r="K22" s="79"/>
      <c r="L22" s="110"/>
      <c r="M22" s="99"/>
      <c r="N22" s="99"/>
      <c r="O22" s="99"/>
      <c r="P22" s="99"/>
      <c r="Q22" s="99"/>
      <c r="R22" s="99"/>
      <c r="S22" s="99"/>
      <c r="T22" s="188"/>
      <c r="U22" s="189"/>
      <c r="V22" s="189"/>
      <c r="AI22" s="188"/>
      <c r="AQ22" s="66"/>
      <c r="AR22" s="110"/>
      <c r="AS22" s="66"/>
      <c r="AT22" s="66"/>
    </row>
    <row r="23" spans="1:47" s="64" customFormat="1" ht="12.75" customHeight="1">
      <c r="A23" s="62"/>
      <c r="B23" s="72" t="s">
        <v>204</v>
      </c>
      <c r="C23" s="100">
        <f>C19+C21</f>
        <v>103691043716.3</v>
      </c>
      <c r="D23" s="77"/>
      <c r="E23" s="100">
        <f>E19+E21</f>
        <v>149115000</v>
      </c>
      <c r="F23" s="83"/>
      <c r="G23" s="100">
        <f>G19+G21</f>
        <v>0</v>
      </c>
      <c r="H23" s="83">
        <f>SUM(H14:H21)</f>
        <v>0</v>
      </c>
      <c r="I23" s="82">
        <f>SUM(I14:I21)</f>
        <v>0</v>
      </c>
      <c r="J23" s="83">
        <f>SUM(J14:J21)</f>
        <v>0</v>
      </c>
      <c r="K23" s="100">
        <f>K19+K21</f>
        <v>103840158716.3</v>
      </c>
      <c r="L23" s="110"/>
      <c r="M23" s="99"/>
      <c r="N23" s="99"/>
      <c r="O23" s="99"/>
      <c r="P23" s="99"/>
      <c r="Q23" s="99"/>
      <c r="R23" s="99"/>
      <c r="S23" s="99"/>
      <c r="T23" s="188"/>
      <c r="U23" s="189"/>
      <c r="V23" s="189"/>
      <c r="AI23" s="188"/>
      <c r="AQ23" s="66"/>
      <c r="AR23" s="110"/>
      <c r="AS23" s="66"/>
      <c r="AT23" s="66"/>
    </row>
    <row r="24" spans="1:47" s="64" customFormat="1" ht="12.75" customHeight="1">
      <c r="A24" s="62"/>
      <c r="B24" s="66"/>
      <c r="C24" s="1300" t="s">
        <v>1222</v>
      </c>
      <c r="D24" s="1301"/>
      <c r="E24" s="1301"/>
      <c r="F24" s="1301"/>
      <c r="G24" s="1301"/>
      <c r="H24" s="1301"/>
      <c r="I24" s="1301"/>
      <c r="J24" s="1301"/>
      <c r="K24" s="1301"/>
      <c r="L24" s="110"/>
      <c r="M24" s="99"/>
      <c r="N24" s="99"/>
      <c r="O24" s="99"/>
      <c r="P24" s="99"/>
      <c r="Q24" s="99"/>
      <c r="R24" s="99"/>
      <c r="S24" s="99"/>
      <c r="T24" s="188"/>
      <c r="U24" s="189"/>
      <c r="V24" s="189"/>
      <c r="AI24" s="188"/>
      <c r="AQ24" s="1179" t="s">
        <v>1293</v>
      </c>
      <c r="AR24" s="1178" t="s">
        <v>1294</v>
      </c>
      <c r="AS24" s="1179"/>
      <c r="AT24" s="1179" t="s">
        <v>1292</v>
      </c>
      <c r="AU24" s="1178" t="s">
        <v>1294</v>
      </c>
    </row>
    <row r="25" spans="1:47" s="64" customFormat="1" ht="12.75" customHeight="1">
      <c r="A25" s="62"/>
      <c r="B25" s="72" t="s">
        <v>205</v>
      </c>
      <c r="C25" s="74"/>
      <c r="D25" s="86"/>
      <c r="E25" s="74"/>
      <c r="F25" s="86"/>
      <c r="G25" s="74"/>
      <c r="H25" s="86"/>
      <c r="I25" s="74"/>
      <c r="J25" s="86"/>
      <c r="K25" s="74"/>
      <c r="L25" s="110"/>
      <c r="M25" s="189"/>
      <c r="N25" s="99"/>
      <c r="O25" s="99"/>
      <c r="P25" s="99"/>
      <c r="Q25" s="99"/>
      <c r="R25" s="99"/>
      <c r="S25" s="99"/>
      <c r="T25" s="188"/>
      <c r="U25" s="189"/>
      <c r="V25" s="189"/>
      <c r="AI25" s="188"/>
      <c r="AQ25" s="1179"/>
      <c r="AR25" s="1178"/>
      <c r="AS25" s="1179"/>
      <c r="AT25" s="1179"/>
      <c r="AU25" s="1179"/>
    </row>
    <row r="26" spans="1:47" s="64" customFormat="1" ht="12.75" customHeight="1">
      <c r="A26" s="62"/>
      <c r="B26" s="66" t="s">
        <v>47</v>
      </c>
      <c r="C26" s="73">
        <f t="shared" ref="C26:C33" si="2">K63</f>
        <v>9212291774.1624603</v>
      </c>
      <c r="D26" s="73"/>
      <c r="E26" s="674">
        <f>'2. Bangunan'!AQ115</f>
        <v>1860373507.605001</v>
      </c>
      <c r="F26" s="73"/>
      <c r="G26" s="73">
        <v>0</v>
      </c>
      <c r="H26" s="73"/>
      <c r="I26" s="73">
        <v>0</v>
      </c>
      <c r="J26" s="74"/>
      <c r="K26" s="73">
        <f>C26+E26+G26+I26</f>
        <v>11072665281.767462</v>
      </c>
      <c r="L26" s="110"/>
      <c r="M26" s="189"/>
      <c r="N26" s="99"/>
      <c r="O26" s="99"/>
      <c r="P26" s="99"/>
      <c r="Q26" s="99"/>
      <c r="R26" s="99"/>
      <c r="S26" s="99"/>
      <c r="T26" s="188"/>
      <c r="U26" s="189"/>
      <c r="V26" s="189"/>
      <c r="AG26" s="1119">
        <f>E26/C26</f>
        <v>0.20194470097253706</v>
      </c>
      <c r="AI26" s="188"/>
      <c r="AQ26" s="1176">
        <v>-10981268315</v>
      </c>
      <c r="AR26" s="1178">
        <f>AQ26+K26</f>
        <v>91396966.767461777</v>
      </c>
      <c r="AS26" s="1178"/>
      <c r="AT26" s="1176"/>
      <c r="AU26" s="1179"/>
    </row>
    <row r="27" spans="1:47" s="64" customFormat="1" ht="12.75" customHeight="1">
      <c r="A27" s="62"/>
      <c r="B27" s="66" t="s">
        <v>211</v>
      </c>
      <c r="C27" s="73">
        <f t="shared" si="2"/>
        <v>358558562.5</v>
      </c>
      <c r="D27" s="73"/>
      <c r="E27" s="674">
        <f>'3. Sumur Bor'!AQ40</f>
        <v>53507437.5</v>
      </c>
      <c r="F27" s="73"/>
      <c r="G27" s="73">
        <v>0</v>
      </c>
      <c r="H27" s="73"/>
      <c r="I27" s="73"/>
      <c r="J27" s="74"/>
      <c r="K27" s="73">
        <f>C27+E27+G27+I27</f>
        <v>412066000</v>
      </c>
      <c r="L27" s="110"/>
      <c r="M27" s="189"/>
      <c r="N27" s="99"/>
      <c r="O27" s="99"/>
      <c r="P27" s="99"/>
      <c r="Q27" s="99"/>
      <c r="R27" s="99"/>
      <c r="S27" s="99"/>
      <c r="T27" s="188"/>
      <c r="U27" s="189"/>
      <c r="V27" s="189"/>
      <c r="AI27" s="188"/>
      <c r="AQ27" s="1169">
        <v>-412066001</v>
      </c>
      <c r="AR27" s="1178">
        <f t="shared" ref="AR27:AR33" si="3">AQ27+K27</f>
        <v>-1</v>
      </c>
      <c r="AS27" s="1178"/>
      <c r="AT27" s="1170"/>
      <c r="AU27" s="1179"/>
    </row>
    <row r="28" spans="1:47" s="64" customFormat="1" ht="12.75" customHeight="1">
      <c r="A28" s="62"/>
      <c r="B28" s="66" t="s">
        <v>922</v>
      </c>
      <c r="C28" s="73">
        <f t="shared" si="2"/>
        <v>3366962619.9999995</v>
      </c>
      <c r="D28" s="73"/>
      <c r="E28" s="674">
        <f>'4. Sarana &amp; Prasarana'!AQ29</f>
        <v>378489750</v>
      </c>
      <c r="F28" s="73"/>
      <c r="G28" s="73">
        <v>0</v>
      </c>
      <c r="H28" s="73"/>
      <c r="I28" s="73"/>
      <c r="J28" s="74"/>
      <c r="K28" s="73">
        <f>C28+E28+G28+I28</f>
        <v>3745452369.9999995</v>
      </c>
      <c r="L28" s="110"/>
      <c r="M28" s="189"/>
      <c r="N28" s="99"/>
      <c r="O28" s="99"/>
      <c r="P28" s="99"/>
      <c r="Q28" s="99"/>
      <c r="R28" s="99"/>
      <c r="S28" s="99"/>
      <c r="T28" s="188"/>
      <c r="U28" s="189"/>
      <c r="V28" s="189"/>
      <c r="AI28" s="188"/>
      <c r="AQ28" s="1169">
        <v>-3745452370</v>
      </c>
      <c r="AR28" s="1178">
        <f t="shared" si="3"/>
        <v>0</v>
      </c>
      <c r="AS28" s="1178"/>
      <c r="AT28" s="1170"/>
      <c r="AU28" s="1179"/>
    </row>
    <row r="29" spans="1:47" s="64" customFormat="1" ht="12.75" customHeight="1">
      <c r="A29" s="62"/>
      <c r="B29" s="66" t="s">
        <v>208</v>
      </c>
      <c r="C29" s="73">
        <f t="shared" si="2"/>
        <v>18146072182.133327</v>
      </c>
      <c r="D29" s="73"/>
      <c r="E29" s="674">
        <f>'5. Mesin'!AP315</f>
        <v>3217782268.8083305</v>
      </c>
      <c r="F29" s="73"/>
      <c r="G29" s="73">
        <v>0</v>
      </c>
      <c r="H29" s="73"/>
      <c r="I29" s="73"/>
      <c r="J29" s="74"/>
      <c r="K29" s="73">
        <f>C29+E29+G29+I29</f>
        <v>21363854450.941658</v>
      </c>
      <c r="L29" s="110"/>
      <c r="M29" s="189"/>
      <c r="N29" s="99"/>
      <c r="O29" s="99"/>
      <c r="P29" s="99"/>
      <c r="Q29" s="99"/>
      <c r="R29" s="99"/>
      <c r="S29" s="99"/>
      <c r="T29" s="188"/>
      <c r="U29" s="189"/>
      <c r="V29" s="189"/>
      <c r="AG29" s="1119">
        <f>E29/C29</f>
        <v>0.17732665430354497</v>
      </c>
      <c r="AI29" s="188"/>
      <c r="AQ29" s="1177">
        <v>-21314681680</v>
      </c>
      <c r="AR29" s="1178">
        <f t="shared" si="3"/>
        <v>49172770.94165802</v>
      </c>
      <c r="AS29" s="1177"/>
      <c r="AT29" s="1177"/>
      <c r="AU29" s="1179"/>
    </row>
    <row r="30" spans="1:47" s="64" customFormat="1" ht="12.75" customHeight="1">
      <c r="A30" s="62"/>
      <c r="B30" s="66" t="s">
        <v>923</v>
      </c>
      <c r="C30" s="73">
        <f t="shared" si="2"/>
        <v>397178000</v>
      </c>
      <c r="D30" s="73"/>
      <c r="E30" s="674">
        <f>'6. Instalasi Elektrik'!AP43</f>
        <v>72614000</v>
      </c>
      <c r="F30" s="73"/>
      <c r="G30" s="73">
        <v>0</v>
      </c>
      <c r="H30" s="73"/>
      <c r="I30" s="73"/>
      <c r="J30" s="74"/>
      <c r="K30" s="73">
        <f>C30+E30+G30+I30</f>
        <v>469792000</v>
      </c>
      <c r="L30" s="110"/>
      <c r="M30" s="189"/>
      <c r="N30" s="99"/>
      <c r="O30" s="99"/>
      <c r="P30" s="99"/>
      <c r="Q30" s="99"/>
      <c r="R30" s="99"/>
      <c r="S30" s="99"/>
      <c r="T30" s="188"/>
      <c r="U30" s="189"/>
      <c r="V30" s="189"/>
      <c r="AI30" s="188"/>
      <c r="AQ30" s="1169">
        <v>-469792000</v>
      </c>
      <c r="AR30" s="1178">
        <f t="shared" si="3"/>
        <v>0</v>
      </c>
      <c r="AS30" s="1178"/>
      <c r="AT30" s="1170"/>
      <c r="AU30" s="1179"/>
    </row>
    <row r="31" spans="1:47" s="64" customFormat="1" ht="12.75" customHeight="1">
      <c r="A31" s="62"/>
      <c r="B31" s="66" t="s">
        <v>203</v>
      </c>
      <c r="C31" s="73">
        <f t="shared" si="2"/>
        <v>7346435000</v>
      </c>
      <c r="D31" s="73"/>
      <c r="E31" s="674">
        <f>'7. Kendaraan'!AP69</f>
        <v>982475000</v>
      </c>
      <c r="F31" s="73"/>
      <c r="G31" s="73">
        <v>0</v>
      </c>
      <c r="H31" s="73"/>
      <c r="I31" s="73">
        <v>0</v>
      </c>
      <c r="J31" s="75"/>
      <c r="K31" s="73">
        <f>C31+E31+G31+I31+0.5</f>
        <v>8328910000.5</v>
      </c>
      <c r="L31" s="110"/>
      <c r="M31" s="189"/>
      <c r="N31" s="99"/>
      <c r="O31" s="99"/>
      <c r="P31" s="99"/>
      <c r="Q31" s="99"/>
      <c r="R31" s="99"/>
      <c r="S31" s="99"/>
      <c r="T31" s="188"/>
      <c r="U31" s="189"/>
      <c r="V31" s="189"/>
      <c r="AI31" s="188"/>
      <c r="AQ31" s="1169">
        <v>-8328910000</v>
      </c>
      <c r="AR31" s="1178">
        <f t="shared" si="3"/>
        <v>0.5</v>
      </c>
      <c r="AS31" s="1178"/>
      <c r="AT31" s="1170"/>
      <c r="AU31" s="1179"/>
    </row>
    <row r="32" spans="1:47" s="64" customFormat="1" ht="12.75" customHeight="1">
      <c r="A32" s="62"/>
      <c r="B32" s="66" t="s">
        <v>924</v>
      </c>
      <c r="C32" s="73">
        <f t="shared" si="2"/>
        <v>1174692681.2916667</v>
      </c>
      <c r="D32" s="73"/>
      <c r="E32" s="674">
        <f>'8 Peralatan &amp; Perlengkapan'!AP149</f>
        <v>64098843.875000007</v>
      </c>
      <c r="F32" s="73"/>
      <c r="G32" s="73">
        <v>0</v>
      </c>
      <c r="H32" s="73"/>
      <c r="I32" s="73">
        <v>0</v>
      </c>
      <c r="J32" s="76"/>
      <c r="K32" s="73">
        <f>C32+E32+G32+I32</f>
        <v>1238791525.1666667</v>
      </c>
      <c r="L32" s="110"/>
      <c r="M32" s="189"/>
      <c r="N32" s="99"/>
      <c r="O32" s="99"/>
      <c r="P32" s="99"/>
      <c r="Q32" s="99"/>
      <c r="R32" s="99"/>
      <c r="S32" s="99"/>
      <c r="T32" s="188"/>
      <c r="U32" s="189"/>
      <c r="V32" s="189"/>
      <c r="AI32" s="188"/>
      <c r="AQ32" s="1176">
        <v>-1238791525</v>
      </c>
      <c r="AR32" s="1178">
        <f t="shared" si="3"/>
        <v>0.16666674613952637</v>
      </c>
      <c r="AS32" s="1178"/>
      <c r="AT32" s="1177"/>
      <c r="AU32" s="1177"/>
    </row>
    <row r="33" spans="1:46" s="64" customFormat="1" ht="12.75" customHeight="1">
      <c r="A33" s="62"/>
      <c r="B33" s="66" t="s">
        <v>903</v>
      </c>
      <c r="C33" s="73">
        <f t="shared" si="2"/>
        <v>9073132585.1499996</v>
      </c>
      <c r="D33" s="73"/>
      <c r="E33" s="674">
        <f>'9. Infrastruktur'!AP50</f>
        <v>1324753493.2</v>
      </c>
      <c r="F33" s="73"/>
      <c r="G33" s="73">
        <v>0</v>
      </c>
      <c r="H33" s="73"/>
      <c r="I33" s="73">
        <v>0</v>
      </c>
      <c r="J33" s="77"/>
      <c r="K33" s="73">
        <f>C33+E33+G33+I33</f>
        <v>10397886078.35</v>
      </c>
      <c r="L33" s="110"/>
      <c r="M33" s="189"/>
      <c r="N33" s="99"/>
      <c r="O33" s="99"/>
      <c r="P33" s="99"/>
      <c r="Q33" s="99"/>
      <c r="R33" s="99"/>
      <c r="S33" s="99"/>
      <c r="T33" s="188"/>
      <c r="U33" s="189"/>
      <c r="V33" s="189"/>
      <c r="AI33" s="188"/>
      <c r="AQ33" s="1180">
        <v>-10397886078</v>
      </c>
      <c r="AR33" s="1178">
        <f t="shared" si="3"/>
        <v>0.35000038146972656</v>
      </c>
    </row>
    <row r="34" spans="1:46" s="64" customFormat="1" ht="12.75" customHeight="1">
      <c r="A34" s="62"/>
      <c r="B34" s="78"/>
      <c r="C34" s="79"/>
      <c r="D34" s="80"/>
      <c r="E34" s="79"/>
      <c r="F34" s="80"/>
      <c r="G34" s="79"/>
      <c r="H34" s="80"/>
      <c r="I34" s="79"/>
      <c r="J34" s="81"/>
      <c r="K34" s="79"/>
      <c r="L34" s="188"/>
      <c r="M34" s="189"/>
      <c r="N34" s="99"/>
      <c r="O34" s="99"/>
      <c r="P34" s="99"/>
      <c r="Q34" s="99"/>
      <c r="R34" s="99"/>
      <c r="S34" s="99"/>
      <c r="T34" s="188"/>
      <c r="U34" s="189"/>
      <c r="V34" s="189"/>
      <c r="AI34" s="188"/>
      <c r="AQ34" s="265"/>
    </row>
    <row r="35" spans="1:46" s="64" customFormat="1" ht="12.75" customHeight="1">
      <c r="A35" s="62"/>
      <c r="B35" s="72" t="s">
        <v>204</v>
      </c>
      <c r="C35" s="82">
        <f>SUM(C26:C34)</f>
        <v>49075323405.237457</v>
      </c>
      <c r="D35" s="77"/>
      <c r="E35" s="82">
        <f>SUM(E26:E34)</f>
        <v>7954094300.9883318</v>
      </c>
      <c r="F35" s="83"/>
      <c r="G35" s="82">
        <f>SUM(G26:G34)</f>
        <v>0</v>
      </c>
      <c r="H35" s="83">
        <f>SUM(H26:H33)</f>
        <v>0</v>
      </c>
      <c r="I35" s="82">
        <f>SUM(I26:I34)</f>
        <v>0</v>
      </c>
      <c r="J35" s="83"/>
      <c r="K35" s="82">
        <f>SUM(K26:K34)</f>
        <v>57029417706.725784</v>
      </c>
      <c r="L35" s="110"/>
      <c r="M35" s="189"/>
      <c r="N35" s="99"/>
      <c r="O35" s="99"/>
      <c r="P35" s="99"/>
      <c r="Q35" s="99"/>
      <c r="R35" s="99"/>
      <c r="S35" s="99"/>
      <c r="T35" s="188"/>
      <c r="U35" s="189"/>
      <c r="V35" s="189"/>
      <c r="AI35" s="188"/>
      <c r="AQ35" s="1154" t="s">
        <v>1158</v>
      </c>
      <c r="AR35" s="1155" t="s">
        <v>1282</v>
      </c>
      <c r="AS35" s="1154" t="s">
        <v>1158</v>
      </c>
      <c r="AT35" s="1155" t="s">
        <v>1283</v>
      </c>
    </row>
    <row r="36" spans="1:46" s="64" customFormat="1" ht="12.75" customHeight="1">
      <c r="A36" s="62"/>
      <c r="B36" s="78"/>
      <c r="C36" s="84"/>
      <c r="D36" s="85"/>
      <c r="E36" s="84"/>
      <c r="F36" s="85"/>
      <c r="G36" s="84"/>
      <c r="H36" s="85"/>
      <c r="I36" s="84"/>
      <c r="J36" s="85"/>
      <c r="K36" s="84"/>
      <c r="L36" s="188"/>
      <c r="M36" s="189"/>
      <c r="N36" s="99"/>
      <c r="O36" s="99"/>
      <c r="P36" s="99"/>
      <c r="Q36" s="99"/>
      <c r="R36" s="99"/>
      <c r="S36" s="99"/>
      <c r="T36" s="188"/>
      <c r="U36" s="189"/>
      <c r="V36" s="189"/>
      <c r="AI36" s="188"/>
      <c r="AQ36" s="71">
        <v>7954094300.9883318</v>
      </c>
      <c r="AR36" s="110">
        <f>AQ36-E35</f>
        <v>0</v>
      </c>
      <c r="AS36" s="110">
        <v>57029417706.725784</v>
      </c>
      <c r="AT36" s="871">
        <f>K35+AS36</f>
        <v>114058835413.45157</v>
      </c>
    </row>
    <row r="37" spans="1:46" s="64" customFormat="1" ht="12.75" customHeight="1" thickBot="1">
      <c r="A37" s="62"/>
      <c r="B37" s="72" t="s">
        <v>206</v>
      </c>
      <c r="C37" s="87">
        <f>C23-C35</f>
        <v>54615720311.062546</v>
      </c>
      <c r="D37" s="88"/>
      <c r="E37" s="89"/>
      <c r="F37" s="88"/>
      <c r="G37" s="66"/>
      <c r="H37" s="88"/>
      <c r="I37" s="66"/>
      <c r="J37" s="88"/>
      <c r="K37" s="87">
        <f>K23-K35</f>
        <v>46810741009.574219</v>
      </c>
      <c r="L37" s="1022"/>
      <c r="M37" s="99"/>
      <c r="N37" s="99"/>
      <c r="O37" s="99"/>
      <c r="P37" s="99"/>
      <c r="Q37" s="99"/>
      <c r="R37" s="99"/>
      <c r="S37" s="99"/>
      <c r="T37" s="188"/>
      <c r="U37" s="189"/>
      <c r="V37" s="189"/>
      <c r="AI37" s="188"/>
    </row>
    <row r="38" spans="1:46" s="64" customFormat="1" ht="12.75" customHeight="1" thickTop="1">
      <c r="A38" s="62"/>
      <c r="L38" s="188"/>
      <c r="M38" s="99"/>
      <c r="N38" s="99"/>
      <c r="O38" s="99"/>
      <c r="P38" s="99"/>
      <c r="Q38" s="99"/>
      <c r="R38" s="99"/>
      <c r="S38" s="99"/>
      <c r="T38" s="188"/>
      <c r="U38" s="189"/>
      <c r="V38" s="189"/>
      <c r="AI38" s="188"/>
    </row>
    <row r="39" spans="1:46" s="64" customFormat="1" ht="12.75" customHeight="1">
      <c r="A39" s="62"/>
      <c r="L39" s="188"/>
      <c r="M39" s="99"/>
      <c r="N39" s="99"/>
      <c r="O39" s="99"/>
      <c r="P39" s="99"/>
      <c r="Q39" s="99"/>
      <c r="R39" s="99"/>
      <c r="S39" s="99"/>
      <c r="T39" s="188"/>
      <c r="U39" s="189"/>
      <c r="V39" s="189"/>
      <c r="AI39" s="188"/>
    </row>
    <row r="40" spans="1:46" s="64" customFormat="1" ht="12.75" customHeight="1">
      <c r="A40" s="62"/>
      <c r="L40" s="188"/>
      <c r="M40" s="99"/>
      <c r="N40" s="99"/>
      <c r="O40" s="99"/>
      <c r="P40" s="99"/>
      <c r="Q40" s="99"/>
      <c r="R40" s="99"/>
      <c r="S40" s="99"/>
      <c r="T40" s="188"/>
      <c r="U40" s="189"/>
      <c r="V40" s="189"/>
      <c r="AI40" s="188"/>
    </row>
    <row r="41" spans="1:46" s="64" customFormat="1" ht="12.75" customHeight="1">
      <c r="A41" s="62"/>
      <c r="C41" s="1299" t="s">
        <v>224</v>
      </c>
      <c r="D41" s="1299"/>
      <c r="E41" s="1299"/>
      <c r="F41" s="1299"/>
      <c r="G41" s="1299"/>
      <c r="H41" s="1299"/>
      <c r="I41" s="1299"/>
      <c r="J41" s="1299"/>
      <c r="K41" s="1299"/>
      <c r="L41" s="188"/>
      <c r="T41" s="188"/>
      <c r="AI41" s="188"/>
    </row>
    <row r="42" spans="1:46" ht="13">
      <c r="C42" s="1300">
        <v>2022</v>
      </c>
      <c r="D42" s="1301"/>
      <c r="E42" s="1301"/>
      <c r="F42" s="1301"/>
      <c r="G42" s="1301"/>
      <c r="H42" s="1301"/>
      <c r="I42" s="1301"/>
      <c r="J42" s="1301"/>
      <c r="K42" s="1301"/>
      <c r="M42" s="66"/>
      <c r="N42" s="66"/>
      <c r="O42" s="66"/>
      <c r="P42" s="66"/>
      <c r="Q42" s="66"/>
      <c r="R42" s="66"/>
      <c r="S42" s="66"/>
      <c r="U42" s="66"/>
      <c r="V42" s="66"/>
    </row>
    <row r="43" spans="1:46" ht="13">
      <c r="C43" s="67" t="s">
        <v>30</v>
      </c>
      <c r="D43" s="69"/>
      <c r="E43" s="67" t="s">
        <v>29</v>
      </c>
      <c r="F43" s="69"/>
      <c r="G43" s="67" t="s">
        <v>196</v>
      </c>
      <c r="H43" s="69"/>
      <c r="I43" s="67" t="s">
        <v>197</v>
      </c>
      <c r="J43" s="69"/>
      <c r="K43" s="67" t="s">
        <v>198</v>
      </c>
      <c r="M43" s="66"/>
      <c r="N43" s="66"/>
      <c r="O43" s="66"/>
      <c r="P43" s="66"/>
      <c r="Q43" s="66"/>
      <c r="R43" s="66"/>
      <c r="S43" s="66"/>
      <c r="U43" s="66"/>
      <c r="V43" s="66"/>
    </row>
    <row r="44" spans="1:46" ht="13">
      <c r="C44" s="71"/>
      <c r="D44" s="72"/>
      <c r="F44" s="72"/>
      <c r="H44" s="72"/>
      <c r="J44" s="72"/>
      <c r="M44" s="66"/>
      <c r="N44" s="66"/>
      <c r="O44" s="66"/>
      <c r="P44" s="66"/>
      <c r="Q44" s="66"/>
      <c r="R44" s="66"/>
      <c r="S44" s="66"/>
      <c r="U44" s="66"/>
      <c r="V44" s="66"/>
    </row>
    <row r="45" spans="1:46" ht="13">
      <c r="B45" s="72" t="s">
        <v>201</v>
      </c>
      <c r="D45" s="72"/>
      <c r="F45" s="72"/>
      <c r="H45" s="72"/>
      <c r="J45" s="72"/>
      <c r="M45" s="66"/>
      <c r="N45" s="66"/>
      <c r="O45" s="66"/>
      <c r="P45" s="66"/>
      <c r="Q45" s="66"/>
      <c r="R45" s="66"/>
      <c r="S45" s="66"/>
      <c r="U45" s="66"/>
      <c r="V45" s="66"/>
    </row>
    <row r="46" spans="1:46">
      <c r="A46" s="98"/>
      <c r="B46" s="66" t="s">
        <v>207</v>
      </c>
      <c r="C46" s="73">
        <f t="shared" ref="C46:C54" si="4">K85</f>
        <v>0</v>
      </c>
      <c r="E46" s="73">
        <v>0</v>
      </c>
      <c r="G46" s="73">
        <v>0</v>
      </c>
      <c r="K46" s="73">
        <f t="shared" ref="K46:K54" si="5">C46+E46+G46+I46</f>
        <v>0</v>
      </c>
      <c r="M46" s="66"/>
      <c r="N46" s="66"/>
      <c r="O46" s="66"/>
      <c r="P46" s="66"/>
      <c r="Q46" s="110">
        <v>5357572749</v>
      </c>
      <c r="R46" s="66"/>
      <c r="S46" s="871">
        <f t="shared" ref="S46:S54" si="6">K46-Q46</f>
        <v>-5357572749</v>
      </c>
      <c r="T46" s="110">
        <v>5357572749</v>
      </c>
      <c r="U46" s="871">
        <f t="shared" ref="U46:U54" si="7">K46-T46</f>
        <v>-5357572749</v>
      </c>
      <c r="V46" s="66"/>
    </row>
    <row r="47" spans="1:46">
      <c r="B47" s="66" t="s">
        <v>47</v>
      </c>
      <c r="C47" s="73">
        <f t="shared" si="4"/>
        <v>37188156152.100014</v>
      </c>
      <c r="D47" s="73"/>
      <c r="E47" s="73">
        <f>'2. Bangunan'!F128</f>
        <v>0</v>
      </c>
      <c r="F47" s="73"/>
      <c r="G47" s="73">
        <v>0</v>
      </c>
      <c r="H47" s="73"/>
      <c r="I47" s="73">
        <v>0</v>
      </c>
      <c r="J47" s="74"/>
      <c r="K47" s="73">
        <f t="shared" si="5"/>
        <v>37188156152.100014</v>
      </c>
      <c r="M47" s="66"/>
      <c r="N47" s="66"/>
      <c r="O47" s="66"/>
      <c r="P47" s="66"/>
      <c r="Q47" s="110">
        <v>36346508225</v>
      </c>
      <c r="R47" s="66"/>
      <c r="S47" s="871">
        <f t="shared" si="6"/>
        <v>841647927.10001373</v>
      </c>
      <c r="T47" s="110">
        <v>36346558225</v>
      </c>
      <c r="U47" s="871">
        <f t="shared" si="7"/>
        <v>841597927.10001373</v>
      </c>
      <c r="V47" s="66"/>
      <c r="AF47" s="110">
        <v>36346558225</v>
      </c>
      <c r="AG47" s="871">
        <f t="shared" ref="AG47:AG54" si="8">K47-AF47</f>
        <v>841597927.10001373</v>
      </c>
    </row>
    <row r="48" spans="1:46">
      <c r="B48" s="66" t="s">
        <v>211</v>
      </c>
      <c r="C48" s="73">
        <f t="shared" si="4"/>
        <v>445059500</v>
      </c>
      <c r="D48" s="73"/>
      <c r="E48" s="73">
        <f>'3. Sumur Bor'!F53</f>
        <v>0</v>
      </c>
      <c r="F48" s="73"/>
      <c r="G48" s="73">
        <v>0</v>
      </c>
      <c r="H48" s="73"/>
      <c r="I48" s="73"/>
      <c r="J48" s="74"/>
      <c r="K48" s="73">
        <f t="shared" si="5"/>
        <v>445059500</v>
      </c>
      <c r="M48" s="66"/>
      <c r="N48" s="66"/>
      <c r="O48" s="66"/>
      <c r="P48" s="66"/>
      <c r="Q48" s="110">
        <v>445059500</v>
      </c>
      <c r="R48" s="66"/>
      <c r="S48" s="871">
        <f t="shared" si="6"/>
        <v>0</v>
      </c>
      <c r="T48" s="110">
        <v>445059500</v>
      </c>
      <c r="U48" s="871">
        <f t="shared" si="7"/>
        <v>0</v>
      </c>
      <c r="V48" s="66"/>
      <c r="AF48" s="110">
        <v>445059500</v>
      </c>
      <c r="AG48" s="871">
        <f t="shared" si="8"/>
        <v>0</v>
      </c>
    </row>
    <row r="49" spans="1:47">
      <c r="B49" s="66" t="s">
        <v>922</v>
      </c>
      <c r="C49" s="73">
        <f t="shared" si="4"/>
        <v>6200217370</v>
      </c>
      <c r="D49" s="73"/>
      <c r="E49" s="73">
        <f>'4. Sarana &amp; Prasarana'!F42</f>
        <v>0</v>
      </c>
      <c r="F49" s="73"/>
      <c r="G49" s="73">
        <v>0</v>
      </c>
      <c r="H49" s="73"/>
      <c r="I49" s="73"/>
      <c r="J49" s="74"/>
      <c r="K49" s="73">
        <f t="shared" si="5"/>
        <v>6200217370</v>
      </c>
      <c r="M49" s="66"/>
      <c r="N49" s="66"/>
      <c r="O49" s="66"/>
      <c r="P49" s="66"/>
      <c r="Q49" s="110">
        <v>6241971770</v>
      </c>
      <c r="R49" s="66"/>
      <c r="S49" s="871">
        <f t="shared" si="6"/>
        <v>-41754400</v>
      </c>
      <c r="T49" s="110">
        <v>6241971770</v>
      </c>
      <c r="U49" s="871">
        <f t="shared" si="7"/>
        <v>-41754400</v>
      </c>
      <c r="V49" s="66"/>
      <c r="AF49" s="110">
        <v>6200217370</v>
      </c>
      <c r="AG49" s="871">
        <f t="shared" si="8"/>
        <v>0</v>
      </c>
    </row>
    <row r="50" spans="1:47">
      <c r="B50" s="66" t="s">
        <v>208</v>
      </c>
      <c r="C50" s="73">
        <f t="shared" si="4"/>
        <v>37601206721.599983</v>
      </c>
      <c r="D50" s="73"/>
      <c r="E50" s="73">
        <f>'5. Mesin'!F328</f>
        <v>16929730</v>
      </c>
      <c r="F50" s="73"/>
      <c r="G50" s="73">
        <v>0</v>
      </c>
      <c r="H50" s="73"/>
      <c r="I50" s="73"/>
      <c r="J50" s="74"/>
      <c r="K50" s="73">
        <f t="shared" si="5"/>
        <v>37618136451.599983</v>
      </c>
      <c r="M50" s="66"/>
      <c r="N50" s="66"/>
      <c r="O50" s="66"/>
      <c r="P50" s="66"/>
      <c r="Q50" s="110">
        <v>37258829288</v>
      </c>
      <c r="R50" s="66"/>
      <c r="S50" s="871">
        <f t="shared" si="6"/>
        <v>359307163.59998322</v>
      </c>
      <c r="T50" s="110">
        <v>37248739288</v>
      </c>
      <c r="U50" s="871">
        <f t="shared" si="7"/>
        <v>369397163.59998322</v>
      </c>
      <c r="V50" s="66"/>
      <c r="AF50" s="110">
        <v>37224754289</v>
      </c>
      <c r="AG50" s="871">
        <f t="shared" si="8"/>
        <v>393382162.59998322</v>
      </c>
    </row>
    <row r="51" spans="1:47">
      <c r="B51" s="66" t="s">
        <v>923</v>
      </c>
      <c r="C51" s="73">
        <f t="shared" si="4"/>
        <v>1452280000</v>
      </c>
      <c r="D51" s="73"/>
      <c r="E51" s="73">
        <f>'6. Instalasi Elektrik'!F55</f>
        <v>0</v>
      </c>
      <c r="F51" s="73"/>
      <c r="G51" s="73">
        <v>0</v>
      </c>
      <c r="H51" s="73"/>
      <c r="I51" s="73"/>
      <c r="J51" s="74"/>
      <c r="K51" s="73">
        <f t="shared" si="5"/>
        <v>1452280000</v>
      </c>
      <c r="M51" s="66"/>
      <c r="N51" s="66"/>
      <c r="O51" s="66"/>
      <c r="P51" s="66"/>
      <c r="Q51" s="110">
        <v>1452280000</v>
      </c>
      <c r="R51" s="66"/>
      <c r="S51" s="871">
        <f t="shared" si="6"/>
        <v>0</v>
      </c>
      <c r="T51" s="110">
        <v>1452280000</v>
      </c>
      <c r="U51" s="871">
        <f t="shared" si="7"/>
        <v>0</v>
      </c>
      <c r="V51" s="66"/>
      <c r="AF51" s="110">
        <v>1452280000</v>
      </c>
      <c r="AG51" s="871">
        <f t="shared" si="8"/>
        <v>0</v>
      </c>
    </row>
    <row r="52" spans="1:47">
      <c r="B52" s="66" t="s">
        <v>203</v>
      </c>
      <c r="C52" s="73">
        <f t="shared" si="4"/>
        <v>8342660000</v>
      </c>
      <c r="D52" s="73"/>
      <c r="E52" s="73">
        <f>'7. Kendaraan'!F81</f>
        <v>0</v>
      </c>
      <c r="F52" s="73"/>
      <c r="G52" s="73">
        <v>0</v>
      </c>
      <c r="H52" s="73"/>
      <c r="I52" s="73">
        <v>0</v>
      </c>
      <c r="J52" s="75"/>
      <c r="K52" s="73">
        <f t="shared" si="5"/>
        <v>8342660000</v>
      </c>
      <c r="M52" s="66"/>
      <c r="N52" s="66"/>
      <c r="O52" s="66"/>
      <c r="P52" s="66"/>
      <c r="Q52" s="110">
        <v>6719860000</v>
      </c>
      <c r="R52" s="66"/>
      <c r="S52" s="871">
        <f t="shared" si="6"/>
        <v>1622800000</v>
      </c>
      <c r="T52" s="110">
        <v>6719860000</v>
      </c>
      <c r="U52" s="871">
        <f t="shared" si="7"/>
        <v>1622800000</v>
      </c>
      <c r="V52" s="66"/>
      <c r="AF52" s="110">
        <v>8342660000</v>
      </c>
      <c r="AG52" s="871">
        <f t="shared" si="8"/>
        <v>0</v>
      </c>
    </row>
    <row r="53" spans="1:47">
      <c r="B53" s="66" t="s">
        <v>924</v>
      </c>
      <c r="C53" s="73">
        <f t="shared" si="4"/>
        <v>1212799796</v>
      </c>
      <c r="D53" s="73"/>
      <c r="E53" s="73">
        <f>'8 Peralatan &amp; Perlengkapan'!F161</f>
        <v>61355000</v>
      </c>
      <c r="F53" s="73"/>
      <c r="G53" s="73">
        <v>0</v>
      </c>
      <c r="H53" s="73"/>
      <c r="I53" s="73">
        <v>0</v>
      </c>
      <c r="J53" s="76"/>
      <c r="K53" s="73">
        <f t="shared" si="5"/>
        <v>1274154796</v>
      </c>
      <c r="M53" s="66"/>
      <c r="N53" s="66"/>
      <c r="P53" s="66"/>
      <c r="Q53" s="110">
        <v>1253169796</v>
      </c>
      <c r="R53" s="66"/>
      <c r="S53" s="871">
        <f t="shared" si="6"/>
        <v>20985000</v>
      </c>
      <c r="T53" s="110">
        <v>1253169796</v>
      </c>
      <c r="U53" s="871">
        <f t="shared" si="7"/>
        <v>20985000</v>
      </c>
      <c r="V53" s="66"/>
      <c r="AF53" s="110">
        <v>1274154796</v>
      </c>
      <c r="AG53" s="871">
        <f t="shared" si="8"/>
        <v>0</v>
      </c>
    </row>
    <row r="54" spans="1:47" ht="13">
      <c r="B54" s="66" t="s">
        <v>903</v>
      </c>
      <c r="C54" s="73">
        <f t="shared" si="4"/>
        <v>11170379446.6</v>
      </c>
      <c r="D54" s="73"/>
      <c r="E54" s="73">
        <f>'9. Infrastruktur'!F62</f>
        <v>0</v>
      </c>
      <c r="F54" s="73"/>
      <c r="G54" s="73">
        <v>0</v>
      </c>
      <c r="H54" s="73"/>
      <c r="I54" s="73">
        <v>0</v>
      </c>
      <c r="J54" s="77"/>
      <c r="K54" s="73">
        <f t="shared" si="5"/>
        <v>11170379446.6</v>
      </c>
      <c r="M54" s="66"/>
      <c r="N54" s="66"/>
      <c r="O54" s="66"/>
      <c r="P54" s="66"/>
      <c r="Q54" s="110">
        <v>15904584670</v>
      </c>
      <c r="R54" s="66"/>
      <c r="S54" s="871">
        <f t="shared" si="6"/>
        <v>-4734205223.3999996</v>
      </c>
      <c r="T54" s="110">
        <v>12793179447</v>
      </c>
      <c r="U54" s="871">
        <f t="shared" si="7"/>
        <v>-1622800000.3999996</v>
      </c>
      <c r="V54" s="66"/>
      <c r="AF54" s="110">
        <v>11170379446.6</v>
      </c>
      <c r="AG54" s="871">
        <f t="shared" si="8"/>
        <v>0</v>
      </c>
      <c r="AQ54" s="1154" t="s">
        <v>1158</v>
      </c>
      <c r="AR54" s="1155" t="s">
        <v>1132</v>
      </c>
    </row>
    <row r="55" spans="1:47" s="64" customFormat="1" ht="4.5" customHeight="1">
      <c r="A55" s="62"/>
      <c r="B55" s="78"/>
      <c r="C55" s="79"/>
      <c r="D55" s="80"/>
      <c r="E55" s="79"/>
      <c r="F55" s="80"/>
      <c r="G55" s="79"/>
      <c r="H55" s="80"/>
      <c r="I55" s="79"/>
      <c r="J55" s="81"/>
      <c r="K55" s="79"/>
      <c r="L55" s="188"/>
      <c r="T55" s="188"/>
      <c r="AI55" s="188"/>
      <c r="AR55" s="188"/>
    </row>
    <row r="56" spans="1:47" ht="13">
      <c r="B56" s="72" t="s">
        <v>223</v>
      </c>
      <c r="C56" s="82">
        <f>SUM(C46:C54)</f>
        <v>103612758986.3</v>
      </c>
      <c r="D56" s="77"/>
      <c r="E56" s="82">
        <f>SUM(E46:E54)</f>
        <v>78284730</v>
      </c>
      <c r="F56" s="83"/>
      <c r="G56" s="82">
        <f>SUM(G46:G54)</f>
        <v>0</v>
      </c>
      <c r="H56" s="83">
        <f>SUM(H47:H54)</f>
        <v>0</v>
      </c>
      <c r="I56" s="82">
        <f>SUM(I47:I54)</f>
        <v>0</v>
      </c>
      <c r="J56" s="83">
        <f>SUM(J47:J54)</f>
        <v>0</v>
      </c>
      <c r="K56" s="925">
        <f>SUM(K46:K54)</f>
        <v>103691043716.3</v>
      </c>
      <c r="M56" s="66"/>
      <c r="N56" s="66"/>
      <c r="O56" s="66" t="s">
        <v>1140</v>
      </c>
      <c r="P56" s="66"/>
      <c r="Q56" s="66"/>
      <c r="R56" s="66"/>
      <c r="S56" s="66"/>
      <c r="U56" s="66"/>
      <c r="V56" s="66"/>
      <c r="AQ56" s="110">
        <v>103691043717</v>
      </c>
      <c r="AR56" s="110">
        <f>AQ56-K56</f>
        <v>0.6999969482421875</v>
      </c>
    </row>
    <row r="57" spans="1:47">
      <c r="C57" s="84"/>
      <c r="D57" s="85"/>
      <c r="E57" s="84"/>
      <c r="F57" s="85"/>
      <c r="G57" s="84"/>
      <c r="H57" s="85"/>
      <c r="I57" s="84"/>
      <c r="J57" s="85"/>
      <c r="K57" s="84"/>
      <c r="M57" s="66"/>
      <c r="N57" s="66"/>
      <c r="O57" s="66"/>
      <c r="P57" s="66"/>
      <c r="Q57" s="66"/>
      <c r="R57" s="66"/>
      <c r="S57" s="66"/>
      <c r="U57" s="66"/>
      <c r="V57" s="66"/>
      <c r="AR57" s="110"/>
    </row>
    <row r="58" spans="1:47">
      <c r="B58" s="66" t="s">
        <v>222</v>
      </c>
      <c r="C58" s="73">
        <f>K97</f>
        <v>0</v>
      </c>
      <c r="D58" s="73"/>
      <c r="E58" s="73">
        <v>0</v>
      </c>
      <c r="F58" s="73"/>
      <c r="G58" s="73">
        <v>0</v>
      </c>
      <c r="H58" s="73"/>
      <c r="I58" s="73">
        <v>0</v>
      </c>
      <c r="J58" s="77"/>
      <c r="K58" s="73">
        <f>C58+E58+G58+I58</f>
        <v>0</v>
      </c>
      <c r="M58" s="66"/>
      <c r="N58" s="66"/>
      <c r="O58" s="66"/>
      <c r="P58" s="66"/>
      <c r="Q58" s="66"/>
      <c r="R58" s="66"/>
      <c r="S58" s="66"/>
      <c r="U58" s="66"/>
      <c r="V58" s="66"/>
      <c r="AR58" s="110"/>
    </row>
    <row r="59" spans="1:47" ht="6.5" customHeight="1">
      <c r="C59" s="79"/>
      <c r="D59" s="80"/>
      <c r="E59" s="79"/>
      <c r="F59" s="80"/>
      <c r="G59" s="79"/>
      <c r="H59" s="80"/>
      <c r="I59" s="79"/>
      <c r="J59" s="81"/>
      <c r="K59" s="79"/>
      <c r="M59" s="66"/>
      <c r="N59" s="66"/>
      <c r="O59" s="66"/>
      <c r="P59" s="66"/>
      <c r="Q59" s="66"/>
      <c r="R59" s="66"/>
      <c r="S59" s="66"/>
      <c r="U59" s="66"/>
      <c r="V59" s="66"/>
      <c r="AR59" s="110"/>
    </row>
    <row r="60" spans="1:47" ht="13">
      <c r="B60" s="72" t="s">
        <v>204</v>
      </c>
      <c r="C60" s="100">
        <f>C56+C58</f>
        <v>103612758986.3</v>
      </c>
      <c r="D60" s="77"/>
      <c r="E60" s="100">
        <f>E56+E58</f>
        <v>78284730</v>
      </c>
      <c r="F60" s="83"/>
      <c r="G60" s="100">
        <f>G56+G58</f>
        <v>0</v>
      </c>
      <c r="H60" s="83">
        <f>SUM(H51:H58)</f>
        <v>0</v>
      </c>
      <c r="I60" s="82">
        <f>SUM(I51:I58)</f>
        <v>0</v>
      </c>
      <c r="J60" s="83">
        <f>SUM(J51:J58)</f>
        <v>0</v>
      </c>
      <c r="K60" s="100">
        <f>K56+K58</f>
        <v>103691043716.3</v>
      </c>
      <c r="M60" s="66"/>
      <c r="N60" s="66"/>
      <c r="O60" s="66"/>
      <c r="P60" s="66"/>
      <c r="Q60" s="66"/>
      <c r="R60" s="66"/>
      <c r="S60" s="66"/>
      <c r="U60" s="66"/>
      <c r="V60" s="66"/>
      <c r="AR60" s="110"/>
    </row>
    <row r="61" spans="1:47" ht="13">
      <c r="C61" s="1300">
        <v>2022</v>
      </c>
      <c r="D61" s="1301"/>
      <c r="E61" s="1301"/>
      <c r="F61" s="1301"/>
      <c r="G61" s="1301"/>
      <c r="H61" s="1301"/>
      <c r="I61" s="1301"/>
      <c r="J61" s="1301"/>
      <c r="K61" s="1301"/>
      <c r="M61" s="66"/>
      <c r="N61" s="66"/>
      <c r="O61" s="66"/>
      <c r="P61" s="66"/>
      <c r="Q61" s="66"/>
      <c r="R61" s="66"/>
      <c r="S61" s="66"/>
      <c r="U61" s="66"/>
      <c r="V61" s="66"/>
      <c r="AQ61" s="1179" t="s">
        <v>1293</v>
      </c>
      <c r="AR61" s="1178" t="s">
        <v>1294</v>
      </c>
      <c r="AS61" s="1179"/>
      <c r="AT61" s="1179" t="s">
        <v>1292</v>
      </c>
      <c r="AU61" s="1178" t="s">
        <v>1294</v>
      </c>
    </row>
    <row r="62" spans="1:47" ht="13">
      <c r="B62" s="72" t="s">
        <v>205</v>
      </c>
      <c r="C62" s="74"/>
      <c r="D62" s="86"/>
      <c r="E62" s="74"/>
      <c r="F62" s="86"/>
      <c r="G62" s="74"/>
      <c r="H62" s="86"/>
      <c r="I62" s="74"/>
      <c r="J62" s="86"/>
      <c r="K62" s="74"/>
      <c r="M62" s="66"/>
      <c r="N62" s="66"/>
      <c r="O62" s="66"/>
      <c r="P62" s="66"/>
      <c r="Q62" s="66"/>
      <c r="R62" s="66"/>
      <c r="S62" s="66"/>
      <c r="U62" s="66"/>
      <c r="V62" s="66"/>
      <c r="AQ62" s="1179"/>
      <c r="AR62" s="1178"/>
      <c r="AS62" s="1179"/>
      <c r="AT62" s="1179"/>
      <c r="AU62" s="1179"/>
    </row>
    <row r="63" spans="1:47">
      <c r="B63" s="66" t="s">
        <v>47</v>
      </c>
      <c r="C63" s="73">
        <f t="shared" ref="C63:C70" si="9">K102</f>
        <v>7351918266.5574589</v>
      </c>
      <c r="D63" s="73"/>
      <c r="E63" s="674">
        <f>'2. Bangunan'!AH115</f>
        <v>1860373507.605001</v>
      </c>
      <c r="F63" s="73"/>
      <c r="G63" s="73">
        <v>0</v>
      </c>
      <c r="H63" s="73"/>
      <c r="I63" s="73">
        <v>0</v>
      </c>
      <c r="J63" s="74"/>
      <c r="K63" s="73">
        <f t="shared" ref="K63:K70" si="10">C63+E63+G63+I63</f>
        <v>9212291774.1624603</v>
      </c>
      <c r="L63" s="110">
        <v>1809532236</v>
      </c>
      <c r="M63" s="871">
        <f t="shared" ref="M63:M70" si="11">E63-L63</f>
        <v>50841271.605000973</v>
      </c>
      <c r="N63" s="66"/>
      <c r="O63" s="66"/>
      <c r="P63" s="66"/>
      <c r="Q63" s="110">
        <v>17195403665</v>
      </c>
      <c r="R63" s="66"/>
      <c r="S63" s="871">
        <f t="shared" ref="S63:S70" si="12">K63-Q63</f>
        <v>-7983111890.8375397</v>
      </c>
      <c r="T63" s="110">
        <v>1809532236</v>
      </c>
      <c r="U63" s="871">
        <f t="shared" ref="U63:U70" si="13">E63-T63</f>
        <v>50841271.605000973</v>
      </c>
      <c r="V63" s="66"/>
      <c r="X63" s="110">
        <v>9159088806</v>
      </c>
      <c r="Y63" s="871">
        <f t="shared" ref="Y63:Y70" si="14">K63-X63</f>
        <v>53202968.162460327</v>
      </c>
      <c r="AD63" s="110">
        <v>9159088806</v>
      </c>
      <c r="AE63" s="871">
        <f t="shared" ref="AE63:AE70" si="15">K63-AD63</f>
        <v>53202968.162460327</v>
      </c>
      <c r="AF63" s="110"/>
      <c r="AG63" s="110">
        <v>1814675024.6620002</v>
      </c>
      <c r="AH63" s="871">
        <f t="shared" ref="AH63:AH70" si="16">E63-AG63</f>
        <v>45698482.943000793</v>
      </c>
      <c r="AJ63" s="110">
        <v>9155168670.4837093</v>
      </c>
      <c r="AK63" s="871">
        <f t="shared" ref="AK63:AK70" si="17">K63-AJ63</f>
        <v>57123103.678750992</v>
      </c>
      <c r="AQ63" s="1176">
        <v>-9212291774</v>
      </c>
      <c r="AR63" s="1178">
        <f>K63+AQ63</f>
        <v>0.1624603271484375</v>
      </c>
      <c r="AS63" s="1178"/>
      <c r="AT63" s="1176"/>
      <c r="AU63" s="1179"/>
    </row>
    <row r="64" spans="1:47">
      <c r="B64" s="66" t="s">
        <v>211</v>
      </c>
      <c r="C64" s="73">
        <f t="shared" si="9"/>
        <v>302926125</v>
      </c>
      <c r="D64" s="73"/>
      <c r="E64" s="674">
        <f>'3. Sumur Bor'!AH40</f>
        <v>55632437.5</v>
      </c>
      <c r="F64" s="73"/>
      <c r="G64" s="73">
        <v>0</v>
      </c>
      <c r="H64" s="73"/>
      <c r="I64" s="73"/>
      <c r="J64" s="74"/>
      <c r="K64" s="73">
        <f t="shared" si="10"/>
        <v>358558562.5</v>
      </c>
      <c r="L64" s="110">
        <v>121115280</v>
      </c>
      <c r="M64" s="871">
        <f t="shared" si="11"/>
        <v>-65482842.5</v>
      </c>
      <c r="N64" s="66"/>
      <c r="O64" s="66"/>
      <c r="P64" s="66"/>
      <c r="Q64" s="110">
        <v>405154938</v>
      </c>
      <c r="R64" s="66"/>
      <c r="S64" s="871">
        <f t="shared" si="12"/>
        <v>-46596375.5</v>
      </c>
      <c r="T64" s="110">
        <v>121115280</v>
      </c>
      <c r="U64" s="871">
        <f t="shared" si="13"/>
        <v>-65482842.5</v>
      </c>
      <c r="V64" s="66"/>
      <c r="X64" s="110">
        <v>358558562</v>
      </c>
      <c r="Y64" s="871">
        <f t="shared" si="14"/>
        <v>0.5</v>
      </c>
      <c r="AD64" s="110">
        <v>358558562</v>
      </c>
      <c r="AE64" s="871">
        <f t="shared" si="15"/>
        <v>0.5</v>
      </c>
      <c r="AF64" s="110"/>
      <c r="AG64" s="110">
        <v>55632437.5</v>
      </c>
      <c r="AH64" s="871">
        <f t="shared" si="16"/>
        <v>0</v>
      </c>
      <c r="AJ64" s="110">
        <v>358558562.5</v>
      </c>
      <c r="AK64" s="871">
        <f t="shared" si="17"/>
        <v>0</v>
      </c>
      <c r="AQ64" s="1169">
        <v>-358558563</v>
      </c>
      <c r="AR64" s="1178">
        <f>AQ64+K64</f>
        <v>-0.5</v>
      </c>
      <c r="AS64" s="1178"/>
      <c r="AT64" s="1170"/>
      <c r="AU64" s="1179"/>
    </row>
    <row r="65" spans="1:47">
      <c r="B65" s="66" t="s">
        <v>922</v>
      </c>
      <c r="C65" s="73">
        <f t="shared" si="9"/>
        <v>2876203995.833333</v>
      </c>
      <c r="D65" s="73"/>
      <c r="E65" s="674">
        <f>'4. Sarana &amp; Prasarana'!AH29</f>
        <v>490758624.16666669</v>
      </c>
      <c r="F65" s="73"/>
      <c r="G65" s="73">
        <v>0</v>
      </c>
      <c r="H65" s="73"/>
      <c r="I65" s="73"/>
      <c r="J65" s="74"/>
      <c r="K65" s="73">
        <f t="shared" si="10"/>
        <v>3366962619.9999995</v>
      </c>
      <c r="L65" s="110">
        <v>197131302</v>
      </c>
      <c r="M65" s="871">
        <f t="shared" si="11"/>
        <v>293627322.16666669</v>
      </c>
      <c r="N65" s="66"/>
      <c r="O65" s="66"/>
      <c r="P65" s="66"/>
      <c r="Q65" s="110">
        <v>6245549791</v>
      </c>
      <c r="R65" s="66"/>
      <c r="S65" s="871">
        <f t="shared" si="12"/>
        <v>-2878587171.0000005</v>
      </c>
      <c r="T65" s="110">
        <v>197131302</v>
      </c>
      <c r="U65" s="871">
        <f t="shared" si="13"/>
        <v>293627322.16666669</v>
      </c>
      <c r="V65" s="66"/>
      <c r="X65" s="110">
        <v>5560214416</v>
      </c>
      <c r="Y65" s="871">
        <f t="shared" si="14"/>
        <v>-2193251796.0000005</v>
      </c>
      <c r="AA65" s="110">
        <v>197131302</v>
      </c>
      <c r="AB65" s="871">
        <f>E65-AA65</f>
        <v>293627322.16666669</v>
      </c>
      <c r="AD65" s="110">
        <v>3412295041</v>
      </c>
      <c r="AE65" s="871">
        <f t="shared" si="15"/>
        <v>-45332421.000000477</v>
      </c>
      <c r="AF65" s="110"/>
      <c r="AG65" s="110">
        <v>490758624.16666669</v>
      </c>
      <c r="AH65" s="871">
        <f t="shared" si="16"/>
        <v>0</v>
      </c>
      <c r="AJ65" s="110">
        <v>3366962620</v>
      </c>
      <c r="AK65" s="871">
        <f t="shared" si="17"/>
        <v>0</v>
      </c>
      <c r="AQ65" s="1169">
        <v>-3366962620</v>
      </c>
      <c r="AR65" s="1178">
        <f>K65+AQ65</f>
        <v>0</v>
      </c>
      <c r="AS65" s="1178"/>
      <c r="AT65" s="1170"/>
      <c r="AU65" s="1179"/>
    </row>
    <row r="66" spans="1:47">
      <c r="B66" s="66" t="s">
        <v>208</v>
      </c>
      <c r="C66" s="73">
        <f t="shared" si="9"/>
        <v>14764181666.933331</v>
      </c>
      <c r="D66" s="73"/>
      <c r="E66" s="674">
        <f>'5. Mesin'!AG315</f>
        <v>3381890515.1999974</v>
      </c>
      <c r="F66" s="73"/>
      <c r="G66" s="73">
        <v>0</v>
      </c>
      <c r="H66" s="73"/>
      <c r="I66" s="73"/>
      <c r="J66" s="74"/>
      <c r="K66" s="73">
        <f t="shared" si="10"/>
        <v>18146072182.133327</v>
      </c>
      <c r="L66" s="110">
        <v>4644184476</v>
      </c>
      <c r="M66" s="871">
        <f t="shared" si="11"/>
        <v>-1262293960.8000026</v>
      </c>
      <c r="N66" s="66"/>
      <c r="O66" s="66"/>
      <c r="P66" s="66"/>
      <c r="Q66" s="110">
        <v>20344699220</v>
      </c>
      <c r="R66" s="66"/>
      <c r="S66" s="871">
        <f t="shared" si="12"/>
        <v>-2198627037.8666725</v>
      </c>
      <c r="T66" s="110">
        <v>4644184476</v>
      </c>
      <c r="U66" s="871">
        <f t="shared" si="13"/>
        <v>-1262293960.8000026</v>
      </c>
      <c r="V66" s="66"/>
      <c r="X66" s="110">
        <v>18084606220</v>
      </c>
      <c r="Y66" s="871">
        <f t="shared" si="14"/>
        <v>61465962.133327484</v>
      </c>
      <c r="AD66" s="110">
        <v>18084606220</v>
      </c>
      <c r="AE66" s="871">
        <f t="shared" si="15"/>
        <v>61465962.133327484</v>
      </c>
      <c r="AF66" s="110"/>
      <c r="AG66" s="110">
        <v>3332717744.7874999</v>
      </c>
      <c r="AH66" s="871">
        <f t="shared" si="16"/>
        <v>49172770.41249752</v>
      </c>
      <c r="AJ66" s="110">
        <v>18084606219.099998</v>
      </c>
      <c r="AK66" s="871">
        <f t="shared" si="17"/>
        <v>61465963.03332901</v>
      </c>
      <c r="AQ66" s="1177">
        <v>-18146072182</v>
      </c>
      <c r="AR66" s="1178">
        <f>AQ66+K66</f>
        <v>0.13332748413085938</v>
      </c>
      <c r="AS66" s="1177"/>
      <c r="AT66" s="1177"/>
      <c r="AU66" s="1179"/>
    </row>
    <row r="67" spans="1:47">
      <c r="B67" s="66" t="s">
        <v>923</v>
      </c>
      <c r="C67" s="73">
        <f t="shared" si="9"/>
        <v>324564000</v>
      </c>
      <c r="D67" s="73"/>
      <c r="E67" s="674">
        <f>'6. Instalasi Elektrik'!AG43</f>
        <v>72614000</v>
      </c>
      <c r="F67" s="73"/>
      <c r="G67" s="73">
        <v>0</v>
      </c>
      <c r="H67" s="73"/>
      <c r="I67" s="73"/>
      <c r="J67" s="74"/>
      <c r="K67" s="73">
        <f t="shared" si="10"/>
        <v>397178000</v>
      </c>
      <c r="L67" s="110">
        <v>203696556</v>
      </c>
      <c r="M67" s="871">
        <f t="shared" si="11"/>
        <v>-131082556</v>
      </c>
      <c r="N67" s="66"/>
      <c r="O67" s="66"/>
      <c r="P67" s="66"/>
      <c r="Q67" s="110">
        <v>983618000</v>
      </c>
      <c r="R67" s="66"/>
      <c r="S67" s="871">
        <f t="shared" si="12"/>
        <v>-586440000</v>
      </c>
      <c r="T67" s="110">
        <v>203696556</v>
      </c>
      <c r="U67" s="871">
        <f t="shared" si="13"/>
        <v>-131082556</v>
      </c>
      <c r="V67" s="66"/>
      <c r="X67" s="110">
        <v>397178000</v>
      </c>
      <c r="Y67" s="871">
        <f t="shared" si="14"/>
        <v>0</v>
      </c>
      <c r="AD67" s="110">
        <v>397178000</v>
      </c>
      <c r="AE67" s="871">
        <f t="shared" si="15"/>
        <v>0</v>
      </c>
      <c r="AF67" s="110"/>
      <c r="AG67" s="110">
        <v>72614000</v>
      </c>
      <c r="AH67" s="871">
        <f t="shared" si="16"/>
        <v>0</v>
      </c>
      <c r="AJ67" s="110">
        <v>397178000</v>
      </c>
      <c r="AK67" s="871">
        <f t="shared" si="17"/>
        <v>0</v>
      </c>
      <c r="AQ67" s="1169">
        <v>-397178000</v>
      </c>
      <c r="AR67" s="1178">
        <f>AQ67+K67</f>
        <v>0</v>
      </c>
      <c r="AS67" s="1178"/>
      <c r="AT67" s="1170"/>
      <c r="AU67" s="1179"/>
    </row>
    <row r="68" spans="1:47">
      <c r="B68" s="66" t="s">
        <v>203</v>
      </c>
      <c r="C68" s="73">
        <f t="shared" si="9"/>
        <v>6304577500</v>
      </c>
      <c r="D68" s="73"/>
      <c r="E68" s="674">
        <f>'7. Kendaraan'!AG69</f>
        <v>1041857500</v>
      </c>
      <c r="F68" s="73"/>
      <c r="G68" s="73">
        <v>0</v>
      </c>
      <c r="H68" s="73"/>
      <c r="I68" s="73">
        <v>0</v>
      </c>
      <c r="J68" s="75"/>
      <c r="K68" s="73">
        <f t="shared" si="10"/>
        <v>7346435000</v>
      </c>
      <c r="L68" s="110">
        <v>951212496</v>
      </c>
      <c r="M68" s="871">
        <f t="shared" si="11"/>
        <v>90645004</v>
      </c>
      <c r="N68" s="66"/>
      <c r="O68" s="66"/>
      <c r="P68" s="66"/>
      <c r="Q68" s="110">
        <v>6541097500</v>
      </c>
      <c r="R68" s="66"/>
      <c r="S68" s="871">
        <f t="shared" si="12"/>
        <v>805337500</v>
      </c>
      <c r="T68" s="110">
        <v>951212496</v>
      </c>
      <c r="U68" s="871">
        <f t="shared" si="13"/>
        <v>90645004</v>
      </c>
      <c r="V68" s="66"/>
      <c r="X68" s="110">
        <v>5926485000</v>
      </c>
      <c r="Y68" s="871">
        <f t="shared" si="14"/>
        <v>1419950000</v>
      </c>
      <c r="AD68" s="110">
        <v>5926485000</v>
      </c>
      <c r="AE68" s="871">
        <f t="shared" si="15"/>
        <v>1419950000</v>
      </c>
      <c r="AF68" s="110"/>
      <c r="AG68" s="110">
        <v>1041857500</v>
      </c>
      <c r="AH68" s="871">
        <f t="shared" si="16"/>
        <v>0</v>
      </c>
      <c r="AJ68" s="110">
        <v>7346435000</v>
      </c>
      <c r="AK68" s="871">
        <f t="shared" si="17"/>
        <v>0</v>
      </c>
      <c r="AQ68" s="1169">
        <v>-7346435000</v>
      </c>
      <c r="AR68" s="1178">
        <f>AQ68+K68</f>
        <v>0</v>
      </c>
      <c r="AS68" s="1178"/>
      <c r="AT68" s="1170"/>
      <c r="AU68" s="1179"/>
    </row>
    <row r="69" spans="1:47">
      <c r="B69" s="66" t="s">
        <v>924</v>
      </c>
      <c r="C69" s="73">
        <f t="shared" si="9"/>
        <v>1090165181.0416667</v>
      </c>
      <c r="D69" s="73"/>
      <c r="E69" s="674">
        <f>'8 Peralatan &amp; Perlengkapan'!AG149</f>
        <v>84527500.249999985</v>
      </c>
      <c r="F69" s="73"/>
      <c r="G69" s="73">
        <v>0</v>
      </c>
      <c r="H69" s="73"/>
      <c r="I69" s="73">
        <v>0</v>
      </c>
      <c r="J69" s="76"/>
      <c r="K69" s="73">
        <f t="shared" si="10"/>
        <v>1174692681.2916667</v>
      </c>
      <c r="L69" s="110">
        <v>92011831</v>
      </c>
      <c r="M69" s="871">
        <f t="shared" si="11"/>
        <v>-7484330.7500000149</v>
      </c>
      <c r="N69" s="66"/>
      <c r="O69" s="66"/>
      <c r="P69" s="66"/>
      <c r="Q69" s="110">
        <v>676466038</v>
      </c>
      <c r="R69" s="66"/>
      <c r="S69" s="871">
        <f t="shared" si="12"/>
        <v>498226643.29166675</v>
      </c>
      <c r="T69" s="110">
        <v>92011831</v>
      </c>
      <c r="U69" s="871">
        <f t="shared" si="13"/>
        <v>-7484330.7500000149</v>
      </c>
      <c r="V69" s="66"/>
      <c r="X69" s="110">
        <v>1129360260</v>
      </c>
      <c r="Y69" s="871">
        <f t="shared" si="14"/>
        <v>45332421.291666746</v>
      </c>
      <c r="AD69" s="110">
        <v>1129360260</v>
      </c>
      <c r="AE69" s="871">
        <f t="shared" si="15"/>
        <v>45332421.291666746</v>
      </c>
      <c r="AF69" s="110"/>
      <c r="AG69" s="110">
        <v>84527500.249999985</v>
      </c>
      <c r="AH69" s="871">
        <f t="shared" si="16"/>
        <v>0</v>
      </c>
      <c r="AJ69" s="110">
        <v>1174692680.7</v>
      </c>
      <c r="AK69" s="871">
        <f t="shared" si="17"/>
        <v>0.59166669845581055</v>
      </c>
      <c r="AQ69" s="1176">
        <v>-1174692681</v>
      </c>
      <c r="AR69" s="1178">
        <f>AQ69+K69</f>
        <v>0.29166674613952637</v>
      </c>
      <c r="AS69" s="1178"/>
      <c r="AT69" s="1181">
        <v>8322004658</v>
      </c>
      <c r="AU69" s="1177">
        <f>AT69-E72</f>
        <v>-1.0049972534179688</v>
      </c>
    </row>
    <row r="70" spans="1:47">
      <c r="B70" s="66" t="s">
        <v>903</v>
      </c>
      <c r="C70" s="73">
        <f t="shared" si="9"/>
        <v>7738782010.8666668</v>
      </c>
      <c r="D70" s="73"/>
      <c r="E70" s="674">
        <f>'9. Infrastruktur'!AG50</f>
        <v>1334350574.2833333</v>
      </c>
      <c r="F70" s="73"/>
      <c r="G70" s="73">
        <v>0</v>
      </c>
      <c r="H70" s="73"/>
      <c r="I70" s="73">
        <v>0</v>
      </c>
      <c r="J70" s="77"/>
      <c r="K70" s="73">
        <f t="shared" si="10"/>
        <v>9073132585.1499996</v>
      </c>
      <c r="L70" s="110">
        <v>257190050</v>
      </c>
      <c r="M70" s="871">
        <f t="shared" si="11"/>
        <v>1077160524.2833333</v>
      </c>
      <c r="N70" s="66"/>
      <c r="O70" s="66"/>
      <c r="P70" s="66"/>
      <c r="Q70" s="110">
        <v>15904584670</v>
      </c>
      <c r="R70" s="66"/>
      <c r="S70" s="871">
        <f t="shared" si="12"/>
        <v>-6831452084.8500004</v>
      </c>
      <c r="T70" s="110">
        <v>257190050</v>
      </c>
      <c r="U70" s="871">
        <f t="shared" si="13"/>
        <v>1077160524.2833333</v>
      </c>
      <c r="V70" s="66"/>
      <c r="X70" s="110">
        <v>11234408628</v>
      </c>
      <c r="Y70" s="871">
        <f t="shared" si="14"/>
        <v>-2161276042.8500004</v>
      </c>
      <c r="AA70" s="110">
        <v>257190050</v>
      </c>
      <c r="AB70" s="871">
        <f>E70-AA70</f>
        <v>1077160524.2833333</v>
      </c>
      <c r="AD70" s="110">
        <v>10475798490</v>
      </c>
      <c r="AE70" s="871">
        <f t="shared" si="15"/>
        <v>-1402665904.8500004</v>
      </c>
      <c r="AF70" s="110"/>
      <c r="AG70" s="110">
        <v>1334350574.2833333</v>
      </c>
      <c r="AH70" s="871">
        <f t="shared" si="16"/>
        <v>0</v>
      </c>
      <c r="AJ70" s="110">
        <v>9055848490.1499996</v>
      </c>
      <c r="AK70" s="871">
        <f t="shared" si="17"/>
        <v>17284095</v>
      </c>
      <c r="AQ70" s="71">
        <v>-9073132585</v>
      </c>
      <c r="AR70" s="1178">
        <f>AQ70+K70</f>
        <v>0.14999961853027344</v>
      </c>
    </row>
    <row r="71" spans="1:47" s="64" customFormat="1" ht="4.5" customHeight="1">
      <c r="A71" s="62"/>
      <c r="B71" s="78"/>
      <c r="C71" s="79"/>
      <c r="D71" s="80"/>
      <c r="E71" s="79"/>
      <c r="F71" s="80"/>
      <c r="G71" s="79"/>
      <c r="H71" s="80"/>
      <c r="I71" s="79"/>
      <c r="J71" s="81"/>
      <c r="K71" s="79"/>
      <c r="L71" s="188"/>
      <c r="T71" s="188"/>
      <c r="X71" s="188"/>
      <c r="AI71" s="188"/>
    </row>
    <row r="72" spans="1:47" ht="13">
      <c r="B72" s="72" t="s">
        <v>204</v>
      </c>
      <c r="C72" s="82">
        <f>SUM(C63:C71)</f>
        <v>40753318746.23246</v>
      </c>
      <c r="D72" s="77"/>
      <c r="E72" s="82">
        <f>SUM(E63:E71)</f>
        <v>8322004659.0049973</v>
      </c>
      <c r="F72" s="83"/>
      <c r="G72" s="82">
        <f>SUM(G63:G71)</f>
        <v>0</v>
      </c>
      <c r="H72" s="83">
        <f>SUM(H63:H70)</f>
        <v>0</v>
      </c>
      <c r="I72" s="82">
        <f>SUM(I63:I71)</f>
        <v>0</v>
      </c>
      <c r="J72" s="83"/>
      <c r="K72" s="82">
        <f>SUM(K63:K71)</f>
        <v>49075323405.237457</v>
      </c>
      <c r="M72" s="66"/>
      <c r="N72" s="66"/>
      <c r="O72" s="66"/>
      <c r="P72" s="66"/>
      <c r="Q72" s="66"/>
      <c r="R72" s="66"/>
      <c r="S72" s="66"/>
      <c r="U72" s="66"/>
      <c r="V72" s="66"/>
    </row>
    <row r="73" spans="1:47" s="64" customFormat="1" ht="4.5" customHeight="1">
      <c r="A73" s="62"/>
      <c r="B73" s="78"/>
      <c r="C73" s="84"/>
      <c r="D73" s="85"/>
      <c r="E73" s="84"/>
      <c r="F73" s="85"/>
      <c r="G73" s="84"/>
      <c r="H73" s="85"/>
      <c r="I73" s="84"/>
      <c r="J73" s="85"/>
      <c r="K73" s="84"/>
      <c r="L73" s="188"/>
      <c r="T73" s="188"/>
      <c r="AI73" s="188"/>
    </row>
    <row r="74" spans="1:47" ht="13.5" thickBot="1">
      <c r="B74" s="72" t="s">
        <v>206</v>
      </c>
      <c r="C74" s="87">
        <f>C60-C72</f>
        <v>62859440240.067543</v>
      </c>
      <c r="D74" s="88"/>
      <c r="E74" s="89"/>
      <c r="F74" s="88"/>
      <c r="H74" s="88"/>
      <c r="J74" s="88"/>
      <c r="K74" s="87">
        <f>K60-K72</f>
        <v>54615720311.062546</v>
      </c>
      <c r="L74" s="1022"/>
      <c r="M74" s="66"/>
      <c r="N74" s="66"/>
      <c r="O74" s="66"/>
      <c r="P74" s="66"/>
      <c r="Q74" s="66"/>
      <c r="R74" s="66"/>
      <c r="S74" s="66"/>
      <c r="U74" s="66"/>
      <c r="V74" s="66"/>
      <c r="AQ74" s="1154" t="s">
        <v>1158</v>
      </c>
      <c r="AR74" s="1155" t="s">
        <v>1282</v>
      </c>
      <c r="AS74" s="1154" t="s">
        <v>1158</v>
      </c>
      <c r="AT74" s="1155" t="s">
        <v>1283</v>
      </c>
    </row>
    <row r="75" spans="1:47" ht="13" thickTop="1">
      <c r="C75" s="90"/>
      <c r="M75" s="66"/>
      <c r="N75" s="66"/>
      <c r="O75" s="66"/>
      <c r="P75" s="66"/>
      <c r="Q75" s="66"/>
      <c r="R75" s="66"/>
      <c r="S75" s="66"/>
      <c r="U75" s="66"/>
      <c r="V75" s="66"/>
      <c r="AQ75" s="64"/>
      <c r="AR75" s="188"/>
      <c r="AS75" s="64"/>
      <c r="AT75" s="64"/>
    </row>
    <row r="76" spans="1:47">
      <c r="M76" s="66"/>
      <c r="N76" s="66"/>
      <c r="O76" s="66"/>
      <c r="P76" s="66"/>
      <c r="Q76" s="66"/>
      <c r="R76" s="66"/>
      <c r="S76" s="66"/>
      <c r="U76" s="66"/>
      <c r="V76" s="66"/>
      <c r="AQ76" s="71">
        <v>8322004658</v>
      </c>
      <c r="AR76" s="110">
        <f>E72-AQ76</f>
        <v>1.0049972534179688</v>
      </c>
      <c r="AS76" s="110">
        <v>-49075323405</v>
      </c>
      <c r="AT76" s="871">
        <f>AS76+K72</f>
        <v>0.237457275390625</v>
      </c>
    </row>
    <row r="77" spans="1:47" ht="13" hidden="1">
      <c r="B77" s="91" t="s">
        <v>199</v>
      </c>
      <c r="C77" s="92" t="e">
        <f>[65]AT!K29</f>
        <v>#REF!</v>
      </c>
      <c r="D77" s="93"/>
      <c r="E77" s="94"/>
      <c r="F77" s="93"/>
      <c r="G77" s="95"/>
      <c r="H77" s="93"/>
      <c r="I77" s="95"/>
      <c r="J77" s="70"/>
      <c r="K77" s="95" t="e">
        <f>[65]AT!I29</f>
        <v>#REF!</v>
      </c>
      <c r="M77" s="66"/>
      <c r="N77" s="66"/>
      <c r="O77" s="66"/>
      <c r="P77" s="66"/>
      <c r="Q77" s="66"/>
      <c r="R77" s="66"/>
      <c r="S77" s="66"/>
      <c r="U77" s="66"/>
      <c r="V77" s="66"/>
    </row>
    <row r="78" spans="1:47" ht="13" hidden="1">
      <c r="B78" s="91" t="s">
        <v>200</v>
      </c>
      <c r="C78" s="96" t="e">
        <f>C74-C77</f>
        <v>#REF!</v>
      </c>
      <c r="D78" s="93"/>
      <c r="E78" s="94"/>
      <c r="F78" s="93"/>
      <c r="G78" s="96"/>
      <c r="H78" s="93"/>
      <c r="I78" s="96"/>
      <c r="J78" s="70"/>
      <c r="K78" s="96" t="e">
        <f>K74-K77</f>
        <v>#REF!</v>
      </c>
      <c r="M78" s="66"/>
      <c r="N78" s="66"/>
      <c r="O78" s="66"/>
      <c r="P78" s="66"/>
      <c r="Q78" s="66"/>
      <c r="R78" s="66"/>
      <c r="S78" s="66"/>
      <c r="U78" s="66"/>
      <c r="V78" s="66"/>
    </row>
    <row r="79" spans="1:47" hidden="1">
      <c r="M79" s="66"/>
      <c r="N79" s="66"/>
      <c r="O79" s="66"/>
      <c r="P79" s="66"/>
      <c r="Q79" s="66"/>
      <c r="R79" s="66"/>
      <c r="S79" s="66"/>
      <c r="U79" s="66"/>
      <c r="V79" s="66"/>
    </row>
    <row r="80" spans="1:47">
      <c r="M80" s="66"/>
      <c r="N80" s="66"/>
      <c r="O80" s="66"/>
      <c r="P80" s="66"/>
      <c r="Q80" s="66"/>
      <c r="R80" s="66"/>
      <c r="S80" s="66"/>
      <c r="U80" s="66"/>
      <c r="V80" s="66"/>
      <c r="AR80" s="871"/>
    </row>
    <row r="81" spans="1:44" ht="13">
      <c r="C81" s="1300">
        <v>2021</v>
      </c>
      <c r="D81" s="1301"/>
      <c r="E81" s="1301"/>
      <c r="F81" s="1301"/>
      <c r="G81" s="1301"/>
      <c r="H81" s="1301"/>
      <c r="I81" s="1301"/>
      <c r="J81" s="1301"/>
      <c r="K81" s="1301"/>
      <c r="L81" s="1023" t="s">
        <v>1138</v>
      </c>
      <c r="M81" s="921"/>
      <c r="N81" s="66"/>
      <c r="O81" s="66"/>
      <c r="P81" s="66"/>
      <c r="Q81" s="66"/>
      <c r="R81" s="66"/>
      <c r="S81" s="66"/>
      <c r="U81" s="66"/>
      <c r="V81" s="66"/>
    </row>
    <row r="82" spans="1:44" ht="13">
      <c r="C82" s="67" t="s">
        <v>30</v>
      </c>
      <c r="D82" s="69"/>
      <c r="E82" s="67" t="s">
        <v>29</v>
      </c>
      <c r="F82" s="69"/>
      <c r="G82" s="67" t="s">
        <v>196</v>
      </c>
      <c r="H82" s="69"/>
      <c r="I82" s="67" t="s">
        <v>197</v>
      </c>
      <c r="J82" s="69"/>
      <c r="K82" s="67" t="s">
        <v>198</v>
      </c>
      <c r="M82" s="66"/>
      <c r="N82" s="66"/>
      <c r="O82" s="66"/>
      <c r="P82" s="66"/>
      <c r="Q82" s="66"/>
      <c r="R82" s="66"/>
      <c r="S82" s="66"/>
      <c r="U82" s="66"/>
      <c r="V82" s="66"/>
    </row>
    <row r="83" spans="1:44" ht="13">
      <c r="D83" s="72"/>
      <c r="F83" s="72"/>
      <c r="H83" s="72"/>
      <c r="J83" s="72"/>
      <c r="M83" s="66"/>
      <c r="N83" s="66"/>
      <c r="O83" s="66"/>
      <c r="P83" s="66"/>
      <c r="Q83" s="66"/>
      <c r="R83" s="66"/>
      <c r="S83" s="66"/>
      <c r="U83" s="66"/>
      <c r="V83" s="66"/>
    </row>
    <row r="84" spans="1:44" ht="13">
      <c r="B84" s="72" t="s">
        <v>201</v>
      </c>
      <c r="D84" s="72"/>
      <c r="F84" s="72"/>
      <c r="H84" s="72"/>
      <c r="J84" s="72"/>
      <c r="M84" s="71"/>
      <c r="N84" s="66"/>
      <c r="O84" s="66"/>
      <c r="P84" s="66"/>
      <c r="Q84" s="66"/>
      <c r="R84" s="66"/>
      <c r="S84" s="66"/>
      <c r="U84" s="66"/>
      <c r="V84" s="66"/>
    </row>
    <row r="85" spans="1:44">
      <c r="A85" s="98"/>
      <c r="B85" s="66" t="s">
        <v>207</v>
      </c>
      <c r="C85" s="73">
        <f t="shared" ref="C85:C93" si="18">K119</f>
        <v>0</v>
      </c>
      <c r="E85" s="73">
        <f>0</f>
        <v>0</v>
      </c>
      <c r="G85" s="73">
        <v>0</v>
      </c>
      <c r="K85" s="924">
        <f t="shared" ref="K85:K93" si="19">C85+E85+G85+I85</f>
        <v>0</v>
      </c>
      <c r="M85" s="71"/>
      <c r="N85" s="66"/>
      <c r="O85" s="66"/>
      <c r="P85" s="66"/>
      <c r="Q85" s="71">
        <v>5357572749</v>
      </c>
      <c r="R85" s="66"/>
      <c r="S85" s="871">
        <f t="shared" ref="S85:S93" si="20">K85-Q85</f>
        <v>-5357572749</v>
      </c>
      <c r="T85" s="110">
        <v>5357572749</v>
      </c>
      <c r="U85" s="871">
        <f t="shared" ref="U85:U93" si="21">K85-T85</f>
        <v>-5357572749</v>
      </c>
      <c r="V85" s="66"/>
    </row>
    <row r="86" spans="1:44">
      <c r="B86" s="66" t="s">
        <v>47</v>
      </c>
      <c r="C86" s="73">
        <f t="shared" si="18"/>
        <v>27419762986.979996</v>
      </c>
      <c r="D86" s="73"/>
      <c r="E86" s="73">
        <f>'2. Bangunan'!F127</f>
        <v>9768393165.120018</v>
      </c>
      <c r="F86" s="73"/>
      <c r="G86" s="73">
        <v>0</v>
      </c>
      <c r="H86" s="73"/>
      <c r="I86" s="73">
        <v>0</v>
      </c>
      <c r="J86" s="74"/>
      <c r="K86" s="924">
        <f t="shared" si="19"/>
        <v>37188156152.100014</v>
      </c>
      <c r="M86" s="110"/>
      <c r="N86" s="66"/>
      <c r="O86" s="66"/>
      <c r="P86" s="66"/>
      <c r="Q86" s="110">
        <v>36346508225.259995</v>
      </c>
      <c r="R86" s="66"/>
      <c r="S86" s="871">
        <f t="shared" si="20"/>
        <v>841647926.84001923</v>
      </c>
      <c r="T86" s="110">
        <v>36346558226</v>
      </c>
      <c r="U86" s="1070">
        <f t="shared" si="21"/>
        <v>841597926.10001373</v>
      </c>
      <c r="V86" s="66"/>
      <c r="AF86" s="110">
        <v>36346558225.199997</v>
      </c>
      <c r="AG86" s="871">
        <f t="shared" ref="AG86:AG93" si="22">K86-AF86</f>
        <v>841597926.90001678</v>
      </c>
    </row>
    <row r="87" spans="1:44">
      <c r="B87" s="66" t="s">
        <v>211</v>
      </c>
      <c r="C87" s="73">
        <f t="shared" si="18"/>
        <v>445059500</v>
      </c>
      <c r="D87" s="73"/>
      <c r="E87" s="73">
        <f>'3. Sumur Bor'!F52</f>
        <v>0</v>
      </c>
      <c r="F87" s="73"/>
      <c r="G87" s="73">
        <v>0</v>
      </c>
      <c r="H87" s="73"/>
      <c r="I87" s="73"/>
      <c r="J87" s="74"/>
      <c r="K87" s="924">
        <f t="shared" si="19"/>
        <v>445059500</v>
      </c>
      <c r="M87" s="110"/>
      <c r="N87" s="66"/>
      <c r="O87" s="66"/>
      <c r="P87" s="66"/>
      <c r="Q87" s="110">
        <v>832237957</v>
      </c>
      <c r="R87" s="66"/>
      <c r="S87" s="871">
        <f t="shared" si="20"/>
        <v>-387178457</v>
      </c>
      <c r="T87" s="110">
        <v>833372957</v>
      </c>
      <c r="U87" s="871">
        <f t="shared" si="21"/>
        <v>-388313457</v>
      </c>
      <c r="V87" s="66"/>
      <c r="AA87" s="110" t="s">
        <v>1164</v>
      </c>
      <c r="AF87" s="110">
        <v>445059500</v>
      </c>
      <c r="AG87" s="110">
        <f t="shared" si="22"/>
        <v>0</v>
      </c>
    </row>
    <row r="88" spans="1:44">
      <c r="B88" s="66" t="s">
        <v>922</v>
      </c>
      <c r="C88" s="674">
        <f t="shared" si="18"/>
        <v>6200217370</v>
      </c>
      <c r="D88" s="674"/>
      <c r="E88" s="674">
        <f>'4. Sarana &amp; Prasarana'!F41</f>
        <v>0</v>
      </c>
      <c r="F88" s="674"/>
      <c r="G88" s="674">
        <v>0</v>
      </c>
      <c r="H88" s="674"/>
      <c r="I88" s="674"/>
      <c r="J88" s="74"/>
      <c r="K88" s="674">
        <f t="shared" si="19"/>
        <v>6200217370</v>
      </c>
      <c r="L88" s="1078"/>
      <c r="M88" s="1078"/>
      <c r="N88" s="66"/>
      <c r="O88" s="66"/>
      <c r="P88" s="66"/>
      <c r="Q88" s="1078">
        <v>6200217370</v>
      </c>
      <c r="R88" s="66"/>
      <c r="S88" s="871">
        <f t="shared" si="20"/>
        <v>0</v>
      </c>
      <c r="T88" s="1078">
        <v>6200217370</v>
      </c>
      <c r="U88" s="871">
        <f t="shared" si="21"/>
        <v>0</v>
      </c>
      <c r="V88" s="66"/>
      <c r="AF88" s="1078">
        <v>6200217370</v>
      </c>
      <c r="AG88" s="1078">
        <f t="shared" si="22"/>
        <v>0</v>
      </c>
      <c r="AI88" s="1078"/>
    </row>
    <row r="89" spans="1:44">
      <c r="B89" s="66" t="s">
        <v>208</v>
      </c>
      <c r="C89" s="73">
        <f t="shared" si="18"/>
        <v>28284388018.299999</v>
      </c>
      <c r="D89" s="73"/>
      <c r="E89" s="73">
        <f>'5. Mesin'!F327</f>
        <v>9316818703.299984</v>
      </c>
      <c r="F89" s="73"/>
      <c r="G89" s="73">
        <v>0</v>
      </c>
      <c r="H89" s="73"/>
      <c r="I89" s="73"/>
      <c r="J89" s="74"/>
      <c r="K89" s="924">
        <f t="shared" si="19"/>
        <v>37601206721.599983</v>
      </c>
      <c r="M89" s="110"/>
      <c r="N89" s="66"/>
      <c r="O89" s="66"/>
      <c r="P89" s="66"/>
      <c r="Q89" s="110">
        <v>37217914558.300003</v>
      </c>
      <c r="R89" s="66"/>
      <c r="S89" s="871">
        <f t="shared" si="20"/>
        <v>383292163.29998016</v>
      </c>
      <c r="T89" s="110">
        <v>37207824558</v>
      </c>
      <c r="U89" s="1071">
        <f t="shared" si="21"/>
        <v>393382163.59998322</v>
      </c>
      <c r="V89" s="66"/>
      <c r="AF89" s="110">
        <v>37207824558.300003</v>
      </c>
      <c r="AG89" s="110">
        <f t="shared" si="22"/>
        <v>393382163.29998016</v>
      </c>
    </row>
    <row r="90" spans="1:44">
      <c r="B90" s="66" t="s">
        <v>923</v>
      </c>
      <c r="C90" s="73">
        <f t="shared" si="18"/>
        <v>1007800000</v>
      </c>
      <c r="D90" s="73"/>
      <c r="E90" s="73">
        <f>'6. Instalasi Elektrik'!F54</f>
        <v>444480000</v>
      </c>
      <c r="F90" s="73"/>
      <c r="G90" s="73">
        <v>0</v>
      </c>
      <c r="H90" s="73"/>
      <c r="I90" s="73"/>
      <c r="J90" s="74"/>
      <c r="K90" s="924">
        <f t="shared" si="19"/>
        <v>1452280000</v>
      </c>
      <c r="M90" s="110"/>
      <c r="N90" s="66"/>
      <c r="O90" s="66"/>
      <c r="P90" s="66"/>
      <c r="Q90" s="110">
        <v>1452280000</v>
      </c>
      <c r="R90" s="66"/>
      <c r="S90" s="871">
        <f t="shared" si="20"/>
        <v>0</v>
      </c>
      <c r="T90" s="110">
        <v>1452280000</v>
      </c>
      <c r="U90" s="871">
        <f t="shared" si="21"/>
        <v>0</v>
      </c>
      <c r="V90" s="66"/>
      <c r="AF90" s="110">
        <v>1452280000</v>
      </c>
      <c r="AG90" s="110">
        <f t="shared" si="22"/>
        <v>0</v>
      </c>
    </row>
    <row r="91" spans="1:44">
      <c r="B91" s="66" t="s">
        <v>203</v>
      </c>
      <c r="C91" s="73">
        <f t="shared" si="18"/>
        <v>8342660000</v>
      </c>
      <c r="D91" s="73"/>
      <c r="E91" s="73">
        <f>'7. Kendaraan'!F80</f>
        <v>0</v>
      </c>
      <c r="F91" s="73"/>
      <c r="G91" s="73">
        <v>0</v>
      </c>
      <c r="H91" s="73"/>
      <c r="I91" s="73">
        <v>0</v>
      </c>
      <c r="J91" s="75"/>
      <c r="K91" s="924">
        <f t="shared" si="19"/>
        <v>8342660000</v>
      </c>
      <c r="M91" s="110"/>
      <c r="N91" s="66"/>
      <c r="O91" s="66"/>
      <c r="P91" s="66"/>
      <c r="Q91" s="110">
        <v>6719860000</v>
      </c>
      <c r="R91" s="66"/>
      <c r="S91" s="871">
        <f t="shared" si="20"/>
        <v>1622800000</v>
      </c>
      <c r="T91" s="110">
        <v>6719860000</v>
      </c>
      <c r="U91" s="871">
        <f t="shared" si="21"/>
        <v>1622800000</v>
      </c>
      <c r="V91" s="66"/>
      <c r="AF91" s="110">
        <v>8342660000</v>
      </c>
      <c r="AG91" s="110">
        <f t="shared" si="22"/>
        <v>0</v>
      </c>
    </row>
    <row r="92" spans="1:44">
      <c r="B92" s="66" t="s">
        <v>924</v>
      </c>
      <c r="C92" s="73">
        <f t="shared" si="18"/>
        <v>1208997796</v>
      </c>
      <c r="D92" s="73"/>
      <c r="E92" s="73">
        <f>'8 Peralatan &amp; Perlengkapan'!F160</f>
        <v>3802000</v>
      </c>
      <c r="F92" s="73"/>
      <c r="G92" s="73">
        <v>0</v>
      </c>
      <c r="H92" s="73"/>
      <c r="I92" s="73">
        <v>0</v>
      </c>
      <c r="J92" s="76"/>
      <c r="K92" s="73">
        <f t="shared" si="19"/>
        <v>1212799796</v>
      </c>
      <c r="M92" s="110"/>
      <c r="N92" s="66"/>
      <c r="O92" s="66"/>
      <c r="P92" s="66"/>
      <c r="Q92" s="110">
        <v>1213849796</v>
      </c>
      <c r="R92" s="66"/>
      <c r="S92" s="871">
        <f t="shared" si="20"/>
        <v>-1050000</v>
      </c>
      <c r="T92" s="110">
        <v>1213849796</v>
      </c>
      <c r="U92" s="871">
        <f t="shared" si="21"/>
        <v>-1050000</v>
      </c>
      <c r="V92" s="66"/>
      <c r="AF92" s="110">
        <v>1212799796</v>
      </c>
      <c r="AG92" s="110">
        <f t="shared" si="22"/>
        <v>0</v>
      </c>
    </row>
    <row r="93" spans="1:44" ht="13">
      <c r="B93" s="66" t="s">
        <v>903</v>
      </c>
      <c r="C93" s="73">
        <f t="shared" si="18"/>
        <v>11170379446.6</v>
      </c>
      <c r="D93" s="73"/>
      <c r="E93" s="73">
        <f>'9. Infrastruktur'!F61</f>
        <v>0</v>
      </c>
      <c r="F93" s="73"/>
      <c r="G93" s="73">
        <v>0</v>
      </c>
      <c r="H93" s="73"/>
      <c r="I93" s="73">
        <v>0</v>
      </c>
      <c r="J93" s="77"/>
      <c r="K93" s="924">
        <f t="shared" si="19"/>
        <v>11170379446.6</v>
      </c>
      <c r="M93" s="110"/>
      <c r="N93" s="66"/>
      <c r="O93" s="66"/>
      <c r="P93" s="66"/>
      <c r="Q93" s="110">
        <v>15904584669.6</v>
      </c>
      <c r="R93" s="66"/>
      <c r="S93" s="871">
        <f t="shared" si="20"/>
        <v>-4734205223</v>
      </c>
      <c r="T93" s="110">
        <v>12793259447</v>
      </c>
      <c r="U93" s="871">
        <f t="shared" si="21"/>
        <v>-1622880000.3999996</v>
      </c>
      <c r="V93" s="66"/>
      <c r="AF93" s="110">
        <v>11170379446.6</v>
      </c>
      <c r="AG93" s="110">
        <f t="shared" si="22"/>
        <v>0</v>
      </c>
      <c r="AH93" s="66">
        <v>11170379446.6</v>
      </c>
      <c r="AI93" s="110">
        <f>K93-AH93</f>
        <v>0</v>
      </c>
      <c r="AQ93" s="1154" t="s">
        <v>1158</v>
      </c>
      <c r="AR93" s="1155" t="s">
        <v>1132</v>
      </c>
    </row>
    <row r="94" spans="1:44" s="64" customFormat="1" ht="4.5" customHeight="1">
      <c r="A94" s="62"/>
      <c r="B94" s="78"/>
      <c r="C94" s="79"/>
      <c r="D94" s="80"/>
      <c r="E94" s="79"/>
      <c r="F94" s="80"/>
      <c r="G94" s="79"/>
      <c r="H94" s="80"/>
      <c r="I94" s="79"/>
      <c r="J94" s="81"/>
      <c r="K94" s="79"/>
      <c r="L94" s="188"/>
      <c r="T94" s="188"/>
      <c r="AI94" s="188"/>
      <c r="AR94" s="188"/>
    </row>
    <row r="95" spans="1:44" ht="13">
      <c r="B95" s="72" t="s">
        <v>223</v>
      </c>
      <c r="C95" s="82">
        <f>SUM(C85:C93)</f>
        <v>84079265117.880005</v>
      </c>
      <c r="D95" s="77"/>
      <c r="E95" s="82">
        <f>SUM(E85:E93)</f>
        <v>19533493868.420002</v>
      </c>
      <c r="F95" s="83"/>
      <c r="G95" s="82">
        <f>SUM(G85:G93)</f>
        <v>0</v>
      </c>
      <c r="H95" s="83">
        <f>SUM(H86:H93)</f>
        <v>0</v>
      </c>
      <c r="I95" s="82">
        <f>SUM(I86:I93)</f>
        <v>0</v>
      </c>
      <c r="J95" s="83">
        <f>SUM(J86:J93)</f>
        <v>0</v>
      </c>
      <c r="K95" s="925">
        <f>SUM(K85:K93)</f>
        <v>103612758986.3</v>
      </c>
      <c r="L95" s="110">
        <v>152252716900.76999</v>
      </c>
      <c r="M95" s="871">
        <f>K95-L95</f>
        <v>-48639957914.469986</v>
      </c>
      <c r="N95" s="66"/>
      <c r="O95" s="66" t="s">
        <v>1139</v>
      </c>
      <c r="P95" s="66"/>
      <c r="Q95" s="66"/>
      <c r="R95" s="66"/>
      <c r="S95" s="66"/>
      <c r="U95" s="66"/>
      <c r="V95" s="66"/>
      <c r="AQ95" s="110">
        <v>103612758986.7</v>
      </c>
      <c r="AR95" s="110">
        <f>AQ95-K95</f>
        <v>0.399993896484375</v>
      </c>
    </row>
    <row r="96" spans="1:44">
      <c r="C96" s="84"/>
      <c r="D96" s="85"/>
      <c r="E96" s="84"/>
      <c r="F96" s="85"/>
      <c r="G96" s="84"/>
      <c r="H96" s="85"/>
      <c r="I96" s="84"/>
      <c r="J96" s="85"/>
      <c r="K96" s="84"/>
      <c r="M96" s="66"/>
      <c r="N96" s="66"/>
      <c r="O96" s="66"/>
      <c r="P96" s="66"/>
      <c r="Q96" s="66"/>
      <c r="R96" s="66"/>
      <c r="S96" s="66"/>
      <c r="U96" s="66"/>
      <c r="V96" s="66"/>
      <c r="AR96" s="110"/>
    </row>
    <row r="97" spans="1:47">
      <c r="B97" s="66" t="s">
        <v>222</v>
      </c>
      <c r="C97" s="73">
        <f>K131</f>
        <v>5294378786</v>
      </c>
      <c r="D97" s="73"/>
      <c r="E97" s="73">
        <v>0</v>
      </c>
      <c r="F97" s="73"/>
      <c r="G97" s="73">
        <f>C97</f>
        <v>5294378786</v>
      </c>
      <c r="H97" s="73"/>
      <c r="I97" s="73">
        <v>0</v>
      </c>
      <c r="J97" s="77"/>
      <c r="K97" s="73">
        <f>C97+E97-G97</f>
        <v>0</v>
      </c>
      <c r="M97" s="66"/>
      <c r="N97" s="66"/>
      <c r="O97" s="66"/>
      <c r="P97" s="66"/>
      <c r="Q97" s="66"/>
      <c r="R97" s="66"/>
      <c r="S97" s="66"/>
      <c r="U97" s="66"/>
      <c r="V97" s="66"/>
      <c r="AR97" s="110"/>
    </row>
    <row r="98" spans="1:47">
      <c r="C98" s="79"/>
      <c r="D98" s="80"/>
      <c r="E98" s="79"/>
      <c r="F98" s="80"/>
      <c r="G98" s="79"/>
      <c r="H98" s="80"/>
      <c r="I98" s="79"/>
      <c r="J98" s="81"/>
      <c r="K98" s="79"/>
      <c r="M98" s="66"/>
      <c r="N98" s="66"/>
      <c r="O98" s="66"/>
      <c r="P98" s="66"/>
      <c r="Q98" s="66"/>
      <c r="R98" s="66"/>
      <c r="S98" s="66"/>
      <c r="U98" s="66"/>
      <c r="V98" s="66"/>
      <c r="AR98" s="110"/>
    </row>
    <row r="99" spans="1:47" ht="13">
      <c r="B99" s="72" t="s">
        <v>204</v>
      </c>
      <c r="C99" s="100">
        <f>C95+C97</f>
        <v>89373643903.880005</v>
      </c>
      <c r="D99" s="77"/>
      <c r="E99" s="100">
        <f>E95+E97</f>
        <v>19533493868.420002</v>
      </c>
      <c r="F99" s="83"/>
      <c r="G99" s="100">
        <f>G95+G97</f>
        <v>5294378786</v>
      </c>
      <c r="H99" s="83">
        <f>SUM(H90:H97)</f>
        <v>0</v>
      </c>
      <c r="I99" s="82">
        <f>SUM(I90:I97)</f>
        <v>0</v>
      </c>
      <c r="J99" s="83">
        <f>SUM(J90:J97)</f>
        <v>0</v>
      </c>
      <c r="K99" s="100">
        <f>K95+K97</f>
        <v>103612758986.3</v>
      </c>
      <c r="M99" s="66"/>
      <c r="N99" s="66"/>
      <c r="O99" s="66"/>
      <c r="P99" s="66"/>
      <c r="Q99" s="66"/>
      <c r="R99" s="66"/>
      <c r="S99" s="66"/>
      <c r="U99" s="66"/>
      <c r="V99" s="66"/>
      <c r="AR99" s="110"/>
    </row>
    <row r="100" spans="1:47" ht="13">
      <c r="C100" s="1300">
        <v>2021</v>
      </c>
      <c r="D100" s="1301"/>
      <c r="E100" s="1301"/>
      <c r="F100" s="1301"/>
      <c r="G100" s="1301"/>
      <c r="H100" s="1301"/>
      <c r="I100" s="1301"/>
      <c r="J100" s="1301"/>
      <c r="K100" s="1301"/>
      <c r="M100" s="66"/>
      <c r="N100" s="66"/>
      <c r="O100" s="66"/>
      <c r="P100" s="66"/>
      <c r="Q100" s="66"/>
      <c r="R100" s="66"/>
      <c r="S100" s="66"/>
      <c r="U100" s="66"/>
      <c r="V100" s="66"/>
      <c r="AR100" s="110"/>
    </row>
    <row r="101" spans="1:47" ht="13">
      <c r="B101" s="72" t="s">
        <v>205</v>
      </c>
      <c r="C101" s="74"/>
      <c r="D101" s="86"/>
      <c r="E101" s="74"/>
      <c r="F101" s="86"/>
      <c r="G101" s="74"/>
      <c r="H101" s="86"/>
      <c r="I101" s="74"/>
      <c r="J101" s="86"/>
      <c r="K101" s="74"/>
      <c r="M101" s="66"/>
      <c r="N101" s="66"/>
      <c r="O101" s="66"/>
      <c r="P101" s="66"/>
      <c r="Q101" s="66"/>
      <c r="R101" s="66"/>
      <c r="S101" s="66"/>
      <c r="U101" s="66"/>
      <c r="V101" s="66"/>
      <c r="AQ101" s="1179" t="s">
        <v>1293</v>
      </c>
      <c r="AR101" s="1178" t="s">
        <v>1294</v>
      </c>
      <c r="AS101" s="1179"/>
      <c r="AT101" s="1179" t="s">
        <v>1292</v>
      </c>
      <c r="AU101" s="1178" t="s">
        <v>1294</v>
      </c>
    </row>
    <row r="102" spans="1:47">
      <c r="B102" s="66" t="s">
        <v>47</v>
      </c>
      <c r="C102" s="73">
        <f t="shared" ref="C102:C108" si="23">K136</f>
        <v>5931646365.1966248</v>
      </c>
      <c r="D102" s="73"/>
      <c r="E102" s="73">
        <f>'2. Bangunan'!AE115</f>
        <v>1420271901.3608336</v>
      </c>
      <c r="F102" s="73"/>
      <c r="G102" s="73">
        <v>0</v>
      </c>
      <c r="H102" s="73"/>
      <c r="I102" s="73">
        <v>0</v>
      </c>
      <c r="J102" s="74"/>
      <c r="K102" s="73">
        <f t="shared" ref="K102:K109" si="24">C102+E102+G102+I102</f>
        <v>7351918266.5574589</v>
      </c>
      <c r="L102" s="110">
        <v>1193518456</v>
      </c>
      <c r="M102" s="871">
        <f t="shared" ref="M102:M109" si="25">E102-L102</f>
        <v>226753445.36083364</v>
      </c>
      <c r="N102" s="66"/>
      <c r="O102" s="66"/>
      <c r="P102" s="66"/>
      <c r="Q102" s="110">
        <v>15377112553.972</v>
      </c>
      <c r="R102" s="66"/>
      <c r="S102" s="871">
        <f t="shared" ref="S102:S109" si="26">K102-Q102</f>
        <v>-8025194287.4145412</v>
      </c>
      <c r="T102" s="110">
        <v>1193518456</v>
      </c>
      <c r="U102" s="871">
        <f t="shared" ref="U102:U109" si="27">E102-T102</f>
        <v>226753445.36083364</v>
      </c>
      <c r="V102" s="66"/>
      <c r="X102" s="110">
        <v>7340795195.0084171</v>
      </c>
      <c r="Y102" s="1071">
        <f t="shared" ref="Y102:Y109" si="28">K102-X102</f>
        <v>11123071.549041748</v>
      </c>
      <c r="AG102" s="110">
        <f>1409148829.50842-301549</f>
        <v>1408847280.50842</v>
      </c>
      <c r="AH102" s="871">
        <f t="shared" ref="AH102:AH109" si="29">E102-AG102</f>
        <v>11424620.852413654</v>
      </c>
      <c r="AJ102" s="110">
        <v>7340493646</v>
      </c>
      <c r="AK102" s="871">
        <f t="shared" ref="AK102:AK109" si="30">K102-AJ102</f>
        <v>11424620.557458878</v>
      </c>
      <c r="AM102" s="110">
        <v>1408847280.3301253</v>
      </c>
      <c r="AN102" s="871">
        <f t="shared" ref="AN102:AN109" si="31">E102-AM102</f>
        <v>11424621.030708313</v>
      </c>
      <c r="AO102" s="110">
        <v>7340493645.8219995</v>
      </c>
      <c r="AP102" s="871">
        <f t="shared" ref="AP102:AP109" si="32">K102-AO102</f>
        <v>11424620.735459328</v>
      </c>
      <c r="AQ102" s="1176">
        <v>-7351918267</v>
      </c>
      <c r="AR102" s="1178">
        <f>K102+AQ102</f>
        <v>-0.44254112243652344</v>
      </c>
      <c r="AS102" s="1178"/>
      <c r="AT102" s="1176"/>
      <c r="AU102" s="1179"/>
    </row>
    <row r="103" spans="1:47">
      <c r="B103" s="66" t="s">
        <v>211</v>
      </c>
      <c r="C103" s="73">
        <f t="shared" si="23"/>
        <v>247293687.5</v>
      </c>
      <c r="D103" s="73"/>
      <c r="E103" s="73">
        <f>'3. Sumur Bor'!AE40</f>
        <v>55632437.5</v>
      </c>
      <c r="F103" s="73"/>
      <c r="G103" s="73">
        <v>0</v>
      </c>
      <c r="H103" s="73"/>
      <c r="I103" s="73"/>
      <c r="J103" s="74"/>
      <c r="K103" s="73">
        <f t="shared" si="24"/>
        <v>302926125</v>
      </c>
      <c r="L103" s="110">
        <v>77167812</v>
      </c>
      <c r="M103" s="871">
        <f t="shared" si="25"/>
        <v>-21535374.5</v>
      </c>
      <c r="N103" s="66"/>
      <c r="O103" s="66"/>
      <c r="P103" s="66"/>
      <c r="Q103" s="110">
        <v>394460000</v>
      </c>
      <c r="R103" s="66"/>
      <c r="S103" s="871">
        <f t="shared" si="26"/>
        <v>-91533875</v>
      </c>
      <c r="T103" s="110">
        <v>77167812</v>
      </c>
      <c r="U103" s="871">
        <f t="shared" si="27"/>
        <v>-21535374.5</v>
      </c>
      <c r="V103" s="66"/>
      <c r="X103" s="110">
        <v>302926124.5</v>
      </c>
      <c r="Y103" s="1071">
        <f t="shared" si="28"/>
        <v>0.5</v>
      </c>
      <c r="AG103" s="110">
        <v>55632437.5</v>
      </c>
      <c r="AH103" s="66">
        <f t="shared" si="29"/>
        <v>0</v>
      </c>
      <c r="AJ103" s="110">
        <v>302926124.5</v>
      </c>
      <c r="AK103" s="1077">
        <f t="shared" si="30"/>
        <v>0.5</v>
      </c>
      <c r="AM103" s="110">
        <v>55632437.5</v>
      </c>
      <c r="AN103" s="871">
        <f t="shared" si="31"/>
        <v>0</v>
      </c>
      <c r="AO103" s="110">
        <v>302926125</v>
      </c>
      <c r="AP103" s="871">
        <f t="shared" si="32"/>
        <v>0</v>
      </c>
      <c r="AQ103" s="1169">
        <v>-302926125</v>
      </c>
      <c r="AR103" s="1178">
        <f t="shared" ref="AR103:AR109" si="33">K103+AQ103</f>
        <v>0</v>
      </c>
      <c r="AS103" s="1178"/>
      <c r="AT103" s="1170"/>
      <c r="AU103" s="1179"/>
    </row>
    <row r="104" spans="1:47">
      <c r="B104" s="66" t="s">
        <v>922</v>
      </c>
      <c r="C104" s="674">
        <f t="shared" si="23"/>
        <v>2378990028.333333</v>
      </c>
      <c r="D104" s="674"/>
      <c r="E104" s="674">
        <f>'4. Sarana &amp; Prasarana'!AE29</f>
        <v>497213967.5</v>
      </c>
      <c r="F104" s="674"/>
      <c r="G104" s="674">
        <v>0</v>
      </c>
      <c r="H104" s="674"/>
      <c r="I104" s="674"/>
      <c r="J104" s="74"/>
      <c r="K104" s="674">
        <f t="shared" si="24"/>
        <v>2876203995.833333</v>
      </c>
      <c r="L104" s="1078">
        <v>191912004</v>
      </c>
      <c r="M104" s="871">
        <f t="shared" si="25"/>
        <v>305301963.5</v>
      </c>
      <c r="N104" s="66"/>
      <c r="O104" s="66"/>
      <c r="P104" s="66"/>
      <c r="Q104" s="1078">
        <v>6087948495.8333302</v>
      </c>
      <c r="R104" s="66"/>
      <c r="S104" s="871">
        <f t="shared" si="26"/>
        <v>-3211744499.9999971</v>
      </c>
      <c r="T104" s="1078">
        <v>191912004</v>
      </c>
      <c r="U104" s="871">
        <f t="shared" si="27"/>
        <v>305301963.5</v>
      </c>
      <c r="V104" s="66"/>
      <c r="X104" s="1078">
        <v>4717277745.5</v>
      </c>
      <c r="Y104" s="1071">
        <f t="shared" si="28"/>
        <v>-1841073749.666667</v>
      </c>
      <c r="AA104" s="1078">
        <v>191912004</v>
      </c>
      <c r="AB104" s="871">
        <f>E104-AA104</f>
        <v>305301963.5</v>
      </c>
      <c r="AD104" s="1078">
        <v>2876203996</v>
      </c>
      <c r="AE104" s="871">
        <f>K104-AD104</f>
        <v>-0.16666698455810547</v>
      </c>
      <c r="AG104" s="1078">
        <v>497213967.5</v>
      </c>
      <c r="AH104" s="66">
        <f t="shared" si="29"/>
        <v>0</v>
      </c>
      <c r="AI104" s="1078"/>
      <c r="AJ104" s="1078">
        <v>2876203996</v>
      </c>
      <c r="AK104" s="1077">
        <f t="shared" si="30"/>
        <v>-0.16666698455810547</v>
      </c>
      <c r="AM104" s="110">
        <v>497213967.5</v>
      </c>
      <c r="AN104" s="871">
        <f t="shared" si="31"/>
        <v>0</v>
      </c>
      <c r="AO104" s="110">
        <v>2876203995.8330002</v>
      </c>
      <c r="AP104" s="871">
        <f t="shared" si="32"/>
        <v>3.3283233642578125E-4</v>
      </c>
      <c r="AQ104" s="1169">
        <v>-2876203996</v>
      </c>
      <c r="AR104" s="1178">
        <f t="shared" si="33"/>
        <v>-0.16666698455810547</v>
      </c>
      <c r="AS104" s="1178"/>
      <c r="AT104" s="1170"/>
      <c r="AU104" s="1179"/>
    </row>
    <row r="105" spans="1:47">
      <c r="B105" s="66" t="s">
        <v>208</v>
      </c>
      <c r="C105" s="73">
        <f t="shared" si="23"/>
        <v>11938715117.771873</v>
      </c>
      <c r="D105" s="73"/>
      <c r="E105" s="73">
        <f>'5. Mesin'!AD315</f>
        <v>2825466549.1614575</v>
      </c>
      <c r="F105" s="73"/>
      <c r="G105" s="73">
        <v>0</v>
      </c>
      <c r="H105" s="73"/>
      <c r="I105" s="73"/>
      <c r="J105" s="74"/>
      <c r="K105" s="73">
        <f t="shared" si="24"/>
        <v>14764181666.933331</v>
      </c>
      <c r="L105" s="110">
        <v>2067321482</v>
      </c>
      <c r="M105" s="871">
        <f t="shared" si="25"/>
        <v>758145067.16145754</v>
      </c>
      <c r="N105" s="66"/>
      <c r="O105" s="66"/>
      <c r="P105" s="66"/>
      <c r="Q105" s="110">
        <v>18710335978.610413</v>
      </c>
      <c r="R105" s="66"/>
      <c r="S105" s="871">
        <f t="shared" si="26"/>
        <v>-3946154311.6770821</v>
      </c>
      <c r="T105" s="110">
        <v>2067321482</v>
      </c>
      <c r="U105" s="871">
        <f t="shared" si="27"/>
        <v>758145067.16145754</v>
      </c>
      <c r="V105" s="66"/>
      <c r="X105" s="110">
        <v>14751888474.558334</v>
      </c>
      <c r="Y105" s="1071">
        <f t="shared" si="28"/>
        <v>12293192.374996185</v>
      </c>
      <c r="AG105" s="110">
        <v>2813173356.5583334</v>
      </c>
      <c r="AH105" s="66">
        <f t="shared" si="29"/>
        <v>12293192.603124142</v>
      </c>
      <c r="AJ105" s="110">
        <v>14751888474</v>
      </c>
      <c r="AK105" s="1077">
        <f t="shared" si="30"/>
        <v>12293192.933330536</v>
      </c>
      <c r="AM105" s="110">
        <v>2813173356.5583334</v>
      </c>
      <c r="AN105" s="871">
        <f t="shared" si="31"/>
        <v>12293192.603124142</v>
      </c>
      <c r="AO105" s="110">
        <v>14751888474.33</v>
      </c>
      <c r="AP105" s="871">
        <f t="shared" si="32"/>
        <v>12293192.603330612</v>
      </c>
      <c r="AQ105" s="1177">
        <v>-14764181667</v>
      </c>
      <c r="AR105" s="1178">
        <f t="shared" si="33"/>
        <v>-6.6669464111328125E-2</v>
      </c>
      <c r="AS105" s="1177"/>
      <c r="AT105" s="1177"/>
      <c r="AU105" s="1179"/>
    </row>
    <row r="106" spans="1:47">
      <c r="B106" s="66" t="s">
        <v>923</v>
      </c>
      <c r="C106" s="73">
        <f t="shared" si="23"/>
        <v>251950000</v>
      </c>
      <c r="D106" s="73"/>
      <c r="E106" s="73">
        <f>'6. Instalasi Elektrik'!AD43</f>
        <v>72614000</v>
      </c>
      <c r="F106" s="73"/>
      <c r="G106" s="73">
        <v>0</v>
      </c>
      <c r="H106" s="73"/>
      <c r="I106" s="73"/>
      <c r="J106" s="74"/>
      <c r="K106" s="73">
        <f t="shared" si="24"/>
        <v>324564000</v>
      </c>
      <c r="L106" s="110">
        <v>183324556</v>
      </c>
      <c r="M106" s="871">
        <f t="shared" si="25"/>
        <v>-110710556</v>
      </c>
      <c r="N106" s="66"/>
      <c r="O106" s="66"/>
      <c r="P106" s="66"/>
      <c r="Q106" s="110">
        <v>927079000</v>
      </c>
      <c r="R106" s="66"/>
      <c r="S106" s="871">
        <f t="shared" si="26"/>
        <v>-602515000</v>
      </c>
      <c r="T106" s="110">
        <v>183324556</v>
      </c>
      <c r="U106" s="871">
        <f t="shared" si="27"/>
        <v>-110710556</v>
      </c>
      <c r="V106" s="66"/>
      <c r="X106" s="110">
        <v>324564000</v>
      </c>
      <c r="Y106" s="1071">
        <f t="shared" si="28"/>
        <v>0</v>
      </c>
      <c r="AG106" s="110">
        <v>72614000</v>
      </c>
      <c r="AH106" s="66">
        <f t="shared" si="29"/>
        <v>0</v>
      </c>
      <c r="AJ106" s="110">
        <v>324564000</v>
      </c>
      <c r="AK106" s="1077">
        <f t="shared" si="30"/>
        <v>0</v>
      </c>
      <c r="AM106" s="110">
        <v>72614000</v>
      </c>
      <c r="AN106" s="871">
        <f t="shared" si="31"/>
        <v>0</v>
      </c>
      <c r="AO106" s="110">
        <v>324564000</v>
      </c>
      <c r="AP106" s="871">
        <f t="shared" si="32"/>
        <v>0</v>
      </c>
      <c r="AQ106" s="1169">
        <v>-324564000</v>
      </c>
      <c r="AR106" s="1178">
        <f t="shared" si="33"/>
        <v>0</v>
      </c>
      <c r="AS106" s="1178"/>
      <c r="AT106" s="1170"/>
      <c r="AU106" s="1179"/>
    </row>
    <row r="107" spans="1:47">
      <c r="B107" s="66" t="s">
        <v>203</v>
      </c>
      <c r="C107" s="73">
        <f t="shared" si="23"/>
        <v>5262557500</v>
      </c>
      <c r="D107" s="73"/>
      <c r="E107" s="73">
        <f>'7. Kendaraan'!AD69</f>
        <v>1042020000</v>
      </c>
      <c r="F107" s="73"/>
      <c r="G107" s="73">
        <v>0</v>
      </c>
      <c r="H107" s="73"/>
      <c r="I107" s="73">
        <v>0</v>
      </c>
      <c r="J107" s="75"/>
      <c r="K107" s="73">
        <f t="shared" si="24"/>
        <v>6304577500</v>
      </c>
      <c r="L107" s="110">
        <v>951212496</v>
      </c>
      <c r="M107" s="871">
        <f t="shared" si="25"/>
        <v>90807504</v>
      </c>
      <c r="N107" s="66"/>
      <c r="O107" s="66"/>
      <c r="P107" s="66"/>
      <c r="Q107" s="110">
        <v>6311015000</v>
      </c>
      <c r="R107" s="66"/>
      <c r="S107" s="871">
        <f t="shared" si="26"/>
        <v>-6437500</v>
      </c>
      <c r="T107" s="110">
        <v>951212496</v>
      </c>
      <c r="U107" s="871">
        <f t="shared" si="27"/>
        <v>90807504</v>
      </c>
      <c r="V107" s="66"/>
      <c r="X107" s="110">
        <v>5087477500</v>
      </c>
      <c r="Y107" s="1071">
        <f t="shared" si="28"/>
        <v>1217100000</v>
      </c>
      <c r="AF107" s="110"/>
      <c r="AG107" s="110">
        <v>1042020000</v>
      </c>
      <c r="AH107" s="66">
        <f t="shared" si="29"/>
        <v>0</v>
      </c>
      <c r="AJ107" s="110">
        <v>6304577500</v>
      </c>
      <c r="AK107" s="1077">
        <f t="shared" si="30"/>
        <v>0</v>
      </c>
      <c r="AM107" s="110">
        <v>1042020000</v>
      </c>
      <c r="AN107" s="871">
        <f t="shared" si="31"/>
        <v>0</v>
      </c>
      <c r="AO107" s="110">
        <v>6304577500</v>
      </c>
      <c r="AP107" s="871">
        <f t="shared" si="32"/>
        <v>0</v>
      </c>
      <c r="AQ107" s="1169">
        <v>-6304577500</v>
      </c>
      <c r="AR107" s="1178">
        <f t="shared" si="33"/>
        <v>0</v>
      </c>
      <c r="AS107" s="1178"/>
      <c r="AT107" s="1170"/>
      <c r="AU107" s="1179"/>
    </row>
    <row r="108" spans="1:47">
      <c r="B108" s="66" t="s">
        <v>924</v>
      </c>
      <c r="C108" s="73">
        <f t="shared" si="23"/>
        <v>1008985868.2916667</v>
      </c>
      <c r="D108" s="73"/>
      <c r="E108" s="73">
        <f>'8 Peralatan &amp; Perlengkapan'!AD149</f>
        <v>81179312.75</v>
      </c>
      <c r="F108" s="73"/>
      <c r="G108" s="73">
        <v>0</v>
      </c>
      <c r="H108" s="73"/>
      <c r="I108" s="73">
        <v>0</v>
      </c>
      <c r="J108" s="76"/>
      <c r="K108" s="73">
        <f t="shared" si="24"/>
        <v>1090165181.0416667</v>
      </c>
      <c r="L108" s="110">
        <v>113536277</v>
      </c>
      <c r="M108" s="871">
        <f t="shared" si="25"/>
        <v>-32356964.25</v>
      </c>
      <c r="N108" s="66"/>
      <c r="O108" s="66"/>
      <c r="P108" s="66"/>
      <c r="Q108" s="110">
        <v>637270958.83333325</v>
      </c>
      <c r="R108" s="66"/>
      <c r="S108" s="871">
        <f t="shared" si="26"/>
        <v>452894222.20833349</v>
      </c>
      <c r="T108" s="110">
        <v>113536277</v>
      </c>
      <c r="U108" s="871">
        <f t="shared" si="27"/>
        <v>-32356964.25</v>
      </c>
      <c r="V108" s="66"/>
      <c r="X108" s="110">
        <v>1090165180.75</v>
      </c>
      <c r="Y108" s="1071">
        <f t="shared" si="28"/>
        <v>0.29166674613952637</v>
      </c>
      <c r="AG108" s="110">
        <v>81179312.75</v>
      </c>
      <c r="AH108" s="66">
        <f t="shared" si="29"/>
        <v>0</v>
      </c>
      <c r="AJ108" s="110">
        <v>1090165181</v>
      </c>
      <c r="AK108" s="1077">
        <f t="shared" si="30"/>
        <v>4.1666746139526367E-2</v>
      </c>
      <c r="AM108" s="110">
        <v>81179312.75</v>
      </c>
      <c r="AN108" s="871">
        <f t="shared" si="31"/>
        <v>0</v>
      </c>
      <c r="AO108" s="110">
        <v>1090165181.0420001</v>
      </c>
      <c r="AP108" s="871">
        <f t="shared" si="32"/>
        <v>-3.3330917358398438E-4</v>
      </c>
      <c r="AQ108" s="1169">
        <v>-1090165181</v>
      </c>
      <c r="AR108" s="1178">
        <f t="shared" si="33"/>
        <v>4.1666746139526367E-2</v>
      </c>
      <c r="AS108" s="1178"/>
      <c r="AT108" s="1170"/>
      <c r="AU108" s="1179"/>
    </row>
    <row r="109" spans="1:47">
      <c r="B109" s="66" t="s">
        <v>903</v>
      </c>
      <c r="C109" s="1191">
        <f>K143+17284095</f>
        <v>6372089892.416667</v>
      </c>
      <c r="D109" s="73"/>
      <c r="E109" s="73">
        <f>'9. Infrastruktur'!AD50</f>
        <v>1366692118.45</v>
      </c>
      <c r="F109" s="73"/>
      <c r="G109" s="73">
        <v>0</v>
      </c>
      <c r="H109" s="73"/>
      <c r="I109" s="73">
        <v>0</v>
      </c>
      <c r="J109" s="77"/>
      <c r="K109" s="73">
        <f t="shared" si="24"/>
        <v>7738782010.8666668</v>
      </c>
      <c r="L109" s="110">
        <v>547236300</v>
      </c>
      <c r="M109" s="871">
        <f t="shared" si="25"/>
        <v>819455818.45000005</v>
      </c>
      <c r="N109" s="66"/>
      <c r="O109" s="66"/>
      <c r="P109" s="66"/>
      <c r="Q109" s="110">
        <v>15709901461.725</v>
      </c>
      <c r="R109" s="66"/>
      <c r="S109" s="871">
        <f t="shared" si="26"/>
        <v>-7971119450.8583336</v>
      </c>
      <c r="T109" s="110">
        <v>547236300</v>
      </c>
      <c r="U109" s="871">
        <f t="shared" si="27"/>
        <v>819455818.45000005</v>
      </c>
      <c r="V109" s="66"/>
      <c r="X109" s="110">
        <v>10014118269.325001</v>
      </c>
      <c r="Y109" s="871">
        <f t="shared" si="28"/>
        <v>-2275336258.458334</v>
      </c>
      <c r="AA109" s="110">
        <v>547236300</v>
      </c>
      <c r="AB109" s="871">
        <f>E109-AA109</f>
        <v>819455818.45000005</v>
      </c>
      <c r="AD109" s="110">
        <v>8938597915.9916687</v>
      </c>
      <c r="AE109" s="871">
        <f>K109-AD109</f>
        <v>-1199815905.1250019</v>
      </c>
      <c r="AF109" s="110"/>
      <c r="AG109" s="110">
        <v>1366692118.45</v>
      </c>
      <c r="AH109" s="110">
        <f t="shared" si="29"/>
        <v>0</v>
      </c>
      <c r="AJ109" s="110">
        <v>7721497915.8669996</v>
      </c>
      <c r="AK109" s="1077">
        <f t="shared" si="30"/>
        <v>17284094.999667168</v>
      </c>
      <c r="AM109" s="110">
        <v>1366692118.45</v>
      </c>
      <c r="AN109" s="871">
        <f t="shared" si="31"/>
        <v>0</v>
      </c>
      <c r="AO109" s="110">
        <v>7721497915.8669996</v>
      </c>
      <c r="AP109" s="871">
        <f t="shared" si="32"/>
        <v>17284094.999667168</v>
      </c>
      <c r="AQ109" s="1169">
        <v>-7738782011</v>
      </c>
      <c r="AR109" s="1178">
        <f t="shared" si="33"/>
        <v>-0.13333320617675781</v>
      </c>
      <c r="AS109" s="1179"/>
      <c r="AT109" s="1169">
        <v>7361090287</v>
      </c>
      <c r="AU109" s="1176">
        <f>E111-AT109</f>
        <v>-0.27770900726318359</v>
      </c>
    </row>
    <row r="110" spans="1:47" s="64" customFormat="1" ht="4.5" customHeight="1">
      <c r="A110" s="62"/>
      <c r="B110" s="78"/>
      <c r="C110" s="79"/>
      <c r="D110" s="80"/>
      <c r="E110" s="79"/>
      <c r="F110" s="80"/>
      <c r="G110" s="79"/>
      <c r="H110" s="80"/>
      <c r="I110" s="79"/>
      <c r="J110" s="81"/>
      <c r="K110" s="79"/>
      <c r="L110" s="188"/>
      <c r="T110" s="188"/>
      <c r="AI110" s="188"/>
    </row>
    <row r="111" spans="1:47" ht="13">
      <c r="B111" s="72" t="s">
        <v>204</v>
      </c>
      <c r="C111" s="82">
        <f>SUM(C102:C110)</f>
        <v>33392228459.510166</v>
      </c>
      <c r="D111" s="77"/>
      <c r="E111" s="82">
        <f>SUM(E102:E110)</f>
        <v>7361090286.722291</v>
      </c>
      <c r="F111" s="83"/>
      <c r="G111" s="82">
        <f>SUM(G102:G110)</f>
        <v>0</v>
      </c>
      <c r="H111" s="83">
        <f>SUM(H102:H109)</f>
        <v>0</v>
      </c>
      <c r="I111" s="82">
        <f>SUM(I102:I110)</f>
        <v>0</v>
      </c>
      <c r="J111" s="83"/>
      <c r="K111" s="82">
        <f>SUM(K102:K110)</f>
        <v>40753318746.23246</v>
      </c>
      <c r="M111" s="66"/>
      <c r="N111" s="66"/>
      <c r="O111" s="66"/>
      <c r="P111" s="66"/>
      <c r="Q111" s="66"/>
      <c r="R111" s="66"/>
      <c r="S111" s="66"/>
      <c r="U111" s="66"/>
      <c r="V111" s="66"/>
      <c r="AQ111" s="1154" t="s">
        <v>1158</v>
      </c>
      <c r="AR111" s="1155" t="s">
        <v>1282</v>
      </c>
      <c r="AS111" s="1154" t="s">
        <v>1158</v>
      </c>
      <c r="AT111" s="1155" t="s">
        <v>1283</v>
      </c>
    </row>
    <row r="112" spans="1:47" s="64" customFormat="1" ht="4.5" customHeight="1">
      <c r="A112" s="62"/>
      <c r="B112" s="78"/>
      <c r="C112" s="84"/>
      <c r="D112" s="85"/>
      <c r="E112" s="84"/>
      <c r="F112" s="85"/>
      <c r="G112" s="84"/>
      <c r="H112" s="85"/>
      <c r="I112" s="84"/>
      <c r="J112" s="85"/>
      <c r="K112" s="84"/>
      <c r="L112" s="188"/>
      <c r="T112" s="188"/>
      <c r="AI112" s="188"/>
      <c r="AR112" s="188"/>
    </row>
    <row r="113" spans="2:46" ht="13.5" thickBot="1">
      <c r="B113" s="72" t="s">
        <v>206</v>
      </c>
      <c r="C113" s="87">
        <f>C99-C111</f>
        <v>55981415444.369843</v>
      </c>
      <c r="D113" s="88"/>
      <c r="E113" s="89"/>
      <c r="F113" s="88"/>
      <c r="H113" s="88"/>
      <c r="J113" s="88"/>
      <c r="K113" s="87">
        <f>K99-K111</f>
        <v>62859440240.067543</v>
      </c>
      <c r="M113" s="66"/>
      <c r="N113" s="66"/>
      <c r="O113" s="66"/>
      <c r="P113" s="66"/>
      <c r="Q113" s="66"/>
      <c r="R113" s="66"/>
      <c r="S113" s="66"/>
      <c r="U113" s="66"/>
      <c r="V113" s="66"/>
      <c r="AG113" s="71"/>
      <c r="AH113" s="871"/>
      <c r="AQ113" s="71">
        <v>7361090287</v>
      </c>
      <c r="AR113" s="110">
        <f>E111-AQ113</f>
        <v>-0.27770900726318359</v>
      </c>
      <c r="AS113" s="110">
        <v>-40753318747</v>
      </c>
      <c r="AT113" s="871">
        <f>K111+AS113</f>
        <v>-0.76753997802734375</v>
      </c>
    </row>
    <row r="114" spans="2:46" ht="13" thickTop="1">
      <c r="E114" s="89"/>
      <c r="M114" s="66"/>
      <c r="N114" s="66"/>
      <c r="O114" s="66"/>
      <c r="P114" s="66"/>
      <c r="Q114" s="66"/>
      <c r="R114" s="66"/>
      <c r="S114" s="66"/>
      <c r="U114" s="66"/>
      <c r="V114" s="66"/>
    </row>
    <row r="115" spans="2:46" ht="13">
      <c r="C115" s="1300">
        <v>2020</v>
      </c>
      <c r="D115" s="1301"/>
      <c r="E115" s="1301"/>
      <c r="F115" s="1301"/>
      <c r="G115" s="1301"/>
      <c r="H115" s="1301"/>
      <c r="I115" s="1301"/>
      <c r="J115" s="1301"/>
      <c r="K115" s="1301"/>
      <c r="L115" s="1023" t="s">
        <v>1137</v>
      </c>
      <c r="M115" s="921" t="s">
        <v>225</v>
      </c>
      <c r="N115" s="66"/>
      <c r="O115" s="66"/>
      <c r="P115" s="66"/>
      <c r="Q115" s="66"/>
      <c r="R115" s="66"/>
      <c r="S115" s="66"/>
      <c r="U115" s="66"/>
      <c r="V115" s="66"/>
    </row>
    <row r="116" spans="2:46" ht="13">
      <c r="C116" s="67" t="s">
        <v>30</v>
      </c>
      <c r="D116" s="69"/>
      <c r="E116" s="67" t="s">
        <v>29</v>
      </c>
      <c r="F116" s="69"/>
      <c r="G116" s="67" t="s">
        <v>196</v>
      </c>
      <c r="H116" s="69"/>
      <c r="I116" s="67" t="s">
        <v>197</v>
      </c>
      <c r="J116" s="69"/>
      <c r="K116" s="67" t="s">
        <v>198</v>
      </c>
      <c r="M116" s="66"/>
      <c r="N116" s="66"/>
      <c r="O116" s="66"/>
      <c r="P116" s="66"/>
      <c r="Q116" s="66"/>
      <c r="R116" s="66"/>
      <c r="S116" s="66"/>
      <c r="U116" s="66"/>
      <c r="V116" s="66"/>
    </row>
    <row r="117" spans="2:46" ht="13">
      <c r="D117" s="72"/>
      <c r="F117" s="72"/>
      <c r="H117" s="72"/>
      <c r="J117" s="72"/>
      <c r="M117" s="66"/>
      <c r="N117" s="66"/>
      <c r="O117" s="66"/>
      <c r="P117" s="66"/>
      <c r="Q117" s="66"/>
      <c r="R117" s="66"/>
      <c r="S117" s="66"/>
      <c r="U117" s="66"/>
      <c r="V117" s="66"/>
    </row>
    <row r="118" spans="2:46" ht="13">
      <c r="B118" s="72" t="s">
        <v>201</v>
      </c>
      <c r="D118" s="72"/>
      <c r="F118" s="72"/>
      <c r="H118" s="72"/>
      <c r="J118" s="72"/>
      <c r="M118" s="66"/>
      <c r="N118" s="66"/>
      <c r="O118" s="66"/>
      <c r="P118" s="66"/>
      <c r="Q118" s="66"/>
      <c r="R118" s="66"/>
      <c r="S118" s="66"/>
      <c r="U118" s="66"/>
      <c r="V118" s="66"/>
    </row>
    <row r="119" spans="2:46">
      <c r="B119" s="66" t="s">
        <v>207</v>
      </c>
      <c r="C119" s="922">
        <f>'1. Tanah'!B21</f>
        <v>0</v>
      </c>
      <c r="E119" s="73">
        <v>0</v>
      </c>
      <c r="G119" s="73">
        <v>0</v>
      </c>
      <c r="K119" s="924">
        <f t="shared" ref="K119:K127" si="34">C119+E119+G119+I119</f>
        <v>0</v>
      </c>
      <c r="M119" s="110"/>
      <c r="N119" s="66"/>
      <c r="O119" s="871"/>
      <c r="P119" s="66"/>
      <c r="Q119" s="110">
        <v>8793817749</v>
      </c>
      <c r="R119" s="66"/>
      <c r="S119" s="871">
        <f t="shared" ref="S119:S127" si="35">Q119-K119</f>
        <v>8793817749</v>
      </c>
      <c r="T119" s="110">
        <v>8793817749</v>
      </c>
      <c r="U119" s="871">
        <f t="shared" ref="U119:U127" si="36">K119-T119</f>
        <v>-8793817749</v>
      </c>
      <c r="V119" s="66"/>
    </row>
    <row r="120" spans="2:46">
      <c r="B120" s="66" t="s">
        <v>47</v>
      </c>
      <c r="C120" s="922">
        <f>'2. Bangunan'!E126</f>
        <v>27419762986.979996</v>
      </c>
      <c r="D120" s="73"/>
      <c r="E120" s="73">
        <f>'2. Bangunan'!F126</f>
        <v>0</v>
      </c>
      <c r="F120" s="73"/>
      <c r="G120" s="73">
        <v>0</v>
      </c>
      <c r="H120" s="73"/>
      <c r="I120" s="73">
        <v>0</v>
      </c>
      <c r="J120" s="74"/>
      <c r="K120" s="924">
        <f t="shared" si="34"/>
        <v>27419762986.979996</v>
      </c>
      <c r="M120" s="110"/>
      <c r="N120" s="66"/>
      <c r="O120" s="871"/>
      <c r="P120" s="66"/>
      <c r="Q120" s="110">
        <v>31938422207.279999</v>
      </c>
      <c r="R120" s="66"/>
      <c r="S120" s="871">
        <f t="shared" si="35"/>
        <v>4518659220.3000031</v>
      </c>
      <c r="T120" s="110">
        <v>31526945374</v>
      </c>
      <c r="U120" s="871">
        <f t="shared" si="36"/>
        <v>-4107182387.0200043</v>
      </c>
      <c r="V120" s="66"/>
      <c r="AF120" s="110">
        <v>27419762987</v>
      </c>
      <c r="AG120" s="871">
        <f t="shared" ref="AG120:AG127" si="37">K120-AF120</f>
        <v>-2.00042724609375E-2</v>
      </c>
      <c r="AI120" s="110">
        <v>27419762987</v>
      </c>
      <c r="AJ120" s="871">
        <f t="shared" ref="AJ120:AJ127" si="38">K120-AI120</f>
        <v>-2.00042724609375E-2</v>
      </c>
    </row>
    <row r="121" spans="2:46">
      <c r="B121" s="66" t="s">
        <v>211</v>
      </c>
      <c r="C121" s="922">
        <f>'3. Sumur Bor'!E50</f>
        <v>401196000</v>
      </c>
      <c r="D121" s="73"/>
      <c r="E121" s="73">
        <f>'3. Sumur Bor'!F51</f>
        <v>43863500</v>
      </c>
      <c r="F121" s="73"/>
      <c r="G121" s="73">
        <v>0</v>
      </c>
      <c r="H121" s="73"/>
      <c r="I121" s="73"/>
      <c r="J121" s="74"/>
      <c r="K121" s="924">
        <f t="shared" si="34"/>
        <v>445059500</v>
      </c>
      <c r="M121" s="110"/>
      <c r="N121" s="66"/>
      <c r="O121" s="871"/>
      <c r="P121" s="66"/>
      <c r="Q121" s="110">
        <v>624472308</v>
      </c>
      <c r="R121" s="66"/>
      <c r="S121" s="871">
        <f t="shared" si="35"/>
        <v>179412808</v>
      </c>
      <c r="T121" s="110">
        <v>565140570</v>
      </c>
      <c r="U121" s="871">
        <f t="shared" si="36"/>
        <v>-120081070</v>
      </c>
      <c r="V121" s="66"/>
      <c r="AF121" s="110">
        <v>445059500</v>
      </c>
      <c r="AG121" s="871">
        <f t="shared" si="37"/>
        <v>0</v>
      </c>
      <c r="AI121" s="110">
        <v>445059500</v>
      </c>
      <c r="AJ121" s="871">
        <f t="shared" si="38"/>
        <v>0</v>
      </c>
    </row>
    <row r="122" spans="2:46">
      <c r="B122" s="66" t="s">
        <v>922</v>
      </c>
      <c r="C122" s="922">
        <f>'4. Sarana &amp; Prasarana'!E39</f>
        <v>6200217370</v>
      </c>
      <c r="D122" s="73"/>
      <c r="E122" s="73">
        <f>'4. Sarana &amp; Prasarana'!F40</f>
        <v>0</v>
      </c>
      <c r="F122" s="73"/>
      <c r="G122" s="73">
        <v>0</v>
      </c>
      <c r="H122" s="73"/>
      <c r="I122" s="73"/>
      <c r="J122" s="74"/>
      <c r="K122" s="924">
        <f t="shared" si="34"/>
        <v>6200217370</v>
      </c>
      <c r="M122" s="110"/>
      <c r="N122" s="66"/>
      <c r="O122" s="871"/>
      <c r="P122" s="66"/>
      <c r="Q122" s="996">
        <v>17167939611.360001</v>
      </c>
      <c r="R122" s="66"/>
      <c r="S122" s="871">
        <f t="shared" si="35"/>
        <v>10967722241.360001</v>
      </c>
      <c r="T122" s="110">
        <v>5727182097</v>
      </c>
      <c r="U122" s="871">
        <f t="shared" si="36"/>
        <v>473035273</v>
      </c>
      <c r="V122" s="66"/>
      <c r="AA122" s="110">
        <v>4499799597</v>
      </c>
      <c r="AB122" s="871">
        <f>K122-AA122</f>
        <v>1700417773</v>
      </c>
      <c r="AF122" s="110">
        <v>6200217370</v>
      </c>
      <c r="AG122" s="871">
        <f t="shared" si="37"/>
        <v>0</v>
      </c>
      <c r="AI122" s="110">
        <v>6200217370</v>
      </c>
      <c r="AJ122" s="871">
        <f t="shared" si="38"/>
        <v>0</v>
      </c>
    </row>
    <row r="123" spans="2:46">
      <c r="B123" s="66" t="s">
        <v>208</v>
      </c>
      <c r="C123" s="674">
        <f>'5. Mesin'!E325</f>
        <v>28268513018.299999</v>
      </c>
      <c r="D123" s="73"/>
      <c r="E123" s="73">
        <f>'5. Mesin'!F326</f>
        <v>15875000</v>
      </c>
      <c r="F123" s="73"/>
      <c r="G123" s="73">
        <v>0</v>
      </c>
      <c r="H123" s="73"/>
      <c r="I123" s="73"/>
      <c r="J123" s="74"/>
      <c r="K123" s="674">
        <f t="shared" si="34"/>
        <v>28284388018.299999</v>
      </c>
      <c r="M123" s="871"/>
      <c r="O123" s="68" t="s">
        <v>1136</v>
      </c>
      <c r="P123" s="66"/>
      <c r="Q123" s="110">
        <v>42347341187.300003</v>
      </c>
      <c r="R123" s="66"/>
      <c r="S123" s="871">
        <f t="shared" si="35"/>
        <v>14062953169.000004</v>
      </c>
      <c r="T123" s="110">
        <v>36407364059</v>
      </c>
      <c r="U123" s="871">
        <f t="shared" si="36"/>
        <v>-8122976040.7000008</v>
      </c>
      <c r="V123" s="66"/>
      <c r="AA123" s="110"/>
      <c r="AF123" s="110">
        <v>28284388018</v>
      </c>
      <c r="AG123" s="871">
        <f t="shared" si="37"/>
        <v>0.29999923706054688</v>
      </c>
      <c r="AI123" s="110">
        <v>28284388018</v>
      </c>
      <c r="AJ123" s="871">
        <f t="shared" si="38"/>
        <v>0.29999923706054688</v>
      </c>
    </row>
    <row r="124" spans="2:46">
      <c r="B124" s="66" t="s">
        <v>923</v>
      </c>
      <c r="C124" s="922">
        <f>'6. Instalasi Elektrik'!E52</f>
        <v>1007800000</v>
      </c>
      <c r="D124" s="73"/>
      <c r="E124" s="73">
        <f>'6. Instalasi Elektrik'!F53</f>
        <v>0</v>
      </c>
      <c r="F124" s="73"/>
      <c r="G124" s="73">
        <v>0</v>
      </c>
      <c r="H124" s="73"/>
      <c r="I124" s="73"/>
      <c r="J124" s="74"/>
      <c r="K124" s="924">
        <f t="shared" si="34"/>
        <v>1007800000</v>
      </c>
      <c r="M124" s="110"/>
      <c r="N124" s="66"/>
      <c r="O124" s="871"/>
      <c r="P124" s="66"/>
      <c r="Q124" s="110">
        <v>3629451000</v>
      </c>
      <c r="R124" s="66"/>
      <c r="S124" s="871">
        <f t="shared" si="35"/>
        <v>2621651000</v>
      </c>
      <c r="T124" s="110">
        <v>3102721721</v>
      </c>
      <c r="U124" s="871">
        <f t="shared" si="36"/>
        <v>-2094921721</v>
      </c>
      <c r="V124" s="66"/>
      <c r="AA124" s="110"/>
      <c r="AF124" s="110">
        <v>1007800000</v>
      </c>
      <c r="AG124" s="871">
        <f t="shared" si="37"/>
        <v>0</v>
      </c>
      <c r="AI124" s="110">
        <v>1007800000</v>
      </c>
      <c r="AJ124" s="871">
        <f t="shared" si="38"/>
        <v>0</v>
      </c>
    </row>
    <row r="125" spans="2:46" ht="14.5">
      <c r="B125" s="66" t="s">
        <v>203</v>
      </c>
      <c r="C125" s="922">
        <f>'7. Kendaraan'!E78</f>
        <v>8342660000</v>
      </c>
      <c r="D125" s="73"/>
      <c r="E125" s="73">
        <f>'7. Kendaraan'!F79</f>
        <v>0</v>
      </c>
      <c r="F125" s="73"/>
      <c r="G125" s="73">
        <v>0</v>
      </c>
      <c r="H125" s="73"/>
      <c r="I125" s="73">
        <v>0</v>
      </c>
      <c r="J125" s="75"/>
      <c r="K125" s="924">
        <f t="shared" si="34"/>
        <v>8342660000</v>
      </c>
      <c r="M125" s="110"/>
      <c r="N125" s="66"/>
      <c r="O125" s="871"/>
      <c r="P125" s="66"/>
      <c r="Q125" s="110">
        <v>7907060000</v>
      </c>
      <c r="R125" s="66"/>
      <c r="S125" s="871">
        <f t="shared" si="35"/>
        <v>-435600000</v>
      </c>
      <c r="T125" s="1069">
        <v>7455853989</v>
      </c>
      <c r="U125" s="871">
        <f t="shared" si="36"/>
        <v>886806011</v>
      </c>
      <c r="V125" s="66"/>
      <c r="AA125" s="110"/>
      <c r="AF125" s="110">
        <v>8342660000</v>
      </c>
      <c r="AG125" s="871">
        <f t="shared" si="37"/>
        <v>0</v>
      </c>
      <c r="AI125" s="110">
        <v>8342660000</v>
      </c>
      <c r="AJ125" s="871">
        <f t="shared" si="38"/>
        <v>0</v>
      </c>
    </row>
    <row r="126" spans="2:46">
      <c r="B126" s="66" t="s">
        <v>924</v>
      </c>
      <c r="C126" s="73">
        <f>'8 Peralatan &amp; Perlengkapan'!E158</f>
        <v>1197357796</v>
      </c>
      <c r="D126" s="73"/>
      <c r="E126" s="73">
        <f>'8 Peralatan &amp; Perlengkapan'!F159</f>
        <v>11640000</v>
      </c>
      <c r="F126" s="73"/>
      <c r="G126" s="73">
        <v>0</v>
      </c>
      <c r="H126" s="73"/>
      <c r="I126" s="73">
        <v>0</v>
      </c>
      <c r="J126" s="76"/>
      <c r="K126" s="73">
        <f t="shared" si="34"/>
        <v>1208997796</v>
      </c>
      <c r="L126" s="110">
        <v>1524554351.45</v>
      </c>
      <c r="M126" s="871">
        <f>L126-K126</f>
        <v>315556555.45000005</v>
      </c>
      <c r="N126" s="66"/>
      <c r="O126" s="871" t="s">
        <v>1135</v>
      </c>
      <c r="P126" s="66"/>
      <c r="Q126" s="996">
        <v>1529054351</v>
      </c>
      <c r="R126" s="66"/>
      <c r="S126" s="871">
        <f t="shared" si="35"/>
        <v>320056555</v>
      </c>
      <c r="T126" s="110">
        <v>1406351672.5</v>
      </c>
      <c r="U126" s="871">
        <f t="shared" si="36"/>
        <v>-197353876.5</v>
      </c>
      <c r="V126" s="66"/>
      <c r="AA126" s="110"/>
      <c r="AF126" s="110">
        <v>1208997795.5</v>
      </c>
      <c r="AG126" s="871">
        <f t="shared" si="37"/>
        <v>0.5</v>
      </c>
      <c r="AI126" s="110">
        <v>1208997795.5</v>
      </c>
      <c r="AJ126" s="871">
        <f t="shared" si="38"/>
        <v>0.5</v>
      </c>
    </row>
    <row r="127" spans="2:46">
      <c r="B127" s="66" t="s">
        <v>903</v>
      </c>
      <c r="C127" s="922">
        <f>'9. Infrastruktur'!E60</f>
        <v>11170379446.6</v>
      </c>
      <c r="D127" s="73"/>
      <c r="E127" s="73">
        <f>'9. Infrastruktur'!F60</f>
        <v>0</v>
      </c>
      <c r="F127" s="73"/>
      <c r="G127" s="73">
        <v>0</v>
      </c>
      <c r="H127" s="73"/>
      <c r="I127" s="73">
        <v>0</v>
      </c>
      <c r="J127" s="77"/>
      <c r="K127" s="924">
        <f t="shared" si="34"/>
        <v>11170379446.6</v>
      </c>
      <c r="M127" s="110"/>
      <c r="N127" s="66"/>
      <c r="O127" s="871"/>
      <c r="P127" s="66"/>
      <c r="Q127" s="110">
        <v>19627281251.099998</v>
      </c>
      <c r="R127" s="66"/>
      <c r="S127" s="871">
        <f t="shared" si="35"/>
        <v>8456901804.4999981</v>
      </c>
      <c r="T127" s="110">
        <v>16676812739</v>
      </c>
      <c r="U127" s="871">
        <f t="shared" si="36"/>
        <v>-5506433292.3999996</v>
      </c>
      <c r="V127" s="66"/>
      <c r="AA127" s="110">
        <v>15662175570</v>
      </c>
      <c r="AB127" s="110">
        <f>K127-AA127</f>
        <v>-4491796123.3999996</v>
      </c>
      <c r="AF127" s="110">
        <v>11170379447</v>
      </c>
      <c r="AG127" s="871">
        <f t="shared" si="37"/>
        <v>-0.39999961853027344</v>
      </c>
      <c r="AI127" s="110">
        <v>11170379447</v>
      </c>
      <c r="AJ127" s="871">
        <f t="shared" si="38"/>
        <v>-0.39999961853027344</v>
      </c>
    </row>
    <row r="128" spans="2:46">
      <c r="B128" s="78"/>
      <c r="C128" s="79"/>
      <c r="D128" s="80"/>
      <c r="E128" s="79"/>
      <c r="F128" s="80"/>
      <c r="G128" s="79"/>
      <c r="H128" s="80"/>
      <c r="I128" s="79"/>
      <c r="J128" s="81"/>
      <c r="K128" s="79"/>
      <c r="M128" s="871"/>
      <c r="N128" s="66"/>
      <c r="O128" s="66"/>
      <c r="P128" s="66"/>
      <c r="Q128" s="66"/>
      <c r="R128" s="66"/>
      <c r="S128" s="66"/>
      <c r="U128" s="66"/>
      <c r="V128" s="66"/>
    </row>
    <row r="129" spans="2:41" ht="13">
      <c r="B129" s="72" t="s">
        <v>204</v>
      </c>
      <c r="C129" s="82">
        <f>SUM(C119:C127)</f>
        <v>84007886617.880005</v>
      </c>
      <c r="D129" s="77"/>
      <c r="E129" s="82">
        <f>SUM(E119:E127)</f>
        <v>71378500</v>
      </c>
      <c r="F129" s="83"/>
      <c r="G129" s="82">
        <f>SUM(G119:G127)</f>
        <v>0</v>
      </c>
      <c r="H129" s="83">
        <f>SUM(H120:H127)</f>
        <v>0</v>
      </c>
      <c r="I129" s="82">
        <f>SUM(I120:I127)</f>
        <v>0</v>
      </c>
      <c r="J129" s="83">
        <f>SUM(J120:J127)</f>
        <v>0</v>
      </c>
      <c r="K129" s="925">
        <f>SUM(K119:K127)</f>
        <v>84079265117.880005</v>
      </c>
      <c r="L129" s="110">
        <v>133564839665.73999</v>
      </c>
      <c r="M129" s="871">
        <f>K129-L129</f>
        <v>-49485574547.859985</v>
      </c>
      <c r="N129" s="66"/>
      <c r="O129" s="66"/>
      <c r="P129" s="66"/>
      <c r="Q129" s="998">
        <f>SUM(Q119:Q127)</f>
        <v>133564839665.04001</v>
      </c>
      <c r="R129" s="66"/>
      <c r="S129" s="66"/>
      <c r="U129" s="66"/>
      <c r="V129" s="66"/>
    </row>
    <row r="130" spans="2:41">
      <c r="C130" s="84"/>
      <c r="D130" s="85"/>
      <c r="E130" s="84"/>
      <c r="F130" s="85"/>
      <c r="G130" s="84"/>
      <c r="H130" s="85"/>
      <c r="I130" s="84"/>
      <c r="J130" s="85"/>
      <c r="K130" s="84"/>
      <c r="M130" s="66"/>
      <c r="N130" s="66"/>
      <c r="O130" s="66"/>
      <c r="P130" s="66"/>
      <c r="Q130" s="66"/>
      <c r="R130" s="66"/>
      <c r="S130" s="66"/>
      <c r="U130" s="66"/>
      <c r="V130" s="66"/>
    </row>
    <row r="131" spans="2:41">
      <c r="B131" s="66" t="s">
        <v>222</v>
      </c>
      <c r="C131" s="73">
        <f>K203</f>
        <v>662701220</v>
      </c>
      <c r="D131" s="73"/>
      <c r="E131" s="73">
        <f>4704049298-72371732</f>
        <v>4631677566</v>
      </c>
      <c r="F131" s="73"/>
      <c r="G131" s="73">
        <v>0</v>
      </c>
      <c r="H131" s="73"/>
      <c r="I131" s="73">
        <v>0</v>
      </c>
      <c r="J131" s="77"/>
      <c r="K131" s="924">
        <f>C131+E131+G131+I131</f>
        <v>5294378786</v>
      </c>
      <c r="M131" s="66"/>
      <c r="N131" s="66"/>
      <c r="O131" s="66"/>
      <c r="P131" s="66"/>
      <c r="Q131" s="66"/>
      <c r="R131" s="66"/>
      <c r="S131" s="66"/>
      <c r="U131" s="66"/>
      <c r="V131" s="66"/>
    </row>
    <row r="132" spans="2:41">
      <c r="C132" s="79"/>
      <c r="D132" s="80"/>
      <c r="E132" s="79"/>
      <c r="F132" s="80"/>
      <c r="G132" s="79"/>
      <c r="H132" s="80"/>
      <c r="I132" s="79"/>
      <c r="J132" s="81"/>
      <c r="K132" s="79"/>
      <c r="M132" s="66"/>
      <c r="N132" s="66"/>
      <c r="O132" s="66"/>
      <c r="P132" s="66"/>
      <c r="Q132" s="66"/>
      <c r="R132" s="66"/>
      <c r="S132" s="66"/>
      <c r="U132" s="66"/>
      <c r="V132" s="66"/>
    </row>
    <row r="133" spans="2:41" ht="13">
      <c r="B133" s="72" t="s">
        <v>204</v>
      </c>
      <c r="C133" s="100">
        <f>C129+C131</f>
        <v>84670587837.880005</v>
      </c>
      <c r="D133" s="77"/>
      <c r="E133" s="100">
        <f>E129+E131</f>
        <v>4703056066</v>
      </c>
      <c r="F133" s="83"/>
      <c r="G133" s="100">
        <f>G129+G131</f>
        <v>0</v>
      </c>
      <c r="H133" s="83">
        <f>SUM(H124:H131)</f>
        <v>0</v>
      </c>
      <c r="I133" s="82">
        <f>SUM(I124:I131)</f>
        <v>0</v>
      </c>
      <c r="J133" s="83">
        <f>SUM(J124:J131)</f>
        <v>0</v>
      </c>
      <c r="K133" s="100">
        <f>K129+K131</f>
        <v>89373643903.880005</v>
      </c>
      <c r="M133" s="66"/>
      <c r="N133" s="66"/>
      <c r="O133" s="66"/>
      <c r="P133" s="66"/>
      <c r="Q133" s="66"/>
      <c r="R133" s="66"/>
      <c r="S133" s="66"/>
      <c r="U133" s="66"/>
      <c r="V133" s="66"/>
    </row>
    <row r="134" spans="2:41" ht="13">
      <c r="C134" s="1300">
        <v>2020</v>
      </c>
      <c r="D134" s="1301"/>
      <c r="E134" s="1301"/>
      <c r="F134" s="1301"/>
      <c r="G134" s="1301"/>
      <c r="H134" s="1301"/>
      <c r="I134" s="1301"/>
      <c r="J134" s="1301"/>
      <c r="K134" s="1301"/>
      <c r="M134" s="926" t="s">
        <v>1133</v>
      </c>
      <c r="N134" s="927"/>
      <c r="O134" s="926" t="s">
        <v>1132</v>
      </c>
      <c r="P134" s="928"/>
      <c r="Q134" s="929" t="s">
        <v>1131</v>
      </c>
      <c r="R134" s="928"/>
      <c r="S134" s="930" t="s">
        <v>1132</v>
      </c>
      <c r="U134" s="66"/>
      <c r="V134" s="66"/>
    </row>
    <row r="135" spans="2:41" ht="13">
      <c r="B135" s="72" t="s">
        <v>205</v>
      </c>
      <c r="C135" s="74"/>
      <c r="D135" s="86"/>
      <c r="E135" s="74"/>
      <c r="F135" s="86"/>
      <c r="G135" s="74"/>
      <c r="H135" s="86"/>
      <c r="I135" s="74"/>
      <c r="J135" s="86"/>
      <c r="K135" s="74"/>
      <c r="L135" s="999" t="s">
        <v>1160</v>
      </c>
      <c r="M135" s="1002" t="s">
        <v>1132</v>
      </c>
      <c r="N135" s="927"/>
      <c r="O135" s="927"/>
      <c r="P135" s="928"/>
      <c r="Q135" s="1000" t="s">
        <v>1159</v>
      </c>
      <c r="R135" s="928"/>
      <c r="S135" s="928"/>
      <c r="U135" s="66"/>
      <c r="V135" s="66"/>
    </row>
    <row r="136" spans="2:41">
      <c r="B136" s="66" t="s">
        <v>47</v>
      </c>
      <c r="C136" s="1036">
        <f>'2. Bangunan'!X115</f>
        <v>4559692515.8476248</v>
      </c>
      <c r="D136" s="73"/>
      <c r="E136" s="73">
        <f>'2. Bangunan'!AB115</f>
        <v>1371953849.349</v>
      </c>
      <c r="F136" s="73"/>
      <c r="G136" s="73">
        <v>0</v>
      </c>
      <c r="H136" s="73"/>
      <c r="I136" s="73">
        <v>0</v>
      </c>
      <c r="J136" s="74"/>
      <c r="K136" s="73">
        <f t="shared" ref="K136:K143" si="39">C136+E136+G136+I136</f>
        <v>5931646365.1966248</v>
      </c>
      <c r="L136" s="999">
        <v>1363192476</v>
      </c>
      <c r="M136" s="1002">
        <f t="shared" ref="M136:M143" si="40">E136-L136</f>
        <v>8761373.3489999771</v>
      </c>
      <c r="N136" s="927"/>
      <c r="O136" s="927">
        <f t="shared" ref="O136:O143" si="41">K136-M136</f>
        <v>5922884991.8476248</v>
      </c>
      <c r="P136" s="928"/>
      <c r="Q136" s="999">
        <v>6343120698.349</v>
      </c>
      <c r="R136" s="1000"/>
      <c r="S136" s="1001">
        <f t="shared" ref="S136:S143" si="42">K136-Q136</f>
        <v>-411474333.15237522</v>
      </c>
      <c r="T136" s="999">
        <v>1363192476</v>
      </c>
      <c r="U136" s="871">
        <f t="shared" ref="U136:U143" si="43">E136-T136</f>
        <v>8761373.3489999771</v>
      </c>
      <c r="V136" s="66"/>
      <c r="X136" s="110">
        <v>6343123199</v>
      </c>
      <c r="Y136" s="871">
        <f t="shared" ref="Y136:Y143" si="44">K136-X136</f>
        <v>-411476833.80337524</v>
      </c>
      <c r="AF136" s="110">
        <v>1371953849.349</v>
      </c>
      <c r="AG136" s="871">
        <f t="shared" ref="AG136:AG143" si="45">E136-AF136</f>
        <v>0</v>
      </c>
      <c r="AI136" s="110">
        <v>5931646365</v>
      </c>
      <c r="AJ136" s="871">
        <f t="shared" ref="AJ136:AJ143" si="46">K136-AI136</f>
        <v>0.196624755859375</v>
      </c>
      <c r="AK136" s="110">
        <v>5931646365</v>
      </c>
      <c r="AL136" s="871">
        <f t="shared" ref="AL136:AL143" si="47">K136-AK136</f>
        <v>0.196624755859375</v>
      </c>
      <c r="AN136" s="110">
        <v>1371953849.349</v>
      </c>
      <c r="AO136" s="871">
        <f t="shared" ref="AO136:AO143" si="48">E136-AN136</f>
        <v>0</v>
      </c>
    </row>
    <row r="137" spans="2:41">
      <c r="B137" s="66" t="s">
        <v>211</v>
      </c>
      <c r="C137" s="1036">
        <f>'3. Sumur Bor'!X40</f>
        <v>191661250</v>
      </c>
      <c r="D137" s="73"/>
      <c r="E137" s="73">
        <f>'3. Sumur Bor'!AB40</f>
        <v>55632437.5</v>
      </c>
      <c r="F137" s="73"/>
      <c r="G137" s="73">
        <v>0</v>
      </c>
      <c r="H137" s="73"/>
      <c r="I137" s="73"/>
      <c r="J137" s="74"/>
      <c r="K137" s="73">
        <f t="shared" si="39"/>
        <v>247293687.5</v>
      </c>
      <c r="L137" s="999">
        <v>62454324</v>
      </c>
      <c r="M137" s="1002">
        <f t="shared" si="40"/>
        <v>-6821886.5</v>
      </c>
      <c r="N137" s="927"/>
      <c r="O137" s="927">
        <f t="shared" si="41"/>
        <v>254115574</v>
      </c>
      <c r="P137" s="928"/>
      <c r="Q137" s="999">
        <v>261546050.5</v>
      </c>
      <c r="R137" s="1000"/>
      <c r="S137" s="1001">
        <f t="shared" si="42"/>
        <v>-14252363</v>
      </c>
      <c r="T137" s="999">
        <v>62454324</v>
      </c>
      <c r="U137" s="871">
        <f t="shared" si="43"/>
        <v>-6821886.5</v>
      </c>
      <c r="V137" s="66"/>
      <c r="X137" s="110">
        <v>306625426</v>
      </c>
      <c r="Y137" s="871">
        <f t="shared" si="44"/>
        <v>-59331738.5</v>
      </c>
      <c r="AA137" s="110"/>
      <c r="AF137" s="110">
        <v>55632437.5</v>
      </c>
      <c r="AG137" s="871">
        <f t="shared" si="45"/>
        <v>0</v>
      </c>
      <c r="AI137" s="110">
        <v>247293687.5</v>
      </c>
      <c r="AJ137" s="871">
        <f t="shared" si="46"/>
        <v>0</v>
      </c>
      <c r="AK137" s="110">
        <v>247293687.5</v>
      </c>
      <c r="AL137" s="871">
        <f t="shared" si="47"/>
        <v>0</v>
      </c>
      <c r="AN137" s="110">
        <v>55632437.5</v>
      </c>
      <c r="AO137" s="871">
        <f t="shared" si="48"/>
        <v>0</v>
      </c>
    </row>
    <row r="138" spans="2:41">
      <c r="B138" s="66" t="s">
        <v>922</v>
      </c>
      <c r="C138" s="1036">
        <f>'4. Sarana &amp; Prasarana'!X29</f>
        <v>1881776060.8333333</v>
      </c>
      <c r="D138" s="73"/>
      <c r="E138" s="73">
        <f>'4. Sarana &amp; Prasarana'!AB29</f>
        <v>497213967.5</v>
      </c>
      <c r="F138" s="73"/>
      <c r="G138" s="73">
        <v>0</v>
      </c>
      <c r="H138" s="73"/>
      <c r="I138" s="73"/>
      <c r="J138" s="74"/>
      <c r="K138" s="73">
        <f t="shared" si="39"/>
        <v>2378990028.333333</v>
      </c>
      <c r="L138" s="999">
        <v>252468392</v>
      </c>
      <c r="M138" s="1002">
        <f t="shared" si="40"/>
        <v>244745575.5</v>
      </c>
      <c r="N138" s="927"/>
      <c r="O138" s="927">
        <f t="shared" si="41"/>
        <v>2134244452.833333</v>
      </c>
      <c r="P138" s="928"/>
      <c r="Q138" s="999">
        <v>14668640292.5</v>
      </c>
      <c r="R138" s="1000"/>
      <c r="S138" s="1001">
        <f t="shared" si="42"/>
        <v>-12289650264.166668</v>
      </c>
      <c r="T138" s="999">
        <v>252468392</v>
      </c>
      <c r="U138" s="871">
        <f t="shared" si="43"/>
        <v>244745575.5</v>
      </c>
      <c r="V138" s="1000"/>
      <c r="X138" s="110">
        <v>15353975668</v>
      </c>
      <c r="Y138" s="871">
        <f t="shared" si="44"/>
        <v>-12974985639.666668</v>
      </c>
      <c r="AA138" s="110">
        <v>252468392</v>
      </c>
      <c r="AB138" s="871">
        <f>E138-AA138</f>
        <v>244745575.5</v>
      </c>
      <c r="AD138" s="110">
        <v>15047130043</v>
      </c>
      <c r="AE138" s="871">
        <f>AD138-K138</f>
        <v>12668140014.666668</v>
      </c>
      <c r="AF138" s="110">
        <v>497213967.5</v>
      </c>
      <c r="AG138" s="871">
        <f t="shared" si="45"/>
        <v>0</v>
      </c>
      <c r="AI138" s="110">
        <v>2378990028.3299999</v>
      </c>
      <c r="AJ138" s="871">
        <f t="shared" si="46"/>
        <v>3.3330917358398438E-3</v>
      </c>
      <c r="AK138" s="110">
        <v>2378990028.3299999</v>
      </c>
      <c r="AL138" s="871">
        <f t="shared" si="47"/>
        <v>3.3330917358398438E-3</v>
      </c>
      <c r="AN138" s="110">
        <v>497213967.5</v>
      </c>
      <c r="AO138" s="871">
        <f t="shared" si="48"/>
        <v>0</v>
      </c>
    </row>
    <row r="139" spans="2:41">
      <c r="B139" s="66" t="s">
        <v>208</v>
      </c>
      <c r="C139" s="1036">
        <f>'5. Mesin'!W315</f>
        <v>9230035081.4218731</v>
      </c>
      <c r="D139" s="73"/>
      <c r="E139" s="73">
        <f>'5. Mesin'!AA315</f>
        <v>2708680036.3499999</v>
      </c>
      <c r="F139" s="73"/>
      <c r="G139" s="73">
        <v>0</v>
      </c>
      <c r="H139" s="73"/>
      <c r="I139" s="73"/>
      <c r="J139" s="74"/>
      <c r="K139" s="73">
        <f t="shared" si="39"/>
        <v>11938715117.771873</v>
      </c>
      <c r="L139" s="999">
        <v>3527628401</v>
      </c>
      <c r="M139" s="1002">
        <f t="shared" si="40"/>
        <v>-818948364.6500001</v>
      </c>
      <c r="N139" s="927"/>
      <c r="O139" s="927">
        <f t="shared" si="41"/>
        <v>12757663482.421873</v>
      </c>
      <c r="P139" s="928"/>
      <c r="Q139" s="999">
        <v>16432303023.643749</v>
      </c>
      <c r="R139" s="1000"/>
      <c r="S139" s="1001">
        <f t="shared" si="42"/>
        <v>-4493587905.8718758</v>
      </c>
      <c r="T139" s="999">
        <v>3527628401</v>
      </c>
      <c r="U139" s="871">
        <f t="shared" si="43"/>
        <v>-818948364.6500001</v>
      </c>
      <c r="V139" s="1000"/>
      <c r="X139" s="110">
        <v>17878692247</v>
      </c>
      <c r="Y139" s="871">
        <f t="shared" si="44"/>
        <v>-5939977129.2281265</v>
      </c>
      <c r="AA139" s="110"/>
      <c r="AF139" s="110">
        <v>2708680036.3499999</v>
      </c>
      <c r="AG139" s="871">
        <f t="shared" si="45"/>
        <v>0</v>
      </c>
      <c r="AI139" s="110">
        <v>11938715118.23</v>
      </c>
      <c r="AJ139" s="871">
        <f t="shared" si="46"/>
        <v>-0.45812606811523438</v>
      </c>
      <c r="AK139" s="110">
        <v>11938715118.23</v>
      </c>
      <c r="AL139" s="871">
        <f t="shared" si="47"/>
        <v>-0.45812606811523438</v>
      </c>
      <c r="AN139" s="110">
        <v>2708680036.3499999</v>
      </c>
      <c r="AO139" s="871">
        <f t="shared" si="48"/>
        <v>0</v>
      </c>
    </row>
    <row r="140" spans="2:41">
      <c r="B140" s="66" t="s">
        <v>923</v>
      </c>
      <c r="C140" s="1036">
        <f>'6. Instalasi Elektrik'!W43</f>
        <v>201560000</v>
      </c>
      <c r="D140" s="73"/>
      <c r="E140" s="73">
        <f>'6. Instalasi Elektrik'!AA43</f>
        <v>50390000</v>
      </c>
      <c r="F140" s="73"/>
      <c r="G140" s="73">
        <v>0</v>
      </c>
      <c r="H140" s="73"/>
      <c r="I140" s="73"/>
      <c r="J140" s="74"/>
      <c r="K140" s="73">
        <f t="shared" si="39"/>
        <v>251950000</v>
      </c>
      <c r="L140" s="999">
        <v>181472556</v>
      </c>
      <c r="M140" s="1002">
        <f t="shared" si="40"/>
        <v>-131082556</v>
      </c>
      <c r="N140" s="927"/>
      <c r="O140" s="927">
        <f t="shared" si="41"/>
        <v>383032556</v>
      </c>
      <c r="P140" s="928"/>
      <c r="Q140" s="999">
        <v>778679279</v>
      </c>
      <c r="R140" s="1000"/>
      <c r="S140" s="1001">
        <f t="shared" si="42"/>
        <v>-526729279</v>
      </c>
      <c r="T140" s="999">
        <v>181472556</v>
      </c>
      <c r="U140" s="871">
        <f t="shared" si="43"/>
        <v>-131082556</v>
      </c>
      <c r="V140" s="1000"/>
      <c r="X140" s="110">
        <v>778679279</v>
      </c>
      <c r="Y140" s="871">
        <f t="shared" si="44"/>
        <v>-526729279</v>
      </c>
      <c r="AA140" s="110"/>
      <c r="AF140" s="110">
        <v>50390000</v>
      </c>
      <c r="AG140" s="871">
        <f t="shared" si="45"/>
        <v>0</v>
      </c>
      <c r="AI140" s="110">
        <v>251950000</v>
      </c>
      <c r="AJ140" s="871">
        <f t="shared" si="46"/>
        <v>0</v>
      </c>
      <c r="AK140" s="110">
        <v>251950000</v>
      </c>
      <c r="AL140" s="871">
        <f t="shared" si="47"/>
        <v>0</v>
      </c>
      <c r="AN140" s="110">
        <v>50390000</v>
      </c>
      <c r="AO140" s="871">
        <f t="shared" si="48"/>
        <v>0</v>
      </c>
    </row>
    <row r="141" spans="2:41">
      <c r="B141" s="66" t="s">
        <v>203</v>
      </c>
      <c r="C141" s="1036">
        <f>'7. Kendaraan'!W69</f>
        <v>4218750000</v>
      </c>
      <c r="D141" s="73"/>
      <c r="E141" s="73">
        <f>'7. Kendaraan'!AA69</f>
        <v>1043807500</v>
      </c>
      <c r="F141" s="73"/>
      <c r="G141" s="73">
        <v>0</v>
      </c>
      <c r="H141" s="73"/>
      <c r="I141" s="73">
        <v>0</v>
      </c>
      <c r="J141" s="75"/>
      <c r="K141" s="73">
        <f t="shared" si="39"/>
        <v>5262557500</v>
      </c>
      <c r="L141" s="999">
        <v>951212496</v>
      </c>
      <c r="M141" s="1002">
        <f t="shared" si="40"/>
        <v>92595004</v>
      </c>
      <c r="N141" s="927"/>
      <c r="O141" s="927">
        <f t="shared" si="41"/>
        <v>5169962496</v>
      </c>
      <c r="P141" s="928"/>
      <c r="Q141" s="999">
        <v>4351513511</v>
      </c>
      <c r="R141" s="1000"/>
      <c r="S141" s="1001">
        <f t="shared" si="42"/>
        <v>911043989</v>
      </c>
      <c r="T141" s="999">
        <v>951212496</v>
      </c>
      <c r="U141" s="871">
        <f t="shared" si="43"/>
        <v>92595004</v>
      </c>
      <c r="V141" s="1000"/>
      <c r="X141" s="110">
        <v>4699513511</v>
      </c>
      <c r="Y141" s="871">
        <f t="shared" si="44"/>
        <v>563043989</v>
      </c>
      <c r="AA141" s="110"/>
      <c r="AF141" s="110">
        <v>1043807500</v>
      </c>
      <c r="AG141" s="871">
        <f t="shared" si="45"/>
        <v>0</v>
      </c>
      <c r="AH141" s="110"/>
      <c r="AI141" s="110">
        <v>5262557500</v>
      </c>
      <c r="AJ141" s="871">
        <f t="shared" si="46"/>
        <v>0</v>
      </c>
      <c r="AK141" s="110">
        <v>5262557500</v>
      </c>
      <c r="AL141" s="871">
        <f t="shared" si="47"/>
        <v>0</v>
      </c>
      <c r="AN141" s="110">
        <v>1043807500</v>
      </c>
      <c r="AO141" s="871">
        <f t="shared" si="48"/>
        <v>0</v>
      </c>
    </row>
    <row r="142" spans="2:41">
      <c r="B142" s="66" t="s">
        <v>924</v>
      </c>
      <c r="C142" s="1036">
        <f>'8 Peralatan &amp; Perlengkapan'!W149</f>
        <v>826106222.20833337</v>
      </c>
      <c r="D142" s="73"/>
      <c r="E142" s="73">
        <f>'8 Peralatan &amp; Perlengkapan'!AA149</f>
        <v>182879646.08333331</v>
      </c>
      <c r="F142" s="73"/>
      <c r="G142" s="73">
        <v>0</v>
      </c>
      <c r="H142" s="73"/>
      <c r="I142" s="73">
        <v>0</v>
      </c>
      <c r="J142" s="76"/>
      <c r="K142" s="73">
        <f t="shared" si="39"/>
        <v>1008985868.2916667</v>
      </c>
      <c r="L142" s="999">
        <v>243214426</v>
      </c>
      <c r="M142" s="1002">
        <f t="shared" si="40"/>
        <v>-60334779.916666687</v>
      </c>
      <c r="N142" s="927"/>
      <c r="O142" s="927">
        <f t="shared" si="41"/>
        <v>1069320648.2083335</v>
      </c>
      <c r="P142" s="928"/>
      <c r="Q142" s="999">
        <v>1131688547.0833333</v>
      </c>
      <c r="R142" s="1000"/>
      <c r="S142" s="1001">
        <f t="shared" si="42"/>
        <v>-122702678.79166651</v>
      </c>
      <c r="T142" s="999">
        <v>243214426</v>
      </c>
      <c r="U142" s="871">
        <f t="shared" si="43"/>
        <v>-60334779.916666687</v>
      </c>
      <c r="V142" s="1000"/>
      <c r="X142" s="110">
        <v>1131688548</v>
      </c>
      <c r="Y142" s="871">
        <f t="shared" si="44"/>
        <v>-122702679.70833325</v>
      </c>
      <c r="AA142" s="110"/>
      <c r="AF142" s="110">
        <v>182879646.08333331</v>
      </c>
      <c r="AG142" s="871">
        <f t="shared" si="45"/>
        <v>0</v>
      </c>
      <c r="AI142" s="110">
        <v>1008985868</v>
      </c>
      <c r="AJ142" s="871">
        <f t="shared" si="46"/>
        <v>0.29166674613952637</v>
      </c>
      <c r="AK142" s="110">
        <v>1008985868</v>
      </c>
      <c r="AL142" s="871">
        <f t="shared" si="47"/>
        <v>0.29166674613952637</v>
      </c>
      <c r="AN142" s="110">
        <v>182879646.08333331</v>
      </c>
      <c r="AO142" s="871">
        <f t="shared" si="48"/>
        <v>0</v>
      </c>
    </row>
    <row r="143" spans="2:41">
      <c r="B143" s="66" t="s">
        <v>903</v>
      </c>
      <c r="C143" s="73">
        <f>'9. Infrastruktur'!W50</f>
        <v>5005397774.4666672</v>
      </c>
      <c r="D143" s="73"/>
      <c r="E143" s="73">
        <f>'9. Infrastruktur'!AA50</f>
        <v>1349408022.95</v>
      </c>
      <c r="F143" s="73"/>
      <c r="G143" s="73">
        <v>0</v>
      </c>
      <c r="H143" s="73"/>
      <c r="I143" s="73">
        <v>0</v>
      </c>
      <c r="J143" s="77"/>
      <c r="K143" s="73">
        <f t="shared" si="39"/>
        <v>6354805797.416667</v>
      </c>
      <c r="L143" s="999">
        <v>598685628</v>
      </c>
      <c r="M143" s="1002">
        <f t="shared" si="40"/>
        <v>750722394.95000005</v>
      </c>
      <c r="N143" s="927"/>
      <c r="O143" s="927">
        <f t="shared" si="41"/>
        <v>5604083402.4666672</v>
      </c>
      <c r="P143" s="928"/>
      <c r="Q143" s="999">
        <v>11758086820.75</v>
      </c>
      <c r="R143" s="1000"/>
      <c r="S143" s="1001">
        <f t="shared" si="42"/>
        <v>-5403281023.333333</v>
      </c>
      <c r="T143" s="999">
        <v>598685628</v>
      </c>
      <c r="U143" s="871">
        <f t="shared" si="43"/>
        <v>750722394.95000005</v>
      </c>
      <c r="V143" s="1000"/>
      <c r="X143" s="110">
        <v>11668070026</v>
      </c>
      <c r="Y143" s="871">
        <f t="shared" si="44"/>
        <v>-5313264228.583333</v>
      </c>
      <c r="AA143" s="110">
        <v>598685628</v>
      </c>
      <c r="AB143" s="871">
        <f>E143-AA143</f>
        <v>750722394.95000005</v>
      </c>
      <c r="AD143" s="110">
        <v>11334161479</v>
      </c>
      <c r="AE143" s="871">
        <f>AD143-K143</f>
        <v>4979355681.583333</v>
      </c>
      <c r="AF143" s="110">
        <v>1349408022.95</v>
      </c>
      <c r="AG143" s="871">
        <f t="shared" si="45"/>
        <v>0</v>
      </c>
      <c r="AI143" s="110">
        <v>6354805797</v>
      </c>
      <c r="AJ143" s="871">
        <f t="shared" si="46"/>
        <v>0.41666698455810547</v>
      </c>
      <c r="AK143" s="110">
        <v>6354805797</v>
      </c>
      <c r="AL143" s="871">
        <f t="shared" si="47"/>
        <v>0.41666698455810547</v>
      </c>
      <c r="AN143" s="110">
        <v>1349408022.95</v>
      </c>
      <c r="AO143" s="871">
        <f t="shared" si="48"/>
        <v>0</v>
      </c>
    </row>
    <row r="144" spans="2:41">
      <c r="B144" s="78"/>
      <c r="C144" s="79"/>
      <c r="D144" s="80"/>
      <c r="E144" s="79"/>
      <c r="F144" s="80"/>
      <c r="G144" s="79"/>
      <c r="H144" s="80"/>
      <c r="I144" s="79"/>
      <c r="J144" s="81"/>
      <c r="K144" s="79"/>
      <c r="L144" s="999"/>
      <c r="M144" s="1000"/>
      <c r="N144" s="928"/>
      <c r="O144" s="928"/>
      <c r="P144" s="928"/>
      <c r="Q144" s="928"/>
      <c r="R144" s="928"/>
      <c r="S144" s="928"/>
      <c r="T144" s="999"/>
      <c r="U144" s="1000"/>
      <c r="V144" s="1000"/>
      <c r="AA144" s="110"/>
    </row>
    <row r="145" spans="2:22" ht="13">
      <c r="B145" s="72" t="s">
        <v>204</v>
      </c>
      <c r="C145" s="82">
        <f>SUM(C136:C144)</f>
        <v>26114978904.777828</v>
      </c>
      <c r="D145" s="77"/>
      <c r="E145" s="82">
        <f>SUM(E136:E144)</f>
        <v>7259965459.7323322</v>
      </c>
      <c r="F145" s="83"/>
      <c r="G145" s="82">
        <f>SUM(G136:G144)</f>
        <v>0</v>
      </c>
      <c r="H145" s="83">
        <f>SUM(H136:H143)</f>
        <v>0</v>
      </c>
      <c r="I145" s="82">
        <f>SUM(I136:I144)</f>
        <v>0</v>
      </c>
      <c r="J145" s="83"/>
      <c r="K145" s="82">
        <f>SUM(K136:K144)</f>
        <v>33374944364.510166</v>
      </c>
      <c r="L145" s="1023">
        <f>SUM(L136:L143)</f>
        <v>7180328699</v>
      </c>
      <c r="M145" s="66"/>
      <c r="N145" s="66"/>
      <c r="O145" s="66"/>
      <c r="P145" s="66"/>
      <c r="Q145" s="998">
        <f>SUM(Q136:Q143)</f>
        <v>55725578222.826088</v>
      </c>
      <c r="R145" s="66"/>
      <c r="S145" s="66"/>
      <c r="T145" s="999"/>
      <c r="U145" s="1000"/>
      <c r="V145" s="1000"/>
    </row>
    <row r="146" spans="2:22">
      <c r="B146" s="78"/>
      <c r="C146" s="84"/>
      <c r="D146" s="85"/>
      <c r="E146" s="84"/>
      <c r="F146" s="85"/>
      <c r="G146" s="84"/>
      <c r="H146" s="85"/>
      <c r="I146" s="84"/>
      <c r="J146" s="85"/>
      <c r="K146" s="84"/>
      <c r="M146" s="66"/>
      <c r="N146" s="66"/>
      <c r="O146" s="66"/>
      <c r="P146" s="66"/>
      <c r="Q146" s="66"/>
      <c r="R146" s="66"/>
      <c r="S146" s="66"/>
      <c r="T146" s="999"/>
      <c r="U146" s="1000"/>
      <c r="V146" s="1000"/>
    </row>
    <row r="147" spans="2:22" ht="13.5" thickBot="1">
      <c r="B147" s="72" t="s">
        <v>206</v>
      </c>
      <c r="C147" s="87">
        <f>C129-C145</f>
        <v>57892907713.102173</v>
      </c>
      <c r="D147" s="88"/>
      <c r="E147" s="89"/>
      <c r="F147" s="88"/>
      <c r="H147" s="88"/>
      <c r="J147" s="88"/>
      <c r="K147" s="87">
        <f>K133-K145</f>
        <v>55998699539.369843</v>
      </c>
      <c r="M147" s="66"/>
      <c r="N147" s="66"/>
      <c r="O147" s="66"/>
      <c r="P147" s="66"/>
      <c r="Q147" s="66"/>
      <c r="R147" s="66"/>
      <c r="S147" s="66"/>
      <c r="U147" s="66"/>
      <c r="V147" s="66"/>
    </row>
    <row r="148" spans="2:22" ht="13" thickTop="1"/>
    <row r="149" spans="2:22" ht="13" hidden="1">
      <c r="C149" s="1300">
        <v>2019</v>
      </c>
      <c r="D149" s="1301"/>
      <c r="E149" s="1301"/>
      <c r="F149" s="1301"/>
      <c r="G149" s="1301"/>
      <c r="H149" s="1301"/>
      <c r="I149" s="1301"/>
      <c r="J149" s="1301"/>
      <c r="K149" s="1301"/>
      <c r="M149" s="1303">
        <v>2019</v>
      </c>
      <c r="N149" s="1303"/>
      <c r="O149" s="1303"/>
      <c r="P149" s="1303"/>
      <c r="Q149" s="1303"/>
      <c r="R149" s="1303"/>
      <c r="S149" s="1303"/>
      <c r="U149" s="1302">
        <v>2019</v>
      </c>
      <c r="V149" s="1302"/>
    </row>
    <row r="150" spans="2:22" ht="13" hidden="1">
      <c r="C150" s="67" t="s">
        <v>30</v>
      </c>
      <c r="D150" s="69"/>
      <c r="E150" s="67" t="s">
        <v>29</v>
      </c>
      <c r="F150" s="69"/>
      <c r="G150" s="67" t="s">
        <v>196</v>
      </c>
      <c r="H150" s="69"/>
      <c r="I150" s="67" t="s">
        <v>197</v>
      </c>
      <c r="J150" s="69"/>
      <c r="K150" s="67" t="s">
        <v>198</v>
      </c>
      <c r="M150" s="106" t="s">
        <v>30</v>
      </c>
      <c r="N150" s="105"/>
      <c r="O150" s="106" t="s">
        <v>29</v>
      </c>
      <c r="P150" s="69"/>
      <c r="Q150" s="106" t="s">
        <v>196</v>
      </c>
      <c r="R150" s="105"/>
      <c r="S150" s="106" t="s">
        <v>198</v>
      </c>
      <c r="U150" s="106" t="s">
        <v>30</v>
      </c>
      <c r="V150" s="932"/>
    </row>
    <row r="151" spans="2:22" ht="13" hidden="1">
      <c r="D151" s="72"/>
      <c r="F151" s="72"/>
      <c r="H151" s="72"/>
      <c r="J151" s="72"/>
      <c r="N151" s="97"/>
      <c r="P151" s="97"/>
      <c r="R151" s="97"/>
      <c r="V151" s="933"/>
    </row>
    <row r="152" spans="2:22" ht="13" hidden="1">
      <c r="B152" s="72" t="s">
        <v>201</v>
      </c>
      <c r="D152" s="72"/>
      <c r="F152" s="72"/>
      <c r="H152" s="72"/>
      <c r="J152" s="72"/>
      <c r="N152" s="97"/>
      <c r="P152" s="97"/>
      <c r="R152" s="97"/>
      <c r="V152" s="933"/>
    </row>
    <row r="153" spans="2:22" hidden="1">
      <c r="B153" s="66" t="s">
        <v>207</v>
      </c>
      <c r="C153" s="73"/>
      <c r="E153" s="73"/>
      <c r="G153" s="73">
        <v>0</v>
      </c>
      <c r="K153" s="73">
        <f t="shared" ref="K153:K161" si="49">C153+E153+G153+I153</f>
        <v>0</v>
      </c>
      <c r="M153" s="68">
        <v>11934000000</v>
      </c>
      <c r="O153" s="68">
        <v>0</v>
      </c>
      <c r="Q153" s="68">
        <v>0</v>
      </c>
      <c r="S153" s="73">
        <f>M153+O153-Q153</f>
        <v>11934000000</v>
      </c>
      <c r="U153" s="931">
        <f>C153-M153</f>
        <v>-11934000000</v>
      </c>
    </row>
    <row r="154" spans="2:22" hidden="1">
      <c r="B154" s="66" t="s">
        <v>47</v>
      </c>
      <c r="C154" s="73"/>
      <c r="D154" s="73"/>
      <c r="E154" s="73"/>
      <c r="F154" s="73"/>
      <c r="G154" s="73">
        <v>0</v>
      </c>
      <c r="H154" s="73"/>
      <c r="I154" s="73">
        <v>0</v>
      </c>
      <c r="J154" s="74"/>
      <c r="K154" s="73">
        <f t="shared" si="49"/>
        <v>0</v>
      </c>
      <c r="M154" s="68">
        <v>14343332500</v>
      </c>
      <c r="O154" s="68">
        <v>0</v>
      </c>
      <c r="Q154" s="68">
        <v>0</v>
      </c>
      <c r="S154" s="73">
        <f t="shared" ref="S154:S161" si="50">M154+O154-Q154</f>
        <v>14343332500</v>
      </c>
      <c r="U154" s="931">
        <f t="shared" ref="U154:U161" si="51">C154-M154</f>
        <v>-14343332500</v>
      </c>
    </row>
    <row r="155" spans="2:22" hidden="1">
      <c r="B155" s="66" t="s">
        <v>208</v>
      </c>
      <c r="C155" s="73"/>
      <c r="D155" s="73"/>
      <c r="E155" s="73"/>
      <c r="F155" s="73"/>
      <c r="G155" s="73">
        <v>0</v>
      </c>
      <c r="H155" s="73"/>
      <c r="I155" s="73"/>
      <c r="J155" s="74"/>
      <c r="K155" s="73">
        <f t="shared" si="49"/>
        <v>0</v>
      </c>
      <c r="M155" s="68">
        <v>11951239877</v>
      </c>
      <c r="O155" s="68">
        <v>233000000</v>
      </c>
      <c r="Q155" s="68">
        <v>0</v>
      </c>
      <c r="S155" s="73">
        <f t="shared" si="50"/>
        <v>12184239877</v>
      </c>
      <c r="U155" s="931">
        <f t="shared" si="51"/>
        <v>-11951239877</v>
      </c>
    </row>
    <row r="156" spans="2:22" hidden="1">
      <c r="B156" s="66" t="s">
        <v>203</v>
      </c>
      <c r="C156" s="73"/>
      <c r="D156" s="73"/>
      <c r="E156" s="73"/>
      <c r="F156" s="73"/>
      <c r="G156" s="73">
        <v>0</v>
      </c>
      <c r="H156" s="73"/>
      <c r="I156" s="73"/>
      <c r="J156" s="74"/>
      <c r="K156" s="73">
        <f t="shared" si="49"/>
        <v>0</v>
      </c>
      <c r="M156" s="68">
        <v>1399471000</v>
      </c>
      <c r="O156" s="68">
        <v>0</v>
      </c>
      <c r="Q156" s="68">
        <v>0</v>
      </c>
      <c r="S156" s="73">
        <f t="shared" si="50"/>
        <v>1399471000</v>
      </c>
      <c r="U156" s="931">
        <f t="shared" si="51"/>
        <v>-1399471000</v>
      </c>
    </row>
    <row r="157" spans="2:22" hidden="1">
      <c r="B157" s="66" t="s">
        <v>209</v>
      </c>
      <c r="C157" s="73"/>
      <c r="D157" s="73"/>
      <c r="E157" s="73"/>
      <c r="F157" s="73"/>
      <c r="G157" s="73">
        <v>0</v>
      </c>
      <c r="H157" s="73"/>
      <c r="I157" s="73"/>
      <c r="J157" s="74"/>
      <c r="K157" s="73">
        <f t="shared" si="49"/>
        <v>0</v>
      </c>
      <c r="M157" s="68">
        <v>545000000</v>
      </c>
      <c r="O157" s="68">
        <v>0</v>
      </c>
      <c r="Q157" s="68">
        <v>0</v>
      </c>
      <c r="S157" s="73">
        <f t="shared" si="50"/>
        <v>545000000</v>
      </c>
      <c r="U157" s="931">
        <f t="shared" si="51"/>
        <v>-545000000</v>
      </c>
    </row>
    <row r="158" spans="2:22" hidden="1">
      <c r="B158" s="66" t="s">
        <v>202</v>
      </c>
      <c r="C158" s="73"/>
      <c r="D158" s="73"/>
      <c r="E158" s="73"/>
      <c r="F158" s="73"/>
      <c r="G158" s="73">
        <v>0</v>
      </c>
      <c r="H158" s="73"/>
      <c r="I158" s="73"/>
      <c r="J158" s="74"/>
      <c r="K158" s="73">
        <f t="shared" si="49"/>
        <v>0</v>
      </c>
      <c r="M158" s="68">
        <v>152536400</v>
      </c>
      <c r="O158" s="68">
        <v>10363605</v>
      </c>
      <c r="Q158" s="68">
        <v>0</v>
      </c>
      <c r="S158" s="73">
        <f t="shared" si="50"/>
        <v>162900005</v>
      </c>
      <c r="U158" s="931">
        <f t="shared" si="51"/>
        <v>-152536400</v>
      </c>
    </row>
    <row r="159" spans="2:22" hidden="1">
      <c r="B159" s="66" t="s">
        <v>210</v>
      </c>
      <c r="C159" s="73"/>
      <c r="D159" s="73"/>
      <c r="E159" s="73"/>
      <c r="F159" s="73"/>
      <c r="G159" s="73">
        <v>0</v>
      </c>
      <c r="H159" s="73"/>
      <c r="I159" s="73">
        <v>0</v>
      </c>
      <c r="J159" s="75"/>
      <c r="K159" s="73">
        <f t="shared" si="49"/>
        <v>0</v>
      </c>
      <c r="M159" s="68">
        <v>1212971906</v>
      </c>
      <c r="O159" s="68">
        <v>0</v>
      </c>
      <c r="Q159" s="68">
        <v>0</v>
      </c>
      <c r="S159" s="73">
        <f t="shared" si="50"/>
        <v>1212971906</v>
      </c>
      <c r="U159" s="931">
        <f t="shared" si="51"/>
        <v>-1212971906</v>
      </c>
    </row>
    <row r="160" spans="2:22" hidden="1">
      <c r="B160" s="66" t="s">
        <v>211</v>
      </c>
      <c r="C160" s="73"/>
      <c r="D160" s="73"/>
      <c r="E160" s="73"/>
      <c r="F160" s="73"/>
      <c r="G160" s="73">
        <v>0</v>
      </c>
      <c r="H160" s="73"/>
      <c r="I160" s="73">
        <v>0</v>
      </c>
      <c r="J160" s="76"/>
      <c r="K160" s="73">
        <f t="shared" si="49"/>
        <v>0</v>
      </c>
      <c r="M160" s="68">
        <v>310776000</v>
      </c>
      <c r="O160" s="68">
        <v>27165600</v>
      </c>
      <c r="Q160" s="68">
        <v>0</v>
      </c>
      <c r="S160" s="73">
        <f t="shared" si="50"/>
        <v>337941600</v>
      </c>
      <c r="U160" s="931">
        <f t="shared" si="51"/>
        <v>-310776000</v>
      </c>
    </row>
    <row r="161" spans="2:22" hidden="1">
      <c r="B161" s="66" t="s">
        <v>212</v>
      </c>
      <c r="C161" s="73"/>
      <c r="D161" s="73"/>
      <c r="E161" s="73"/>
      <c r="F161" s="73"/>
      <c r="G161" s="73">
        <v>0</v>
      </c>
      <c r="H161" s="73"/>
      <c r="I161" s="73">
        <v>0</v>
      </c>
      <c r="J161" s="77"/>
      <c r="K161" s="73">
        <f t="shared" si="49"/>
        <v>0</v>
      </c>
      <c r="M161" s="68">
        <v>112970000</v>
      </c>
      <c r="O161" s="68">
        <v>0</v>
      </c>
      <c r="Q161" s="68">
        <v>0</v>
      </c>
      <c r="S161" s="73">
        <f t="shared" si="50"/>
        <v>112970000</v>
      </c>
      <c r="U161" s="931">
        <f t="shared" si="51"/>
        <v>-112970000</v>
      </c>
    </row>
    <row r="162" spans="2:22" hidden="1">
      <c r="B162" s="78"/>
      <c r="C162" s="79"/>
      <c r="D162" s="80"/>
      <c r="E162" s="79"/>
      <c r="F162" s="80"/>
      <c r="G162" s="79"/>
      <c r="H162" s="80"/>
      <c r="I162" s="79"/>
      <c r="J162" s="81"/>
      <c r="K162" s="79"/>
      <c r="M162" s="103"/>
      <c r="N162" s="99"/>
      <c r="O162" s="103"/>
      <c r="P162" s="99"/>
      <c r="Q162" s="103"/>
      <c r="R162" s="99"/>
      <c r="S162" s="103"/>
      <c r="U162" s="103"/>
      <c r="V162" s="189"/>
    </row>
    <row r="163" spans="2:22" ht="13" hidden="1">
      <c r="B163" s="72" t="s">
        <v>204</v>
      </c>
      <c r="C163" s="82">
        <f>SUM(C153:C161)</f>
        <v>0</v>
      </c>
      <c r="D163" s="77"/>
      <c r="E163" s="82">
        <f>SUM(E153:E161)</f>
        <v>0</v>
      </c>
      <c r="F163" s="83"/>
      <c r="G163" s="82">
        <f>SUM(G153:G161)</f>
        <v>0</v>
      </c>
      <c r="H163" s="83">
        <f>SUM(H154:H161)</f>
        <v>0</v>
      </c>
      <c r="I163" s="82">
        <f>SUM(I154:I161)</f>
        <v>0</v>
      </c>
      <c r="J163" s="83">
        <f>SUM(J154:J161)</f>
        <v>0</v>
      </c>
      <c r="K163" s="82">
        <f>SUM(K153:K161)</f>
        <v>0</v>
      </c>
      <c r="M163" s="104">
        <f>SUM(M153:M161)</f>
        <v>41962297683</v>
      </c>
      <c r="N163" s="101"/>
      <c r="O163" s="104">
        <f>SUM(O153:O161)</f>
        <v>270529205</v>
      </c>
      <c r="P163" s="101"/>
      <c r="Q163" s="104">
        <f>SUM(Q153:Q161)</f>
        <v>0</v>
      </c>
      <c r="R163" s="101"/>
      <c r="S163" s="104">
        <f>SUM(S153:S161)</f>
        <v>42232826888</v>
      </c>
      <c r="U163" s="934">
        <f>SUM(U153:U161)</f>
        <v>-41962297683</v>
      </c>
      <c r="V163" s="935"/>
    </row>
    <row r="164" spans="2:22" hidden="1">
      <c r="C164" s="84"/>
      <c r="D164" s="85"/>
      <c r="E164" s="84"/>
      <c r="F164" s="85"/>
      <c r="G164" s="84"/>
      <c r="H164" s="85"/>
      <c r="I164" s="84"/>
      <c r="J164" s="85"/>
      <c r="K164" s="84"/>
      <c r="M164" s="84"/>
      <c r="N164" s="85"/>
      <c r="O164" s="84"/>
      <c r="P164" s="85"/>
      <c r="Q164" s="84"/>
      <c r="R164" s="102"/>
      <c r="S164" s="84"/>
      <c r="U164" s="84"/>
      <c r="V164" s="936"/>
    </row>
    <row r="165" spans="2:22" hidden="1">
      <c r="B165" s="66" t="s">
        <v>222</v>
      </c>
      <c r="C165" s="73"/>
      <c r="D165" s="73"/>
      <c r="E165" s="73"/>
      <c r="F165" s="73"/>
      <c r="G165" s="73">
        <v>0</v>
      </c>
      <c r="H165" s="73"/>
      <c r="I165" s="73">
        <v>0</v>
      </c>
      <c r="J165" s="77"/>
      <c r="K165" s="73">
        <f>C165+E165+G165+I165</f>
        <v>0</v>
      </c>
      <c r="M165" s="73">
        <v>0</v>
      </c>
      <c r="N165" s="73"/>
      <c r="O165" s="73">
        <v>600213906</v>
      </c>
      <c r="P165" s="73"/>
      <c r="Q165" s="68">
        <v>0</v>
      </c>
      <c r="R165" s="102"/>
      <c r="S165" s="73">
        <f>M165+O165-Q165</f>
        <v>600213906</v>
      </c>
      <c r="U165" s="674">
        <f>C165-M165</f>
        <v>0</v>
      </c>
      <c r="V165" s="674"/>
    </row>
    <row r="166" spans="2:22" hidden="1">
      <c r="C166" s="79"/>
      <c r="D166" s="80"/>
      <c r="E166" s="79"/>
      <c r="F166" s="80"/>
      <c r="G166" s="79"/>
      <c r="H166" s="80"/>
      <c r="I166" s="79"/>
      <c r="J166" s="81"/>
      <c r="K166" s="79"/>
      <c r="M166" s="79"/>
      <c r="N166" s="80"/>
      <c r="O166" s="79"/>
      <c r="P166" s="80"/>
      <c r="Q166" s="79"/>
      <c r="R166" s="102"/>
      <c r="S166" s="79"/>
      <c r="U166" s="79"/>
      <c r="V166" s="80"/>
    </row>
    <row r="167" spans="2:22" ht="13" hidden="1">
      <c r="B167" s="72" t="s">
        <v>204</v>
      </c>
      <c r="C167" s="100">
        <f>C163+C165</f>
        <v>0</v>
      </c>
      <c r="D167" s="77"/>
      <c r="E167" s="100">
        <f>E163+E165</f>
        <v>0</v>
      </c>
      <c r="F167" s="83"/>
      <c r="G167" s="100">
        <f>G163+G165</f>
        <v>0</v>
      </c>
      <c r="H167" s="83">
        <f>SUM(H158:H165)</f>
        <v>0</v>
      </c>
      <c r="I167" s="82">
        <f>SUM(I158:I165)</f>
        <v>0</v>
      </c>
      <c r="J167" s="83">
        <f>SUM(J158:J165)</f>
        <v>0</v>
      </c>
      <c r="K167" s="100">
        <f>K163+K165</f>
        <v>0</v>
      </c>
      <c r="M167" s="100">
        <f>M163+M165</f>
        <v>41962297683</v>
      </c>
      <c r="N167" s="77"/>
      <c r="O167" s="100">
        <f>O163+O165</f>
        <v>870743111</v>
      </c>
      <c r="P167" s="83"/>
      <c r="Q167" s="100">
        <f>Q163+Q165</f>
        <v>0</v>
      </c>
      <c r="R167" s="101"/>
      <c r="S167" s="100">
        <f>S163+S165</f>
        <v>42833040794</v>
      </c>
      <c r="U167" s="938">
        <f>U163+U165</f>
        <v>-41962297683</v>
      </c>
      <c r="V167" s="939"/>
    </row>
    <row r="168" spans="2:22" hidden="1">
      <c r="C168" s="74"/>
      <c r="D168" s="85"/>
      <c r="E168" s="74"/>
      <c r="F168" s="85"/>
      <c r="G168" s="74"/>
      <c r="H168" s="85"/>
      <c r="I168" s="74"/>
      <c r="J168" s="85"/>
      <c r="K168" s="74"/>
      <c r="N168" s="102"/>
      <c r="P168" s="102"/>
      <c r="R168" s="102"/>
      <c r="V168" s="937"/>
    </row>
    <row r="169" spans="2:22" ht="13" hidden="1">
      <c r="B169" s="72" t="s">
        <v>205</v>
      </c>
      <c r="C169" s="74"/>
      <c r="D169" s="86"/>
      <c r="E169" s="74"/>
      <c r="F169" s="86"/>
      <c r="G169" s="74"/>
      <c r="H169" s="86"/>
      <c r="I169" s="74"/>
      <c r="J169" s="86"/>
      <c r="K169" s="74"/>
    </row>
    <row r="170" spans="2:22" hidden="1">
      <c r="B170" s="66" t="s">
        <v>47</v>
      </c>
      <c r="C170" s="73"/>
      <c r="D170" s="73"/>
      <c r="E170" s="73"/>
      <c r="F170" s="73"/>
      <c r="G170" s="73">
        <v>0</v>
      </c>
      <c r="H170" s="73"/>
      <c r="I170" s="73">
        <v>0</v>
      </c>
      <c r="J170" s="74"/>
      <c r="K170" s="73">
        <f t="shared" ref="K170:K177" si="52">C170+E170+G170+I170</f>
        <v>0</v>
      </c>
      <c r="M170" s="68">
        <v>2449506809</v>
      </c>
      <c r="O170" s="68">
        <v>717166632</v>
      </c>
      <c r="Q170" s="68">
        <v>0</v>
      </c>
      <c r="S170" s="68">
        <f>M170+O170-Q170</f>
        <v>3166673441</v>
      </c>
      <c r="U170" s="931">
        <f t="shared" ref="U170:U177" si="53">C170-M170</f>
        <v>-2449506809</v>
      </c>
    </row>
    <row r="171" spans="2:22" hidden="1">
      <c r="B171" s="66" t="s">
        <v>208</v>
      </c>
      <c r="C171" s="73"/>
      <c r="D171" s="73"/>
      <c r="E171" s="73"/>
      <c r="F171" s="73"/>
      <c r="G171" s="73">
        <v>0</v>
      </c>
      <c r="H171" s="73"/>
      <c r="I171" s="73"/>
      <c r="J171" s="74"/>
      <c r="K171" s="73">
        <f t="shared" si="52"/>
        <v>0</v>
      </c>
      <c r="M171" s="68">
        <v>2264096232</v>
      </c>
      <c r="O171" s="68">
        <v>753020197</v>
      </c>
      <c r="Q171" s="68">
        <v>0</v>
      </c>
      <c r="S171" s="68">
        <f t="shared" ref="S171:S177" si="54">M171+O171-Q171</f>
        <v>3017116429</v>
      </c>
      <c r="U171" s="931">
        <f t="shared" si="53"/>
        <v>-2264096232</v>
      </c>
    </row>
    <row r="172" spans="2:22" hidden="1">
      <c r="B172" s="66" t="s">
        <v>203</v>
      </c>
      <c r="C172" s="73"/>
      <c r="D172" s="73"/>
      <c r="E172" s="73"/>
      <c r="F172" s="73"/>
      <c r="G172" s="73">
        <v>0</v>
      </c>
      <c r="H172" s="73"/>
      <c r="I172" s="73"/>
      <c r="J172" s="74"/>
      <c r="K172" s="73">
        <f t="shared" si="52"/>
        <v>0</v>
      </c>
      <c r="M172" s="68">
        <v>45327270</v>
      </c>
      <c r="O172" s="68">
        <v>174933872</v>
      </c>
      <c r="Q172" s="68">
        <v>0</v>
      </c>
      <c r="S172" s="68">
        <f t="shared" si="54"/>
        <v>220261142</v>
      </c>
      <c r="U172" s="931">
        <f t="shared" si="53"/>
        <v>-45327270</v>
      </c>
    </row>
    <row r="173" spans="2:22" hidden="1">
      <c r="B173" s="66" t="s">
        <v>209</v>
      </c>
      <c r="C173" s="73"/>
      <c r="D173" s="73"/>
      <c r="E173" s="73"/>
      <c r="F173" s="73"/>
      <c r="G173" s="73">
        <v>0</v>
      </c>
      <c r="H173" s="73"/>
      <c r="I173" s="73"/>
      <c r="J173" s="74"/>
      <c r="K173" s="73">
        <f t="shared" si="52"/>
        <v>0</v>
      </c>
      <c r="M173" s="68">
        <v>262656250</v>
      </c>
      <c r="O173" s="68">
        <v>68125000</v>
      </c>
      <c r="Q173" s="68">
        <v>0</v>
      </c>
      <c r="S173" s="68">
        <f t="shared" si="54"/>
        <v>330781250</v>
      </c>
      <c r="U173" s="931">
        <f t="shared" si="53"/>
        <v>-262656250</v>
      </c>
    </row>
    <row r="174" spans="2:22" hidden="1">
      <c r="B174" s="66" t="s">
        <v>202</v>
      </c>
      <c r="C174" s="73"/>
      <c r="D174" s="73"/>
      <c r="E174" s="73"/>
      <c r="F174" s="73"/>
      <c r="G174" s="73">
        <v>0</v>
      </c>
      <c r="H174" s="73"/>
      <c r="I174" s="73"/>
      <c r="J174" s="74"/>
      <c r="K174" s="73">
        <f t="shared" si="52"/>
        <v>0</v>
      </c>
      <c r="M174" s="68">
        <v>92906083</v>
      </c>
      <c r="O174" s="68">
        <v>29304478</v>
      </c>
      <c r="Q174" s="68">
        <v>0</v>
      </c>
      <c r="S174" s="68">
        <f t="shared" si="54"/>
        <v>122210561</v>
      </c>
      <c r="U174" s="931">
        <f t="shared" si="53"/>
        <v>-92906083</v>
      </c>
    </row>
    <row r="175" spans="2:22" hidden="1">
      <c r="B175" s="66" t="s">
        <v>210</v>
      </c>
      <c r="C175" s="73"/>
      <c r="D175" s="73"/>
      <c r="E175" s="73"/>
      <c r="F175" s="73"/>
      <c r="G175" s="73">
        <v>0</v>
      </c>
      <c r="H175" s="73"/>
      <c r="I175" s="73">
        <v>0</v>
      </c>
      <c r="J175" s="75"/>
      <c r="K175" s="73">
        <f t="shared" si="52"/>
        <v>0</v>
      </c>
      <c r="M175" s="68">
        <v>1187244781</v>
      </c>
      <c r="O175" s="68">
        <v>15192410</v>
      </c>
      <c r="Q175" s="68">
        <v>0</v>
      </c>
      <c r="S175" s="68">
        <f t="shared" si="54"/>
        <v>1202437191</v>
      </c>
      <c r="U175" s="931">
        <f t="shared" si="53"/>
        <v>-1187244781</v>
      </c>
    </row>
    <row r="176" spans="2:22" hidden="1">
      <c r="B176" s="66" t="s">
        <v>211</v>
      </c>
      <c r="C176" s="73"/>
      <c r="D176" s="73"/>
      <c r="E176" s="73"/>
      <c r="F176" s="73"/>
      <c r="G176" s="73">
        <v>0</v>
      </c>
      <c r="H176" s="73"/>
      <c r="I176" s="73">
        <v>0</v>
      </c>
      <c r="J176" s="76"/>
      <c r="K176" s="73">
        <f t="shared" si="52"/>
        <v>0</v>
      </c>
      <c r="M176" s="68">
        <v>121205489</v>
      </c>
      <c r="O176" s="68">
        <v>41676750</v>
      </c>
      <c r="Q176" s="68">
        <v>0</v>
      </c>
      <c r="S176" s="68">
        <f t="shared" si="54"/>
        <v>162882239</v>
      </c>
      <c r="U176" s="931">
        <f t="shared" si="53"/>
        <v>-121205489</v>
      </c>
    </row>
    <row r="177" spans="2:33" hidden="1">
      <c r="B177" s="66" t="s">
        <v>212</v>
      </c>
      <c r="C177" s="73"/>
      <c r="D177" s="73"/>
      <c r="E177" s="73"/>
      <c r="F177" s="73"/>
      <c r="G177" s="73">
        <v>0</v>
      </c>
      <c r="H177" s="73"/>
      <c r="I177" s="73">
        <v>0</v>
      </c>
      <c r="J177" s="77"/>
      <c r="K177" s="73">
        <f t="shared" si="52"/>
        <v>0</v>
      </c>
      <c r="M177" s="68">
        <v>11357500</v>
      </c>
      <c r="O177" s="68">
        <v>28242504</v>
      </c>
      <c r="Q177" s="68">
        <v>0</v>
      </c>
      <c r="S177" s="68">
        <f t="shared" si="54"/>
        <v>39600004</v>
      </c>
      <c r="U177" s="931">
        <f t="shared" si="53"/>
        <v>-11357500</v>
      </c>
    </row>
    <row r="178" spans="2:33" hidden="1">
      <c r="B178" s="78"/>
      <c r="C178" s="79"/>
      <c r="D178" s="80"/>
      <c r="E178" s="79"/>
      <c r="F178" s="80"/>
      <c r="G178" s="79"/>
      <c r="H178" s="80"/>
      <c r="I178" s="79"/>
      <c r="J178" s="81"/>
      <c r="K178" s="79"/>
      <c r="M178" s="79"/>
      <c r="N178" s="99"/>
      <c r="O178" s="79"/>
      <c r="P178" s="99"/>
      <c r="Q178" s="79"/>
      <c r="R178" s="99"/>
      <c r="S178" s="79"/>
      <c r="U178" s="79"/>
      <c r="V178" s="189"/>
    </row>
    <row r="179" spans="2:33" ht="13" hidden="1">
      <c r="B179" s="72" t="s">
        <v>204</v>
      </c>
      <c r="C179" s="82">
        <f>SUM(C170:C178)</f>
        <v>0</v>
      </c>
      <c r="D179" s="77"/>
      <c r="E179" s="82">
        <f>SUM(E170:E178)</f>
        <v>0</v>
      </c>
      <c r="F179" s="83"/>
      <c r="G179" s="82">
        <f>SUM(G170:G178)</f>
        <v>0</v>
      </c>
      <c r="H179" s="83">
        <f>SUM(H170:H177)</f>
        <v>0</v>
      </c>
      <c r="I179" s="82">
        <f>SUM(I170:I178)</f>
        <v>0</v>
      </c>
      <c r="J179" s="83"/>
      <c r="K179" s="82">
        <f>SUM(K170:K178)</f>
        <v>0</v>
      </c>
      <c r="M179" s="82">
        <f>SUM(M170:M178)</f>
        <v>6434300414</v>
      </c>
      <c r="N179" s="101"/>
      <c r="O179" s="100">
        <f>SUM(O170:O178)</f>
        <v>1827661843</v>
      </c>
      <c r="P179" s="101"/>
      <c r="Q179" s="104">
        <f>SUM(Q170:Q178)</f>
        <v>0</v>
      </c>
      <c r="R179" s="101"/>
      <c r="S179" s="104">
        <f>SUM(S170:S178)</f>
        <v>8261962257</v>
      </c>
      <c r="U179" s="940">
        <f>SUM(U170:U178)</f>
        <v>-6434300414</v>
      </c>
      <c r="V179" s="935"/>
    </row>
    <row r="180" spans="2:33" hidden="1">
      <c r="B180" s="78"/>
      <c r="C180" s="84"/>
      <c r="D180" s="85"/>
      <c r="E180" s="84"/>
      <c r="F180" s="85"/>
      <c r="G180" s="84"/>
      <c r="H180" s="85"/>
      <c r="I180" s="84"/>
      <c r="J180" s="85"/>
      <c r="K180" s="84"/>
      <c r="M180" s="84"/>
      <c r="N180" s="102"/>
      <c r="O180" s="99"/>
      <c r="P180" s="102"/>
      <c r="Q180" s="99"/>
      <c r="R180" s="102"/>
      <c r="S180" s="99"/>
      <c r="U180" s="84"/>
      <c r="V180" s="937"/>
    </row>
    <row r="181" spans="2:33" ht="13.5" hidden="1" thickBot="1">
      <c r="B181" s="72" t="s">
        <v>206</v>
      </c>
      <c r="C181" s="87">
        <f>C163-C179</f>
        <v>0</v>
      </c>
      <c r="D181" s="88"/>
      <c r="E181" s="89"/>
      <c r="F181" s="88"/>
      <c r="H181" s="88"/>
      <c r="J181" s="88"/>
      <c r="K181" s="87">
        <f>K163-K179</f>
        <v>0</v>
      </c>
      <c r="M181" s="87">
        <f>M167-M179</f>
        <v>35527997269</v>
      </c>
      <c r="N181" s="101"/>
      <c r="P181" s="101"/>
      <c r="R181" s="101"/>
      <c r="S181" s="87">
        <f>S167-S179</f>
        <v>34571078537</v>
      </c>
      <c r="U181" s="941">
        <f>U167-U179</f>
        <v>-35527997269</v>
      </c>
      <c r="V181" s="935"/>
    </row>
    <row r="182" spans="2:33" hidden="1"/>
    <row r="183" spans="2:33" hidden="1">
      <c r="B183" s="1038" t="s">
        <v>1168</v>
      </c>
      <c r="C183" s="110">
        <v>50259650142.970963</v>
      </c>
    </row>
    <row r="184" spans="2:33" hidden="1">
      <c r="C184" s="871">
        <f>C145-C183</f>
        <v>-24144671238.193134</v>
      </c>
    </row>
    <row r="185" spans="2:33" hidden="1"/>
    <row r="186" spans="2:33">
      <c r="C186" s="110"/>
    </row>
    <row r="187" spans="2:33" ht="13">
      <c r="C187" s="1300">
        <v>2019</v>
      </c>
      <c r="D187" s="1301"/>
      <c r="E187" s="1301"/>
      <c r="F187" s="1301"/>
      <c r="G187" s="1301"/>
      <c r="H187" s="1301"/>
      <c r="I187" s="1301"/>
      <c r="J187" s="1301"/>
      <c r="K187" s="1301"/>
    </row>
    <row r="188" spans="2:33" ht="13">
      <c r="C188" s="67" t="s">
        <v>30</v>
      </c>
      <c r="D188" s="69"/>
      <c r="E188" s="67" t="s">
        <v>29</v>
      </c>
      <c r="F188" s="69"/>
      <c r="G188" s="67" t="s">
        <v>196</v>
      </c>
      <c r="H188" s="69"/>
      <c r="I188" s="67" t="s">
        <v>197</v>
      </c>
      <c r="J188" s="69"/>
      <c r="K188" s="67" t="s">
        <v>198</v>
      </c>
    </row>
    <row r="189" spans="2:33" ht="13">
      <c r="D189" s="72"/>
      <c r="F189" s="72"/>
      <c r="H189" s="72"/>
      <c r="J189" s="72"/>
    </row>
    <row r="190" spans="2:33" ht="13">
      <c r="B190" s="72" t="s">
        <v>201</v>
      </c>
      <c r="D190" s="72"/>
      <c r="F190" s="72"/>
      <c r="H190" s="72"/>
      <c r="J190" s="72"/>
    </row>
    <row r="191" spans="2:33">
      <c r="B191" s="66" t="s">
        <v>207</v>
      </c>
      <c r="C191" s="674">
        <f>'1. Tanah'!C23</f>
        <v>0</v>
      </c>
      <c r="E191" s="674">
        <v>0</v>
      </c>
      <c r="G191" s="674">
        <v>0</v>
      </c>
      <c r="K191" s="674">
        <f t="shared" ref="K191:K199" si="55">C191+E191+G191+I191</f>
        <v>0</v>
      </c>
      <c r="Q191" s="68">
        <v>3436245000</v>
      </c>
      <c r="S191" s="68">
        <f>K191-Q191</f>
        <v>-3436245000</v>
      </c>
      <c r="AG191" s="110">
        <v>2538567500</v>
      </c>
    </row>
    <row r="192" spans="2:33">
      <c r="B192" s="66" t="s">
        <v>47</v>
      </c>
      <c r="C192" s="674">
        <f>'2. Bangunan'!E124</f>
        <v>22431353076.149998</v>
      </c>
      <c r="D192" s="674"/>
      <c r="E192" s="674">
        <f>'2. Bangunan'!F125</f>
        <v>4988409910.829998</v>
      </c>
      <c r="F192" s="674"/>
      <c r="G192" s="674">
        <v>0</v>
      </c>
      <c r="H192" s="674"/>
      <c r="I192" s="674">
        <v>0</v>
      </c>
      <c r="J192" s="74"/>
      <c r="K192" s="674">
        <f t="shared" si="55"/>
        <v>27419762986.979996</v>
      </c>
      <c r="Q192" s="68">
        <v>31528823964</v>
      </c>
      <c r="S192" s="68">
        <f t="shared" ref="S192:S199" si="56">K192-Q192</f>
        <v>-4109060977.0200043</v>
      </c>
      <c r="AG192" s="110">
        <v>5602534667</v>
      </c>
    </row>
    <row r="193" spans="2:34">
      <c r="B193" s="66" t="s">
        <v>211</v>
      </c>
      <c r="C193" s="674">
        <f>'3. Sumur Bor'!E49</f>
        <v>376500000</v>
      </c>
      <c r="D193" s="674"/>
      <c r="E193" s="674">
        <f>'3. Sumur Bor'!F50</f>
        <v>24696000</v>
      </c>
      <c r="F193" s="674"/>
      <c r="G193" s="674">
        <v>0</v>
      </c>
      <c r="H193" s="674"/>
      <c r="I193" s="674"/>
      <c r="J193" s="74"/>
      <c r="K193" s="674">
        <f t="shared" si="55"/>
        <v>401196000</v>
      </c>
      <c r="Q193" s="68">
        <v>484649734</v>
      </c>
      <c r="S193" s="68">
        <f t="shared" si="56"/>
        <v>-83453734</v>
      </c>
      <c r="AG193" s="110">
        <v>43863500</v>
      </c>
    </row>
    <row r="194" spans="2:34">
      <c r="B194" s="66" t="s">
        <v>922</v>
      </c>
      <c r="C194" s="674">
        <f>'4. Sarana &amp; Prasarana'!E38</f>
        <v>5802784620</v>
      </c>
      <c r="D194" s="674"/>
      <c r="E194" s="674">
        <f>'4. Sarana &amp; Prasarana'!F39</f>
        <v>397432750</v>
      </c>
      <c r="F194" s="674"/>
      <c r="G194" s="674">
        <v>0</v>
      </c>
      <c r="H194" s="674"/>
      <c r="I194" s="674"/>
      <c r="J194" s="74"/>
      <c r="K194" s="674">
        <f t="shared" si="55"/>
        <v>6200217370</v>
      </c>
      <c r="Q194" s="68">
        <v>6163695438</v>
      </c>
      <c r="S194" s="68">
        <f t="shared" si="56"/>
        <v>36521932</v>
      </c>
      <c r="AG194" s="110">
        <v>5229631620</v>
      </c>
    </row>
    <row r="195" spans="2:34">
      <c r="B195" s="66" t="s">
        <v>208</v>
      </c>
      <c r="C195" s="674">
        <f>'5. Mesin'!E324</f>
        <v>27850844990.299999</v>
      </c>
      <c r="D195" s="674"/>
      <c r="E195" s="674">
        <f>'5. Mesin'!F325</f>
        <v>417668028</v>
      </c>
      <c r="F195" s="674"/>
      <c r="G195" s="674">
        <v>0</v>
      </c>
      <c r="H195" s="674"/>
      <c r="I195" s="674"/>
      <c r="J195" s="74"/>
      <c r="K195" s="674">
        <f t="shared" si="55"/>
        <v>28268513018.299999</v>
      </c>
      <c r="Q195" s="68">
        <v>37164689156</v>
      </c>
      <c r="S195" s="68">
        <f t="shared" si="56"/>
        <v>-8896176137.7000008</v>
      </c>
      <c r="AG195" s="110">
        <v>11377222847</v>
      </c>
    </row>
    <row r="196" spans="2:34">
      <c r="B196" s="66" t="s">
        <v>923</v>
      </c>
      <c r="C196" s="674">
        <f>'6. Instalasi Elektrik'!E51</f>
        <v>1007800000</v>
      </c>
      <c r="D196" s="674"/>
      <c r="E196" s="674">
        <f>'6. Instalasi Elektrik'!F52</f>
        <v>0</v>
      </c>
      <c r="F196" s="674"/>
      <c r="G196" s="674">
        <v>0</v>
      </c>
      <c r="H196" s="674"/>
      <c r="I196" s="674"/>
      <c r="J196" s="74"/>
      <c r="K196" s="674">
        <f t="shared" si="55"/>
        <v>1007800000</v>
      </c>
      <c r="Q196" s="68">
        <v>3233804271</v>
      </c>
      <c r="S196" s="68">
        <f t="shared" si="56"/>
        <v>-2226004271</v>
      </c>
      <c r="AG196" s="110">
        <v>0</v>
      </c>
    </row>
    <row r="197" spans="2:34">
      <c r="B197" s="66" t="s">
        <v>203</v>
      </c>
      <c r="C197" s="674">
        <f>'7. Kendaraan'!E77</f>
        <v>8342660000</v>
      </c>
      <c r="D197" s="674"/>
      <c r="E197" s="674">
        <f>'7. Kendaraan'!F78</f>
        <v>0</v>
      </c>
      <c r="F197" s="674"/>
      <c r="G197" s="674">
        <v>0</v>
      </c>
      <c r="H197" s="674"/>
      <c r="I197" s="674">
        <v>0</v>
      </c>
      <c r="J197" s="1073"/>
      <c r="K197" s="674">
        <f t="shared" si="55"/>
        <v>8342660000</v>
      </c>
      <c r="Q197" s="68">
        <v>7566108989</v>
      </c>
      <c r="S197" s="68">
        <f t="shared" si="56"/>
        <v>776551011</v>
      </c>
      <c r="AG197" s="110">
        <v>252860000</v>
      </c>
    </row>
    <row r="198" spans="2:34">
      <c r="B198" s="66" t="s">
        <v>924</v>
      </c>
      <c r="C198" s="674">
        <f>'8 Peralatan &amp; Perlengkapan'!E157</f>
        <v>904553545</v>
      </c>
      <c r="D198" s="674"/>
      <c r="E198" s="674">
        <f>'8 Peralatan &amp; Perlengkapan'!F158</f>
        <v>292804251</v>
      </c>
      <c r="F198" s="674"/>
      <c r="G198" s="674">
        <v>0</v>
      </c>
      <c r="H198" s="674"/>
      <c r="I198" s="674">
        <v>0</v>
      </c>
      <c r="J198" s="1074"/>
      <c r="K198" s="674">
        <f t="shared" si="55"/>
        <v>1197357796</v>
      </c>
      <c r="Q198" s="68">
        <v>1432546088</v>
      </c>
      <c r="S198" s="68">
        <f t="shared" si="56"/>
        <v>-235188292</v>
      </c>
      <c r="AG198" s="110">
        <v>0</v>
      </c>
    </row>
    <row r="199" spans="2:34">
      <c r="B199" s="66" t="s">
        <v>903</v>
      </c>
      <c r="C199" s="674">
        <f>'9. Infrastruktur'!E58</f>
        <v>11170379446.6</v>
      </c>
      <c r="D199" s="674"/>
      <c r="E199" s="674">
        <f>'9. Infrastruktur'!F59</f>
        <v>0</v>
      </c>
      <c r="F199" s="674"/>
      <c r="G199" s="674">
        <v>0</v>
      </c>
      <c r="H199" s="674"/>
      <c r="I199" s="674">
        <v>0</v>
      </c>
      <c r="J199" s="939"/>
      <c r="K199" s="674">
        <f t="shared" si="55"/>
        <v>11170379446.6</v>
      </c>
      <c r="Q199" s="68">
        <v>15195635359</v>
      </c>
      <c r="S199" s="68">
        <f t="shared" si="56"/>
        <v>-4025255912.3999996</v>
      </c>
      <c r="AG199" s="110">
        <v>11048530502</v>
      </c>
      <c r="AH199" s="66" t="s">
        <v>1174</v>
      </c>
    </row>
    <row r="200" spans="2:34">
      <c r="B200" s="78"/>
      <c r="C200" s="79"/>
      <c r="D200" s="80"/>
      <c r="E200" s="79"/>
      <c r="F200" s="80"/>
      <c r="G200" s="79"/>
      <c r="H200" s="80"/>
      <c r="I200" s="79"/>
      <c r="J200" s="81"/>
      <c r="K200" s="79"/>
    </row>
    <row r="201" spans="2:34" ht="13">
      <c r="B201" s="72" t="s">
        <v>204</v>
      </c>
      <c r="C201" s="82">
        <f>SUM(C191:C199)</f>
        <v>77886875678.050003</v>
      </c>
      <c r="D201" s="77"/>
      <c r="E201" s="82">
        <f>SUM(E191:E199)</f>
        <v>6121010939.829998</v>
      </c>
      <c r="F201" s="83"/>
      <c r="G201" s="82">
        <f>SUM(G191:G199)</f>
        <v>0</v>
      </c>
      <c r="H201" s="83">
        <f>SUM(H192:H199)</f>
        <v>0</v>
      </c>
      <c r="I201" s="82">
        <f>SUM(I192:I199)</f>
        <v>0</v>
      </c>
      <c r="J201" s="83">
        <f>SUM(J192:J199)</f>
        <v>0</v>
      </c>
      <c r="K201" s="925">
        <f>SUM(K191:K199)</f>
        <v>84007886617.880005</v>
      </c>
      <c r="AG201" s="998">
        <f>SUM(AG191:AG199)</f>
        <v>36093210636</v>
      </c>
    </row>
    <row r="202" spans="2:34">
      <c r="C202" s="84"/>
      <c r="D202" s="85"/>
      <c r="E202" s="84"/>
      <c r="F202" s="85"/>
      <c r="G202" s="84"/>
      <c r="H202" s="85"/>
      <c r="I202" s="84"/>
      <c r="J202" s="85"/>
      <c r="K202" s="84"/>
    </row>
    <row r="203" spans="2:34">
      <c r="B203" s="66" t="s">
        <v>1172</v>
      </c>
      <c r="C203" s="73">
        <v>662701220</v>
      </c>
      <c r="D203" s="73"/>
      <c r="E203" s="73"/>
      <c r="F203" s="73"/>
      <c r="G203" s="73">
        <v>0</v>
      </c>
      <c r="H203" s="73"/>
      <c r="I203" s="73">
        <v>0</v>
      </c>
      <c r="J203" s="77"/>
      <c r="K203" s="73">
        <f>C203+E203+G203+I203</f>
        <v>662701220</v>
      </c>
    </row>
    <row r="204" spans="2:34">
      <c r="C204" s="79"/>
      <c r="D204" s="80"/>
      <c r="E204" s="79"/>
      <c r="F204" s="80"/>
      <c r="G204" s="79"/>
      <c r="H204" s="80"/>
      <c r="I204" s="79"/>
      <c r="J204" s="81"/>
      <c r="K204" s="79"/>
    </row>
    <row r="205" spans="2:34" ht="13">
      <c r="B205" s="72" t="s">
        <v>204</v>
      </c>
      <c r="C205" s="100">
        <f>C201+C203</f>
        <v>78549576898.050003</v>
      </c>
      <c r="D205" s="77"/>
      <c r="E205" s="100">
        <f>E201+E203</f>
        <v>6121010939.829998</v>
      </c>
      <c r="F205" s="83"/>
      <c r="G205" s="100">
        <f>G201+G203</f>
        <v>0</v>
      </c>
      <c r="H205" s="83">
        <f>SUM(H196:H203)</f>
        <v>0</v>
      </c>
      <c r="I205" s="82">
        <f>SUM(I196:I203)</f>
        <v>0</v>
      </c>
      <c r="J205" s="83">
        <f>SUM(J196:J203)</f>
        <v>0</v>
      </c>
      <c r="K205" s="100">
        <f>K201+K203</f>
        <v>84670587837.880005</v>
      </c>
    </row>
    <row r="206" spans="2:34" ht="13">
      <c r="C206" s="1300">
        <v>2019</v>
      </c>
      <c r="D206" s="1301"/>
      <c r="E206" s="1301"/>
      <c r="F206" s="1301"/>
      <c r="G206" s="1301"/>
      <c r="H206" s="1301"/>
      <c r="I206" s="1301"/>
      <c r="J206" s="1301"/>
      <c r="K206" s="1301"/>
    </row>
    <row r="207" spans="2:34" ht="13">
      <c r="B207" s="72" t="s">
        <v>205</v>
      </c>
      <c r="C207" s="74"/>
      <c r="D207" s="86"/>
      <c r="E207" s="74"/>
      <c r="F207" s="86"/>
      <c r="G207" s="74"/>
      <c r="H207" s="86"/>
      <c r="I207" s="74"/>
      <c r="J207" s="86"/>
      <c r="K207" s="74"/>
    </row>
    <row r="208" spans="2:34">
      <c r="B208" s="66" t="s">
        <v>47</v>
      </c>
      <c r="C208" s="1036">
        <f>'2. Bangunan'!U115</f>
        <v>3333233955.5644999</v>
      </c>
      <c r="D208" s="73"/>
      <c r="E208" s="73">
        <f>'2. Bangunan'!W115</f>
        <v>1226458560.2831249</v>
      </c>
      <c r="F208" s="73"/>
      <c r="G208" s="73">
        <v>0</v>
      </c>
      <c r="H208" s="73"/>
      <c r="I208" s="73">
        <v>0</v>
      </c>
      <c r="J208" s="74"/>
      <c r="K208" s="73">
        <f t="shared" ref="K208:K215" si="57">C208+E208+G208+I208</f>
        <v>4559692515.8476248</v>
      </c>
      <c r="L208" s="110">
        <v>1228337150</v>
      </c>
      <c r="M208" s="68">
        <f t="shared" ref="M208:M213" si="58">E208-L208</f>
        <v>-1878589.7168750763</v>
      </c>
      <c r="Q208" s="68">
        <v>4969290759</v>
      </c>
      <c r="S208" s="68">
        <f>K208-Q208</f>
        <v>-409598243.15237522</v>
      </c>
    </row>
    <row r="209" spans="2:19">
      <c r="B209" s="66" t="s">
        <v>211</v>
      </c>
      <c r="C209" s="1036">
        <f>'3. Sumur Bor'!U40</f>
        <v>143312500</v>
      </c>
      <c r="D209" s="73"/>
      <c r="E209" s="73">
        <f>'3. Sumur Bor'!W40</f>
        <v>48348750</v>
      </c>
      <c r="F209" s="73"/>
      <c r="G209" s="73">
        <v>0</v>
      </c>
      <c r="H209" s="73"/>
      <c r="I209" s="73"/>
      <c r="J209" s="74"/>
      <c r="K209" s="73">
        <f t="shared" si="57"/>
        <v>191661250</v>
      </c>
      <c r="L209" s="110">
        <v>60524914</v>
      </c>
      <c r="M209" s="68">
        <f t="shared" si="58"/>
        <v>-12176164</v>
      </c>
      <c r="Q209" s="68">
        <v>238816824</v>
      </c>
      <c r="S209" s="68">
        <f t="shared" ref="S209:S215" si="59">K209-Q209</f>
        <v>-47155574</v>
      </c>
    </row>
    <row r="210" spans="2:19">
      <c r="B210" s="66" t="s">
        <v>922</v>
      </c>
      <c r="C210" s="1036">
        <f>'4. Sarana &amp; Prasarana'!U29</f>
        <v>1323902718.3333333</v>
      </c>
      <c r="D210" s="73"/>
      <c r="E210" s="73">
        <f>'4. Sarana &amp; Prasarana'!W29</f>
        <v>557873342.5</v>
      </c>
      <c r="F210" s="73"/>
      <c r="G210" s="73">
        <v>0</v>
      </c>
      <c r="H210" s="73"/>
      <c r="I210" s="73"/>
      <c r="J210" s="74"/>
      <c r="K210" s="73">
        <f t="shared" si="57"/>
        <v>1881776060.8333333</v>
      </c>
      <c r="L210" s="110">
        <v>2728925536</v>
      </c>
      <c r="M210" s="68">
        <f t="shared" si="58"/>
        <v>-2171052193.5</v>
      </c>
      <c r="Q210" s="68">
        <v>12378863882</v>
      </c>
      <c r="S210" s="68">
        <f t="shared" si="59"/>
        <v>-10497087821.166666</v>
      </c>
    </row>
    <row r="211" spans="2:19">
      <c r="B211" s="66" t="s">
        <v>208</v>
      </c>
      <c r="C211" s="1036">
        <f>'5. Mesin'!T315</f>
        <v>6547179886.9729166</v>
      </c>
      <c r="D211" s="73"/>
      <c r="E211" s="73">
        <f>'5. Mesin'!V315</f>
        <v>2682855194.4489579</v>
      </c>
      <c r="F211" s="73"/>
      <c r="G211" s="73">
        <v>0</v>
      </c>
      <c r="H211" s="73"/>
      <c r="I211" s="73"/>
      <c r="J211" s="74"/>
      <c r="K211" s="73">
        <f t="shared" si="57"/>
        <v>9230035081.421875</v>
      </c>
      <c r="L211" s="110">
        <v>3478975291</v>
      </c>
      <c r="M211" s="68">
        <f t="shared" si="58"/>
        <v>-796120096.55104208</v>
      </c>
      <c r="Q211" s="68">
        <v>14373892113</v>
      </c>
      <c r="S211" s="68">
        <f t="shared" si="59"/>
        <v>-5143857031.578125</v>
      </c>
    </row>
    <row r="212" spans="2:19">
      <c r="B212" s="66" t="s">
        <v>923</v>
      </c>
      <c r="C212" s="1036">
        <f>'6. Instalasi Elektrik'!T43</f>
        <v>151170000</v>
      </c>
      <c r="D212" s="73"/>
      <c r="E212" s="73">
        <f>'6. Instalasi Elektrik'!V43</f>
        <v>50390000</v>
      </c>
      <c r="F212" s="73"/>
      <c r="G212" s="73">
        <v>0</v>
      </c>
      <c r="H212" s="73"/>
      <c r="I212" s="73"/>
      <c r="J212" s="74"/>
      <c r="K212" s="73">
        <f t="shared" si="57"/>
        <v>201560000</v>
      </c>
      <c r="L212" s="110">
        <v>181472550</v>
      </c>
      <c r="M212" s="68">
        <f t="shared" si="58"/>
        <v>-131082550</v>
      </c>
      <c r="Q212" s="68">
        <v>597206729</v>
      </c>
      <c r="S212" s="68">
        <f t="shared" si="59"/>
        <v>-395646729</v>
      </c>
    </row>
    <row r="213" spans="2:19">
      <c r="B213" s="66" t="s">
        <v>203</v>
      </c>
      <c r="C213" s="1036">
        <f>'7. Kendaraan'!T69</f>
        <v>3174942500</v>
      </c>
      <c r="D213" s="73"/>
      <c r="E213" s="73">
        <f>'7. Kendaraan'!V69</f>
        <v>1043807500</v>
      </c>
      <c r="F213" s="73"/>
      <c r="G213" s="73">
        <v>0</v>
      </c>
      <c r="H213" s="73"/>
      <c r="I213" s="73">
        <v>0</v>
      </c>
      <c r="J213" s="75"/>
      <c r="K213" s="73">
        <f t="shared" si="57"/>
        <v>4218750000</v>
      </c>
      <c r="L213" s="110">
        <v>951212500</v>
      </c>
      <c r="M213" s="68">
        <f t="shared" si="58"/>
        <v>92595000</v>
      </c>
      <c r="Q213" s="68">
        <v>3748301011</v>
      </c>
      <c r="S213" s="68">
        <f t="shared" si="59"/>
        <v>470448989</v>
      </c>
    </row>
    <row r="214" spans="2:19">
      <c r="B214" s="66" t="s">
        <v>924</v>
      </c>
      <c r="C214" s="1036">
        <f>'8 Peralatan &amp; Perlengkapan'!T149</f>
        <v>581911492.08333325</v>
      </c>
      <c r="D214" s="73"/>
      <c r="E214" s="73">
        <f>'8 Peralatan &amp; Perlengkapan'!V149</f>
        <v>244194730.12500003</v>
      </c>
      <c r="F214" s="73"/>
      <c r="G214" s="73">
        <v>0</v>
      </c>
      <c r="H214" s="73"/>
      <c r="I214" s="73">
        <v>0</v>
      </c>
      <c r="J214" s="76"/>
      <c r="K214" s="73">
        <f t="shared" si="57"/>
        <v>826106222.20833325</v>
      </c>
      <c r="L214" s="110">
        <v>286529146</v>
      </c>
      <c r="M214" s="68">
        <f>E214-L214</f>
        <v>-42334415.87499997</v>
      </c>
      <c r="Q214" s="68">
        <v>906474485</v>
      </c>
      <c r="S214" s="68">
        <f t="shared" si="59"/>
        <v>-80368262.791666746</v>
      </c>
    </row>
    <row r="215" spans="2:19">
      <c r="B215" s="66" t="s">
        <v>903</v>
      </c>
      <c r="C215" s="73">
        <f>'9. Infrastruktur'!T50</f>
        <v>3542532156.0166664</v>
      </c>
      <c r="D215" s="73"/>
      <c r="E215" s="73">
        <f>'9. Infrastruktur'!V50</f>
        <v>1462865618.45</v>
      </c>
      <c r="F215" s="73"/>
      <c r="G215" s="73">
        <v>0</v>
      </c>
      <c r="H215" s="73"/>
      <c r="I215" s="73">
        <v>0</v>
      </c>
      <c r="J215" s="77"/>
      <c r="K215" s="73">
        <f t="shared" si="57"/>
        <v>5005397774.4666662</v>
      </c>
      <c r="L215" s="110">
        <v>1199175407</v>
      </c>
      <c r="M215" s="68">
        <f t="shared" ref="M215" si="60">E215-L215</f>
        <v>263690211.45000005</v>
      </c>
      <c r="Q215" s="68">
        <v>10248443667</v>
      </c>
      <c r="S215" s="68">
        <f t="shared" si="59"/>
        <v>-5243045892.5333338</v>
      </c>
    </row>
    <row r="216" spans="2:19">
      <c r="B216" s="78"/>
      <c r="C216" s="79"/>
      <c r="D216" s="80"/>
      <c r="E216" s="79"/>
      <c r="F216" s="80"/>
      <c r="G216" s="79"/>
      <c r="H216" s="80"/>
      <c r="I216" s="79"/>
      <c r="J216" s="81"/>
      <c r="K216" s="79"/>
    </row>
    <row r="217" spans="2:19" ht="13">
      <c r="B217" s="72" t="s">
        <v>204</v>
      </c>
      <c r="C217" s="82">
        <f>SUM(C208:C216)</f>
        <v>18798185208.970749</v>
      </c>
      <c r="D217" s="77"/>
      <c r="E217" s="82">
        <f>SUM(E208:E216)</f>
        <v>7316793695.8070822</v>
      </c>
      <c r="F217" s="83"/>
      <c r="G217" s="82">
        <f>SUM(G208:G216)</f>
        <v>0</v>
      </c>
      <c r="H217" s="83">
        <f>SUM(H208:H215)</f>
        <v>0</v>
      </c>
      <c r="I217" s="82">
        <f>SUM(I208:I216)</f>
        <v>0</v>
      </c>
      <c r="J217" s="83"/>
      <c r="K217" s="82">
        <f>SUM(K208:K216)</f>
        <v>26114978904.777832</v>
      </c>
    </row>
    <row r="218" spans="2:19">
      <c r="B218" s="78"/>
      <c r="C218" s="84"/>
      <c r="D218" s="85"/>
      <c r="E218" s="84"/>
      <c r="F218" s="85"/>
      <c r="G218" s="84"/>
      <c r="H218" s="85"/>
      <c r="I218" s="84"/>
      <c r="J218" s="85"/>
      <c r="K218" s="84"/>
    </row>
    <row r="219" spans="2:19" ht="13.5" thickBot="1">
      <c r="B219" s="72" t="s">
        <v>206</v>
      </c>
      <c r="C219" s="87">
        <f>C201-C217</f>
        <v>59088690469.079254</v>
      </c>
      <c r="D219" s="88"/>
      <c r="E219" s="89"/>
      <c r="F219" s="88"/>
      <c r="H219" s="88"/>
      <c r="J219" s="88"/>
      <c r="K219" s="87">
        <f>K205-K217</f>
        <v>58555608933.102173</v>
      </c>
    </row>
    <row r="220" spans="2:19" ht="13" thickTop="1"/>
  </sheetData>
  <mergeCells count="15">
    <mergeCell ref="C187:K187"/>
    <mergeCell ref="C206:K206"/>
    <mergeCell ref="U149:V149"/>
    <mergeCell ref="C81:K81"/>
    <mergeCell ref="C115:K115"/>
    <mergeCell ref="C134:K134"/>
    <mergeCell ref="C149:K149"/>
    <mergeCell ref="M149:S149"/>
    <mergeCell ref="C41:K41"/>
    <mergeCell ref="C100:K100"/>
    <mergeCell ref="C42:K42"/>
    <mergeCell ref="C61:K61"/>
    <mergeCell ref="C4:K4"/>
    <mergeCell ref="C5:K5"/>
    <mergeCell ref="C24:K24"/>
  </mergeCells>
  <conditionalFormatting sqref="B38:B41 B2:B3">
    <cfRule type="duplicateValues" dxfId="6" priority="13"/>
  </conditionalFormatting>
  <conditionalFormatting sqref="B1:C1">
    <cfRule type="duplicateValues" dxfId="5" priority="11"/>
  </conditionalFormatting>
  <conditionalFormatting sqref="H1 D1:F1">
    <cfRule type="duplicateValues" dxfId="4" priority="12"/>
  </conditionalFormatting>
  <conditionalFormatting sqref="N1">
    <cfRule type="duplicateValues" dxfId="3" priority="9"/>
  </conditionalFormatting>
  <conditionalFormatting sqref="P1">
    <cfRule type="duplicateValues" dxfId="2" priority="8"/>
  </conditionalFormatting>
  <conditionalFormatting sqref="R1">
    <cfRule type="duplicateValues" dxfId="1" priority="7"/>
  </conditionalFormatting>
  <conditionalFormatting sqref="V1">
    <cfRule type="duplicateValues" dxfId="0" priority="5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3314" r:id="rId3">
          <objectPr defaultSize="0" r:id="rId4">
            <anchor moveWithCells="1">
              <from>
                <xdr:col>10</xdr:col>
                <xdr:colOff>101600</xdr:colOff>
                <xdr:row>0</xdr:row>
                <xdr:rowOff>0</xdr:rowOff>
              </from>
              <to>
                <xdr:col>10</xdr:col>
                <xdr:colOff>1022350</xdr:colOff>
                <xdr:row>4</xdr:row>
                <xdr:rowOff>50800</xdr:rowOff>
              </to>
            </anchor>
          </objectPr>
        </oleObject>
      </mc:Choice>
      <mc:Fallback>
        <oleObject progId="Acrobat Document" dvAspect="DVASPECT_ICON" shapeId="13314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AC82-7A34-4580-811C-2035FD8357DA}">
  <sheetPr>
    <tabColor rgb="FFC00000"/>
  </sheetPr>
  <dimension ref="A1:N279"/>
  <sheetViews>
    <sheetView showGridLines="0" workbookViewId="0">
      <pane xSplit="3" ySplit="4" topLeftCell="D10" activePane="bottomRight" state="frozen"/>
      <selection pane="topRight" activeCell="D1" sqref="D1"/>
      <selection pane="bottomLeft" activeCell="A5" sqref="A5"/>
      <selection pane="bottomRight" activeCell="D2" sqref="D2"/>
    </sheetView>
  </sheetViews>
  <sheetFormatPr defaultRowHeight="14.5"/>
  <cols>
    <col min="1" max="1" width="2.7265625" style="1213" customWidth="1"/>
    <col min="2" max="2" width="8.7265625" style="1218"/>
    <col min="3" max="3" width="24.36328125" style="1213" bestFit="1" customWidth="1"/>
    <col min="4" max="4" width="30.7265625" style="1213" bestFit="1" customWidth="1"/>
    <col min="5" max="5" width="18.81640625" style="1213" customWidth="1"/>
    <col min="6" max="6" width="14.81640625" style="1211" bestFit="1" customWidth="1"/>
    <col min="7" max="7" width="8.7265625" style="1213"/>
    <col min="8" max="8" width="1.36328125" style="1214" customWidth="1"/>
    <col min="9" max="9" width="8.7265625" style="1213"/>
    <col min="10" max="10" width="4.81640625" style="1213" bestFit="1" customWidth="1"/>
    <col min="11" max="11" width="23" style="1213" bestFit="1" customWidth="1"/>
    <col min="12" max="12" width="30.453125" style="1213" customWidth="1"/>
    <col min="13" max="13" width="15.6328125" style="1213" bestFit="1" customWidth="1"/>
    <col min="14" max="14" width="14.81640625" style="1213" bestFit="1" customWidth="1"/>
    <col min="15" max="16384" width="8.7265625" style="1213"/>
  </cols>
  <sheetData>
    <row r="1" spans="1:14" ht="15.5">
      <c r="A1" s="1219" t="s">
        <v>1316</v>
      </c>
      <c r="B1" s="1220"/>
      <c r="C1" s="1221"/>
      <c r="D1" s="1221"/>
    </row>
    <row r="2" spans="1:14" s="111" customFormat="1">
      <c r="A2" s="112"/>
      <c r="F2" s="145"/>
      <c r="H2" s="1208"/>
    </row>
    <row r="3" spans="1:14">
      <c r="B3" s="1213"/>
      <c r="C3" s="1207">
        <v>2024</v>
      </c>
      <c r="F3" s="145">
        <f>SUM(F5:F279)</f>
        <v>30762259548.899998</v>
      </c>
      <c r="K3" s="1207">
        <v>2023</v>
      </c>
      <c r="N3" s="145">
        <f>SUM(N5:N253)</f>
        <v>25397180638.899998</v>
      </c>
    </row>
    <row r="4" spans="1:14" s="111" customFormat="1">
      <c r="B4" s="1209" t="s">
        <v>1180</v>
      </c>
      <c r="C4" s="1209" t="s">
        <v>1287</v>
      </c>
      <c r="D4" s="1209" t="s">
        <v>1290</v>
      </c>
      <c r="E4" s="1209" t="s">
        <v>1288</v>
      </c>
      <c r="F4" s="1210" t="s">
        <v>1289</v>
      </c>
      <c r="H4" s="1208"/>
      <c r="J4" s="1209" t="s">
        <v>1180</v>
      </c>
      <c r="K4" s="1209" t="s">
        <v>1287</v>
      </c>
      <c r="L4" s="1209" t="s">
        <v>1290</v>
      </c>
      <c r="M4" s="1209" t="s">
        <v>1288</v>
      </c>
      <c r="N4" s="1210" t="s">
        <v>1289</v>
      </c>
    </row>
    <row r="5" spans="1:14">
      <c r="B5" s="1215">
        <v>1</v>
      </c>
      <c r="C5" s="1216" t="s">
        <v>211</v>
      </c>
      <c r="D5" s="1216" t="str">
        <f>'3. Sumur Bor'!B5</f>
        <v xml:space="preserve">Sumur Bor </v>
      </c>
      <c r="E5" s="1217">
        <f>'3. Sumur Bor'!C5</f>
        <v>37257</v>
      </c>
      <c r="F5" s="1212">
        <f>'3. Sumur Bor'!E5</f>
        <v>222800000</v>
      </c>
      <c r="J5" s="1215">
        <v>1</v>
      </c>
      <c r="K5" s="1216" t="s">
        <v>175</v>
      </c>
      <c r="L5" s="1216" t="str">
        <f>'3. Sumur Bor'!B5</f>
        <v xml:space="preserve">Sumur Bor </v>
      </c>
      <c r="M5" s="1217">
        <f>'3. Sumur Bor'!C5</f>
        <v>37257</v>
      </c>
      <c r="N5" s="1212">
        <f>'3. Sumur Bor'!E5</f>
        <v>222800000</v>
      </c>
    </row>
    <row r="6" spans="1:14">
      <c r="B6" s="1215">
        <f>B5+1</f>
        <v>2</v>
      </c>
      <c r="C6" s="1216" t="s">
        <v>211</v>
      </c>
      <c r="D6" s="1216" t="str">
        <f>'3. Sumur Bor'!B6</f>
        <v xml:space="preserve">Sumur Bor </v>
      </c>
      <c r="E6" s="1217">
        <f>'3. Sumur Bor'!C6</f>
        <v>38353</v>
      </c>
      <c r="F6" s="1212">
        <f>'3. Sumur Bor'!E6</f>
        <v>68200000</v>
      </c>
      <c r="J6" s="1215">
        <f>J5+1</f>
        <v>2</v>
      </c>
      <c r="K6" s="1216" t="s">
        <v>175</v>
      </c>
      <c r="L6" s="1216" t="str">
        <f>'3. Sumur Bor'!B6</f>
        <v xml:space="preserve">Sumur Bor </v>
      </c>
      <c r="M6" s="1217">
        <f>'3. Sumur Bor'!C6</f>
        <v>38353</v>
      </c>
      <c r="N6" s="1212">
        <f>'3. Sumur Bor'!E6</f>
        <v>68200000</v>
      </c>
    </row>
    <row r="7" spans="1:14">
      <c r="B7" s="1215">
        <f t="shared" ref="B7:B70" si="0">B6+1</f>
        <v>3</v>
      </c>
      <c r="C7" s="1216" t="s">
        <v>211</v>
      </c>
      <c r="D7" s="1216" t="str">
        <f>'3. Sumur Bor'!B7</f>
        <v xml:space="preserve">Sumur Bor </v>
      </c>
      <c r="E7" s="1217">
        <f>'3. Sumur Bor'!C7</f>
        <v>38718</v>
      </c>
      <c r="F7" s="1212">
        <f>'3. Sumur Bor'!E7</f>
        <v>68500000</v>
      </c>
      <c r="J7" s="1215">
        <f t="shared" ref="J7:J8" si="1">J6+1</f>
        <v>3</v>
      </c>
      <c r="K7" s="1216" t="s">
        <v>175</v>
      </c>
      <c r="L7" s="1216" t="str">
        <f>'3. Sumur Bor'!B7</f>
        <v xml:space="preserve">Sumur Bor </v>
      </c>
      <c r="M7" s="1217">
        <f>'3. Sumur Bor'!C7</f>
        <v>38718</v>
      </c>
      <c r="N7" s="1212">
        <f>'3. Sumur Bor'!E7</f>
        <v>68500000</v>
      </c>
    </row>
    <row r="8" spans="1:14">
      <c r="B8" s="1215">
        <f t="shared" si="0"/>
        <v>4</v>
      </c>
      <c r="C8" s="1216" t="s">
        <v>211</v>
      </c>
      <c r="D8" s="1216" t="str">
        <f>'3. Sumur Bor'!B8</f>
        <v>Pompa Submersible SP17</v>
      </c>
      <c r="E8" s="1217">
        <v>42005</v>
      </c>
      <c r="F8" s="1212">
        <f>'3. Sumur Bor'!E12</f>
        <v>17000000</v>
      </c>
      <c r="J8" s="1215">
        <f t="shared" si="1"/>
        <v>4</v>
      </c>
      <c r="K8" s="1216" t="s">
        <v>175</v>
      </c>
      <c r="L8" s="1216" t="str">
        <f>'3. Sumur Bor'!B12</f>
        <v>Pompa Submersible Type MS 4000</v>
      </c>
      <c r="M8" s="1217">
        <f>'3. Sumur Bor'!C12</f>
        <v>42005</v>
      </c>
      <c r="N8" s="1212">
        <f>'3. Sumur Bor'!E12</f>
        <v>17000000</v>
      </c>
    </row>
    <row r="9" spans="1:14">
      <c r="B9" s="1215">
        <f t="shared" si="0"/>
        <v>5</v>
      </c>
      <c r="C9" s="1216" t="s">
        <v>922</v>
      </c>
      <c r="D9" s="1216" t="s">
        <v>419</v>
      </c>
      <c r="E9" s="1217">
        <v>40544</v>
      </c>
      <c r="F9" s="1212">
        <f>'4. Sarana &amp; Prasarana'!E6</f>
        <v>573153000</v>
      </c>
      <c r="J9" s="1215">
        <f t="shared" ref="J9" si="2">J8+1</f>
        <v>5</v>
      </c>
      <c r="K9" s="1216" t="s">
        <v>1109</v>
      </c>
      <c r="L9" s="1216" t="str">
        <f>'4. Sarana &amp; Prasarana'!B6</f>
        <v>Perkerasan Paving Blok</v>
      </c>
      <c r="M9" s="1217">
        <f>'4. Sarana &amp; Prasarana'!C6</f>
        <v>40544</v>
      </c>
      <c r="N9" s="1212">
        <f>'4. Sarana &amp; Prasarana'!E6</f>
        <v>573153000</v>
      </c>
    </row>
    <row r="10" spans="1:14">
      <c r="B10" s="1215">
        <f t="shared" si="0"/>
        <v>6</v>
      </c>
      <c r="C10" s="1216" t="s">
        <v>922</v>
      </c>
      <c r="D10" s="1216" t="s">
        <v>421</v>
      </c>
      <c r="E10" s="1217">
        <v>43466</v>
      </c>
      <c r="F10" s="1212">
        <f>'4. Sarana &amp; Prasarana'!E8</f>
        <v>397432750</v>
      </c>
      <c r="J10" s="1215">
        <f t="shared" ref="J10:J13" si="3">J9+1</f>
        <v>6</v>
      </c>
      <c r="K10" s="1216" t="s">
        <v>1109</v>
      </c>
      <c r="L10" s="1216" t="str">
        <f>'4. Sarana &amp; Prasarana'!B8</f>
        <v>Paving Blok Uni Abu-Abu</v>
      </c>
      <c r="M10" s="1217">
        <f>'4. Sarana &amp; Prasarana'!C8</f>
        <v>43466</v>
      </c>
      <c r="N10" s="1212">
        <f>'4. Sarana &amp; Prasarana'!E8</f>
        <v>397432750</v>
      </c>
    </row>
    <row r="11" spans="1:14">
      <c r="B11" s="1215">
        <f t="shared" si="0"/>
        <v>7</v>
      </c>
      <c r="C11" s="1216" t="s">
        <v>922</v>
      </c>
      <c r="D11" s="1216" t="s">
        <v>424</v>
      </c>
      <c r="E11" s="1217">
        <v>38353</v>
      </c>
      <c r="F11" s="1212">
        <f>'4. Sarana &amp; Prasarana'!E10</f>
        <v>117276000</v>
      </c>
      <c r="J11" s="1215">
        <f t="shared" si="3"/>
        <v>7</v>
      </c>
      <c r="K11" s="1216" t="s">
        <v>1109</v>
      </c>
      <c r="L11" s="1216" t="str">
        <f>'4. Sarana &amp; Prasarana'!B10</f>
        <v>Talud</v>
      </c>
      <c r="M11" s="1217">
        <f>'4. Sarana &amp; Prasarana'!C10</f>
        <v>38353</v>
      </c>
      <c r="N11" s="1212">
        <f>'4. Sarana &amp; Prasarana'!E10</f>
        <v>117276000</v>
      </c>
    </row>
    <row r="12" spans="1:14">
      <c r="B12" s="1215">
        <f t="shared" si="0"/>
        <v>8</v>
      </c>
      <c r="C12" s="1216" t="s">
        <v>922</v>
      </c>
      <c r="D12" s="1216" t="s">
        <v>418</v>
      </c>
      <c r="E12" s="1217">
        <v>41640</v>
      </c>
      <c r="F12" s="1212">
        <f>'4. Sarana &amp; Prasarana'!E12</f>
        <v>125361500</v>
      </c>
      <c r="J12" s="1215">
        <f t="shared" si="3"/>
        <v>8</v>
      </c>
      <c r="K12" s="1216" t="s">
        <v>1109</v>
      </c>
      <c r="L12" s="1216" t="str">
        <f>'4. Sarana &amp; Prasarana'!B12</f>
        <v>Pagar</v>
      </c>
      <c r="M12" s="1217">
        <f>'4. Sarana &amp; Prasarana'!C12</f>
        <v>41640</v>
      </c>
      <c r="N12" s="1212">
        <f>'4. Sarana &amp; Prasarana'!E12</f>
        <v>125361500</v>
      </c>
    </row>
    <row r="13" spans="1:14">
      <c r="B13" s="1215">
        <f t="shared" si="0"/>
        <v>9</v>
      </c>
      <c r="C13" s="1216" t="s">
        <v>922</v>
      </c>
      <c r="D13" s="1216" t="s">
        <v>428</v>
      </c>
      <c r="E13" s="1217">
        <v>43344</v>
      </c>
      <c r="F13" s="1212">
        <f>'4. Sarana &amp; Prasarana'!E15</f>
        <v>77464120</v>
      </c>
      <c r="J13" s="1215">
        <f t="shared" si="3"/>
        <v>9</v>
      </c>
      <c r="K13" s="1216" t="s">
        <v>1109</v>
      </c>
      <c r="L13" s="1216" t="str">
        <f>'4. Sarana &amp; Prasarana'!B15</f>
        <v>Jembatan Automatis Feeder</v>
      </c>
      <c r="M13" s="1217">
        <f>'4. Sarana &amp; Prasarana'!C15</f>
        <v>43344</v>
      </c>
      <c r="N13" s="1212">
        <f>'4. Sarana &amp; Prasarana'!E15</f>
        <v>77464120</v>
      </c>
    </row>
    <row r="14" spans="1:14">
      <c r="B14" s="1215">
        <f t="shared" si="0"/>
        <v>10</v>
      </c>
      <c r="C14" s="1216" t="s">
        <v>208</v>
      </c>
      <c r="D14" s="1216" t="s">
        <v>456</v>
      </c>
      <c r="E14" s="1217">
        <v>37257</v>
      </c>
      <c r="F14" s="1212">
        <v>70900000</v>
      </c>
      <c r="J14" s="1215">
        <f t="shared" ref="J14" si="4">J13+1</f>
        <v>10</v>
      </c>
      <c r="K14" s="1216" t="s">
        <v>62</v>
      </c>
      <c r="L14" s="1216" t="str">
        <f>'5. Mesin'!B19</f>
        <v xml:space="preserve">Panel Genset / Kabel Dll </v>
      </c>
      <c r="M14" s="1217">
        <f>'5. Mesin'!C19</f>
        <v>37257</v>
      </c>
      <c r="N14" s="1212">
        <f>'5. Mesin'!E19</f>
        <v>70900000</v>
      </c>
    </row>
    <row r="15" spans="1:14">
      <c r="B15" s="1215">
        <f t="shared" si="0"/>
        <v>11</v>
      </c>
      <c r="C15" s="1216" t="s">
        <v>208</v>
      </c>
      <c r="D15" s="1216" t="s">
        <v>457</v>
      </c>
      <c r="E15" s="1217">
        <v>38353</v>
      </c>
      <c r="F15" s="1212">
        <v>441100000</v>
      </c>
      <c r="J15" s="1215">
        <f t="shared" ref="J15:J78" si="5">J14+1</f>
        <v>11</v>
      </c>
      <c r="K15" s="1216" t="s">
        <v>62</v>
      </c>
      <c r="L15" s="1216" t="str">
        <f>'5. Mesin'!B20</f>
        <v xml:space="preserve">Genset 500 KVA Mercy </v>
      </c>
      <c r="M15" s="1217">
        <f>'5. Mesin'!C20</f>
        <v>38353</v>
      </c>
      <c r="N15" s="1212">
        <f>'5. Mesin'!E20</f>
        <v>441100000</v>
      </c>
    </row>
    <row r="16" spans="1:14">
      <c r="B16" s="1215">
        <f t="shared" si="0"/>
        <v>12</v>
      </c>
      <c r="C16" s="1216" t="s">
        <v>208</v>
      </c>
      <c r="D16" s="1216" t="s">
        <v>458</v>
      </c>
      <c r="E16" s="1217">
        <v>40909</v>
      </c>
      <c r="F16" s="1212">
        <v>176900000</v>
      </c>
      <c r="J16" s="1215">
        <f t="shared" si="5"/>
        <v>12</v>
      </c>
      <c r="K16" s="1216" t="s">
        <v>62</v>
      </c>
      <c r="L16" s="1216" t="str">
        <f>'5. Mesin'!B21</f>
        <v>Genset MWM 500 KVA</v>
      </c>
      <c r="M16" s="1217">
        <f>'5. Mesin'!C21</f>
        <v>40909</v>
      </c>
      <c r="N16" s="1212">
        <f>'5. Mesin'!E21</f>
        <v>176900000</v>
      </c>
    </row>
    <row r="17" spans="2:14">
      <c r="B17" s="1215">
        <f t="shared" si="0"/>
        <v>13</v>
      </c>
      <c r="C17" s="1216" t="s">
        <v>208</v>
      </c>
      <c r="D17" s="1216" t="s">
        <v>461</v>
      </c>
      <c r="E17" s="1217">
        <v>37257</v>
      </c>
      <c r="F17" s="1212">
        <v>1400000</v>
      </c>
      <c r="J17" s="1215">
        <f t="shared" si="5"/>
        <v>13</v>
      </c>
      <c r="K17" s="1216" t="s">
        <v>62</v>
      </c>
      <c r="L17" s="1216" t="str">
        <f>'5. Mesin'!B23</f>
        <v xml:space="preserve">Water Treatment Machine </v>
      </c>
      <c r="M17" s="1217">
        <f>'5. Mesin'!C23</f>
        <v>37257</v>
      </c>
      <c r="N17" s="1212">
        <f>'5. Mesin'!E23</f>
        <v>1400000</v>
      </c>
    </row>
    <row r="18" spans="2:14">
      <c r="B18" s="1215">
        <f t="shared" si="0"/>
        <v>14</v>
      </c>
      <c r="C18" s="1216" t="s">
        <v>208</v>
      </c>
      <c r="D18" s="1216" t="s">
        <v>461</v>
      </c>
      <c r="E18" s="1217">
        <v>38353</v>
      </c>
      <c r="F18" s="1212">
        <v>2600000</v>
      </c>
      <c r="J18" s="1215">
        <f t="shared" si="5"/>
        <v>14</v>
      </c>
      <c r="K18" s="1216" t="s">
        <v>62</v>
      </c>
      <c r="L18" s="1216" t="str">
        <f>'5. Mesin'!B24</f>
        <v xml:space="preserve">Water Treatment Machine </v>
      </c>
      <c r="M18" s="1217">
        <f>'5. Mesin'!C24</f>
        <v>38353</v>
      </c>
      <c r="N18" s="1212">
        <f>'5. Mesin'!E24</f>
        <v>2600000</v>
      </c>
    </row>
    <row r="19" spans="2:14">
      <c r="B19" s="1215">
        <f t="shared" si="0"/>
        <v>15</v>
      </c>
      <c r="C19" s="1216" t="s">
        <v>208</v>
      </c>
      <c r="D19" s="1216" t="s">
        <v>467</v>
      </c>
      <c r="E19" s="1217">
        <v>37257</v>
      </c>
      <c r="F19" s="1212">
        <v>52800000</v>
      </c>
      <c r="J19" s="1215">
        <f t="shared" si="5"/>
        <v>15</v>
      </c>
      <c r="K19" s="1216" t="s">
        <v>62</v>
      </c>
      <c r="L19" s="1216" t="str">
        <f>'5. Mesin'!B28</f>
        <v xml:space="preserve">Compresor (Budiono) </v>
      </c>
      <c r="M19" s="1217">
        <f>'5. Mesin'!C28</f>
        <v>37257</v>
      </c>
      <c r="N19" s="1212">
        <f>'5. Mesin'!E28</f>
        <v>52800000</v>
      </c>
    </row>
    <row r="20" spans="2:14">
      <c r="B20" s="1215">
        <f t="shared" si="0"/>
        <v>16</v>
      </c>
      <c r="C20" s="1216" t="s">
        <v>208</v>
      </c>
      <c r="D20" s="1216" t="s">
        <v>468</v>
      </c>
      <c r="E20" s="1217">
        <v>37257</v>
      </c>
      <c r="F20" s="1212">
        <v>252600000</v>
      </c>
      <c r="J20" s="1215">
        <f t="shared" si="5"/>
        <v>16</v>
      </c>
      <c r="K20" s="1216" t="s">
        <v>62</v>
      </c>
      <c r="L20" s="1216" t="str">
        <f>'5. Mesin'!B29</f>
        <v xml:space="preserve">Compressor (Grasco) </v>
      </c>
      <c r="M20" s="1217">
        <f>'5. Mesin'!C29</f>
        <v>37257</v>
      </c>
      <c r="N20" s="1212">
        <f>'5. Mesin'!E29</f>
        <v>252600000</v>
      </c>
    </row>
    <row r="21" spans="2:14">
      <c r="B21" s="1215">
        <f t="shared" si="0"/>
        <v>17</v>
      </c>
      <c r="C21" s="1216" t="s">
        <v>208</v>
      </c>
      <c r="D21" s="1216" t="s">
        <v>469</v>
      </c>
      <c r="E21" s="1217">
        <v>37622</v>
      </c>
      <c r="F21" s="1212">
        <v>74900000</v>
      </c>
      <c r="J21" s="1215">
        <f t="shared" si="5"/>
        <v>17</v>
      </c>
      <c r="K21" s="1216" t="s">
        <v>62</v>
      </c>
      <c r="L21" s="1216" t="str">
        <f>'5. Mesin'!B30</f>
        <v>Asesoris Compressor</v>
      </c>
      <c r="M21" s="1217">
        <f>'5. Mesin'!C30</f>
        <v>37622</v>
      </c>
      <c r="N21" s="1212">
        <f>'5. Mesin'!E30</f>
        <v>74900000</v>
      </c>
    </row>
    <row r="22" spans="2:14">
      <c r="B22" s="1215">
        <f t="shared" si="0"/>
        <v>18</v>
      </c>
      <c r="C22" s="1216" t="s">
        <v>208</v>
      </c>
      <c r="D22" s="1216" t="s">
        <v>470</v>
      </c>
      <c r="E22" s="1217">
        <v>38353</v>
      </c>
      <c r="F22" s="1212">
        <v>86200000</v>
      </c>
      <c r="J22" s="1215">
        <f t="shared" si="5"/>
        <v>18</v>
      </c>
      <c r="K22" s="1216" t="s">
        <v>62</v>
      </c>
      <c r="L22" s="1216" t="str">
        <f>'5. Mesin'!B31</f>
        <v>Compressor  Mycom</v>
      </c>
      <c r="M22" s="1217">
        <f>'5. Mesin'!C31</f>
        <v>38353</v>
      </c>
      <c r="N22" s="1212">
        <f>'5. Mesin'!E31</f>
        <v>86200000</v>
      </c>
    </row>
    <row r="23" spans="2:14">
      <c r="B23" s="1215">
        <f t="shared" si="0"/>
        <v>19</v>
      </c>
      <c r="C23" s="1216" t="s">
        <v>208</v>
      </c>
      <c r="D23" s="1216" t="s">
        <v>471</v>
      </c>
      <c r="E23" s="1217">
        <v>39448</v>
      </c>
      <c r="F23" s="1212">
        <v>4600000</v>
      </c>
      <c r="J23" s="1215">
        <f t="shared" si="5"/>
        <v>19</v>
      </c>
      <c r="K23" s="1216" t="s">
        <v>62</v>
      </c>
      <c r="L23" s="1216" t="str">
        <f>'5. Mesin'!B32</f>
        <v>Cylinder Liner Comp. Grasso</v>
      </c>
      <c r="M23" s="1217">
        <f>'5. Mesin'!C32</f>
        <v>39448</v>
      </c>
      <c r="N23" s="1212">
        <f>'5. Mesin'!E32</f>
        <v>4600000</v>
      </c>
    </row>
    <row r="24" spans="2:14">
      <c r="B24" s="1215">
        <f t="shared" si="0"/>
        <v>20</v>
      </c>
      <c r="C24" s="1216" t="s">
        <v>208</v>
      </c>
      <c r="D24" s="1216" t="s">
        <v>472</v>
      </c>
      <c r="E24" s="1217">
        <v>39448</v>
      </c>
      <c r="F24" s="1212">
        <v>155200000</v>
      </c>
      <c r="J24" s="1215">
        <f t="shared" si="5"/>
        <v>20</v>
      </c>
      <c r="K24" s="1216" t="s">
        <v>62</v>
      </c>
      <c r="L24" s="1216" t="str">
        <f>'5. Mesin'!B33</f>
        <v>Compressor Mycom-Djunisanu</v>
      </c>
      <c r="M24" s="1217">
        <f>'5. Mesin'!C33</f>
        <v>39448</v>
      </c>
      <c r="N24" s="1212">
        <f>'5. Mesin'!E33</f>
        <v>155200000</v>
      </c>
    </row>
    <row r="25" spans="2:14">
      <c r="B25" s="1215">
        <f t="shared" si="0"/>
        <v>21</v>
      </c>
      <c r="C25" s="1216" t="s">
        <v>208</v>
      </c>
      <c r="D25" s="1216" t="s">
        <v>516</v>
      </c>
      <c r="E25" s="1217">
        <v>39083</v>
      </c>
      <c r="F25" s="1212">
        <v>168100000</v>
      </c>
      <c r="J25" s="1215">
        <f t="shared" si="5"/>
        <v>21</v>
      </c>
      <c r="K25" s="1216" t="s">
        <v>62</v>
      </c>
      <c r="L25" s="1216" t="str">
        <f>'5. Mesin'!B37</f>
        <v>Conveyor</v>
      </c>
      <c r="M25" s="1217">
        <f>'5. Mesin'!C37</f>
        <v>39083</v>
      </c>
      <c r="N25" s="1212">
        <f>'5. Mesin'!E37</f>
        <v>168100000</v>
      </c>
    </row>
    <row r="26" spans="2:14">
      <c r="B26" s="1215">
        <f t="shared" si="0"/>
        <v>22</v>
      </c>
      <c r="C26" s="1216" t="s">
        <v>208</v>
      </c>
      <c r="D26" s="1216" t="s">
        <v>475</v>
      </c>
      <c r="E26" s="1217">
        <v>39448</v>
      </c>
      <c r="F26" s="1212">
        <v>39300000</v>
      </c>
      <c r="J26" s="1215">
        <f t="shared" si="5"/>
        <v>22</v>
      </c>
      <c r="K26" s="1216" t="s">
        <v>62</v>
      </c>
      <c r="L26" s="1216" t="str">
        <f>'5. Mesin'!B38</f>
        <v>Material Inter Cooler</v>
      </c>
      <c r="M26" s="1217">
        <f>'5. Mesin'!C38</f>
        <v>39448</v>
      </c>
      <c r="N26" s="1212">
        <f>'5. Mesin'!E38</f>
        <v>39300000</v>
      </c>
    </row>
    <row r="27" spans="2:14">
      <c r="B27" s="1215">
        <f t="shared" si="0"/>
        <v>23</v>
      </c>
      <c r="C27" s="1216" t="s">
        <v>208</v>
      </c>
      <c r="D27" s="1216" t="s">
        <v>476</v>
      </c>
      <c r="E27" s="1217">
        <v>39448</v>
      </c>
      <c r="F27" s="1212">
        <v>20800000</v>
      </c>
      <c r="J27" s="1215">
        <f t="shared" si="5"/>
        <v>23</v>
      </c>
      <c r="K27" s="1216" t="s">
        <v>62</v>
      </c>
      <c r="L27" s="1216" t="str">
        <f>'5. Mesin'!B39</f>
        <v>Siku Conveyor</v>
      </c>
      <c r="M27" s="1217">
        <f>'5. Mesin'!C39</f>
        <v>39448</v>
      </c>
      <c r="N27" s="1212">
        <f>'5. Mesin'!E39</f>
        <v>20800000</v>
      </c>
    </row>
    <row r="28" spans="2:14">
      <c r="B28" s="1215">
        <f t="shared" si="0"/>
        <v>24</v>
      </c>
      <c r="C28" s="1216" t="s">
        <v>208</v>
      </c>
      <c r="D28" s="1216" t="s">
        <v>477</v>
      </c>
      <c r="E28" s="1217">
        <v>39448</v>
      </c>
      <c r="F28" s="1212">
        <v>10500000</v>
      </c>
      <c r="J28" s="1215">
        <f t="shared" si="5"/>
        <v>24</v>
      </c>
      <c r="K28" s="1216" t="s">
        <v>62</v>
      </c>
      <c r="L28" s="1216" t="str">
        <f>'5. Mesin'!B40</f>
        <v>Besi Conveyor</v>
      </c>
      <c r="M28" s="1217">
        <f>'5. Mesin'!C40</f>
        <v>39448</v>
      </c>
      <c r="N28" s="1212">
        <f>'5. Mesin'!E40</f>
        <v>10500000</v>
      </c>
    </row>
    <row r="29" spans="2:14">
      <c r="B29" s="1215">
        <f t="shared" si="0"/>
        <v>25</v>
      </c>
      <c r="C29" s="1216" t="s">
        <v>208</v>
      </c>
      <c r="D29" s="1216" t="s">
        <v>478</v>
      </c>
      <c r="E29" s="1217">
        <v>39814</v>
      </c>
      <c r="F29" s="1212">
        <v>7900000</v>
      </c>
      <c r="J29" s="1215">
        <f t="shared" si="5"/>
        <v>25</v>
      </c>
      <c r="K29" s="1216" t="s">
        <v>62</v>
      </c>
      <c r="L29" s="1216" t="str">
        <f>'5. Mesin'!B41</f>
        <v>Wayer  Pompa Grundfos</v>
      </c>
      <c r="M29" s="1217">
        <f>'5. Mesin'!C41</f>
        <v>39814</v>
      </c>
      <c r="N29" s="1212">
        <f>'5. Mesin'!E41</f>
        <v>7900000</v>
      </c>
    </row>
    <row r="30" spans="2:14">
      <c r="B30" s="1215">
        <f t="shared" si="0"/>
        <v>26</v>
      </c>
      <c r="C30" s="1216" t="s">
        <v>208</v>
      </c>
      <c r="D30" s="1216" t="s">
        <v>479</v>
      </c>
      <c r="E30" s="1217">
        <v>39814</v>
      </c>
      <c r="F30" s="1212">
        <v>97100000</v>
      </c>
      <c r="J30" s="1215">
        <f t="shared" si="5"/>
        <v>26</v>
      </c>
      <c r="K30" s="1216" t="s">
        <v>62</v>
      </c>
      <c r="L30" s="1216" t="str">
        <f>'5. Mesin'!B42</f>
        <v>Shrimp Cutter Machine</v>
      </c>
      <c r="M30" s="1217">
        <f>'5. Mesin'!C42</f>
        <v>39814</v>
      </c>
      <c r="N30" s="1212">
        <f>'5. Mesin'!E42</f>
        <v>97100000</v>
      </c>
    </row>
    <row r="31" spans="2:14">
      <c r="B31" s="1215">
        <f t="shared" si="0"/>
        <v>27</v>
      </c>
      <c r="C31" s="1216" t="s">
        <v>208</v>
      </c>
      <c r="D31" s="1216" t="s">
        <v>480</v>
      </c>
      <c r="E31" s="1217">
        <v>40544</v>
      </c>
      <c r="F31" s="1212">
        <v>4800000</v>
      </c>
      <c r="J31" s="1215">
        <f t="shared" si="5"/>
        <v>27</v>
      </c>
      <c r="K31" s="1216" t="s">
        <v>62</v>
      </c>
      <c r="L31" s="1216" t="str">
        <f>'5. Mesin'!B43</f>
        <v>Mesin Foot Impulse Sealer</v>
      </c>
      <c r="M31" s="1217">
        <f>'5. Mesin'!C43</f>
        <v>40544</v>
      </c>
      <c r="N31" s="1212">
        <f>'5. Mesin'!E43</f>
        <v>4800000</v>
      </c>
    </row>
    <row r="32" spans="2:14">
      <c r="B32" s="1215">
        <f t="shared" si="0"/>
        <v>28</v>
      </c>
      <c r="C32" s="1216" t="s">
        <v>208</v>
      </c>
      <c r="D32" s="1216" t="s">
        <v>481</v>
      </c>
      <c r="E32" s="1217">
        <v>40909</v>
      </c>
      <c r="F32" s="1212">
        <v>5000000</v>
      </c>
      <c r="J32" s="1215">
        <f t="shared" si="5"/>
        <v>28</v>
      </c>
      <c r="K32" s="1216" t="s">
        <v>62</v>
      </c>
      <c r="L32" s="1216" t="str">
        <f>'5. Mesin'!B44</f>
        <v>Meteran Solar 1 1/2"</v>
      </c>
      <c r="M32" s="1217">
        <f>'5. Mesin'!C44</f>
        <v>40909</v>
      </c>
      <c r="N32" s="1212">
        <f>'5. Mesin'!E44</f>
        <v>5000000</v>
      </c>
    </row>
    <row r="33" spans="2:14">
      <c r="B33" s="1215">
        <f t="shared" si="0"/>
        <v>29</v>
      </c>
      <c r="C33" s="1216" t="s">
        <v>208</v>
      </c>
      <c r="D33" s="1216" t="s">
        <v>482</v>
      </c>
      <c r="E33" s="1217">
        <v>40909</v>
      </c>
      <c r="F33" s="1212">
        <v>248145455</v>
      </c>
      <c r="J33" s="1215">
        <f t="shared" si="5"/>
        <v>29</v>
      </c>
      <c r="K33" s="1216" t="s">
        <v>62</v>
      </c>
      <c r="L33" s="1216" t="str">
        <f>'5. Mesin'!B45</f>
        <v>Steam Boiler Miura</v>
      </c>
      <c r="M33" s="1217">
        <f>'5. Mesin'!C45</f>
        <v>40909</v>
      </c>
      <c r="N33" s="1212">
        <f>'5. Mesin'!E45</f>
        <v>248145455</v>
      </c>
    </row>
    <row r="34" spans="2:14">
      <c r="B34" s="1215">
        <f t="shared" si="0"/>
        <v>30</v>
      </c>
      <c r="C34" s="1216" t="s">
        <v>208</v>
      </c>
      <c r="D34" s="1216" t="s">
        <v>483</v>
      </c>
      <c r="E34" s="1217">
        <v>41275</v>
      </c>
      <c r="F34" s="1212">
        <v>9200000</v>
      </c>
      <c r="J34" s="1215">
        <f t="shared" si="5"/>
        <v>30</v>
      </c>
      <c r="K34" s="1216" t="s">
        <v>62</v>
      </c>
      <c r="L34" s="1216" t="str">
        <f>'5. Mesin'!B46</f>
        <v>Inverter LS 20 HP</v>
      </c>
      <c r="M34" s="1217">
        <f>'5. Mesin'!C46</f>
        <v>41275</v>
      </c>
      <c r="N34" s="1212">
        <f>'5. Mesin'!E46</f>
        <v>9200000</v>
      </c>
    </row>
    <row r="35" spans="2:14">
      <c r="B35" s="1215">
        <f t="shared" si="0"/>
        <v>31</v>
      </c>
      <c r="C35" s="1216" t="s">
        <v>208</v>
      </c>
      <c r="D35" s="1216" t="s">
        <v>484</v>
      </c>
      <c r="E35" s="1217">
        <v>41275</v>
      </c>
      <c r="F35" s="1212">
        <v>36200000</v>
      </c>
      <c r="J35" s="1215">
        <f t="shared" si="5"/>
        <v>31</v>
      </c>
      <c r="K35" s="1216" t="s">
        <v>62</v>
      </c>
      <c r="L35" s="1216" t="str">
        <f>'5. Mesin'!B47</f>
        <v>Tangki Amoniak</v>
      </c>
      <c r="M35" s="1217">
        <f>'5. Mesin'!C47</f>
        <v>41275</v>
      </c>
      <c r="N35" s="1212">
        <f>'5. Mesin'!E47</f>
        <v>36200000</v>
      </c>
    </row>
    <row r="36" spans="2:14">
      <c r="B36" s="1215">
        <f t="shared" si="0"/>
        <v>32</v>
      </c>
      <c r="C36" s="1216" t="s">
        <v>208</v>
      </c>
      <c r="D36" s="1216" t="s">
        <v>485</v>
      </c>
      <c r="E36" s="1217">
        <v>41275</v>
      </c>
      <c r="F36" s="1212">
        <v>28000000</v>
      </c>
      <c r="J36" s="1215">
        <f t="shared" si="5"/>
        <v>32</v>
      </c>
      <c r="K36" s="1216" t="s">
        <v>62</v>
      </c>
      <c r="L36" s="1216" t="str">
        <f>'5. Mesin'!B48</f>
        <v>Blower Impeler</v>
      </c>
      <c r="M36" s="1217">
        <f>'5. Mesin'!C48</f>
        <v>41275</v>
      </c>
      <c r="N36" s="1212">
        <f>'5. Mesin'!E48</f>
        <v>28000000</v>
      </c>
    </row>
    <row r="37" spans="2:14">
      <c r="B37" s="1215">
        <f t="shared" si="0"/>
        <v>33</v>
      </c>
      <c r="C37" s="1216" t="s">
        <v>208</v>
      </c>
      <c r="D37" s="1216" t="s">
        <v>486</v>
      </c>
      <c r="E37" s="1217">
        <v>41640</v>
      </c>
      <c r="F37" s="1212">
        <v>32100000</v>
      </c>
      <c r="J37" s="1215">
        <f t="shared" si="5"/>
        <v>33</v>
      </c>
      <c r="K37" s="1216" t="s">
        <v>62</v>
      </c>
      <c r="L37" s="1216" t="str">
        <f>'5. Mesin'!B49</f>
        <v>Roots Blower Ty-100,4"</v>
      </c>
      <c r="M37" s="1217">
        <f>'5. Mesin'!C49</f>
        <v>41640</v>
      </c>
      <c r="N37" s="1212">
        <f>'5. Mesin'!E49</f>
        <v>32100000</v>
      </c>
    </row>
    <row r="38" spans="2:14">
      <c r="B38" s="1215">
        <f t="shared" si="0"/>
        <v>34</v>
      </c>
      <c r="C38" s="1216" t="s">
        <v>208</v>
      </c>
      <c r="D38" s="1216" t="s">
        <v>487</v>
      </c>
      <c r="E38" s="1217">
        <v>41640</v>
      </c>
      <c r="F38" s="1212">
        <v>16500000</v>
      </c>
      <c r="J38" s="1215">
        <f t="shared" si="5"/>
        <v>34</v>
      </c>
      <c r="K38" s="1216" t="s">
        <v>62</v>
      </c>
      <c r="L38" s="1216" t="str">
        <f>'5. Mesin'!B50</f>
        <v>Inverter Mitsubishi</v>
      </c>
      <c r="M38" s="1217">
        <f>'5. Mesin'!C50</f>
        <v>41640</v>
      </c>
      <c r="N38" s="1212">
        <f>'5. Mesin'!E50</f>
        <v>16500000</v>
      </c>
    </row>
    <row r="39" spans="2:14">
      <c r="B39" s="1215">
        <f t="shared" si="0"/>
        <v>35</v>
      </c>
      <c r="C39" s="1216" t="s">
        <v>208</v>
      </c>
      <c r="D39" s="1216" t="s">
        <v>487</v>
      </c>
      <c r="E39" s="1217">
        <v>41640</v>
      </c>
      <c r="F39" s="1212">
        <v>8600000</v>
      </c>
      <c r="J39" s="1215">
        <f t="shared" si="5"/>
        <v>35</v>
      </c>
      <c r="K39" s="1216" t="s">
        <v>62</v>
      </c>
      <c r="L39" s="1216" t="str">
        <f>'5. Mesin'!B51</f>
        <v>Inverter Mitsubishi</v>
      </c>
      <c r="M39" s="1217">
        <f>'5. Mesin'!C51</f>
        <v>41640</v>
      </c>
      <c r="N39" s="1212">
        <f>'5. Mesin'!E51</f>
        <v>8600000</v>
      </c>
    </row>
    <row r="40" spans="2:14">
      <c r="B40" s="1215">
        <f t="shared" si="0"/>
        <v>36</v>
      </c>
      <c r="C40" s="1216" t="s">
        <v>208</v>
      </c>
      <c r="D40" s="1216" t="s">
        <v>488</v>
      </c>
      <c r="E40" s="1217">
        <v>41640</v>
      </c>
      <c r="F40" s="1212">
        <v>186300000</v>
      </c>
      <c r="J40" s="1215">
        <f t="shared" si="5"/>
        <v>36</v>
      </c>
      <c r="K40" s="1216" t="s">
        <v>62</v>
      </c>
      <c r="L40" s="1216" t="str">
        <f>'5. Mesin'!B52</f>
        <v>Travo Merk Trafindo</v>
      </c>
      <c r="M40" s="1217">
        <f>'5. Mesin'!C52</f>
        <v>41640</v>
      </c>
      <c r="N40" s="1212">
        <f>'5. Mesin'!E52</f>
        <v>186300000</v>
      </c>
    </row>
    <row r="41" spans="2:14">
      <c r="B41" s="1215">
        <f t="shared" si="0"/>
        <v>37</v>
      </c>
      <c r="C41" s="1216" t="s">
        <v>208</v>
      </c>
      <c r="D41" s="1216" t="s">
        <v>489</v>
      </c>
      <c r="E41" s="1217">
        <v>42061</v>
      </c>
      <c r="F41" s="1212">
        <v>3000000</v>
      </c>
      <c r="J41" s="1215">
        <f t="shared" si="5"/>
        <v>37</v>
      </c>
      <c r="K41" s="1216" t="s">
        <v>62</v>
      </c>
      <c r="L41" s="1216" t="str">
        <f>'5. Mesin'!B53</f>
        <v>Mesin Steam ( AC )  - 2015</v>
      </c>
      <c r="M41" s="1217">
        <f>'5. Mesin'!C53</f>
        <v>42061</v>
      </c>
      <c r="N41" s="1212">
        <f>'5. Mesin'!E53</f>
        <v>3000000</v>
      </c>
    </row>
    <row r="42" spans="2:14">
      <c r="B42" s="1215">
        <f t="shared" si="0"/>
        <v>38</v>
      </c>
      <c r="C42" s="1216" t="s">
        <v>208</v>
      </c>
      <c r="D42" s="1216" t="s">
        <v>490</v>
      </c>
      <c r="E42" s="1217">
        <v>42086</v>
      </c>
      <c r="F42" s="1212">
        <v>1344000</v>
      </c>
      <c r="J42" s="1215">
        <f t="shared" si="5"/>
        <v>38</v>
      </c>
      <c r="K42" s="1216" t="s">
        <v>62</v>
      </c>
      <c r="L42" s="1216" t="str">
        <f>'5. Mesin'!B54</f>
        <v>Mesin Steam Sunchin SCN 30 - 2015</v>
      </c>
      <c r="M42" s="1217">
        <f>'5. Mesin'!C54</f>
        <v>42086</v>
      </c>
      <c r="N42" s="1212">
        <f>'5. Mesin'!E54</f>
        <v>1344000</v>
      </c>
    </row>
    <row r="43" spans="2:14">
      <c r="B43" s="1215">
        <f t="shared" si="0"/>
        <v>39</v>
      </c>
      <c r="C43" s="1216" t="s">
        <v>208</v>
      </c>
      <c r="D43" s="1216" t="s">
        <v>491</v>
      </c>
      <c r="E43" s="1217">
        <v>42114</v>
      </c>
      <c r="F43" s="1212">
        <v>3800000</v>
      </c>
      <c r="J43" s="1215">
        <f t="shared" si="5"/>
        <v>39</v>
      </c>
      <c r="K43" s="1216" t="s">
        <v>62</v>
      </c>
      <c r="L43" s="1216" t="str">
        <f>'5. Mesin'!B55</f>
        <v>Dinamo 3HP - 2015</v>
      </c>
      <c r="M43" s="1217">
        <f>'5. Mesin'!C55</f>
        <v>42114</v>
      </c>
      <c r="N43" s="1212">
        <f>'5. Mesin'!E55</f>
        <v>3800000</v>
      </c>
    </row>
    <row r="44" spans="2:14">
      <c r="B44" s="1215">
        <f t="shared" si="0"/>
        <v>40</v>
      </c>
      <c r="C44" s="1216" t="s">
        <v>208</v>
      </c>
      <c r="D44" s="1216" t="s">
        <v>492</v>
      </c>
      <c r="E44" s="1217">
        <v>42240</v>
      </c>
      <c r="F44" s="1212">
        <v>15300000</v>
      </c>
      <c r="J44" s="1215">
        <f t="shared" si="5"/>
        <v>40</v>
      </c>
      <c r="K44" s="1216" t="s">
        <v>62</v>
      </c>
      <c r="L44" s="1216" t="str">
        <f>'5. Mesin'!B56</f>
        <v>Inverter Merk LS Korea</v>
      </c>
      <c r="M44" s="1217">
        <f>'5. Mesin'!C56</f>
        <v>42240</v>
      </c>
      <c r="N44" s="1212">
        <f>'5. Mesin'!E56</f>
        <v>15300000</v>
      </c>
    </row>
    <row r="45" spans="2:14">
      <c r="B45" s="1215">
        <f t="shared" si="0"/>
        <v>41</v>
      </c>
      <c r="C45" s="1216" t="s">
        <v>208</v>
      </c>
      <c r="D45" s="1216" t="s">
        <v>493</v>
      </c>
      <c r="E45" s="1217">
        <v>42247</v>
      </c>
      <c r="F45" s="1212">
        <v>5300000</v>
      </c>
      <c r="J45" s="1215">
        <f t="shared" si="5"/>
        <v>41</v>
      </c>
      <c r="K45" s="1216" t="s">
        <v>62</v>
      </c>
      <c r="L45" s="1216" t="str">
        <f>'5. Mesin'!B57</f>
        <v>Mesin Pompa Air</v>
      </c>
      <c r="M45" s="1217">
        <f>'5. Mesin'!C57</f>
        <v>42247</v>
      </c>
      <c r="N45" s="1212">
        <f>'5. Mesin'!E57</f>
        <v>5300000</v>
      </c>
    </row>
    <row r="46" spans="2:14">
      <c r="B46" s="1215">
        <f t="shared" si="0"/>
        <v>42</v>
      </c>
      <c r="C46" s="1216" t="s">
        <v>208</v>
      </c>
      <c r="D46" s="1216" t="s">
        <v>494</v>
      </c>
      <c r="E46" s="1217">
        <v>42594</v>
      </c>
      <c r="F46" s="1212">
        <v>8600000</v>
      </c>
      <c r="J46" s="1215">
        <f t="shared" si="5"/>
        <v>42</v>
      </c>
      <c r="K46" s="1216" t="s">
        <v>62</v>
      </c>
      <c r="L46" s="1216" t="str">
        <f>'5. Mesin'!B73</f>
        <v>Steam Boiler Cold Storage 2</v>
      </c>
      <c r="M46" s="1217">
        <f>'5. Mesin'!C73</f>
        <v>39448</v>
      </c>
      <c r="N46" s="1212">
        <f>'5. Mesin'!E73</f>
        <v>26600000</v>
      </c>
    </row>
    <row r="47" spans="2:14">
      <c r="B47" s="1215">
        <f t="shared" si="0"/>
        <v>43</v>
      </c>
      <c r="C47" s="1216" t="s">
        <v>208</v>
      </c>
      <c r="D47" s="1216" t="s">
        <v>495</v>
      </c>
      <c r="E47" s="1217">
        <v>42630</v>
      </c>
      <c r="F47" s="1212">
        <v>15925000</v>
      </c>
      <c r="J47" s="1215">
        <f t="shared" si="5"/>
        <v>43</v>
      </c>
      <c r="K47" s="1216" t="s">
        <v>62</v>
      </c>
      <c r="L47" s="1216" t="str">
        <f>'5. Mesin'!B74</f>
        <v>Roller Chains 40x1</v>
      </c>
      <c r="M47" s="1217">
        <f>'5. Mesin'!C74</f>
        <v>39814</v>
      </c>
      <c r="N47" s="1212">
        <f>'5. Mesin'!E74</f>
        <v>3200000</v>
      </c>
    </row>
    <row r="48" spans="2:14">
      <c r="B48" s="1215">
        <f t="shared" si="0"/>
        <v>44</v>
      </c>
      <c r="C48" s="1216" t="s">
        <v>208</v>
      </c>
      <c r="D48" s="1216" t="s">
        <v>508</v>
      </c>
      <c r="E48" s="1217">
        <v>39448</v>
      </c>
      <c r="F48" s="1212">
        <v>26600000</v>
      </c>
      <c r="J48" s="1215">
        <f t="shared" si="5"/>
        <v>44</v>
      </c>
      <c r="K48" s="1216" t="s">
        <v>62</v>
      </c>
      <c r="L48" s="1216" t="str">
        <f>'5. Mesin'!B75</f>
        <v>Sproket SS RS 40x60</v>
      </c>
      <c r="M48" s="1217">
        <f>'5. Mesin'!C75</f>
        <v>39814</v>
      </c>
      <c r="N48" s="1212">
        <f>'5. Mesin'!E75</f>
        <v>5700000</v>
      </c>
    </row>
    <row r="49" spans="2:14">
      <c r="B49" s="1215">
        <f t="shared" si="0"/>
        <v>45</v>
      </c>
      <c r="C49" s="1216" t="s">
        <v>208</v>
      </c>
      <c r="D49" s="1216" t="s">
        <v>509</v>
      </c>
      <c r="E49" s="1217">
        <v>39814</v>
      </c>
      <c r="F49" s="1212">
        <v>3200000</v>
      </c>
      <c r="J49" s="1215">
        <f t="shared" si="5"/>
        <v>45</v>
      </c>
      <c r="K49" s="1216" t="s">
        <v>62</v>
      </c>
      <c r="L49" s="1216" t="str">
        <f>'5. Mesin'!B77</f>
        <v>Mesin Cutter Zeppelin &amp; Shrimp Cutter Machine</v>
      </c>
      <c r="M49" s="1217">
        <f>'5. Mesin'!C77</f>
        <v>40179</v>
      </c>
      <c r="N49" s="1212">
        <f>'5. Mesin'!E77</f>
        <v>111400000</v>
      </c>
    </row>
    <row r="50" spans="2:14">
      <c r="B50" s="1215">
        <f t="shared" si="0"/>
        <v>46</v>
      </c>
      <c r="C50" s="1216" t="s">
        <v>208</v>
      </c>
      <c r="D50" s="1216" t="s">
        <v>510</v>
      </c>
      <c r="E50" s="1217">
        <v>39814</v>
      </c>
      <c r="F50" s="1212">
        <v>5700000</v>
      </c>
      <c r="J50" s="1215">
        <f t="shared" si="5"/>
        <v>46</v>
      </c>
      <c r="K50" s="1216" t="s">
        <v>62</v>
      </c>
      <c r="L50" s="1216" t="str">
        <f>'5. Mesin'!B79</f>
        <v xml:space="preserve">Mesin NH3 (Hermetic) / Pompa Amoniak </v>
      </c>
      <c r="M50" s="1217">
        <f>'5. Mesin'!C79</f>
        <v>40544</v>
      </c>
      <c r="N50" s="1212">
        <f>'5. Mesin'!E79</f>
        <v>18600000</v>
      </c>
    </row>
    <row r="51" spans="2:14">
      <c r="B51" s="1215">
        <f t="shared" si="0"/>
        <v>47</v>
      </c>
      <c r="C51" s="1216" t="s">
        <v>208</v>
      </c>
      <c r="D51" s="1216" t="s">
        <v>1150</v>
      </c>
      <c r="E51" s="1217">
        <v>40179</v>
      </c>
      <c r="F51" s="1212">
        <v>111400000</v>
      </c>
      <c r="J51" s="1215">
        <f t="shared" si="5"/>
        <v>47</v>
      </c>
      <c r="K51" s="1216" t="s">
        <v>62</v>
      </c>
      <c r="L51" s="1216" t="str">
        <f>'5. Mesin'!B81</f>
        <v>Conveyor</v>
      </c>
      <c r="M51" s="1217">
        <f>'5. Mesin'!C81</f>
        <v>40544</v>
      </c>
      <c r="N51" s="1212">
        <f>'5. Mesin'!E81</f>
        <v>116100000</v>
      </c>
    </row>
    <row r="52" spans="2:14">
      <c r="B52" s="1215">
        <f t="shared" si="0"/>
        <v>48</v>
      </c>
      <c r="C52" s="1216" t="s">
        <v>208</v>
      </c>
      <c r="D52" s="1216" t="s">
        <v>514</v>
      </c>
      <c r="E52" s="1217">
        <v>40544</v>
      </c>
      <c r="F52" s="1212">
        <v>18600000</v>
      </c>
      <c r="J52" s="1215">
        <f t="shared" si="5"/>
        <v>48</v>
      </c>
      <c r="K52" s="1216" t="s">
        <v>62</v>
      </c>
      <c r="L52" s="1216" t="str">
        <f>'5. Mesin'!B83</f>
        <v xml:space="preserve">Mesin CPF </v>
      </c>
      <c r="M52" s="1217">
        <f>'5. Mesin'!C83</f>
        <v>40544</v>
      </c>
      <c r="N52" s="1212">
        <f>'5. Mesin'!E83</f>
        <v>14300000</v>
      </c>
    </row>
    <row r="53" spans="2:14">
      <c r="B53" s="1215">
        <f t="shared" si="0"/>
        <v>49</v>
      </c>
      <c r="C53" s="1216" t="s">
        <v>208</v>
      </c>
      <c r="D53" s="1216" t="s">
        <v>516</v>
      </c>
      <c r="E53" s="1217">
        <v>40544</v>
      </c>
      <c r="F53" s="1212">
        <v>116100000</v>
      </c>
      <c r="J53" s="1215">
        <f t="shared" si="5"/>
        <v>49</v>
      </c>
      <c r="K53" s="1216" t="s">
        <v>62</v>
      </c>
      <c r="L53" s="1216" t="str">
        <f>'5. Mesin'!B84</f>
        <v>Mesin Sortir :</v>
      </c>
      <c r="M53" s="1217">
        <f>'5. Mesin'!C84</f>
        <v>40544</v>
      </c>
      <c r="N53" s="1212">
        <f>'5. Mesin'!E84</f>
        <v>15900000</v>
      </c>
    </row>
    <row r="54" spans="2:14">
      <c r="B54" s="1215">
        <f t="shared" si="0"/>
        <v>50</v>
      </c>
      <c r="C54" s="1216" t="s">
        <v>208</v>
      </c>
      <c r="D54" s="1216" t="s">
        <v>518</v>
      </c>
      <c r="E54" s="1217">
        <v>40544</v>
      </c>
      <c r="F54" s="1212">
        <v>14300000</v>
      </c>
      <c r="J54" s="1215">
        <f t="shared" si="5"/>
        <v>50</v>
      </c>
      <c r="K54" s="1216" t="s">
        <v>62</v>
      </c>
      <c r="L54" s="1216" t="str">
        <f>'5. Mesin'!B85</f>
        <v>Cold Room Baru Div.ISP2</v>
      </c>
      <c r="M54" s="1217">
        <f>'5. Mesin'!C85</f>
        <v>40544</v>
      </c>
      <c r="N54" s="1212">
        <f>'5. Mesin'!E85</f>
        <v>287200000</v>
      </c>
    </row>
    <row r="55" spans="2:14">
      <c r="B55" s="1215">
        <f t="shared" si="0"/>
        <v>51</v>
      </c>
      <c r="C55" s="1216" t="s">
        <v>208</v>
      </c>
      <c r="D55" s="1216" t="s">
        <v>519</v>
      </c>
      <c r="E55" s="1217">
        <v>40544</v>
      </c>
      <c r="F55" s="1212">
        <v>15900000</v>
      </c>
      <c r="J55" s="1215">
        <f t="shared" si="5"/>
        <v>51</v>
      </c>
      <c r="K55" s="1216" t="s">
        <v>62</v>
      </c>
      <c r="L55" s="1216" t="str">
        <f>'5. Mesin'!B86</f>
        <v>Double Chamber</v>
      </c>
      <c r="M55" s="1217">
        <f>'5. Mesin'!C86</f>
        <v>40909</v>
      </c>
      <c r="N55" s="1212">
        <f>'5. Mesin'!E86</f>
        <v>92500000</v>
      </c>
    </row>
    <row r="56" spans="2:14">
      <c r="B56" s="1215">
        <f t="shared" si="0"/>
        <v>52</v>
      </c>
      <c r="C56" s="1216" t="s">
        <v>208</v>
      </c>
      <c r="D56" s="1216" t="s">
        <v>520</v>
      </c>
      <c r="E56" s="1217">
        <v>40544</v>
      </c>
      <c r="F56" s="1212">
        <v>287200000</v>
      </c>
      <c r="J56" s="1215">
        <f t="shared" si="5"/>
        <v>52</v>
      </c>
      <c r="K56" s="1216" t="s">
        <v>62</v>
      </c>
      <c r="L56" s="1168" t="str">
        <f>'5. Mesin'!B91</f>
        <v>Mesin Tambak</v>
      </c>
      <c r="M56" s="1217">
        <f>'5. Mesin'!C91</f>
        <v>38353</v>
      </c>
      <c r="N56" s="1212">
        <f>'5. Mesin'!E91</f>
        <v>70800000</v>
      </c>
    </row>
    <row r="57" spans="2:14">
      <c r="B57" s="1215">
        <f t="shared" si="0"/>
        <v>53</v>
      </c>
      <c r="C57" s="1216" t="s">
        <v>208</v>
      </c>
      <c r="D57" s="1216" t="s">
        <v>512</v>
      </c>
      <c r="E57" s="1217">
        <v>40909</v>
      </c>
      <c r="F57" s="1212">
        <v>92500000</v>
      </c>
      <c r="J57" s="1215">
        <f t="shared" si="5"/>
        <v>53</v>
      </c>
      <c r="K57" s="1216" t="s">
        <v>62</v>
      </c>
      <c r="L57" s="1216" t="str">
        <f>'5. Mesin'!B92</f>
        <v>Mesin Genset</v>
      </c>
      <c r="M57" s="1217">
        <f>'5. Mesin'!C92</f>
        <v>38353</v>
      </c>
      <c r="N57" s="1212">
        <f>'5. Mesin'!E92</f>
        <v>30700000</v>
      </c>
    </row>
    <row r="58" spans="2:14">
      <c r="B58" s="1215">
        <f t="shared" si="0"/>
        <v>54</v>
      </c>
      <c r="C58" s="1216" t="s">
        <v>208</v>
      </c>
      <c r="D58" s="1216" t="s">
        <v>525</v>
      </c>
      <c r="E58" s="1217">
        <v>38353</v>
      </c>
      <c r="F58" s="1212">
        <v>70800000</v>
      </c>
      <c r="J58" s="1215">
        <f t="shared" si="5"/>
        <v>54</v>
      </c>
      <c r="K58" s="1216" t="s">
        <v>62</v>
      </c>
      <c r="L58" s="1216" t="str">
        <f>'5. Mesin'!B93</f>
        <v>Kapasitor MG 60 KVA</v>
      </c>
      <c r="M58" s="1217">
        <f>'5. Mesin'!C93</f>
        <v>38353</v>
      </c>
      <c r="N58" s="1212">
        <f>'5. Mesin'!E93</f>
        <v>7500000</v>
      </c>
    </row>
    <row r="59" spans="2:14">
      <c r="B59" s="1215">
        <f t="shared" si="0"/>
        <v>55</v>
      </c>
      <c r="C59" s="1216" t="s">
        <v>208</v>
      </c>
      <c r="D59" s="1216" t="s">
        <v>526</v>
      </c>
      <c r="E59" s="1217">
        <v>38353</v>
      </c>
      <c r="F59" s="1212">
        <v>30700000</v>
      </c>
      <c r="J59" s="1215">
        <f t="shared" si="5"/>
        <v>55</v>
      </c>
      <c r="K59" s="1216" t="s">
        <v>62</v>
      </c>
      <c r="L59" s="1216" t="str">
        <f>'5. Mesin'!B94</f>
        <v>NFB MG 3Phase 100A</v>
      </c>
      <c r="M59" s="1217">
        <f>'5. Mesin'!C94</f>
        <v>38353</v>
      </c>
      <c r="N59" s="1212">
        <f>'5. Mesin'!E94</f>
        <v>1200000</v>
      </c>
    </row>
    <row r="60" spans="2:14">
      <c r="B60" s="1215">
        <f t="shared" si="0"/>
        <v>56</v>
      </c>
      <c r="C60" s="1216" t="s">
        <v>208</v>
      </c>
      <c r="D60" s="1216" t="s">
        <v>527</v>
      </c>
      <c r="E60" s="1217">
        <v>38353</v>
      </c>
      <c r="F60" s="1212">
        <v>7500000</v>
      </c>
      <c r="J60" s="1215">
        <f t="shared" si="5"/>
        <v>56</v>
      </c>
      <c r="K60" s="1216" t="s">
        <v>62</v>
      </c>
      <c r="L60" s="1216" t="str">
        <f>'5. Mesin'!B96</f>
        <v xml:space="preserve">Kabel Eterna NYAF </v>
      </c>
      <c r="M60" s="1217">
        <f>'5. Mesin'!C96</f>
        <v>38353</v>
      </c>
      <c r="N60" s="1212">
        <f>'5. Mesin'!E96</f>
        <v>2400000</v>
      </c>
    </row>
    <row r="61" spans="2:14">
      <c r="B61" s="1215">
        <f t="shared" si="0"/>
        <v>57</v>
      </c>
      <c r="C61" s="1216" t="s">
        <v>208</v>
      </c>
      <c r="D61" s="1216" t="s">
        <v>528</v>
      </c>
      <c r="E61" s="1217">
        <v>38353</v>
      </c>
      <c r="F61" s="1212">
        <v>1200000</v>
      </c>
      <c r="J61" s="1215">
        <f t="shared" si="5"/>
        <v>57</v>
      </c>
      <c r="K61" s="1216" t="s">
        <v>62</v>
      </c>
      <c r="L61" s="1216" t="str">
        <f>'5. Mesin'!B97</f>
        <v>Magnetic Kontraktor + Scun SC 70mm + Volt Meter GAE 400A</v>
      </c>
      <c r="M61" s="1217">
        <f>'5. Mesin'!C97</f>
        <v>38353</v>
      </c>
      <c r="N61" s="1212">
        <f>'5. Mesin'!E97</f>
        <v>1100000</v>
      </c>
    </row>
    <row r="62" spans="2:14">
      <c r="B62" s="1215">
        <f t="shared" si="0"/>
        <v>58</v>
      </c>
      <c r="C62" s="1216" t="s">
        <v>208</v>
      </c>
      <c r="D62" s="1216" t="s">
        <v>530</v>
      </c>
      <c r="E62" s="1217">
        <v>38353</v>
      </c>
      <c r="F62" s="1212">
        <v>2400000</v>
      </c>
      <c r="J62" s="1215">
        <f t="shared" si="5"/>
        <v>58</v>
      </c>
      <c r="K62" s="1216" t="s">
        <v>62</v>
      </c>
      <c r="L62" s="1216" t="str">
        <f>'5. Mesin'!B99</f>
        <v>CT GAE 400/5A</v>
      </c>
      <c r="M62" s="1217">
        <f>'5. Mesin'!C99</f>
        <v>38353</v>
      </c>
      <c r="N62" s="1212">
        <f>'5. Mesin'!E99</f>
        <v>700000</v>
      </c>
    </row>
    <row r="63" spans="2:14">
      <c r="B63" s="1215">
        <f t="shared" si="0"/>
        <v>59</v>
      </c>
      <c r="C63" s="1216" t="s">
        <v>208</v>
      </c>
      <c r="D63" s="1216" t="s">
        <v>1170</v>
      </c>
      <c r="E63" s="1217">
        <v>38353</v>
      </c>
      <c r="F63" s="1212">
        <v>1100000</v>
      </c>
      <c r="J63" s="1215">
        <f t="shared" si="5"/>
        <v>59</v>
      </c>
      <c r="K63" s="1216" t="s">
        <v>62</v>
      </c>
      <c r="L63" s="1216" t="str">
        <f>'5. Mesin'!B101</f>
        <v>MCB MG 3Phase 4A</v>
      </c>
      <c r="M63" s="1217">
        <f>'5. Mesin'!C101</f>
        <v>38353</v>
      </c>
      <c r="N63" s="1212">
        <f>'5. Mesin'!E101</f>
        <v>7300000</v>
      </c>
    </row>
    <row r="64" spans="2:14">
      <c r="B64" s="1215">
        <f t="shared" si="0"/>
        <v>60</v>
      </c>
      <c r="C64" s="1216" t="s">
        <v>208</v>
      </c>
      <c r="D64" s="1216" t="s">
        <v>532</v>
      </c>
      <c r="E64" s="1217">
        <v>38353</v>
      </c>
      <c r="F64" s="1212">
        <v>700000</v>
      </c>
      <c r="J64" s="1215">
        <f t="shared" si="5"/>
        <v>60</v>
      </c>
      <c r="K64" s="1216" t="s">
        <v>62</v>
      </c>
      <c r="L64" s="1216" t="str">
        <f>'5. Mesin'!B102</f>
        <v>Prequency Meter GAE 48-52H</v>
      </c>
      <c r="M64" s="1217">
        <f>'5. Mesin'!C102</f>
        <v>38353</v>
      </c>
      <c r="N64" s="1212">
        <f>'5. Mesin'!E102</f>
        <v>600000</v>
      </c>
    </row>
    <row r="65" spans="2:14">
      <c r="B65" s="1215">
        <f t="shared" si="0"/>
        <v>61</v>
      </c>
      <c r="C65" s="1216" t="s">
        <v>208</v>
      </c>
      <c r="D65" s="1216" t="s">
        <v>534</v>
      </c>
      <c r="E65" s="1217">
        <v>38353</v>
      </c>
      <c r="F65" s="1212">
        <v>7300000</v>
      </c>
      <c r="J65" s="1215">
        <f t="shared" si="5"/>
        <v>61</v>
      </c>
      <c r="K65" s="1216" t="s">
        <v>62</v>
      </c>
      <c r="L65" s="1216" t="str">
        <f>'5. Mesin'!B103</f>
        <v>NFB MG 3Phase 400A</v>
      </c>
      <c r="M65" s="1217">
        <f>'5. Mesin'!C103</f>
        <v>38353</v>
      </c>
      <c r="N65" s="1212">
        <f>'5. Mesin'!E103</f>
        <v>1500000</v>
      </c>
    </row>
    <row r="66" spans="2:14">
      <c r="B66" s="1215">
        <f t="shared" si="0"/>
        <v>62</v>
      </c>
      <c r="C66" s="1216" t="s">
        <v>208</v>
      </c>
      <c r="D66" s="1216" t="s">
        <v>535</v>
      </c>
      <c r="E66" s="1217">
        <v>38353</v>
      </c>
      <c r="F66" s="1212">
        <v>600000</v>
      </c>
      <c r="J66" s="1215">
        <f t="shared" si="5"/>
        <v>62</v>
      </c>
      <c r="K66" s="1216" t="s">
        <v>62</v>
      </c>
      <c r="L66" s="1216" t="str">
        <f>'5. Mesin'!B104</f>
        <v>Accu N-120</v>
      </c>
      <c r="M66" s="1217">
        <f>'5. Mesin'!C104</f>
        <v>38353</v>
      </c>
      <c r="N66" s="1212">
        <f>'5. Mesin'!E104</f>
        <v>8200000</v>
      </c>
    </row>
    <row r="67" spans="2:14">
      <c r="B67" s="1215">
        <f t="shared" si="0"/>
        <v>63</v>
      </c>
      <c r="C67" s="1216" t="s">
        <v>208</v>
      </c>
      <c r="D67" s="1216" t="s">
        <v>536</v>
      </c>
      <c r="E67" s="1217">
        <v>38353</v>
      </c>
      <c r="F67" s="1212">
        <v>1500000</v>
      </c>
      <c r="J67" s="1215">
        <f t="shared" si="5"/>
        <v>63</v>
      </c>
      <c r="K67" s="1216" t="s">
        <v>62</v>
      </c>
      <c r="L67" s="1216" t="str">
        <f>'5. Mesin'!B105</f>
        <v>Mesin Gerinda Tangan Hitachi</v>
      </c>
      <c r="M67" s="1217">
        <f>'5. Mesin'!C105</f>
        <v>39448</v>
      </c>
      <c r="N67" s="1212">
        <f>'5. Mesin'!E105</f>
        <v>1000000</v>
      </c>
    </row>
    <row r="68" spans="2:14">
      <c r="B68" s="1215">
        <f t="shared" si="0"/>
        <v>64</v>
      </c>
      <c r="C68" s="1216" t="s">
        <v>208</v>
      </c>
      <c r="D68" s="1216" t="s">
        <v>546</v>
      </c>
      <c r="E68" s="1217">
        <v>38353</v>
      </c>
      <c r="F68" s="1212">
        <v>8200000</v>
      </c>
      <c r="J68" s="1215">
        <f t="shared" si="5"/>
        <v>64</v>
      </c>
      <c r="K68" s="1216" t="s">
        <v>62</v>
      </c>
      <c r="L68" s="1216" t="str">
        <f>'5. Mesin'!B106</f>
        <v>Accu N-100</v>
      </c>
      <c r="M68" s="1217">
        <f>'5. Mesin'!C106</f>
        <v>39448</v>
      </c>
      <c r="N68" s="1212">
        <f>'5. Mesin'!E106</f>
        <v>2000000</v>
      </c>
    </row>
    <row r="69" spans="2:14">
      <c r="B69" s="1215">
        <f t="shared" si="0"/>
        <v>65</v>
      </c>
      <c r="C69" s="1216" t="s">
        <v>208</v>
      </c>
      <c r="D69" s="1216" t="s">
        <v>537</v>
      </c>
      <c r="E69" s="1217">
        <v>39448</v>
      </c>
      <c r="F69" s="1212">
        <v>1000000</v>
      </c>
      <c r="J69" s="1215">
        <f t="shared" si="5"/>
        <v>65</v>
      </c>
      <c r="K69" s="1216" t="s">
        <v>62</v>
      </c>
      <c r="L69" s="1216" t="str">
        <f>'5. Mesin'!B107</f>
        <v>Pompa Submersible</v>
      </c>
      <c r="M69" s="1217">
        <f>'5. Mesin'!C107</f>
        <v>39448</v>
      </c>
      <c r="N69" s="1212">
        <f>'5. Mesin'!E107</f>
        <v>228800000</v>
      </c>
    </row>
    <row r="70" spans="2:14">
      <c r="B70" s="1215">
        <f t="shared" si="0"/>
        <v>66</v>
      </c>
      <c r="C70" s="1216" t="s">
        <v>208</v>
      </c>
      <c r="D70" s="1216" t="s">
        <v>538</v>
      </c>
      <c r="E70" s="1217">
        <v>39448</v>
      </c>
      <c r="F70" s="1212">
        <v>2000000</v>
      </c>
      <c r="J70" s="1215">
        <f t="shared" si="5"/>
        <v>66</v>
      </c>
      <c r="K70" s="1216" t="s">
        <v>62</v>
      </c>
      <c r="L70" s="1216" t="str">
        <f>'5. Mesin'!B108</f>
        <v>NFB MG 250 A 3Phase</v>
      </c>
      <c r="M70" s="1217">
        <f>'5. Mesin'!C108</f>
        <v>39814</v>
      </c>
      <c r="N70" s="1212">
        <f>'5. Mesin'!E108</f>
        <v>4900000</v>
      </c>
    </row>
    <row r="71" spans="2:14">
      <c r="B71" s="1215">
        <f t="shared" ref="B71:B134" si="6">B70+1</f>
        <v>67</v>
      </c>
      <c r="C71" s="1216" t="s">
        <v>208</v>
      </c>
      <c r="D71" s="1216" t="s">
        <v>539</v>
      </c>
      <c r="E71" s="1217">
        <v>39448</v>
      </c>
      <c r="F71" s="1212">
        <v>228800000</v>
      </c>
      <c r="J71" s="1215">
        <f t="shared" si="5"/>
        <v>67</v>
      </c>
      <c r="K71" s="1216" t="s">
        <v>62</v>
      </c>
      <c r="L71" s="1216" t="str">
        <f>'5. Mesin'!B109</f>
        <v>Kabel NYY Jumbo 1 x 95 mm</v>
      </c>
      <c r="M71" s="1217">
        <f>'5. Mesin'!C109</f>
        <v>39814</v>
      </c>
      <c r="N71" s="1212">
        <f>'5. Mesin'!E109</f>
        <v>9300000</v>
      </c>
    </row>
    <row r="72" spans="2:14">
      <c r="B72" s="1215">
        <f t="shared" si="6"/>
        <v>68</v>
      </c>
      <c r="C72" s="1216" t="s">
        <v>208</v>
      </c>
      <c r="D72" s="1216" t="s">
        <v>540</v>
      </c>
      <c r="E72" s="1217">
        <v>39814</v>
      </c>
      <c r="F72" s="1212">
        <v>4900000</v>
      </c>
      <c r="J72" s="1215">
        <f t="shared" si="5"/>
        <v>68</v>
      </c>
      <c r="K72" s="1216" t="s">
        <v>62</v>
      </c>
      <c r="L72" s="1216" t="str">
        <f>'5. Mesin'!B110</f>
        <v>Kabel eterna NYY 3 x 2 1/2 mm</v>
      </c>
      <c r="M72" s="1217">
        <f>'5. Mesin'!C110</f>
        <v>39814</v>
      </c>
      <c r="N72" s="1212">
        <f>'5. Mesin'!E110</f>
        <v>25300000</v>
      </c>
    </row>
    <row r="73" spans="2:14">
      <c r="B73" s="1215">
        <f t="shared" si="6"/>
        <v>69</v>
      </c>
      <c r="C73" s="1216" t="s">
        <v>208</v>
      </c>
      <c r="D73" s="1216" t="s">
        <v>541</v>
      </c>
      <c r="E73" s="1217">
        <v>39814</v>
      </c>
      <c r="F73" s="1212">
        <v>9300000</v>
      </c>
      <c r="J73" s="1215">
        <f t="shared" si="5"/>
        <v>69</v>
      </c>
      <c r="K73" s="1216" t="s">
        <v>62</v>
      </c>
      <c r="L73" s="1216" t="str">
        <f>'5. Mesin'!B111</f>
        <v>Pompa Panasonic</v>
      </c>
      <c r="M73" s="1217">
        <f>'5. Mesin'!C111</f>
        <v>39814</v>
      </c>
      <c r="N73" s="1212">
        <f>'5. Mesin'!E111</f>
        <v>1000000</v>
      </c>
    </row>
    <row r="74" spans="2:14">
      <c r="B74" s="1215">
        <f t="shared" si="6"/>
        <v>70</v>
      </c>
      <c r="C74" s="1216" t="s">
        <v>208</v>
      </c>
      <c r="D74" s="1216" t="s">
        <v>542</v>
      </c>
      <c r="E74" s="1217">
        <v>39814</v>
      </c>
      <c r="F74" s="1212">
        <v>25300000</v>
      </c>
      <c r="J74" s="1215">
        <f t="shared" si="5"/>
        <v>70</v>
      </c>
      <c r="K74" s="1216" t="s">
        <v>62</v>
      </c>
      <c r="L74" s="1216" t="str">
        <f>'5. Mesin'!B112</f>
        <v>Pompa Submersible 5 HP</v>
      </c>
      <c r="M74" s="1217">
        <f>'5. Mesin'!C112</f>
        <v>39814</v>
      </c>
      <c r="N74" s="1212">
        <f>'5. Mesin'!E112</f>
        <v>53400000</v>
      </c>
    </row>
    <row r="75" spans="2:14">
      <c r="B75" s="1215">
        <f t="shared" si="6"/>
        <v>71</v>
      </c>
      <c r="C75" s="1216" t="s">
        <v>208</v>
      </c>
      <c r="D75" s="1216" t="s">
        <v>409</v>
      </c>
      <c r="E75" s="1217">
        <v>39814</v>
      </c>
      <c r="F75" s="1212">
        <v>1000000</v>
      </c>
      <c r="J75" s="1215">
        <f t="shared" si="5"/>
        <v>71</v>
      </c>
      <c r="K75" s="1216" t="s">
        <v>62</v>
      </c>
      <c r="L75" s="1216" t="str">
        <f>'5. Mesin'!B113</f>
        <v>Pompa Submersible 3 HP</v>
      </c>
      <c r="M75" s="1217">
        <f>'5. Mesin'!C113</f>
        <v>39814</v>
      </c>
      <c r="N75" s="1212">
        <f>'5. Mesin'!E113</f>
        <v>2300000</v>
      </c>
    </row>
    <row r="76" spans="2:14">
      <c r="B76" s="1215">
        <f t="shared" si="6"/>
        <v>72</v>
      </c>
      <c r="C76" s="1216" t="s">
        <v>208</v>
      </c>
      <c r="D76" s="1216" t="s">
        <v>544</v>
      </c>
      <c r="E76" s="1217">
        <v>39814</v>
      </c>
      <c r="F76" s="1212">
        <v>53400000</v>
      </c>
      <c r="J76" s="1215">
        <f t="shared" si="5"/>
        <v>72</v>
      </c>
      <c r="K76" s="1216" t="s">
        <v>62</v>
      </c>
      <c r="L76" s="1216" t="str">
        <f>'5. Mesin'!B114</f>
        <v>Kabel Mitsuba NYY 3x2 1/2</v>
      </c>
      <c r="M76" s="1217">
        <f>'5. Mesin'!C114</f>
        <v>40179</v>
      </c>
      <c r="N76" s="1212">
        <f>'5. Mesin'!E114</f>
        <v>10500000</v>
      </c>
    </row>
    <row r="77" spans="2:14">
      <c r="B77" s="1215">
        <f t="shared" si="6"/>
        <v>73</v>
      </c>
      <c r="C77" s="1216" t="s">
        <v>208</v>
      </c>
      <c r="D77" s="1216" t="s">
        <v>545</v>
      </c>
      <c r="E77" s="1217">
        <v>39814</v>
      </c>
      <c r="F77" s="1212">
        <v>2300000</v>
      </c>
      <c r="J77" s="1215">
        <f t="shared" si="5"/>
        <v>73</v>
      </c>
      <c r="K77" s="1216" t="s">
        <v>62</v>
      </c>
      <c r="L77" s="1216" t="str">
        <f>'5. Mesin'!B115</f>
        <v>Kabel eterna NYY 3 x 1 1/2 mm</v>
      </c>
      <c r="M77" s="1217">
        <f>'5. Mesin'!C115</f>
        <v>40179</v>
      </c>
      <c r="N77" s="1212">
        <f>'5. Mesin'!E115</f>
        <v>9800000</v>
      </c>
    </row>
    <row r="78" spans="2:14">
      <c r="B78" s="1215">
        <f t="shared" si="6"/>
        <v>74</v>
      </c>
      <c r="C78" s="1216" t="s">
        <v>208</v>
      </c>
      <c r="D78" s="1216" t="s">
        <v>547</v>
      </c>
      <c r="E78" s="1217">
        <v>40179</v>
      </c>
      <c r="F78" s="1212">
        <v>10500000</v>
      </c>
      <c r="J78" s="1215">
        <f t="shared" si="5"/>
        <v>74</v>
      </c>
      <c r="K78" s="1216" t="s">
        <v>62</v>
      </c>
      <c r="L78" s="1216" t="str">
        <f>'5. Mesin'!B116</f>
        <v>Breker MG EZC 250A 3Phase</v>
      </c>
      <c r="M78" s="1217">
        <f>'5. Mesin'!C116</f>
        <v>40544</v>
      </c>
      <c r="N78" s="1212">
        <f>'5. Mesin'!E116</f>
        <v>14500000</v>
      </c>
    </row>
    <row r="79" spans="2:14">
      <c r="B79" s="1215">
        <f t="shared" si="6"/>
        <v>75</v>
      </c>
      <c r="C79" s="1216" t="s">
        <v>208</v>
      </c>
      <c r="D79" s="1216" t="s">
        <v>548</v>
      </c>
      <c r="E79" s="1217">
        <v>40179</v>
      </c>
      <c r="F79" s="1212">
        <v>9800000</v>
      </c>
      <c r="J79" s="1215">
        <f t="shared" ref="J79:J142" si="7">J78+1</f>
        <v>75</v>
      </c>
      <c r="K79" s="1216" t="s">
        <v>62</v>
      </c>
      <c r="L79" s="1216" t="str">
        <f>'5. Mesin'!B117</f>
        <v>Kincir Padle Whell Actec 1HP</v>
      </c>
      <c r="M79" s="1217">
        <f>'5. Mesin'!C117</f>
        <v>40544</v>
      </c>
      <c r="N79" s="1212">
        <f>'5. Mesin'!E117</f>
        <v>188400000</v>
      </c>
    </row>
    <row r="80" spans="2:14">
      <c r="B80" s="1215">
        <f t="shared" si="6"/>
        <v>76</v>
      </c>
      <c r="C80" s="1216" t="s">
        <v>208</v>
      </c>
      <c r="D80" s="1216" t="s">
        <v>549</v>
      </c>
      <c r="E80" s="1217">
        <v>40544</v>
      </c>
      <c r="F80" s="1212">
        <v>14500000</v>
      </c>
      <c r="J80" s="1215">
        <f t="shared" si="7"/>
        <v>76</v>
      </c>
      <c r="K80" s="1216" t="s">
        <v>62</v>
      </c>
      <c r="L80" s="1216" t="str">
        <f>'5. Mesin'!B118</f>
        <v>Roots Blower In/Out</v>
      </c>
      <c r="M80" s="1217">
        <f>'5. Mesin'!C118</f>
        <v>40544</v>
      </c>
      <c r="N80" s="1212">
        <f>'5. Mesin'!E118</f>
        <v>47800000</v>
      </c>
    </row>
    <row r="81" spans="2:14">
      <c r="B81" s="1215">
        <f t="shared" si="6"/>
        <v>77</v>
      </c>
      <c r="C81" s="1216" t="s">
        <v>208</v>
      </c>
      <c r="D81" s="1216" t="s">
        <v>550</v>
      </c>
      <c r="E81" s="1217">
        <v>40544</v>
      </c>
      <c r="F81" s="1212">
        <v>188400000</v>
      </c>
      <c r="J81" s="1215">
        <f t="shared" si="7"/>
        <v>77</v>
      </c>
      <c r="K81" s="1216" t="s">
        <v>62</v>
      </c>
      <c r="L81" s="1216" t="str">
        <f>'5. Mesin'!B119</f>
        <v>Elektro Motor Yuema Foot Mounted</v>
      </c>
      <c r="M81" s="1217">
        <f>'5. Mesin'!C119</f>
        <v>40544</v>
      </c>
      <c r="N81" s="1212">
        <f>'5. Mesin'!E119</f>
        <v>88300000</v>
      </c>
    </row>
    <row r="82" spans="2:14">
      <c r="B82" s="1215">
        <f t="shared" si="6"/>
        <v>78</v>
      </c>
      <c r="C82" s="1216" t="s">
        <v>208</v>
      </c>
      <c r="D82" s="1216" t="s">
        <v>551</v>
      </c>
      <c r="E82" s="1217">
        <v>40544</v>
      </c>
      <c r="F82" s="1212">
        <v>47800000</v>
      </c>
      <c r="J82" s="1215">
        <f t="shared" si="7"/>
        <v>78</v>
      </c>
      <c r="K82" s="1216" t="s">
        <v>62</v>
      </c>
      <c r="L82" s="1216" t="str">
        <f>'5. Mesin'!B120</f>
        <v>Joint Couple SS Sc-0,75</v>
      </c>
      <c r="M82" s="1217">
        <f>'5. Mesin'!C120</f>
        <v>40544</v>
      </c>
      <c r="N82" s="1212">
        <f>'5. Mesin'!E120</f>
        <v>12500000</v>
      </c>
    </row>
    <row r="83" spans="2:14">
      <c r="B83" s="1215">
        <f t="shared" si="6"/>
        <v>79</v>
      </c>
      <c r="C83" s="1216" t="s">
        <v>208</v>
      </c>
      <c r="D83" s="1216" t="s">
        <v>552</v>
      </c>
      <c r="E83" s="1217">
        <v>40544</v>
      </c>
      <c r="F83" s="1212">
        <v>88300000</v>
      </c>
      <c r="J83" s="1215">
        <f t="shared" si="7"/>
        <v>79</v>
      </c>
      <c r="K83" s="1216" t="s">
        <v>62</v>
      </c>
      <c r="L83" s="1216" t="str">
        <f>'5. Mesin'!B121</f>
        <v>Porous Fine Bubless Diffuser</v>
      </c>
      <c r="M83" s="1217">
        <f>'5. Mesin'!C121</f>
        <v>40544</v>
      </c>
      <c r="N83" s="1212">
        <f>'5. Mesin'!E121</f>
        <v>12500000</v>
      </c>
    </row>
    <row r="84" spans="2:14">
      <c r="B84" s="1215">
        <f t="shared" si="6"/>
        <v>80</v>
      </c>
      <c r="C84" s="1216" t="s">
        <v>208</v>
      </c>
      <c r="D84" s="1216" t="s">
        <v>553</v>
      </c>
      <c r="E84" s="1217">
        <v>40544</v>
      </c>
      <c r="F84" s="1212">
        <v>12500000</v>
      </c>
      <c r="J84" s="1215">
        <f t="shared" si="7"/>
        <v>80</v>
      </c>
      <c r="K84" s="1216" t="s">
        <v>62</v>
      </c>
      <c r="L84" s="1216" t="str">
        <f>'5. Mesin'!B122</f>
        <v>Dinamo Futigal</v>
      </c>
      <c r="M84" s="1217">
        <f>'5. Mesin'!C122</f>
        <v>40544</v>
      </c>
      <c r="N84" s="1212">
        <f>'5. Mesin'!E122</f>
        <v>277800000</v>
      </c>
    </row>
    <row r="85" spans="2:14">
      <c r="B85" s="1215">
        <f t="shared" si="6"/>
        <v>81</v>
      </c>
      <c r="C85" s="1216" t="s">
        <v>208</v>
      </c>
      <c r="D85" s="1216" t="s">
        <v>554</v>
      </c>
      <c r="E85" s="1217">
        <v>40544</v>
      </c>
      <c r="F85" s="1212">
        <v>12500000</v>
      </c>
      <c r="J85" s="1215">
        <f t="shared" si="7"/>
        <v>81</v>
      </c>
      <c r="K85" s="1216" t="s">
        <v>62</v>
      </c>
      <c r="L85" s="1216" t="str">
        <f>'5. Mesin'!B123</f>
        <v>Kepala Turbo</v>
      </c>
      <c r="M85" s="1217">
        <f>'5. Mesin'!C123</f>
        <v>40544</v>
      </c>
      <c r="N85" s="1212">
        <f>'5. Mesin'!E123</f>
        <v>9600000</v>
      </c>
    </row>
    <row r="86" spans="2:14">
      <c r="B86" s="1215">
        <f t="shared" si="6"/>
        <v>82</v>
      </c>
      <c r="C86" s="1216" t="s">
        <v>208</v>
      </c>
      <c r="D86" s="1216" t="s">
        <v>555</v>
      </c>
      <c r="E86" s="1217">
        <v>40544</v>
      </c>
      <c r="F86" s="1212">
        <v>277800000</v>
      </c>
      <c r="J86" s="1215">
        <f t="shared" si="7"/>
        <v>82</v>
      </c>
      <c r="K86" s="1216" t="s">
        <v>62</v>
      </c>
      <c r="L86" s="1216" t="str">
        <f>'5. Mesin'!B124</f>
        <v>Elektron Membran</v>
      </c>
      <c r="M86" s="1217">
        <f>'5. Mesin'!C124</f>
        <v>40544</v>
      </c>
      <c r="N86" s="1212">
        <f>'5. Mesin'!E124</f>
        <v>45900000</v>
      </c>
    </row>
    <row r="87" spans="2:14">
      <c r="B87" s="1215">
        <f t="shared" si="6"/>
        <v>83</v>
      </c>
      <c r="C87" s="1216" t="s">
        <v>208</v>
      </c>
      <c r="D87" s="1216" t="s">
        <v>556</v>
      </c>
      <c r="E87" s="1217">
        <v>40544</v>
      </c>
      <c r="F87" s="1212">
        <v>9600000</v>
      </c>
      <c r="J87" s="1215">
        <f t="shared" si="7"/>
        <v>83</v>
      </c>
      <c r="K87" s="1216" t="s">
        <v>62</v>
      </c>
      <c r="L87" s="1216" t="str">
        <f>'5. Mesin'!B125</f>
        <v>Mesin Mitsubishi</v>
      </c>
      <c r="M87" s="1217">
        <f>'5. Mesin'!C125</f>
        <v>40544</v>
      </c>
      <c r="N87" s="1212">
        <f>'5. Mesin'!E125</f>
        <v>15200000</v>
      </c>
    </row>
    <row r="88" spans="2:14">
      <c r="B88" s="1215">
        <f t="shared" si="6"/>
        <v>84</v>
      </c>
      <c r="C88" s="1216" t="s">
        <v>208</v>
      </c>
      <c r="D88" s="1216" t="s">
        <v>557</v>
      </c>
      <c r="E88" s="1217">
        <v>40544</v>
      </c>
      <c r="F88" s="1212">
        <v>45900000</v>
      </c>
      <c r="J88" s="1215">
        <f t="shared" si="7"/>
        <v>84</v>
      </c>
      <c r="K88" s="1216" t="s">
        <v>62</v>
      </c>
      <c r="L88" s="1216" t="str">
        <f>'5. Mesin'!B126</f>
        <v>Accu</v>
      </c>
      <c r="M88" s="1217">
        <f>'5. Mesin'!C126</f>
        <v>40544</v>
      </c>
      <c r="N88" s="1212">
        <f>'5. Mesin'!E126</f>
        <v>6200000</v>
      </c>
    </row>
    <row r="89" spans="2:14">
      <c r="B89" s="1215">
        <f t="shared" si="6"/>
        <v>85</v>
      </c>
      <c r="C89" s="1216" t="s">
        <v>208</v>
      </c>
      <c r="D89" s="1216" t="s">
        <v>558</v>
      </c>
      <c r="E89" s="1217">
        <v>40544</v>
      </c>
      <c r="F89" s="1212">
        <v>15200000</v>
      </c>
      <c r="J89" s="1215">
        <f t="shared" si="7"/>
        <v>85</v>
      </c>
      <c r="K89" s="1216" t="s">
        <v>62</v>
      </c>
      <c r="L89" s="1216" t="str">
        <f>'5. Mesin'!B127</f>
        <v>Nanrong Paddle Whell</v>
      </c>
      <c r="M89" s="1217">
        <f>'5. Mesin'!C127</f>
        <v>40544</v>
      </c>
      <c r="N89" s="1212">
        <f>'5. Mesin'!E127</f>
        <v>19100000</v>
      </c>
    </row>
    <row r="90" spans="2:14">
      <c r="B90" s="1215">
        <f t="shared" si="6"/>
        <v>86</v>
      </c>
      <c r="C90" s="1216" t="s">
        <v>208</v>
      </c>
      <c r="D90" s="1216" t="s">
        <v>559</v>
      </c>
      <c r="E90" s="1217">
        <v>40544</v>
      </c>
      <c r="F90" s="1212">
        <v>6200000</v>
      </c>
      <c r="J90" s="1215">
        <f t="shared" si="7"/>
        <v>86</v>
      </c>
      <c r="K90" s="1216" t="s">
        <v>62</v>
      </c>
      <c r="L90" s="1216" t="str">
        <f>'5. Mesin'!B128</f>
        <v>Mesin Molen Phanter</v>
      </c>
      <c r="M90" s="1217">
        <f>'5. Mesin'!C128</f>
        <v>40544</v>
      </c>
      <c r="N90" s="1212">
        <f>'5. Mesin'!E128</f>
        <v>10000000</v>
      </c>
    </row>
    <row r="91" spans="2:14">
      <c r="B91" s="1215">
        <f t="shared" si="6"/>
        <v>87</v>
      </c>
      <c r="C91" s="1216" t="s">
        <v>208</v>
      </c>
      <c r="D91" s="1216" t="s">
        <v>560</v>
      </c>
      <c r="E91" s="1217">
        <v>40544</v>
      </c>
      <c r="F91" s="1212">
        <v>19100000</v>
      </c>
      <c r="J91" s="1215">
        <f t="shared" si="7"/>
        <v>87</v>
      </c>
      <c r="K91" s="1216" t="s">
        <v>62</v>
      </c>
      <c r="L91" s="1216" t="str">
        <f>'5. Mesin'!B129</f>
        <v>Paddle whell Aerator</v>
      </c>
      <c r="M91" s="1217">
        <f>'5. Mesin'!C129</f>
        <v>40544</v>
      </c>
      <c r="N91" s="1212">
        <f>'5. Mesin'!E129</f>
        <v>237700000</v>
      </c>
    </row>
    <row r="92" spans="2:14">
      <c r="B92" s="1215">
        <f t="shared" si="6"/>
        <v>88</v>
      </c>
      <c r="C92" s="1216" t="s">
        <v>208</v>
      </c>
      <c r="D92" s="1216" t="s">
        <v>561</v>
      </c>
      <c r="E92" s="1217">
        <v>40544</v>
      </c>
      <c r="F92" s="1212">
        <v>10000000</v>
      </c>
      <c r="J92" s="1215">
        <f t="shared" si="7"/>
        <v>88</v>
      </c>
      <c r="K92" s="1216" t="s">
        <v>62</v>
      </c>
      <c r="L92" s="1216" t="str">
        <f>'5. Mesin'!B130</f>
        <v>Motor Dinamo</v>
      </c>
      <c r="M92" s="1217">
        <f>'5. Mesin'!C130</f>
        <v>40544</v>
      </c>
      <c r="N92" s="1212">
        <f>'5. Mesin'!E130</f>
        <v>20900000</v>
      </c>
    </row>
    <row r="93" spans="2:14">
      <c r="B93" s="1215">
        <f t="shared" si="6"/>
        <v>89</v>
      </c>
      <c r="C93" s="1216" t="s">
        <v>208</v>
      </c>
      <c r="D93" s="1216" t="s">
        <v>562</v>
      </c>
      <c r="E93" s="1217">
        <v>40544</v>
      </c>
      <c r="F93" s="1212">
        <v>237700000</v>
      </c>
      <c r="J93" s="1215">
        <f t="shared" si="7"/>
        <v>89</v>
      </c>
      <c r="K93" s="1216" t="s">
        <v>62</v>
      </c>
      <c r="L93" s="1216" t="str">
        <f>'5. Mesin'!B131</f>
        <v>Reducer</v>
      </c>
      <c r="M93" s="1217">
        <f>'5. Mesin'!C131</f>
        <v>40544</v>
      </c>
      <c r="N93" s="1212">
        <f>'5. Mesin'!E131</f>
        <v>17100000</v>
      </c>
    </row>
    <row r="94" spans="2:14">
      <c r="B94" s="1215">
        <f t="shared" si="6"/>
        <v>90</v>
      </c>
      <c r="C94" s="1216" t="s">
        <v>208</v>
      </c>
      <c r="D94" s="1216" t="s">
        <v>563</v>
      </c>
      <c r="E94" s="1217">
        <v>40544</v>
      </c>
      <c r="F94" s="1212">
        <v>20900000</v>
      </c>
      <c r="J94" s="1215">
        <f t="shared" si="7"/>
        <v>90</v>
      </c>
      <c r="K94" s="1216" t="s">
        <v>62</v>
      </c>
      <c r="L94" s="1216" t="str">
        <f>'5. Mesin'!B132</f>
        <v>As ss 308</v>
      </c>
      <c r="M94" s="1217">
        <f>'5. Mesin'!C132</f>
        <v>40544</v>
      </c>
      <c r="N94" s="1212">
        <f>'5. Mesin'!E132</f>
        <v>18100000</v>
      </c>
    </row>
    <row r="95" spans="2:14">
      <c r="B95" s="1215">
        <f t="shared" si="6"/>
        <v>91</v>
      </c>
      <c r="C95" s="1216" t="s">
        <v>208</v>
      </c>
      <c r="D95" s="1216" t="s">
        <v>564</v>
      </c>
      <c r="E95" s="1217">
        <v>40544</v>
      </c>
      <c r="F95" s="1212">
        <v>17100000</v>
      </c>
      <c r="J95" s="1215">
        <f t="shared" si="7"/>
        <v>91</v>
      </c>
      <c r="K95" s="1216" t="s">
        <v>62</v>
      </c>
      <c r="L95" s="1216" t="str">
        <f>'5. Mesin'!B133</f>
        <v>Pipa Galvanis</v>
      </c>
      <c r="M95" s="1217">
        <f>'5. Mesin'!C133</f>
        <v>40544</v>
      </c>
      <c r="N95" s="1212">
        <f>'5. Mesin'!E133</f>
        <v>36500000</v>
      </c>
    </row>
    <row r="96" spans="2:14">
      <c r="B96" s="1215">
        <f t="shared" si="6"/>
        <v>92</v>
      </c>
      <c r="C96" s="1216" t="s">
        <v>208</v>
      </c>
      <c r="D96" s="1216" t="s">
        <v>565</v>
      </c>
      <c r="E96" s="1217">
        <v>40544</v>
      </c>
      <c r="F96" s="1212">
        <v>18100000</v>
      </c>
      <c r="J96" s="1215">
        <f t="shared" si="7"/>
        <v>92</v>
      </c>
      <c r="K96" s="1216" t="s">
        <v>62</v>
      </c>
      <c r="L96" s="1216" t="str">
        <f>'5. Mesin'!B134</f>
        <v>Contraktor LG</v>
      </c>
      <c r="M96" s="1217">
        <f>'5. Mesin'!C134</f>
        <v>40544</v>
      </c>
      <c r="N96" s="1212">
        <f>'5. Mesin'!E134</f>
        <v>7400000</v>
      </c>
    </row>
    <row r="97" spans="2:14">
      <c r="B97" s="1215">
        <f t="shared" si="6"/>
        <v>93</v>
      </c>
      <c r="C97" s="1216" t="s">
        <v>208</v>
      </c>
      <c r="D97" s="1216" t="s">
        <v>566</v>
      </c>
      <c r="E97" s="1217">
        <v>40544</v>
      </c>
      <c r="F97" s="1212">
        <v>36500000</v>
      </c>
      <c r="J97" s="1215">
        <f t="shared" si="7"/>
        <v>93</v>
      </c>
      <c r="K97" s="1216" t="s">
        <v>62</v>
      </c>
      <c r="L97" s="1216" t="str">
        <f>'5. Mesin'!B135</f>
        <v>Pipa Holo Kotak</v>
      </c>
      <c r="M97" s="1217">
        <f>'5. Mesin'!C135</f>
        <v>40544</v>
      </c>
      <c r="N97" s="1212">
        <f>'5. Mesin'!E135</f>
        <v>6900000</v>
      </c>
    </row>
    <row r="98" spans="2:14">
      <c r="B98" s="1215">
        <f t="shared" si="6"/>
        <v>94</v>
      </c>
      <c r="C98" s="1216" t="s">
        <v>208</v>
      </c>
      <c r="D98" s="1216" t="s">
        <v>567</v>
      </c>
      <c r="E98" s="1217">
        <v>40544</v>
      </c>
      <c r="F98" s="1212">
        <v>7400000</v>
      </c>
      <c r="J98" s="1215">
        <f t="shared" si="7"/>
        <v>94</v>
      </c>
      <c r="K98" s="1216" t="s">
        <v>62</v>
      </c>
      <c r="L98" s="1216" t="str">
        <f>'5. Mesin'!B136</f>
        <v>Gearbox 1HP</v>
      </c>
      <c r="M98" s="1217">
        <f>'5. Mesin'!C136</f>
        <v>40544</v>
      </c>
      <c r="N98" s="1212">
        <f>'5. Mesin'!E136</f>
        <v>41500000</v>
      </c>
    </row>
    <row r="99" spans="2:14">
      <c r="B99" s="1215">
        <f t="shared" si="6"/>
        <v>95</v>
      </c>
      <c r="C99" s="1216" t="s">
        <v>208</v>
      </c>
      <c r="D99" s="1216" t="s">
        <v>568</v>
      </c>
      <c r="E99" s="1217">
        <v>40544</v>
      </c>
      <c r="F99" s="1212">
        <v>6900000</v>
      </c>
      <c r="J99" s="1215">
        <f t="shared" si="7"/>
        <v>95</v>
      </c>
      <c r="K99" s="1216" t="s">
        <v>62</v>
      </c>
      <c r="L99" s="1216" t="str">
        <f>'5. Mesin'!B137</f>
        <v>AVR 52 A</v>
      </c>
      <c r="M99" s="1217">
        <f>'5. Mesin'!C137</f>
        <v>40544</v>
      </c>
      <c r="N99" s="1212">
        <f>'5. Mesin'!E137</f>
        <v>4500000</v>
      </c>
    </row>
    <row r="100" spans="2:14">
      <c r="B100" s="1215">
        <f t="shared" si="6"/>
        <v>96</v>
      </c>
      <c r="C100" s="1216" t="s">
        <v>208</v>
      </c>
      <c r="D100" s="1216" t="s">
        <v>569</v>
      </c>
      <c r="E100" s="1217">
        <v>40544</v>
      </c>
      <c r="F100" s="1212">
        <v>41500000</v>
      </c>
      <c r="J100" s="1215">
        <f t="shared" si="7"/>
        <v>96</v>
      </c>
      <c r="K100" s="1216" t="s">
        <v>62</v>
      </c>
      <c r="L100" s="1216" t="str">
        <f>'5. Mesin'!B138</f>
        <v>Gearbox 2HP</v>
      </c>
      <c r="M100" s="1217">
        <f>'5. Mesin'!C138</f>
        <v>40544</v>
      </c>
      <c r="N100" s="1212">
        <f>'5. Mesin'!E138</f>
        <v>32600000</v>
      </c>
    </row>
    <row r="101" spans="2:14">
      <c r="B101" s="1215">
        <f t="shared" si="6"/>
        <v>97</v>
      </c>
      <c r="C101" s="1216" t="s">
        <v>208</v>
      </c>
      <c r="D101" s="1216" t="s">
        <v>543</v>
      </c>
      <c r="E101" s="1217">
        <v>40544</v>
      </c>
      <c r="F101" s="1212">
        <v>4500000</v>
      </c>
      <c r="J101" s="1215">
        <f t="shared" si="7"/>
        <v>97</v>
      </c>
      <c r="K101" s="1216" t="s">
        <v>62</v>
      </c>
      <c r="L101" s="1216" t="str">
        <f>'5. Mesin'!B139</f>
        <v>Kawat Suprime</v>
      </c>
      <c r="M101" s="1217">
        <f>'5. Mesin'!C139</f>
        <v>40544</v>
      </c>
      <c r="N101" s="1212">
        <f>'5. Mesin'!E139</f>
        <v>19800000</v>
      </c>
    </row>
    <row r="102" spans="2:14">
      <c r="B102" s="1215">
        <f t="shared" si="6"/>
        <v>98</v>
      </c>
      <c r="C102" s="1216" t="s">
        <v>208</v>
      </c>
      <c r="D102" s="1216" t="s">
        <v>570</v>
      </c>
      <c r="E102" s="1217">
        <v>40544</v>
      </c>
      <c r="F102" s="1212">
        <v>32600000</v>
      </c>
      <c r="J102" s="1215">
        <f t="shared" si="7"/>
        <v>98</v>
      </c>
      <c r="K102" s="1216" t="s">
        <v>62</v>
      </c>
      <c r="L102" s="1216" t="str">
        <f>'5. Mesin'!B140</f>
        <v>Pompa HCP 10"</v>
      </c>
      <c r="M102" s="1217">
        <f>'5. Mesin'!C140</f>
        <v>40909</v>
      </c>
      <c r="N102" s="1212">
        <f>'5. Mesin'!E140</f>
        <v>21700000</v>
      </c>
    </row>
    <row r="103" spans="2:14">
      <c r="B103" s="1215">
        <f t="shared" si="6"/>
        <v>99</v>
      </c>
      <c r="C103" s="1216" t="s">
        <v>208</v>
      </c>
      <c r="D103" s="1216" t="s">
        <v>571</v>
      </c>
      <c r="E103" s="1217">
        <v>40544</v>
      </c>
      <c r="F103" s="1212">
        <v>19800000</v>
      </c>
      <c r="J103" s="1215">
        <f t="shared" si="7"/>
        <v>99</v>
      </c>
      <c r="K103" s="1216" t="s">
        <v>62</v>
      </c>
      <c r="L103" s="1216" t="str">
        <f>'5. Mesin'!B141</f>
        <v>Kincir Futigal 1HP</v>
      </c>
      <c r="M103" s="1217">
        <f>'5. Mesin'!C141</f>
        <v>40909</v>
      </c>
      <c r="N103" s="1212">
        <f>'5. Mesin'!E141</f>
        <v>262100000</v>
      </c>
    </row>
    <row r="104" spans="2:14">
      <c r="B104" s="1215">
        <f t="shared" si="6"/>
        <v>100</v>
      </c>
      <c r="C104" s="1216" t="s">
        <v>208</v>
      </c>
      <c r="D104" s="1216" t="s">
        <v>572</v>
      </c>
      <c r="E104" s="1217">
        <v>40909</v>
      </c>
      <c r="F104" s="1212">
        <v>21700000</v>
      </c>
      <c r="J104" s="1215">
        <f t="shared" si="7"/>
        <v>100</v>
      </c>
      <c r="K104" s="1216" t="s">
        <v>62</v>
      </c>
      <c r="L104" s="1216" t="str">
        <f>'5. Mesin'!B142</f>
        <v>Kabel Kincir</v>
      </c>
      <c r="M104" s="1217">
        <f>'5. Mesin'!C142</f>
        <v>41275</v>
      </c>
      <c r="N104" s="1212">
        <f>'5. Mesin'!E142</f>
        <v>11400000</v>
      </c>
    </row>
    <row r="105" spans="2:14">
      <c r="B105" s="1215">
        <f t="shared" si="6"/>
        <v>101</v>
      </c>
      <c r="C105" s="1216" t="s">
        <v>208</v>
      </c>
      <c r="D105" s="1216" t="s">
        <v>573</v>
      </c>
      <c r="E105" s="1217">
        <v>40909</v>
      </c>
      <c r="F105" s="1212">
        <v>262100000</v>
      </c>
      <c r="J105" s="1215">
        <f t="shared" si="7"/>
        <v>101</v>
      </c>
      <c r="K105" s="1216" t="s">
        <v>62</v>
      </c>
      <c r="L105" s="1216" t="str">
        <f>'5. Mesin'!B143</f>
        <v>Genset 8.m20</v>
      </c>
      <c r="M105" s="1217">
        <f>'5. Mesin'!C143</f>
        <v>41275</v>
      </c>
      <c r="N105" s="1212">
        <f>'5. Mesin'!E143</f>
        <v>181200000</v>
      </c>
    </row>
    <row r="106" spans="2:14">
      <c r="B106" s="1215">
        <f t="shared" si="6"/>
        <v>102</v>
      </c>
      <c r="C106" s="1216" t="s">
        <v>208</v>
      </c>
      <c r="D106" s="1216" t="s">
        <v>574</v>
      </c>
      <c r="E106" s="1217">
        <v>41275</v>
      </c>
      <c r="F106" s="1212">
        <v>11400000</v>
      </c>
      <c r="J106" s="1215">
        <f t="shared" si="7"/>
        <v>102</v>
      </c>
      <c r="K106" s="1216" t="s">
        <v>62</v>
      </c>
      <c r="L106" s="1216" t="str">
        <f>'5. Mesin'!B144</f>
        <v>Mesin Mitsubishi</v>
      </c>
      <c r="M106" s="1217">
        <f>'5. Mesin'!C144</f>
        <v>41275</v>
      </c>
      <c r="N106" s="1212">
        <f>'5. Mesin'!E144</f>
        <v>145800000</v>
      </c>
    </row>
    <row r="107" spans="2:14">
      <c r="B107" s="1215">
        <f t="shared" si="6"/>
        <v>103</v>
      </c>
      <c r="C107" s="1216" t="s">
        <v>208</v>
      </c>
      <c r="D107" s="1216" t="s">
        <v>575</v>
      </c>
      <c r="E107" s="1217">
        <v>41275</v>
      </c>
      <c r="F107" s="1212">
        <v>181200000</v>
      </c>
      <c r="J107" s="1215">
        <f t="shared" si="7"/>
        <v>103</v>
      </c>
      <c r="K107" s="1216" t="s">
        <v>62</v>
      </c>
      <c r="L107" s="1216" t="str">
        <f>'5. Mesin'!B145</f>
        <v>Capasitor Circutor + Travo</v>
      </c>
      <c r="M107" s="1217">
        <f>'5. Mesin'!C145</f>
        <v>41275</v>
      </c>
      <c r="N107" s="1212">
        <f>'5. Mesin'!E145</f>
        <v>8300000</v>
      </c>
    </row>
    <row r="108" spans="2:14">
      <c r="B108" s="1215">
        <f t="shared" si="6"/>
        <v>104</v>
      </c>
      <c r="C108" s="1216" t="s">
        <v>208</v>
      </c>
      <c r="D108" s="1216" t="s">
        <v>558</v>
      </c>
      <c r="E108" s="1217">
        <v>41275</v>
      </c>
      <c r="F108" s="1212">
        <v>145800000</v>
      </c>
      <c r="J108" s="1215">
        <f t="shared" si="7"/>
        <v>104</v>
      </c>
      <c r="K108" s="1216" t="s">
        <v>62</v>
      </c>
      <c r="L108" s="1216" t="str">
        <f>'5. Mesin'!B146</f>
        <v xml:space="preserve">Kabel Eterna NYAF </v>
      </c>
      <c r="M108" s="1217">
        <f>'5. Mesin'!C146</f>
        <v>41640</v>
      </c>
      <c r="N108" s="1212">
        <f>'5. Mesin'!E146</f>
        <v>7300000</v>
      </c>
    </row>
    <row r="109" spans="2:14">
      <c r="B109" s="1215">
        <f t="shared" si="6"/>
        <v>105</v>
      </c>
      <c r="C109" s="1216" t="s">
        <v>208</v>
      </c>
      <c r="D109" s="1216" t="s">
        <v>576</v>
      </c>
      <c r="E109" s="1217">
        <v>41275</v>
      </c>
      <c r="F109" s="1212">
        <v>8300000</v>
      </c>
      <c r="J109" s="1215">
        <f t="shared" si="7"/>
        <v>105</v>
      </c>
      <c r="K109" s="1216" t="s">
        <v>62</v>
      </c>
      <c r="L109" s="1216" t="str">
        <f>'5. Mesin'!B147</f>
        <v>Mesin Gerinda Tangan Hitachi</v>
      </c>
      <c r="M109" s="1217">
        <f>'5. Mesin'!C147</f>
        <v>41640</v>
      </c>
      <c r="N109" s="1212">
        <f>'5. Mesin'!E147</f>
        <v>600000</v>
      </c>
    </row>
    <row r="110" spans="2:14">
      <c r="B110" s="1215">
        <f t="shared" si="6"/>
        <v>106</v>
      </c>
      <c r="C110" s="1216" t="s">
        <v>208</v>
      </c>
      <c r="D110" s="1216" t="s">
        <v>530</v>
      </c>
      <c r="E110" s="1217">
        <v>41640</v>
      </c>
      <c r="F110" s="1212">
        <v>7300000</v>
      </c>
      <c r="J110" s="1215">
        <f t="shared" si="7"/>
        <v>106</v>
      </c>
      <c r="K110" s="1216" t="s">
        <v>62</v>
      </c>
      <c r="L110" s="1216" t="str">
        <f>'5. Mesin'!B148</f>
        <v>Gearbox 1HP</v>
      </c>
      <c r="M110" s="1217">
        <f>'5. Mesin'!C148</f>
        <v>41640</v>
      </c>
      <c r="N110" s="1212">
        <f>'5. Mesin'!E148</f>
        <v>19700000</v>
      </c>
    </row>
    <row r="111" spans="2:14">
      <c r="B111" s="1215">
        <f t="shared" si="6"/>
        <v>107</v>
      </c>
      <c r="C111" s="1216" t="s">
        <v>208</v>
      </c>
      <c r="D111" s="1216" t="s">
        <v>537</v>
      </c>
      <c r="E111" s="1217">
        <v>41640</v>
      </c>
      <c r="F111" s="1212">
        <v>600000</v>
      </c>
      <c r="J111" s="1215">
        <f t="shared" si="7"/>
        <v>107</v>
      </c>
      <c r="K111" s="1216" t="s">
        <v>62</v>
      </c>
      <c r="L111" s="1216" t="str">
        <f>'5. Mesin'!B149</f>
        <v>Gearbox 1HP</v>
      </c>
      <c r="M111" s="1217">
        <f>'5. Mesin'!C149</f>
        <v>41640</v>
      </c>
      <c r="N111" s="1212">
        <f>'5. Mesin'!E149</f>
        <v>9300000</v>
      </c>
    </row>
    <row r="112" spans="2:14">
      <c r="B112" s="1215">
        <f t="shared" si="6"/>
        <v>108</v>
      </c>
      <c r="C112" s="1216" t="s">
        <v>208</v>
      </c>
      <c r="D112" s="1216" t="s">
        <v>569</v>
      </c>
      <c r="E112" s="1217">
        <v>41640</v>
      </c>
      <c r="F112" s="1212">
        <v>19700000</v>
      </c>
      <c r="J112" s="1215">
        <f t="shared" si="7"/>
        <v>108</v>
      </c>
      <c r="K112" s="1216" t="s">
        <v>62</v>
      </c>
      <c r="L112" s="1216" t="str">
        <f>'5. Mesin'!B150</f>
        <v>Kincir Futigal 1HP</v>
      </c>
      <c r="M112" s="1217">
        <f>'5. Mesin'!C150</f>
        <v>41640</v>
      </c>
      <c r="N112" s="1212">
        <f>'5. Mesin'!E150</f>
        <v>10800000</v>
      </c>
    </row>
    <row r="113" spans="2:14">
      <c r="B113" s="1215">
        <f t="shared" si="6"/>
        <v>109</v>
      </c>
      <c r="C113" s="1216" t="s">
        <v>208</v>
      </c>
      <c r="D113" s="1216" t="s">
        <v>569</v>
      </c>
      <c r="E113" s="1217">
        <v>41640</v>
      </c>
      <c r="F113" s="1212">
        <v>9300000</v>
      </c>
      <c r="J113" s="1215">
        <f t="shared" si="7"/>
        <v>109</v>
      </c>
      <c r="K113" s="1216" t="s">
        <v>62</v>
      </c>
      <c r="L113" s="1216" t="str">
        <f>'5. Mesin'!B151</f>
        <v>Chemical Pump 1"</v>
      </c>
      <c r="M113" s="1217">
        <f>'5. Mesin'!C151</f>
        <v>41640</v>
      </c>
      <c r="N113" s="1212">
        <f>'5. Mesin'!E151</f>
        <v>12500000</v>
      </c>
    </row>
    <row r="114" spans="2:14">
      <c r="B114" s="1215">
        <f t="shared" si="6"/>
        <v>110</v>
      </c>
      <c r="C114" s="1216" t="s">
        <v>208</v>
      </c>
      <c r="D114" s="1216" t="s">
        <v>573</v>
      </c>
      <c r="E114" s="1217">
        <v>41640</v>
      </c>
      <c r="F114" s="1212">
        <v>10800000</v>
      </c>
      <c r="J114" s="1215">
        <f t="shared" si="7"/>
        <v>110</v>
      </c>
      <c r="K114" s="1216" t="s">
        <v>62</v>
      </c>
      <c r="L114" s="1216" t="str">
        <f>'5. Mesin'!B152</f>
        <v>Generator Leroy</v>
      </c>
      <c r="M114" s="1217">
        <f>'5. Mesin'!C152</f>
        <v>41640</v>
      </c>
      <c r="N114" s="1212">
        <f>'5. Mesin'!E152</f>
        <v>183300000</v>
      </c>
    </row>
    <row r="115" spans="2:14">
      <c r="B115" s="1215">
        <f t="shared" si="6"/>
        <v>111</v>
      </c>
      <c r="C115" s="1216" t="s">
        <v>208</v>
      </c>
      <c r="D115" s="1216" t="s">
        <v>577</v>
      </c>
      <c r="E115" s="1217">
        <v>41640</v>
      </c>
      <c r="F115" s="1212">
        <v>12500000</v>
      </c>
      <c r="J115" s="1215">
        <f t="shared" si="7"/>
        <v>111</v>
      </c>
      <c r="K115" s="1216" t="s">
        <v>62</v>
      </c>
      <c r="L115" s="1216" t="str">
        <f>'5. Mesin'!B153</f>
        <v>Pompa Submersible KS 332</v>
      </c>
      <c r="M115" s="1217">
        <f>'5. Mesin'!C153</f>
        <v>41640</v>
      </c>
      <c r="N115" s="1212">
        <f>'5. Mesin'!E153</f>
        <v>15800000</v>
      </c>
    </row>
    <row r="116" spans="2:14">
      <c r="B116" s="1215">
        <f t="shared" si="6"/>
        <v>112</v>
      </c>
      <c r="C116" s="1216" t="s">
        <v>208</v>
      </c>
      <c r="D116" s="1216" t="s">
        <v>578</v>
      </c>
      <c r="E116" s="1217">
        <v>41640</v>
      </c>
      <c r="F116" s="1212">
        <v>183300000</v>
      </c>
      <c r="J116" s="1215">
        <f t="shared" si="7"/>
        <v>112</v>
      </c>
      <c r="K116" s="1216" t="s">
        <v>62</v>
      </c>
      <c r="L116" s="1216" t="str">
        <f>'5. Mesin'!B154</f>
        <v>Terminition Outdoor</v>
      </c>
      <c r="M116" s="1217">
        <f>'5. Mesin'!C154</f>
        <v>41640</v>
      </c>
      <c r="N116" s="1212">
        <f>'5. Mesin'!E154</f>
        <v>5300000</v>
      </c>
    </row>
    <row r="117" spans="2:14">
      <c r="B117" s="1215">
        <f t="shared" si="6"/>
        <v>113</v>
      </c>
      <c r="C117" s="1216" t="s">
        <v>208</v>
      </c>
      <c r="D117" s="1216" t="s">
        <v>579</v>
      </c>
      <c r="E117" s="1217">
        <v>41640</v>
      </c>
      <c r="F117" s="1212">
        <v>15800000</v>
      </c>
      <c r="J117" s="1215">
        <f t="shared" si="7"/>
        <v>113</v>
      </c>
      <c r="K117" s="1216" t="s">
        <v>62</v>
      </c>
      <c r="L117" s="1216" t="str">
        <f>'5. Mesin'!B157</f>
        <v>Kincir 2014</v>
      </c>
      <c r="M117" s="1217">
        <f>'5. Mesin'!C157</f>
        <v>41640</v>
      </c>
      <c r="N117" s="1212">
        <f>'5. Mesin'!E157</f>
        <v>105000000</v>
      </c>
    </row>
    <row r="118" spans="2:14">
      <c r="B118" s="1215">
        <f t="shared" si="6"/>
        <v>114</v>
      </c>
      <c r="C118" s="1216" t="s">
        <v>208</v>
      </c>
      <c r="D118" s="1216" t="s">
        <v>580</v>
      </c>
      <c r="E118" s="1217">
        <v>41640</v>
      </c>
      <c r="F118" s="1212">
        <v>5300000</v>
      </c>
      <c r="J118" s="1215">
        <f t="shared" si="7"/>
        <v>114</v>
      </c>
      <c r="K118" s="1216" t="s">
        <v>62</v>
      </c>
      <c r="L118" s="1216" t="str">
        <f>'5. Mesin'!B158</f>
        <v>Pompa SS 8" KL-732 N</v>
      </c>
      <c r="M118" s="1217">
        <f>'5. Mesin'!C158</f>
        <v>41640</v>
      </c>
      <c r="N118" s="1212">
        <f>'5. Mesin'!E158</f>
        <v>76900000</v>
      </c>
    </row>
    <row r="119" spans="2:14">
      <c r="B119" s="1215">
        <f t="shared" si="6"/>
        <v>115</v>
      </c>
      <c r="C119" s="1216" t="s">
        <v>208</v>
      </c>
      <c r="D119" s="1216" t="s">
        <v>581</v>
      </c>
      <c r="E119" s="1217">
        <v>41640</v>
      </c>
      <c r="F119" s="1212">
        <v>105000000</v>
      </c>
      <c r="J119" s="1215">
        <f t="shared" si="7"/>
        <v>115</v>
      </c>
      <c r="K119" s="1216" t="s">
        <v>62</v>
      </c>
      <c r="L119" s="1216" t="str">
        <f>'5. Mesin'!B163</f>
        <v>Pompa Submersible 2 HP</v>
      </c>
      <c r="M119" s="1217">
        <f>'5. Mesin'!C163</f>
        <v>41640</v>
      </c>
      <c r="N119" s="1212">
        <f>'5. Mesin'!E163</f>
        <v>32900000</v>
      </c>
    </row>
    <row r="120" spans="2:14">
      <c r="B120" s="1215">
        <f t="shared" si="6"/>
        <v>116</v>
      </c>
      <c r="C120" s="1216" t="s">
        <v>208</v>
      </c>
      <c r="D120" s="1216" t="s">
        <v>582</v>
      </c>
      <c r="E120" s="1217">
        <v>41640</v>
      </c>
      <c r="F120" s="1212">
        <v>76900000</v>
      </c>
      <c r="J120" s="1215">
        <f t="shared" si="7"/>
        <v>116</v>
      </c>
      <c r="K120" s="1216" t="s">
        <v>62</v>
      </c>
      <c r="L120" s="1216" t="str">
        <f>'5. Mesin'!B164</f>
        <v>Stamper Tanada</v>
      </c>
      <c r="M120" s="1217">
        <f>'5. Mesin'!C164</f>
        <v>41640</v>
      </c>
      <c r="N120" s="1212">
        <f>'5. Mesin'!E164</f>
        <v>8600000</v>
      </c>
    </row>
    <row r="121" spans="2:14">
      <c r="B121" s="1215">
        <f t="shared" si="6"/>
        <v>117</v>
      </c>
      <c r="C121" s="1216" t="s">
        <v>208</v>
      </c>
      <c r="D121" s="1216" t="s">
        <v>583</v>
      </c>
      <c r="E121" s="1217">
        <v>41640</v>
      </c>
      <c r="F121" s="1212">
        <v>32900000</v>
      </c>
      <c r="J121" s="1215">
        <f t="shared" si="7"/>
        <v>117</v>
      </c>
      <c r="K121" s="1216" t="s">
        <v>62</v>
      </c>
      <c r="L121" s="1216" t="str">
        <f>'5. Mesin'!B166</f>
        <v>Mesin Genset 8m20</v>
      </c>
      <c r="M121" s="1217">
        <f>'5. Mesin'!C166</f>
        <v>41640</v>
      </c>
      <c r="N121" s="1212">
        <f>'5. Mesin'!E166</f>
        <v>64000000</v>
      </c>
    </row>
    <row r="122" spans="2:14">
      <c r="B122" s="1215">
        <f t="shared" si="6"/>
        <v>118</v>
      </c>
      <c r="C122" s="1216" t="s">
        <v>208</v>
      </c>
      <c r="D122" s="1216" t="s">
        <v>584</v>
      </c>
      <c r="E122" s="1217">
        <v>41640</v>
      </c>
      <c r="F122" s="1212">
        <v>8600000</v>
      </c>
      <c r="J122" s="1215">
        <f t="shared" si="7"/>
        <v>118</v>
      </c>
      <c r="K122" s="1216" t="s">
        <v>62</v>
      </c>
      <c r="L122" s="1216" t="str">
        <f>'5. Mesin'!B168</f>
        <v>Mesin Sugu + Mesin Cut Off (Potong Besi)</v>
      </c>
      <c r="M122" s="1217">
        <f>'5. Mesin'!C168</f>
        <v>41640</v>
      </c>
      <c r="N122" s="1212">
        <f>'5. Mesin'!E168</f>
        <v>2100000</v>
      </c>
    </row>
    <row r="123" spans="2:14">
      <c r="B123" s="1215">
        <f t="shared" si="6"/>
        <v>119</v>
      </c>
      <c r="C123" s="1216" t="s">
        <v>208</v>
      </c>
      <c r="D123" s="1216" t="s">
        <v>586</v>
      </c>
      <c r="E123" s="1217">
        <v>41640</v>
      </c>
      <c r="F123" s="1212">
        <v>64000000</v>
      </c>
      <c r="J123" s="1215">
        <f t="shared" si="7"/>
        <v>119</v>
      </c>
      <c r="K123" s="1216" t="s">
        <v>62</v>
      </c>
      <c r="L123" s="1216" t="str">
        <f>'5. Mesin'!B169</f>
        <v>Radiator</v>
      </c>
      <c r="M123" s="1217">
        <f>'5. Mesin'!C169</f>
        <v>41640</v>
      </c>
      <c r="N123" s="1212">
        <f>'5. Mesin'!E169</f>
        <v>16400000</v>
      </c>
    </row>
    <row r="124" spans="2:14">
      <c r="B124" s="1215">
        <f t="shared" si="6"/>
        <v>120</v>
      </c>
      <c r="C124" s="1216" t="s">
        <v>208</v>
      </c>
      <c r="D124" s="1216" t="s">
        <v>1169</v>
      </c>
      <c r="E124" s="1217">
        <v>41640</v>
      </c>
      <c r="F124" s="1212">
        <v>2100000</v>
      </c>
      <c r="J124" s="1215">
        <f t="shared" si="7"/>
        <v>120</v>
      </c>
      <c r="K124" s="1216" t="s">
        <v>62</v>
      </c>
      <c r="L124" s="1216" t="str">
        <f>'5. Mesin'!B170</f>
        <v>Gearbox Futigal</v>
      </c>
      <c r="M124" s="1217">
        <f>'5. Mesin'!C170</f>
        <v>41640</v>
      </c>
      <c r="N124" s="1212">
        <f>'5. Mesin'!E170</f>
        <v>10400000</v>
      </c>
    </row>
    <row r="125" spans="2:14">
      <c r="B125" s="1215">
        <f t="shared" si="6"/>
        <v>121</v>
      </c>
      <c r="C125" s="1216" t="s">
        <v>208</v>
      </c>
      <c r="D125" s="1216" t="s">
        <v>588</v>
      </c>
      <c r="E125" s="1217">
        <v>41640</v>
      </c>
      <c r="F125" s="1212">
        <v>16400000</v>
      </c>
      <c r="J125" s="1215">
        <f t="shared" si="7"/>
        <v>121</v>
      </c>
      <c r="K125" s="1216" t="s">
        <v>62</v>
      </c>
      <c r="L125" s="1216" t="str">
        <f>'5. Mesin'!B171</f>
        <v>Plat Stainless</v>
      </c>
      <c r="M125" s="1217">
        <f>'5. Mesin'!C171</f>
        <v>41640</v>
      </c>
      <c r="N125" s="1212">
        <f>'5. Mesin'!E171</f>
        <v>4900000</v>
      </c>
    </row>
    <row r="126" spans="2:14">
      <c r="B126" s="1215">
        <f t="shared" si="6"/>
        <v>122</v>
      </c>
      <c r="C126" s="1216" t="s">
        <v>208</v>
      </c>
      <c r="D126" s="1216" t="s">
        <v>589</v>
      </c>
      <c r="E126" s="1217">
        <v>41640</v>
      </c>
      <c r="F126" s="1212">
        <v>10400000</v>
      </c>
      <c r="J126" s="1215">
        <f t="shared" si="7"/>
        <v>122</v>
      </c>
      <c r="K126" s="1216" t="s">
        <v>62</v>
      </c>
      <c r="L126" s="1216" t="str">
        <f>'5. Mesin'!B173</f>
        <v>Kincir 1HP Futigal + Kipas Kincir</v>
      </c>
      <c r="M126" s="1217">
        <f>'5. Mesin'!C173</f>
        <v>42005</v>
      </c>
      <c r="N126" s="1212">
        <f>'5. Mesin'!E173</f>
        <v>1057336363.3</v>
      </c>
    </row>
    <row r="127" spans="2:14">
      <c r="B127" s="1215">
        <f t="shared" si="6"/>
        <v>123</v>
      </c>
      <c r="C127" s="1216" t="s">
        <v>208</v>
      </c>
      <c r="D127" s="1216" t="s">
        <v>590</v>
      </c>
      <c r="E127" s="1217">
        <v>41640</v>
      </c>
      <c r="F127" s="1212">
        <v>4900000</v>
      </c>
      <c r="J127" s="1215">
        <f t="shared" si="7"/>
        <v>123</v>
      </c>
      <c r="K127" s="1216" t="s">
        <v>62</v>
      </c>
      <c r="L127" s="1216" t="str">
        <f>'5. Mesin'!B174</f>
        <v>Dinamo CMG</v>
      </c>
      <c r="M127" s="1217">
        <f>'5. Mesin'!C174</f>
        <v>42005</v>
      </c>
      <c r="N127" s="1212">
        <f>'5. Mesin'!E174</f>
        <v>26708707</v>
      </c>
    </row>
    <row r="128" spans="2:14">
      <c r="B128" s="1215">
        <f t="shared" si="6"/>
        <v>124</v>
      </c>
      <c r="C128" s="1216" t="s">
        <v>208</v>
      </c>
      <c r="D128" s="1216" t="s">
        <v>1152</v>
      </c>
      <c r="E128" s="1217">
        <v>42005</v>
      </c>
      <c r="F128" s="1212">
        <v>1057336363.3</v>
      </c>
      <c r="J128" s="1215">
        <f t="shared" si="7"/>
        <v>124</v>
      </c>
      <c r="K128" s="1216" t="s">
        <v>62</v>
      </c>
      <c r="L128" s="1216" t="str">
        <f>'5. Mesin'!B175</f>
        <v>GerindaTangan</v>
      </c>
      <c r="M128" s="1217">
        <f>'5. Mesin'!C175</f>
        <v>42005</v>
      </c>
      <c r="N128" s="1212">
        <f>'5. Mesin'!E175</f>
        <v>750000</v>
      </c>
    </row>
    <row r="129" spans="2:14">
      <c r="B129" s="1215">
        <f t="shared" si="6"/>
        <v>125</v>
      </c>
      <c r="C129" s="1216" t="s">
        <v>208</v>
      </c>
      <c r="D129" s="1216" t="s">
        <v>593</v>
      </c>
      <c r="E129" s="1217">
        <v>42005</v>
      </c>
      <c r="F129" s="1212">
        <v>26708707</v>
      </c>
      <c r="J129" s="1215">
        <f t="shared" si="7"/>
        <v>125</v>
      </c>
      <c r="K129" s="1216" t="s">
        <v>62</v>
      </c>
      <c r="L129" s="1216" t="str">
        <f>'5. Mesin'!B176</f>
        <v>Radiator</v>
      </c>
      <c r="M129" s="1217">
        <f>'5. Mesin'!C176</f>
        <v>42005</v>
      </c>
      <c r="N129" s="1212">
        <f>'5. Mesin'!E176</f>
        <v>46400000</v>
      </c>
    </row>
    <row r="130" spans="2:14">
      <c r="B130" s="1215">
        <f t="shared" si="6"/>
        <v>126</v>
      </c>
      <c r="C130" s="1216" t="s">
        <v>208</v>
      </c>
      <c r="D130" s="1216" t="s">
        <v>594</v>
      </c>
      <c r="E130" s="1217">
        <v>42005</v>
      </c>
      <c r="F130" s="1212">
        <v>750000</v>
      </c>
      <c r="J130" s="1215">
        <f t="shared" si="7"/>
        <v>126</v>
      </c>
      <c r="K130" s="1216" t="s">
        <v>62</v>
      </c>
      <c r="L130" s="1216" t="str">
        <f>'5. Mesin'!B177</f>
        <v>Travo Las</v>
      </c>
      <c r="M130" s="1217">
        <f>'5. Mesin'!C177</f>
        <v>42005</v>
      </c>
      <c r="N130" s="1212">
        <f>'5. Mesin'!E177</f>
        <v>3600000</v>
      </c>
    </row>
    <row r="131" spans="2:14">
      <c r="B131" s="1215">
        <f t="shared" si="6"/>
        <v>127</v>
      </c>
      <c r="C131" s="1216" t="s">
        <v>208</v>
      </c>
      <c r="D131" s="1216" t="s">
        <v>588</v>
      </c>
      <c r="E131" s="1217">
        <v>42005</v>
      </c>
      <c r="F131" s="1212">
        <v>46400000</v>
      </c>
      <c r="J131" s="1215">
        <f t="shared" si="7"/>
        <v>127</v>
      </c>
      <c r="K131" s="1216" t="s">
        <v>62</v>
      </c>
      <c r="L131" s="1216" t="str">
        <f>'5. Mesin'!B178</f>
        <v>Dinamo Starter RE-10</v>
      </c>
      <c r="M131" s="1217">
        <f>'5. Mesin'!C178</f>
        <v>42005</v>
      </c>
      <c r="N131" s="1212">
        <f>'5. Mesin'!E178</f>
        <v>4300000</v>
      </c>
    </row>
    <row r="132" spans="2:14">
      <c r="B132" s="1215">
        <f t="shared" si="6"/>
        <v>128</v>
      </c>
      <c r="C132" s="1216" t="s">
        <v>208</v>
      </c>
      <c r="D132" s="1216" t="s">
        <v>595</v>
      </c>
      <c r="E132" s="1217">
        <v>42005</v>
      </c>
      <c r="F132" s="1212">
        <v>3600000</v>
      </c>
      <c r="J132" s="1215">
        <f t="shared" si="7"/>
        <v>128</v>
      </c>
      <c r="K132" s="1216" t="s">
        <v>62</v>
      </c>
      <c r="L132" s="1216" t="str">
        <f>'5. Mesin'!B179</f>
        <v>Pompa Submersible 2015</v>
      </c>
      <c r="M132" s="1217">
        <f>'5. Mesin'!C179</f>
        <v>42005</v>
      </c>
      <c r="N132" s="1212">
        <f>'5. Mesin'!E179</f>
        <v>44400000</v>
      </c>
    </row>
    <row r="133" spans="2:14">
      <c r="B133" s="1215">
        <f t="shared" si="6"/>
        <v>129</v>
      </c>
      <c r="C133" s="1216" t="s">
        <v>208</v>
      </c>
      <c r="D133" s="1216" t="s">
        <v>596</v>
      </c>
      <c r="E133" s="1217">
        <v>42005</v>
      </c>
      <c r="F133" s="1212">
        <v>4300000</v>
      </c>
      <c r="J133" s="1215">
        <f t="shared" si="7"/>
        <v>129</v>
      </c>
      <c r="K133" s="1216" t="s">
        <v>62</v>
      </c>
      <c r="L133" s="1216" t="str">
        <f>'5. Mesin'!B180</f>
        <v>Pompa Submersible 2015</v>
      </c>
      <c r="M133" s="1217">
        <f>'5. Mesin'!C180</f>
        <v>42005</v>
      </c>
      <c r="N133" s="1212">
        <f>'5. Mesin'!E180</f>
        <v>85100000</v>
      </c>
    </row>
    <row r="134" spans="2:14">
      <c r="B134" s="1215">
        <f t="shared" si="6"/>
        <v>130</v>
      </c>
      <c r="C134" s="1216" t="s">
        <v>208</v>
      </c>
      <c r="D134" s="1216" t="s">
        <v>597</v>
      </c>
      <c r="E134" s="1217">
        <v>42005</v>
      </c>
      <c r="F134" s="1212">
        <v>44400000</v>
      </c>
      <c r="J134" s="1215">
        <f t="shared" si="7"/>
        <v>130</v>
      </c>
      <c r="K134" s="1216" t="s">
        <v>62</v>
      </c>
      <c r="L134" s="1216" t="str">
        <f>'5. Mesin'!B181</f>
        <v>Pompa Submersible 5" 2015</v>
      </c>
      <c r="M134" s="1217">
        <f>'5. Mesin'!C181</f>
        <v>42005</v>
      </c>
      <c r="N134" s="1212">
        <f>'5. Mesin'!E181</f>
        <v>5500000</v>
      </c>
    </row>
    <row r="135" spans="2:14">
      <c r="B135" s="1215">
        <f t="shared" ref="B135:B198" si="8">B134+1</f>
        <v>131</v>
      </c>
      <c r="C135" s="1216" t="s">
        <v>208</v>
      </c>
      <c r="D135" s="1216" t="s">
        <v>597</v>
      </c>
      <c r="E135" s="1217">
        <v>42005</v>
      </c>
      <c r="F135" s="1212">
        <v>85100000</v>
      </c>
      <c r="J135" s="1215">
        <f t="shared" si="7"/>
        <v>131</v>
      </c>
      <c r="K135" s="1216" t="s">
        <v>62</v>
      </c>
      <c r="L135" s="1216" t="str">
        <f>'5. Mesin'!B182</f>
        <v>Pompa Submersible 6" 2015</v>
      </c>
      <c r="M135" s="1217">
        <f>'5. Mesin'!C182</f>
        <v>42005</v>
      </c>
      <c r="N135" s="1212">
        <f>'5. Mesin'!E182</f>
        <v>5500000</v>
      </c>
    </row>
    <row r="136" spans="2:14">
      <c r="B136" s="1215">
        <f t="shared" si="8"/>
        <v>132</v>
      </c>
      <c r="C136" s="1216" t="s">
        <v>208</v>
      </c>
      <c r="D136" s="1216" t="s">
        <v>598</v>
      </c>
      <c r="E136" s="1217">
        <v>42005</v>
      </c>
      <c r="F136" s="1212">
        <v>5500000</v>
      </c>
      <c r="J136" s="1215">
        <f t="shared" si="7"/>
        <v>132</v>
      </c>
      <c r="K136" s="1216" t="s">
        <v>62</v>
      </c>
      <c r="L136" s="1216" t="str">
        <f>'5. Mesin'!B183</f>
        <v>Pompa Submersible 8" 2015</v>
      </c>
      <c r="M136" s="1217">
        <f>'5. Mesin'!C183</f>
        <v>42005</v>
      </c>
      <c r="N136" s="1212">
        <f>'5. Mesin'!E183</f>
        <v>22200000</v>
      </c>
    </row>
    <row r="137" spans="2:14">
      <c r="B137" s="1215">
        <f t="shared" si="8"/>
        <v>133</v>
      </c>
      <c r="C137" s="1216" t="s">
        <v>208</v>
      </c>
      <c r="D137" s="1216" t="s">
        <v>599</v>
      </c>
      <c r="E137" s="1217">
        <v>42005</v>
      </c>
      <c r="F137" s="1212">
        <v>5500000</v>
      </c>
      <c r="J137" s="1215">
        <f t="shared" si="7"/>
        <v>133</v>
      </c>
      <c r="K137" s="1216" t="s">
        <v>62</v>
      </c>
      <c r="L137" s="1216" t="str">
        <f>'5. Mesin'!B184</f>
        <v>Pompa Submersible KS</v>
      </c>
      <c r="M137" s="1217">
        <f>'5. Mesin'!C184</f>
        <v>42370</v>
      </c>
      <c r="N137" s="1212">
        <f>'5. Mesin'!E184</f>
        <v>43225000</v>
      </c>
    </row>
    <row r="138" spans="2:14">
      <c r="B138" s="1215">
        <f t="shared" si="8"/>
        <v>134</v>
      </c>
      <c r="C138" s="1216" t="s">
        <v>208</v>
      </c>
      <c r="D138" s="1216" t="s">
        <v>600</v>
      </c>
      <c r="E138" s="1217">
        <v>42005</v>
      </c>
      <c r="F138" s="1212">
        <v>22200000</v>
      </c>
      <c r="J138" s="1215">
        <f t="shared" si="7"/>
        <v>134</v>
      </c>
      <c r="K138" s="1216" t="s">
        <v>62</v>
      </c>
      <c r="L138" s="1216" t="str">
        <f>'5. Mesin'!B185</f>
        <v>Pompa Show Fou 4"</v>
      </c>
      <c r="M138" s="1217">
        <f>'5. Mesin'!C185</f>
        <v>42370</v>
      </c>
      <c r="N138" s="1212">
        <f>'5. Mesin'!E185</f>
        <v>27675000</v>
      </c>
    </row>
    <row r="139" spans="2:14">
      <c r="B139" s="1215">
        <f t="shared" si="8"/>
        <v>135</v>
      </c>
      <c r="C139" s="1216" t="s">
        <v>208</v>
      </c>
      <c r="D139" s="1216" t="s">
        <v>601</v>
      </c>
      <c r="E139" s="1217">
        <v>42370</v>
      </c>
      <c r="F139" s="1212">
        <v>43225000</v>
      </c>
      <c r="J139" s="1215">
        <f t="shared" si="7"/>
        <v>135</v>
      </c>
      <c r="K139" s="1216" t="s">
        <v>62</v>
      </c>
      <c r="L139" s="1216" t="str">
        <f>'5. Mesin'!B188</f>
        <v>Pompa Submersible</v>
      </c>
      <c r="M139" s="1217">
        <f>'5. Mesin'!C188</f>
        <v>42370</v>
      </c>
      <c r="N139" s="1212">
        <f>'5. Mesin'!E188</f>
        <v>42312000</v>
      </c>
    </row>
    <row r="140" spans="2:14">
      <c r="B140" s="1215">
        <f t="shared" si="8"/>
        <v>136</v>
      </c>
      <c r="C140" s="1216" t="s">
        <v>208</v>
      </c>
      <c r="D140" s="1216" t="s">
        <v>602</v>
      </c>
      <c r="E140" s="1217">
        <v>42370</v>
      </c>
      <c r="F140" s="1212">
        <v>27675000</v>
      </c>
      <c r="J140" s="1215">
        <f t="shared" si="7"/>
        <v>136</v>
      </c>
      <c r="K140" s="1216" t="s">
        <v>62</v>
      </c>
      <c r="L140" s="1216" t="str">
        <f>'5. Mesin'!B191</f>
        <v>Pompa TAY YIH SUN</v>
      </c>
      <c r="M140" s="1217">
        <f>'5. Mesin'!C191</f>
        <v>42370</v>
      </c>
      <c r="N140" s="1212">
        <f>'5. Mesin'!E191</f>
        <v>309296000</v>
      </c>
    </row>
    <row r="141" spans="2:14">
      <c r="B141" s="1215">
        <f t="shared" si="8"/>
        <v>137</v>
      </c>
      <c r="C141" s="1216" t="s">
        <v>208</v>
      </c>
      <c r="D141" s="1216" t="s">
        <v>539</v>
      </c>
      <c r="E141" s="1217">
        <v>42370</v>
      </c>
      <c r="F141" s="1212">
        <v>42312000</v>
      </c>
      <c r="J141" s="1215">
        <f t="shared" si="7"/>
        <v>137</v>
      </c>
      <c r="K141" s="1216" t="s">
        <v>62</v>
      </c>
      <c r="L141" s="1216" t="str">
        <f>'5. Mesin'!B192</f>
        <v>Kincir Dragon Mode FT</v>
      </c>
      <c r="M141" s="1217">
        <f>'5. Mesin'!C192</f>
        <v>42370</v>
      </c>
      <c r="N141" s="1212">
        <f>'5. Mesin'!E192</f>
        <v>57750000</v>
      </c>
    </row>
    <row r="142" spans="2:14">
      <c r="B142" s="1215">
        <f t="shared" si="8"/>
        <v>138</v>
      </c>
      <c r="C142" s="1216" t="s">
        <v>208</v>
      </c>
      <c r="D142" s="1216" t="s">
        <v>603</v>
      </c>
      <c r="E142" s="1217">
        <v>42370</v>
      </c>
      <c r="F142" s="1212">
        <v>309296000</v>
      </c>
      <c r="J142" s="1215">
        <f t="shared" si="7"/>
        <v>138</v>
      </c>
      <c r="K142" s="1216" t="s">
        <v>62</v>
      </c>
      <c r="L142" s="1216" t="str">
        <f>'5. Mesin'!B193</f>
        <v>Kincir 1 HP Dragon FT</v>
      </c>
      <c r="M142" s="1217">
        <f>'5. Mesin'!C193</f>
        <v>42370</v>
      </c>
      <c r="N142" s="1212">
        <f>'5. Mesin'!E193</f>
        <v>385000000</v>
      </c>
    </row>
    <row r="143" spans="2:14">
      <c r="B143" s="1215">
        <f t="shared" si="8"/>
        <v>139</v>
      </c>
      <c r="C143" s="1216" t="s">
        <v>208</v>
      </c>
      <c r="D143" s="1216" t="s">
        <v>605</v>
      </c>
      <c r="E143" s="1217">
        <v>42370</v>
      </c>
      <c r="F143" s="1212">
        <v>57750000</v>
      </c>
      <c r="J143" s="1215">
        <f t="shared" ref="J143" si="9">J142+1</f>
        <v>139</v>
      </c>
      <c r="K143" s="1216" t="s">
        <v>246</v>
      </c>
      <c r="L143" s="1216" t="str">
        <f>'7. Kendaraan'!B5</f>
        <v>Mitsubishi FE349</v>
      </c>
      <c r="M143" s="1217">
        <f>'7. Kendaraan'!C5</f>
        <v>37257</v>
      </c>
      <c r="N143" s="1212">
        <f>'7. Kendaraan'!E5</f>
        <v>108000000</v>
      </c>
    </row>
    <row r="144" spans="2:14">
      <c r="B144" s="1215">
        <f t="shared" si="8"/>
        <v>140</v>
      </c>
      <c r="C144" s="1216" t="s">
        <v>208</v>
      </c>
      <c r="D144" s="1216" t="s">
        <v>606</v>
      </c>
      <c r="E144" s="1217">
        <v>42370</v>
      </c>
      <c r="F144" s="1212">
        <v>385000000</v>
      </c>
      <c r="J144" s="1215">
        <f t="shared" ref="J144:J178" si="10">J143+1</f>
        <v>140</v>
      </c>
      <c r="K144" s="1216" t="s">
        <v>246</v>
      </c>
      <c r="L144" s="1216" t="str">
        <f>'7. Kendaraan'!B6</f>
        <v>Mitsubishi FE349</v>
      </c>
      <c r="M144" s="1217">
        <f>'7. Kendaraan'!C6</f>
        <v>37257</v>
      </c>
      <c r="N144" s="1212">
        <f>'7. Kendaraan'!E6</f>
        <v>108000000</v>
      </c>
    </row>
    <row r="145" spans="2:14">
      <c r="B145" s="1215">
        <f t="shared" si="8"/>
        <v>141</v>
      </c>
      <c r="C145" s="1216" t="s">
        <v>208</v>
      </c>
      <c r="D145" s="1216" t="s">
        <v>608</v>
      </c>
      <c r="E145" s="1217">
        <v>42736</v>
      </c>
      <c r="F145" s="1212">
        <v>43600000</v>
      </c>
      <c r="J145" s="1215">
        <f t="shared" si="10"/>
        <v>141</v>
      </c>
      <c r="K145" s="1216" t="s">
        <v>246</v>
      </c>
      <c r="L145" s="1216" t="str">
        <f>'7. Kendaraan'!B7</f>
        <v>Avanza 1.3 G</v>
      </c>
      <c r="M145" s="1217">
        <f>'7. Kendaraan'!C7</f>
        <v>37987</v>
      </c>
      <c r="N145" s="1212">
        <f>'7. Kendaraan'!E7</f>
        <v>84000000</v>
      </c>
    </row>
    <row r="146" spans="2:14">
      <c r="B146" s="1215">
        <f t="shared" si="8"/>
        <v>142</v>
      </c>
      <c r="C146" s="1216" t="s">
        <v>208</v>
      </c>
      <c r="D146" s="1216" t="s">
        <v>609</v>
      </c>
      <c r="E146" s="1217">
        <v>42736</v>
      </c>
      <c r="F146" s="1212">
        <v>204545454</v>
      </c>
      <c r="J146" s="1215">
        <f t="shared" si="10"/>
        <v>142</v>
      </c>
      <c r="K146" s="1216" t="s">
        <v>246</v>
      </c>
      <c r="L146" s="1216" t="str">
        <f>'7. Kendaraan'!B8</f>
        <v xml:space="preserve">XENIA </v>
      </c>
      <c r="M146" s="1217">
        <f>'7. Kendaraan'!C8</f>
        <v>37987</v>
      </c>
      <c r="N146" s="1212">
        <f>'7. Kendaraan'!E8</f>
        <v>69000000</v>
      </c>
    </row>
    <row r="147" spans="2:14">
      <c r="B147" s="1215">
        <f t="shared" si="8"/>
        <v>143</v>
      </c>
      <c r="C147" s="1216" t="s">
        <v>208</v>
      </c>
      <c r="D147" s="1216" t="s">
        <v>610</v>
      </c>
      <c r="E147" s="1217">
        <v>42736</v>
      </c>
      <c r="F147" s="1212">
        <v>125000000</v>
      </c>
      <c r="J147" s="1215">
        <f t="shared" si="10"/>
        <v>143</v>
      </c>
      <c r="K147" s="1216" t="s">
        <v>246</v>
      </c>
      <c r="L147" s="1216" t="str">
        <f>'7. Kendaraan'!B9</f>
        <v>BUS PS 100</v>
      </c>
      <c r="M147" s="1217">
        <f>'7. Kendaraan'!C9</f>
        <v>37987</v>
      </c>
      <c r="N147" s="1212">
        <f>'7. Kendaraan'!E9</f>
        <v>94000000</v>
      </c>
    </row>
    <row r="148" spans="2:14">
      <c r="B148" s="1215">
        <f t="shared" si="8"/>
        <v>144</v>
      </c>
      <c r="C148" s="1216" t="s">
        <v>208</v>
      </c>
      <c r="D148" s="1216" t="s">
        <v>612</v>
      </c>
      <c r="E148" s="1217">
        <v>42736</v>
      </c>
      <c r="F148" s="1212">
        <v>511363650</v>
      </c>
      <c r="J148" s="1215">
        <f t="shared" si="10"/>
        <v>144</v>
      </c>
      <c r="K148" s="1216" t="s">
        <v>246</v>
      </c>
      <c r="L148" s="1216" t="str">
        <f>'7. Kendaraan'!B10</f>
        <v>TOYOTA DYNA 115ST</v>
      </c>
      <c r="M148" s="1217">
        <f>'7. Kendaraan'!C10</f>
        <v>38353</v>
      </c>
      <c r="N148" s="1212">
        <f>'7. Kendaraan'!E10</f>
        <v>77000000</v>
      </c>
    </row>
    <row r="149" spans="2:14">
      <c r="B149" s="1215">
        <f t="shared" si="8"/>
        <v>145</v>
      </c>
      <c r="C149" s="1216" t="s">
        <v>208</v>
      </c>
      <c r="D149" s="1216" t="s">
        <v>612</v>
      </c>
      <c r="E149" s="1217">
        <v>42736</v>
      </c>
      <c r="F149" s="1212">
        <v>323863635.5</v>
      </c>
      <c r="J149" s="1215">
        <f t="shared" si="10"/>
        <v>145</v>
      </c>
      <c r="K149" s="1216" t="s">
        <v>246</v>
      </c>
      <c r="L149" s="1216" t="str">
        <f>'7. Kendaraan'!B11</f>
        <v>TOYOTA DYNA 115ST</v>
      </c>
      <c r="M149" s="1217">
        <f>'7. Kendaraan'!C11</f>
        <v>38353</v>
      </c>
      <c r="N149" s="1212">
        <f>'7. Kendaraan'!E11</f>
        <v>77000000</v>
      </c>
    </row>
    <row r="150" spans="2:14">
      <c r="B150" s="1215">
        <f t="shared" si="8"/>
        <v>146</v>
      </c>
      <c r="C150" s="1216" t="s">
        <v>208</v>
      </c>
      <c r="D150" s="1216" t="s">
        <v>612</v>
      </c>
      <c r="E150" s="1217">
        <v>42736</v>
      </c>
      <c r="F150" s="1212">
        <v>187499999.5</v>
      </c>
      <c r="J150" s="1215">
        <f t="shared" si="10"/>
        <v>146</v>
      </c>
      <c r="K150" s="1216" t="s">
        <v>246</v>
      </c>
      <c r="L150" s="1216" t="str">
        <f>'7. Kendaraan'!B12</f>
        <v>MITSUBISHI FE 74</v>
      </c>
      <c r="M150" s="1217">
        <f>'7. Kendaraan'!C12</f>
        <v>39448</v>
      </c>
      <c r="N150" s="1212">
        <f>'7. Kendaraan'!E12</f>
        <v>165000000</v>
      </c>
    </row>
    <row r="151" spans="2:14">
      <c r="B151" s="1215">
        <f t="shared" si="8"/>
        <v>147</v>
      </c>
      <c r="C151" s="1216" t="s">
        <v>208</v>
      </c>
      <c r="D151" s="1216" t="s">
        <v>613</v>
      </c>
      <c r="E151" s="1217">
        <v>42736</v>
      </c>
      <c r="F151" s="1212">
        <v>75000000</v>
      </c>
      <c r="J151" s="1215">
        <f t="shared" si="10"/>
        <v>147</v>
      </c>
      <c r="K151" s="1216" t="s">
        <v>246</v>
      </c>
      <c r="L151" s="1216" t="str">
        <f>'7. Kendaraan'!B13</f>
        <v>MITSUBISHI 220 PS</v>
      </c>
      <c r="M151" s="1217">
        <f>'7. Kendaraan'!C13</f>
        <v>39448</v>
      </c>
      <c r="N151" s="1212">
        <f>'7. Kendaraan'!E13</f>
        <v>264000000</v>
      </c>
    </row>
    <row r="152" spans="2:14">
      <c r="B152" s="1215">
        <f t="shared" si="8"/>
        <v>148</v>
      </c>
      <c r="C152" s="1216" t="s">
        <v>208</v>
      </c>
      <c r="D152" s="1216" t="s">
        <v>603</v>
      </c>
      <c r="E152" s="1217">
        <v>42736</v>
      </c>
      <c r="F152" s="1212">
        <v>187063636</v>
      </c>
      <c r="J152" s="1215">
        <f t="shared" si="10"/>
        <v>148</v>
      </c>
      <c r="K152" s="1216" t="s">
        <v>246</v>
      </c>
      <c r="L152" s="1216" t="str">
        <f>'7. Kendaraan'!B14</f>
        <v>HILUX 3.0 G</v>
      </c>
      <c r="M152" s="1217">
        <f>'7. Kendaraan'!C14</f>
        <v>40179</v>
      </c>
      <c r="N152" s="1212">
        <f>'7. Kendaraan'!E14</f>
        <v>171000000</v>
      </c>
    </row>
    <row r="153" spans="2:14">
      <c r="B153" s="1215">
        <f t="shared" si="8"/>
        <v>149</v>
      </c>
      <c r="C153" s="1216" t="s">
        <v>208</v>
      </c>
      <c r="D153" s="1216" t="s">
        <v>614</v>
      </c>
      <c r="E153" s="1217">
        <v>42736</v>
      </c>
      <c r="F153" s="1212">
        <v>10727273</v>
      </c>
      <c r="J153" s="1215">
        <f t="shared" si="10"/>
        <v>149</v>
      </c>
      <c r="K153" s="1216" t="s">
        <v>246</v>
      </c>
      <c r="L153" s="1216" t="str">
        <f>'7. Kendaraan'!B15</f>
        <v xml:space="preserve">XENIA </v>
      </c>
      <c r="M153" s="1217">
        <f>'7. Kendaraan'!C15</f>
        <v>40544</v>
      </c>
      <c r="N153" s="1212">
        <f>'7. Kendaraan'!E15</f>
        <v>108000000</v>
      </c>
    </row>
    <row r="154" spans="2:14">
      <c r="B154" s="1215">
        <f t="shared" si="8"/>
        <v>150</v>
      </c>
      <c r="C154" s="1216" t="s">
        <v>203</v>
      </c>
      <c r="D154" s="1216" t="s">
        <v>728</v>
      </c>
      <c r="E154" s="1217">
        <v>37257</v>
      </c>
      <c r="F154" s="1212">
        <v>108000000</v>
      </c>
      <c r="J154" s="1215">
        <f t="shared" si="10"/>
        <v>150</v>
      </c>
      <c r="K154" s="1216" t="s">
        <v>246</v>
      </c>
      <c r="L154" s="1216" t="str">
        <f>'7. Kendaraan'!B16</f>
        <v xml:space="preserve">XENIA </v>
      </c>
      <c r="M154" s="1217">
        <f>'7. Kendaraan'!C16</f>
        <v>40544</v>
      </c>
      <c r="N154" s="1212">
        <f>'7. Kendaraan'!E16</f>
        <v>108000000</v>
      </c>
    </row>
    <row r="155" spans="2:14">
      <c r="B155" s="1215">
        <f t="shared" si="8"/>
        <v>151</v>
      </c>
      <c r="C155" s="1216" t="s">
        <v>203</v>
      </c>
      <c r="D155" s="1216" t="s">
        <v>728</v>
      </c>
      <c r="E155" s="1217">
        <v>37257</v>
      </c>
      <c r="F155" s="1212">
        <v>108000000</v>
      </c>
      <c r="J155" s="1215">
        <f t="shared" si="10"/>
        <v>151</v>
      </c>
      <c r="K155" s="1216" t="s">
        <v>246</v>
      </c>
      <c r="L155" s="1216" t="str">
        <f>'7. Kendaraan'!B17</f>
        <v>MITSUBISHI 125 PS (FE74S)</v>
      </c>
      <c r="M155" s="1217">
        <f>'7. Kendaraan'!C17</f>
        <v>40544</v>
      </c>
      <c r="N155" s="1212">
        <f>'7. Kendaraan'!E17</f>
        <v>190000000</v>
      </c>
    </row>
    <row r="156" spans="2:14">
      <c r="B156" s="1215">
        <f t="shared" si="8"/>
        <v>152</v>
      </c>
      <c r="C156" s="1216" t="s">
        <v>203</v>
      </c>
      <c r="D156" s="1216" t="s">
        <v>729</v>
      </c>
      <c r="E156" s="1217">
        <v>37987</v>
      </c>
      <c r="F156" s="1212">
        <v>84000000</v>
      </c>
      <c r="J156" s="1215">
        <f t="shared" si="10"/>
        <v>152</v>
      </c>
      <c r="K156" s="1216" t="s">
        <v>246</v>
      </c>
      <c r="L156" s="1216" t="str">
        <f>'7. Kendaraan'!B18</f>
        <v>MITSUBISHI 125 PS (FE74S)</v>
      </c>
      <c r="M156" s="1217">
        <f>'7. Kendaraan'!C18</f>
        <v>40544</v>
      </c>
      <c r="N156" s="1212">
        <f>'7. Kendaraan'!E18</f>
        <v>197000000</v>
      </c>
    </row>
    <row r="157" spans="2:14">
      <c r="B157" s="1215">
        <f t="shared" si="8"/>
        <v>153</v>
      </c>
      <c r="C157" s="1216" t="s">
        <v>203</v>
      </c>
      <c r="D157" s="1216" t="s">
        <v>727</v>
      </c>
      <c r="E157" s="1217">
        <v>37987</v>
      </c>
      <c r="F157" s="1212">
        <v>69000000</v>
      </c>
      <c r="J157" s="1215">
        <f t="shared" si="10"/>
        <v>153</v>
      </c>
      <c r="K157" s="1216" t="s">
        <v>246</v>
      </c>
      <c r="L157" s="1216" t="str">
        <f>'7. Kendaraan'!B19</f>
        <v>HINO DUTRO 130 HD</v>
      </c>
      <c r="M157" s="1217">
        <f>'7. Kendaraan'!C19</f>
        <v>40544</v>
      </c>
      <c r="N157" s="1212">
        <f>'7. Kendaraan'!E19</f>
        <v>141000000</v>
      </c>
    </row>
    <row r="158" spans="2:14">
      <c r="B158" s="1215">
        <f t="shared" si="8"/>
        <v>154</v>
      </c>
      <c r="C158" s="1216" t="s">
        <v>203</v>
      </c>
      <c r="D158" s="1216" t="s">
        <v>730</v>
      </c>
      <c r="E158" s="1217">
        <v>37987</v>
      </c>
      <c r="F158" s="1212">
        <v>94000000</v>
      </c>
      <c r="J158" s="1215">
        <f t="shared" si="10"/>
        <v>154</v>
      </c>
      <c r="K158" s="1216" t="s">
        <v>246</v>
      </c>
      <c r="L158" s="1216" t="str">
        <f>'7. Kendaraan'!B20</f>
        <v>MITSUBISHI 125 PS (FE74S)</v>
      </c>
      <c r="M158" s="1217">
        <f>'7. Kendaraan'!C20</f>
        <v>40544</v>
      </c>
      <c r="N158" s="1212">
        <f>'7. Kendaraan'!E20</f>
        <v>190000000</v>
      </c>
    </row>
    <row r="159" spans="2:14">
      <c r="B159" s="1215">
        <f t="shared" si="8"/>
        <v>155</v>
      </c>
      <c r="C159" s="1216" t="s">
        <v>203</v>
      </c>
      <c r="D159" s="1216" t="s">
        <v>731</v>
      </c>
      <c r="E159" s="1217">
        <v>38353</v>
      </c>
      <c r="F159" s="1212">
        <v>77000000</v>
      </c>
      <c r="J159" s="1215">
        <f t="shared" si="10"/>
        <v>155</v>
      </c>
      <c r="K159" s="1216" t="s">
        <v>246</v>
      </c>
      <c r="L159" s="1216" t="str">
        <f>'7. Kendaraan'!B21</f>
        <v>MITSUBISHI 125 PS (FE74S)</v>
      </c>
      <c r="M159" s="1217">
        <f>'7. Kendaraan'!C21</f>
        <v>40544</v>
      </c>
      <c r="N159" s="1212">
        <f>'7. Kendaraan'!E21</f>
        <v>190000000</v>
      </c>
    </row>
    <row r="160" spans="2:14">
      <c r="B160" s="1215">
        <f t="shared" si="8"/>
        <v>156</v>
      </c>
      <c r="C160" s="1216" t="s">
        <v>203</v>
      </c>
      <c r="D160" s="1216" t="s">
        <v>731</v>
      </c>
      <c r="E160" s="1217">
        <v>38353</v>
      </c>
      <c r="F160" s="1212">
        <v>77000000</v>
      </c>
      <c r="J160" s="1215">
        <f t="shared" si="10"/>
        <v>156</v>
      </c>
      <c r="K160" s="1216" t="s">
        <v>246</v>
      </c>
      <c r="L160" s="1216" t="str">
        <f>'7. Kendaraan'!B22</f>
        <v>TOYOTA DYNA 130 HT</v>
      </c>
      <c r="M160" s="1217">
        <f>'7. Kendaraan'!C22</f>
        <v>40909</v>
      </c>
      <c r="N160" s="1212">
        <f>'7. Kendaraan'!E22</f>
        <v>151000000</v>
      </c>
    </row>
    <row r="161" spans="2:14">
      <c r="B161" s="1215">
        <f t="shared" si="8"/>
        <v>157</v>
      </c>
      <c r="C161" s="1216" t="s">
        <v>203</v>
      </c>
      <c r="D161" s="1216" t="s">
        <v>732</v>
      </c>
      <c r="E161" s="1217">
        <v>39448</v>
      </c>
      <c r="F161" s="1212">
        <v>165000000</v>
      </c>
      <c r="J161" s="1215">
        <f t="shared" si="10"/>
        <v>157</v>
      </c>
      <c r="K161" s="1216" t="s">
        <v>246</v>
      </c>
      <c r="L161" s="1216" t="str">
        <f>'7. Kendaraan'!B23</f>
        <v>TOYOTA DYNA 130 HT</v>
      </c>
      <c r="M161" s="1217">
        <f>'7. Kendaraan'!C23</f>
        <v>40909</v>
      </c>
      <c r="N161" s="1212">
        <f>'7. Kendaraan'!E23</f>
        <v>151000000</v>
      </c>
    </row>
    <row r="162" spans="2:14">
      <c r="B162" s="1215">
        <f t="shared" si="8"/>
        <v>158</v>
      </c>
      <c r="C162" s="1216" t="s">
        <v>203</v>
      </c>
      <c r="D162" s="1216" t="s">
        <v>733</v>
      </c>
      <c r="E162" s="1217">
        <v>39448</v>
      </c>
      <c r="F162" s="1212">
        <v>264000000</v>
      </c>
      <c r="J162" s="1215">
        <f t="shared" si="10"/>
        <v>158</v>
      </c>
      <c r="K162" s="1216" t="s">
        <v>246</v>
      </c>
      <c r="L162" s="1216" t="str">
        <f>'7. Kendaraan'!B24</f>
        <v>INNOVA G MATIC</v>
      </c>
      <c r="M162" s="1217">
        <f>'7. Kendaraan'!C24</f>
        <v>41275</v>
      </c>
      <c r="N162" s="1212">
        <f>'7. Kendaraan'!E24</f>
        <v>216000000</v>
      </c>
    </row>
    <row r="163" spans="2:14">
      <c r="B163" s="1215">
        <f t="shared" si="8"/>
        <v>159</v>
      </c>
      <c r="C163" s="1216" t="s">
        <v>203</v>
      </c>
      <c r="D163" s="1216" t="s">
        <v>734</v>
      </c>
      <c r="E163" s="1217">
        <v>40179</v>
      </c>
      <c r="F163" s="1212">
        <v>171000000</v>
      </c>
      <c r="J163" s="1215">
        <f t="shared" si="10"/>
        <v>159</v>
      </c>
      <c r="K163" s="1216" t="s">
        <v>246</v>
      </c>
      <c r="L163" s="1216" t="str">
        <f>'7. Kendaraan'!B25</f>
        <v>MITSUBISHI 220 PS</v>
      </c>
      <c r="M163" s="1217">
        <f>'7. Kendaraan'!C25</f>
        <v>41275</v>
      </c>
      <c r="N163" s="1212">
        <f>'7. Kendaraan'!E25</f>
        <v>394000000</v>
      </c>
    </row>
    <row r="164" spans="2:14">
      <c r="B164" s="1215">
        <f t="shared" si="8"/>
        <v>160</v>
      </c>
      <c r="C164" s="1216" t="s">
        <v>203</v>
      </c>
      <c r="D164" s="1216" t="s">
        <v>727</v>
      </c>
      <c r="E164" s="1217">
        <v>40544</v>
      </c>
      <c r="F164" s="1212">
        <v>108000000</v>
      </c>
      <c r="J164" s="1215">
        <f t="shared" si="10"/>
        <v>160</v>
      </c>
      <c r="K164" s="1216" t="s">
        <v>246</v>
      </c>
      <c r="L164" s="1216" t="str">
        <f>'7. Kendaraan'!B26</f>
        <v>HINO 130 HD Mixer</v>
      </c>
      <c r="M164" s="1217">
        <f>'7. Kendaraan'!C26</f>
        <v>41275</v>
      </c>
      <c r="N164" s="1212">
        <f>'7. Kendaraan'!E26</f>
        <v>271000000</v>
      </c>
    </row>
    <row r="165" spans="2:14">
      <c r="B165" s="1215">
        <f t="shared" si="8"/>
        <v>161</v>
      </c>
      <c r="C165" s="1216" t="s">
        <v>203</v>
      </c>
      <c r="D165" s="1216" t="s">
        <v>727</v>
      </c>
      <c r="E165" s="1217">
        <v>40544</v>
      </c>
      <c r="F165" s="1212">
        <v>108000000</v>
      </c>
      <c r="J165" s="1215">
        <f t="shared" si="10"/>
        <v>161</v>
      </c>
      <c r="K165" s="1216" t="s">
        <v>246</v>
      </c>
      <c r="L165" s="1216" t="str">
        <f>'7. Kendaraan'!B27</f>
        <v>MITSUBISHI 125 PS (FE74S)</v>
      </c>
      <c r="M165" s="1217">
        <f>'7. Kendaraan'!C27</f>
        <v>41275</v>
      </c>
      <c r="N165" s="1212">
        <f>'7. Kendaraan'!E27</f>
        <v>203000000</v>
      </c>
    </row>
    <row r="166" spans="2:14">
      <c r="B166" s="1215">
        <f t="shared" si="8"/>
        <v>162</v>
      </c>
      <c r="C166" s="1216" t="s">
        <v>203</v>
      </c>
      <c r="D166" s="1216" t="s">
        <v>735</v>
      </c>
      <c r="E166" s="1217">
        <v>40544</v>
      </c>
      <c r="F166" s="1212">
        <v>190000000</v>
      </c>
      <c r="J166" s="1215">
        <f t="shared" si="10"/>
        <v>162</v>
      </c>
      <c r="K166" s="1216" t="s">
        <v>246</v>
      </c>
      <c r="L166" s="1216" t="str">
        <f>'7. Kendaraan'!B28</f>
        <v xml:space="preserve">TERIOS </v>
      </c>
      <c r="M166" s="1217">
        <f>'7. Kendaraan'!C28</f>
        <v>41275</v>
      </c>
      <c r="N166" s="1212">
        <f>'7. Kendaraan'!E28</f>
        <v>155000000</v>
      </c>
    </row>
    <row r="167" spans="2:14">
      <c r="B167" s="1215">
        <f t="shared" si="8"/>
        <v>163</v>
      </c>
      <c r="C167" s="1216" t="s">
        <v>203</v>
      </c>
      <c r="D167" s="1216" t="s">
        <v>735</v>
      </c>
      <c r="E167" s="1217">
        <v>40544</v>
      </c>
      <c r="F167" s="1212">
        <v>197000000</v>
      </c>
      <c r="J167" s="1215">
        <f t="shared" si="10"/>
        <v>163</v>
      </c>
      <c r="K167" s="1216" t="s">
        <v>246</v>
      </c>
      <c r="L167" s="1216" t="str">
        <f>'7. Kendaraan'!B29</f>
        <v>TOYOTA DYNA 130 HT</v>
      </c>
      <c r="M167" s="1217">
        <f>'7. Kendaraan'!C29</f>
        <v>41275</v>
      </c>
      <c r="N167" s="1212">
        <f>'7. Kendaraan'!E29</f>
        <v>163000000</v>
      </c>
    </row>
    <row r="168" spans="2:14">
      <c r="B168" s="1215">
        <f t="shared" si="8"/>
        <v>164</v>
      </c>
      <c r="C168" s="1216" t="s">
        <v>203</v>
      </c>
      <c r="D168" s="1216" t="s">
        <v>736</v>
      </c>
      <c r="E168" s="1217">
        <v>40544</v>
      </c>
      <c r="F168" s="1212">
        <v>141000000</v>
      </c>
      <c r="J168" s="1215">
        <f t="shared" si="10"/>
        <v>164</v>
      </c>
      <c r="K168" s="1216" t="s">
        <v>246</v>
      </c>
      <c r="L168" s="1216" t="str">
        <f>'7. Kendaraan'!B30</f>
        <v>FORTUNER 2.5 G A/T</v>
      </c>
      <c r="M168" s="1217">
        <f>'7. Kendaraan'!C30</f>
        <v>41275</v>
      </c>
      <c r="N168" s="1212">
        <f>'7. Kendaraan'!E30</f>
        <v>323000000</v>
      </c>
    </row>
    <row r="169" spans="2:14">
      <c r="B169" s="1215">
        <f t="shared" si="8"/>
        <v>165</v>
      </c>
      <c r="C169" s="1216" t="s">
        <v>203</v>
      </c>
      <c r="D169" s="1216" t="s">
        <v>735</v>
      </c>
      <c r="E169" s="1217">
        <v>40544</v>
      </c>
      <c r="F169" s="1212">
        <v>190000000</v>
      </c>
      <c r="J169" s="1215">
        <f t="shared" si="10"/>
        <v>165</v>
      </c>
      <c r="K169" s="1216" t="s">
        <v>246</v>
      </c>
      <c r="L169" s="1216" t="str">
        <f>'7. Kendaraan'!B31</f>
        <v>DATSUN GO</v>
      </c>
      <c r="M169" s="1217">
        <f>'7. Kendaraan'!C31</f>
        <v>41640</v>
      </c>
      <c r="N169" s="1212">
        <f>'7. Kendaraan'!E31</f>
        <v>93000000</v>
      </c>
    </row>
    <row r="170" spans="2:14">
      <c r="B170" s="1215">
        <f t="shared" si="8"/>
        <v>166</v>
      </c>
      <c r="C170" s="1216" t="s">
        <v>203</v>
      </c>
      <c r="D170" s="1216" t="s">
        <v>735</v>
      </c>
      <c r="E170" s="1217">
        <v>40544</v>
      </c>
      <c r="F170" s="1212">
        <v>190000000</v>
      </c>
      <c r="J170" s="1215">
        <f t="shared" si="10"/>
        <v>166</v>
      </c>
      <c r="K170" s="1216" t="s">
        <v>246</v>
      </c>
      <c r="L170" s="1216" t="str">
        <f>'7. Kendaraan'!B32</f>
        <v xml:space="preserve">INNOVA E DIESEL </v>
      </c>
      <c r="M170" s="1217">
        <f>'7. Kendaraan'!C32</f>
        <v>41640</v>
      </c>
      <c r="N170" s="1212">
        <f>'7. Kendaraan'!E32</f>
        <v>214000000</v>
      </c>
    </row>
    <row r="171" spans="2:14">
      <c r="B171" s="1215">
        <f t="shared" si="8"/>
        <v>167</v>
      </c>
      <c r="C171" s="1216" t="s">
        <v>203</v>
      </c>
      <c r="D171" s="1216" t="s">
        <v>737</v>
      </c>
      <c r="E171" s="1217">
        <v>40909</v>
      </c>
      <c r="F171" s="1212">
        <v>151000000</v>
      </c>
      <c r="J171" s="1215">
        <f t="shared" si="10"/>
        <v>167</v>
      </c>
      <c r="K171" s="1216" t="s">
        <v>246</v>
      </c>
      <c r="L171" s="1216" t="str">
        <f>'7. Kendaraan'!B33</f>
        <v>Mobil Cold Diesel FE 74 S BE XX ( 2 unit )</v>
      </c>
      <c r="M171" s="1217">
        <f>'7. Kendaraan'!C33</f>
        <v>42005</v>
      </c>
      <c r="N171" s="1212">
        <f>'7. Kendaraan'!E33</f>
        <v>562000000</v>
      </c>
    </row>
    <row r="172" spans="2:14">
      <c r="B172" s="1215">
        <f t="shared" si="8"/>
        <v>168</v>
      </c>
      <c r="C172" s="1216" t="s">
        <v>203</v>
      </c>
      <c r="D172" s="1216" t="s">
        <v>737</v>
      </c>
      <c r="E172" s="1217">
        <v>40909</v>
      </c>
      <c r="F172" s="1212">
        <v>151000000</v>
      </c>
      <c r="J172" s="1215">
        <f t="shared" si="10"/>
        <v>168</v>
      </c>
      <c r="K172" s="1216" t="s">
        <v>246</v>
      </c>
      <c r="L172" s="1216" t="str">
        <f>'7. Kendaraan'!B34</f>
        <v>Exsavator Second @ 3 unit</v>
      </c>
      <c r="M172" s="1217">
        <f>'7. Kendaraan'!C34</f>
        <v>42370</v>
      </c>
      <c r="N172" s="1212">
        <f>'7. Kendaraan'!E34</f>
        <v>500000000</v>
      </c>
    </row>
    <row r="173" spans="2:14">
      <c r="B173" s="1215">
        <f t="shared" si="8"/>
        <v>169</v>
      </c>
      <c r="C173" s="1216" t="s">
        <v>203</v>
      </c>
      <c r="D173" s="1216" t="s">
        <v>738</v>
      </c>
      <c r="E173" s="1217">
        <v>41275</v>
      </c>
      <c r="F173" s="1212">
        <v>216000000</v>
      </c>
      <c r="J173" s="1215">
        <f t="shared" si="10"/>
        <v>169</v>
      </c>
      <c r="K173" s="1216" t="s">
        <v>246</v>
      </c>
      <c r="L173" s="1216" t="str">
        <f>'7. Kendaraan'!B35</f>
        <v>Dumtruck Second @ 4 unit</v>
      </c>
      <c r="M173" s="1217">
        <f>'7. Kendaraan'!C35</f>
        <v>42370</v>
      </c>
      <c r="N173" s="1212">
        <f>'7. Kendaraan'!E35</f>
        <v>500000000</v>
      </c>
    </row>
    <row r="174" spans="2:14">
      <c r="B174" s="1215">
        <f t="shared" si="8"/>
        <v>170</v>
      </c>
      <c r="C174" s="1216" t="s">
        <v>203</v>
      </c>
      <c r="D174" s="1216" t="s">
        <v>733</v>
      </c>
      <c r="E174" s="1217">
        <v>41275</v>
      </c>
      <c r="F174" s="1212">
        <v>394000000</v>
      </c>
      <c r="J174" s="1215">
        <f t="shared" si="10"/>
        <v>170</v>
      </c>
      <c r="K174" s="1216" t="s">
        <v>246</v>
      </c>
      <c r="L174" s="1216" t="str">
        <f>'7. Kendaraan'!B40</f>
        <v>HINO DUTRO 130 HD</v>
      </c>
      <c r="M174" s="1217">
        <f>'7. Kendaraan'!C40</f>
        <v>40544</v>
      </c>
      <c r="N174" s="1212">
        <f>'7. Kendaraan'!E40</f>
        <v>141000000</v>
      </c>
    </row>
    <row r="175" spans="2:14">
      <c r="B175" s="1215">
        <f t="shared" si="8"/>
        <v>171</v>
      </c>
      <c r="C175" s="1216" t="s">
        <v>203</v>
      </c>
      <c r="D175" s="1216" t="s">
        <v>739</v>
      </c>
      <c r="E175" s="1217">
        <v>41275</v>
      </c>
      <c r="F175" s="1212">
        <v>271000000</v>
      </c>
      <c r="J175" s="1215">
        <f t="shared" si="10"/>
        <v>171</v>
      </c>
      <c r="K175" s="1216" t="s">
        <v>246</v>
      </c>
      <c r="L175" s="1216" t="str">
        <f>'7. Kendaraan'!B41</f>
        <v>GRAND MAX TRUCK</v>
      </c>
      <c r="M175" s="1217">
        <f>'7. Kendaraan'!C41</f>
        <v>41640</v>
      </c>
      <c r="N175" s="1212">
        <f>'7. Kendaraan'!E41</f>
        <v>71000000</v>
      </c>
    </row>
    <row r="176" spans="2:14">
      <c r="B176" s="1215">
        <f t="shared" si="8"/>
        <v>172</v>
      </c>
      <c r="C176" s="1216" t="s">
        <v>203</v>
      </c>
      <c r="D176" s="1216" t="s">
        <v>735</v>
      </c>
      <c r="E176" s="1217">
        <v>41275</v>
      </c>
      <c r="F176" s="1212">
        <v>203000000</v>
      </c>
      <c r="J176" s="1215">
        <f t="shared" si="10"/>
        <v>172</v>
      </c>
      <c r="K176" s="1216" t="s">
        <v>246</v>
      </c>
      <c r="L176" s="1216" t="str">
        <f>'7. Kendaraan'!B42</f>
        <v>Angkel Mobil Budidaya</v>
      </c>
      <c r="M176" s="1217">
        <f>'7. Kendaraan'!C42</f>
        <v>42005</v>
      </c>
      <c r="N176" s="1212">
        <f>'7. Kendaraan'!E42</f>
        <v>33060000</v>
      </c>
    </row>
    <row r="177" spans="2:14">
      <c r="B177" s="1215">
        <f t="shared" si="8"/>
        <v>173</v>
      </c>
      <c r="C177" s="1216" t="s">
        <v>203</v>
      </c>
      <c r="D177" s="1216" t="s">
        <v>740</v>
      </c>
      <c r="E177" s="1217">
        <v>41275</v>
      </c>
      <c r="F177" s="1212">
        <v>155000000</v>
      </c>
      <c r="J177" s="1215">
        <f t="shared" si="10"/>
        <v>173</v>
      </c>
      <c r="K177" s="1216" t="s">
        <v>246</v>
      </c>
      <c r="L177" s="1216" t="str">
        <f>'7. Kendaraan'!B43</f>
        <v>Motor Second</v>
      </c>
      <c r="M177" s="1217">
        <f>'7. Kendaraan'!C43</f>
        <v>42767</v>
      </c>
      <c r="N177" s="1212">
        <f>'7. Kendaraan'!E43</f>
        <v>7800000</v>
      </c>
    </row>
    <row r="178" spans="2:14">
      <c r="B178" s="1215">
        <f t="shared" si="8"/>
        <v>174</v>
      </c>
      <c r="C178" s="1216" t="s">
        <v>203</v>
      </c>
      <c r="D178" s="1216" t="s">
        <v>737</v>
      </c>
      <c r="E178" s="1217">
        <v>41275</v>
      </c>
      <c r="F178" s="1212">
        <v>163000000</v>
      </c>
      <c r="J178" s="1215">
        <f t="shared" si="10"/>
        <v>174</v>
      </c>
      <c r="K178" s="1216" t="s">
        <v>246</v>
      </c>
      <c r="L178" s="1216" t="str">
        <f>'7. Kendaraan'!B48</f>
        <v>EXCAVATOR SK 200-8 + EXCAVATOR HITACHI HIDRAULIC ZX 200-5 G</v>
      </c>
      <c r="M178" s="1217">
        <f>'7. Kendaraan'!C48</f>
        <v>40179</v>
      </c>
      <c r="N178" s="1212">
        <f>'7. Kendaraan'!E48</f>
        <v>1622800000</v>
      </c>
    </row>
    <row r="179" spans="2:14">
      <c r="B179" s="1215">
        <f t="shared" si="8"/>
        <v>175</v>
      </c>
      <c r="C179" s="1216" t="s">
        <v>203</v>
      </c>
      <c r="D179" s="1216" t="s">
        <v>741</v>
      </c>
      <c r="E179" s="1217">
        <v>41275</v>
      </c>
      <c r="F179" s="1212">
        <v>323000000</v>
      </c>
      <c r="J179" s="1215">
        <f t="shared" ref="J179" si="11">J178+1</f>
        <v>175</v>
      </c>
      <c r="K179" s="1216" t="s">
        <v>1216</v>
      </c>
      <c r="L179" s="1216" t="str">
        <f>'8 Peralatan &amp; Perlengkapan'!B8</f>
        <v>Laptop 2015</v>
      </c>
      <c r="M179" s="1217">
        <f>'8 Peralatan &amp; Perlengkapan'!C8</f>
        <v>42005</v>
      </c>
      <c r="N179" s="1212">
        <f>'8 Peralatan &amp; Perlengkapan'!E8</f>
        <v>5700000</v>
      </c>
    </row>
    <row r="180" spans="2:14">
      <c r="B180" s="1215">
        <f t="shared" si="8"/>
        <v>176</v>
      </c>
      <c r="C180" s="1216" t="s">
        <v>203</v>
      </c>
      <c r="D180" s="1216" t="s">
        <v>742</v>
      </c>
      <c r="E180" s="1217">
        <v>41640</v>
      </c>
      <c r="F180" s="1212">
        <v>93000000</v>
      </c>
      <c r="J180" s="1215">
        <f t="shared" ref="J180:J242" si="12">J179+1</f>
        <v>176</v>
      </c>
      <c r="K180" s="1216" t="s">
        <v>1216</v>
      </c>
      <c r="L180" s="1216" t="str">
        <f>'8 Peralatan &amp; Perlengkapan'!B9</f>
        <v>Modem &amp; Perdana</v>
      </c>
      <c r="M180" s="1217">
        <f>'8 Peralatan &amp; Perlengkapan'!C9</f>
        <v>42005</v>
      </c>
      <c r="N180" s="1212">
        <f>'8 Peralatan &amp; Perlengkapan'!E9</f>
        <v>2260000</v>
      </c>
    </row>
    <row r="181" spans="2:14">
      <c r="B181" s="1215">
        <f t="shared" si="8"/>
        <v>177</v>
      </c>
      <c r="C181" s="1216" t="s">
        <v>203</v>
      </c>
      <c r="D181" s="1216" t="s">
        <v>743</v>
      </c>
      <c r="E181" s="1217">
        <v>41640</v>
      </c>
      <c r="F181" s="1212">
        <v>214000000</v>
      </c>
      <c r="J181" s="1215">
        <f t="shared" si="12"/>
        <v>177</v>
      </c>
      <c r="K181" s="1216" t="s">
        <v>1216</v>
      </c>
      <c r="L181" s="1216" t="str">
        <f>'8 Peralatan &amp; Perlengkapan'!B10</f>
        <v>Power Suplay</v>
      </c>
      <c r="M181" s="1217">
        <f>'8 Peralatan &amp; Perlengkapan'!C10</f>
        <v>42005</v>
      </c>
      <c r="N181" s="1212">
        <f>'8 Peralatan &amp; Perlengkapan'!E10</f>
        <v>560000</v>
      </c>
    </row>
    <row r="182" spans="2:14">
      <c r="B182" s="1215">
        <f t="shared" si="8"/>
        <v>178</v>
      </c>
      <c r="C182" s="1216" t="s">
        <v>203</v>
      </c>
      <c r="D182" s="1216" t="s">
        <v>744</v>
      </c>
      <c r="E182" s="1217">
        <v>42005</v>
      </c>
      <c r="F182" s="1212">
        <v>562000000</v>
      </c>
      <c r="J182" s="1215">
        <f t="shared" si="12"/>
        <v>178</v>
      </c>
      <c r="K182" s="1216" t="s">
        <v>1216</v>
      </c>
      <c r="L182" s="1216" t="str">
        <f>'8 Peralatan &amp; Perlengkapan'!B11</f>
        <v>AC - 2015</v>
      </c>
      <c r="M182" s="1217">
        <f>'8 Peralatan &amp; Perlengkapan'!C11</f>
        <v>42005</v>
      </c>
      <c r="N182" s="1212">
        <f>'8 Peralatan &amp; Perlengkapan'!E11</f>
        <v>5750000</v>
      </c>
    </row>
    <row r="183" spans="2:14">
      <c r="B183" s="1215">
        <f t="shared" si="8"/>
        <v>179</v>
      </c>
      <c r="C183" s="1216" t="s">
        <v>203</v>
      </c>
      <c r="D183" s="1216" t="s">
        <v>745</v>
      </c>
      <c r="E183" s="1217">
        <v>42370</v>
      </c>
      <c r="F183" s="1212">
        <v>500000000</v>
      </c>
      <c r="J183" s="1215">
        <f t="shared" si="12"/>
        <v>179</v>
      </c>
      <c r="K183" s="1216" t="s">
        <v>1216</v>
      </c>
      <c r="L183" s="1216" t="str">
        <f>'8 Peralatan &amp; Perlengkapan'!B12</f>
        <v>Hardisk External - 2015</v>
      </c>
      <c r="M183" s="1217">
        <f>'8 Peralatan &amp; Perlengkapan'!C12</f>
        <v>42005</v>
      </c>
      <c r="N183" s="1212">
        <f>'8 Peralatan &amp; Perlengkapan'!E12</f>
        <v>945000</v>
      </c>
    </row>
    <row r="184" spans="2:14">
      <c r="B184" s="1215">
        <f t="shared" si="8"/>
        <v>180</v>
      </c>
      <c r="C184" s="1216" t="s">
        <v>203</v>
      </c>
      <c r="D184" s="1216" t="s">
        <v>746</v>
      </c>
      <c r="E184" s="1217">
        <v>42370</v>
      </c>
      <c r="F184" s="1212">
        <v>500000000</v>
      </c>
      <c r="J184" s="1215">
        <f t="shared" si="12"/>
        <v>180</v>
      </c>
      <c r="K184" s="1216" t="s">
        <v>1216</v>
      </c>
      <c r="L184" s="1216" t="str">
        <f>'8 Peralatan &amp; Perlengkapan'!B13</f>
        <v>Camera - 2015</v>
      </c>
      <c r="M184" s="1217">
        <f>'8 Peralatan &amp; Perlengkapan'!C13</f>
        <v>42005</v>
      </c>
      <c r="N184" s="1212">
        <f>'8 Peralatan &amp; Perlengkapan'!E13</f>
        <v>2200000</v>
      </c>
    </row>
    <row r="185" spans="2:14">
      <c r="B185" s="1215">
        <f t="shared" si="8"/>
        <v>181</v>
      </c>
      <c r="C185" s="1216" t="s">
        <v>203</v>
      </c>
      <c r="D185" s="1216" t="s">
        <v>747</v>
      </c>
      <c r="E185" s="1217">
        <v>42736</v>
      </c>
      <c r="F185" s="1212">
        <v>230000000</v>
      </c>
      <c r="J185" s="1215">
        <f t="shared" si="12"/>
        <v>181</v>
      </c>
      <c r="K185" s="1216" t="s">
        <v>1216</v>
      </c>
      <c r="L185" s="1216" t="str">
        <f>'8 Peralatan &amp; Perlengkapan'!B14</f>
        <v>HP Nokia N 105</v>
      </c>
      <c r="M185" s="1217">
        <f>'8 Peralatan &amp; Perlengkapan'!C14</f>
        <v>42005</v>
      </c>
      <c r="N185" s="1212">
        <f>'8 Peralatan &amp; Perlengkapan'!E14</f>
        <v>2395000</v>
      </c>
    </row>
    <row r="186" spans="2:14">
      <c r="B186" s="1215">
        <f t="shared" si="8"/>
        <v>182</v>
      </c>
      <c r="C186" s="1216" t="s">
        <v>203</v>
      </c>
      <c r="D186" s="1216" t="s">
        <v>736</v>
      </c>
      <c r="E186" s="1217">
        <v>40544</v>
      </c>
      <c r="F186" s="1212">
        <v>141000000</v>
      </c>
      <c r="J186" s="1215">
        <f t="shared" si="12"/>
        <v>182</v>
      </c>
      <c r="K186" s="1216" t="s">
        <v>1216</v>
      </c>
      <c r="L186" s="1216" t="str">
        <f>'8 Peralatan &amp; Perlengkapan'!B15</f>
        <v>Mainboard - 2015</v>
      </c>
      <c r="M186" s="1217">
        <f>'8 Peralatan &amp; Perlengkapan'!C15</f>
        <v>42005</v>
      </c>
      <c r="N186" s="1212">
        <f>'8 Peralatan &amp; Perlengkapan'!E15</f>
        <v>820000</v>
      </c>
    </row>
    <row r="187" spans="2:14">
      <c r="B187" s="1215">
        <f t="shared" si="8"/>
        <v>183</v>
      </c>
      <c r="C187" s="1216" t="s">
        <v>203</v>
      </c>
      <c r="D187" s="1216" t="s">
        <v>1153</v>
      </c>
      <c r="E187" s="1217">
        <v>41640</v>
      </c>
      <c r="F187" s="1212">
        <v>71000000</v>
      </c>
      <c r="J187" s="1215">
        <f t="shared" si="12"/>
        <v>183</v>
      </c>
      <c r="K187" s="1216" t="s">
        <v>1216</v>
      </c>
      <c r="L187" s="1216" t="str">
        <f>'8 Peralatan &amp; Perlengkapan'!B16</f>
        <v>Kamera CCTV - 2015</v>
      </c>
      <c r="M187" s="1217">
        <f>'8 Peralatan &amp; Perlengkapan'!C16</f>
        <v>42005</v>
      </c>
      <c r="N187" s="1212">
        <f>'8 Peralatan &amp; Perlengkapan'!E16</f>
        <v>3990000</v>
      </c>
    </row>
    <row r="188" spans="2:14">
      <c r="B188" s="1215">
        <f t="shared" si="8"/>
        <v>184</v>
      </c>
      <c r="C188" s="1216" t="s">
        <v>203</v>
      </c>
      <c r="D188" s="1216" t="s">
        <v>1154</v>
      </c>
      <c r="E188" s="1217">
        <v>42005</v>
      </c>
      <c r="F188" s="1212">
        <v>33060000</v>
      </c>
      <c r="J188" s="1215">
        <f t="shared" si="12"/>
        <v>184</v>
      </c>
      <c r="K188" s="1216" t="s">
        <v>1216</v>
      </c>
      <c r="L188" s="1216" t="str">
        <f>'8 Peralatan &amp; Perlengkapan'!B17</f>
        <v>Meja 1/2 Biro - 2015</v>
      </c>
      <c r="M188" s="1217">
        <f>'8 Peralatan &amp; Perlengkapan'!C17</f>
        <v>42005</v>
      </c>
      <c r="N188" s="1212">
        <f>'8 Peralatan &amp; Perlengkapan'!E17</f>
        <v>900000</v>
      </c>
    </row>
    <row r="189" spans="2:14">
      <c r="B189" s="1215">
        <f t="shared" si="8"/>
        <v>185</v>
      </c>
      <c r="C189" s="1216" t="s">
        <v>203</v>
      </c>
      <c r="D189" s="1216" t="s">
        <v>757</v>
      </c>
      <c r="E189" s="1217">
        <v>42767</v>
      </c>
      <c r="F189" s="1212">
        <v>7800000</v>
      </c>
      <c r="J189" s="1215">
        <f t="shared" si="12"/>
        <v>185</v>
      </c>
      <c r="K189" s="1216" t="s">
        <v>1216</v>
      </c>
      <c r="L189" s="1216" t="str">
        <f>'8 Peralatan &amp; Perlengkapan'!B18</f>
        <v>Printer - 2015</v>
      </c>
      <c r="M189" s="1217">
        <f>'8 Peralatan &amp; Perlengkapan'!C18</f>
        <v>42005</v>
      </c>
      <c r="N189" s="1212">
        <f>'8 Peralatan &amp; Perlengkapan'!E18</f>
        <v>1250000</v>
      </c>
    </row>
    <row r="190" spans="2:14">
      <c r="B190" s="1215">
        <f t="shared" si="8"/>
        <v>186</v>
      </c>
      <c r="C190" s="1216" t="s">
        <v>203</v>
      </c>
      <c r="D190" s="1216" t="s">
        <v>1157</v>
      </c>
      <c r="E190" s="1217">
        <v>40179</v>
      </c>
      <c r="F190" s="1212">
        <v>1622800000</v>
      </c>
      <c r="J190" s="1215">
        <f t="shared" si="12"/>
        <v>186</v>
      </c>
      <c r="K190" s="1216" t="s">
        <v>1216</v>
      </c>
      <c r="L190" s="1216" t="str">
        <f>'8 Peralatan &amp; Perlengkapan'!B19</f>
        <v>Pesawat Telepon - 2015</v>
      </c>
      <c r="M190" s="1217">
        <f>'8 Peralatan &amp; Perlengkapan'!C19</f>
        <v>42005</v>
      </c>
      <c r="N190" s="1212">
        <f>'8 Peralatan &amp; Perlengkapan'!E19</f>
        <v>175000</v>
      </c>
    </row>
    <row r="191" spans="2:14">
      <c r="B191" s="1215">
        <f t="shared" si="8"/>
        <v>187</v>
      </c>
      <c r="C191" s="1216" t="s">
        <v>1317</v>
      </c>
      <c r="D191" s="1216" t="s">
        <v>760</v>
      </c>
      <c r="E191" s="1217">
        <v>42005</v>
      </c>
      <c r="F191" s="1212">
        <v>5700000</v>
      </c>
      <c r="J191" s="1215">
        <f t="shared" si="12"/>
        <v>187</v>
      </c>
      <c r="K191" s="1216" t="s">
        <v>1216</v>
      </c>
      <c r="L191" s="1216" t="str">
        <f>'8 Peralatan &amp; Perlengkapan'!B20</f>
        <v>DVR 16 CH HMT - 2015</v>
      </c>
      <c r="M191" s="1217">
        <f>'8 Peralatan &amp; Perlengkapan'!C20</f>
        <v>42005</v>
      </c>
      <c r="N191" s="1212">
        <f>'8 Peralatan &amp; Perlengkapan'!E20</f>
        <v>2350000</v>
      </c>
    </row>
    <row r="192" spans="2:14">
      <c r="B192" s="1215">
        <f t="shared" si="8"/>
        <v>188</v>
      </c>
      <c r="C192" s="1216" t="s">
        <v>1317</v>
      </c>
      <c r="D192" s="1216" t="s">
        <v>761</v>
      </c>
      <c r="E192" s="1217">
        <v>42005</v>
      </c>
      <c r="F192" s="1212">
        <v>2260000</v>
      </c>
      <c r="J192" s="1215">
        <f t="shared" si="12"/>
        <v>188</v>
      </c>
      <c r="K192" s="1216" t="s">
        <v>1216</v>
      </c>
      <c r="L192" s="1216" t="str">
        <f>'8 Peralatan &amp; Perlengkapan'!B21</f>
        <v xml:space="preserve">Monitor LED - 2015 </v>
      </c>
      <c r="M192" s="1217">
        <f>'8 Peralatan &amp; Perlengkapan'!C21</f>
        <v>42005</v>
      </c>
      <c r="N192" s="1212">
        <f>'8 Peralatan &amp; Perlengkapan'!E21</f>
        <v>980000</v>
      </c>
    </row>
    <row r="193" spans="2:14">
      <c r="B193" s="1215">
        <f t="shared" si="8"/>
        <v>189</v>
      </c>
      <c r="C193" s="1216" t="s">
        <v>1317</v>
      </c>
      <c r="D193" s="1216" t="s">
        <v>762</v>
      </c>
      <c r="E193" s="1217">
        <v>42005</v>
      </c>
      <c r="F193" s="1212">
        <v>560000</v>
      </c>
      <c r="J193" s="1215">
        <f t="shared" si="12"/>
        <v>189</v>
      </c>
      <c r="K193" s="1216" t="s">
        <v>1216</v>
      </c>
      <c r="L193" s="1216" t="str">
        <f>'8 Peralatan &amp; Perlengkapan'!B22</f>
        <v>UPS - 2015</v>
      </c>
      <c r="M193" s="1217">
        <f>'8 Peralatan &amp; Perlengkapan'!C22</f>
        <v>42005</v>
      </c>
      <c r="N193" s="1212">
        <f>'8 Peralatan &amp; Perlengkapan'!E22</f>
        <v>595000</v>
      </c>
    </row>
    <row r="194" spans="2:14">
      <c r="B194" s="1215">
        <f t="shared" si="8"/>
        <v>190</v>
      </c>
      <c r="C194" s="1216" t="s">
        <v>1317</v>
      </c>
      <c r="D194" s="1216" t="s">
        <v>763</v>
      </c>
      <c r="E194" s="1217">
        <v>42005</v>
      </c>
      <c r="F194" s="1212">
        <v>5750000</v>
      </c>
      <c r="J194" s="1215">
        <f t="shared" si="12"/>
        <v>190</v>
      </c>
      <c r="K194" s="1216" t="s">
        <v>1216</v>
      </c>
      <c r="L194" s="1216" t="str">
        <f>'8 Peralatan &amp; Perlengkapan'!B23</f>
        <v>CPU Rakitan - 2015</v>
      </c>
      <c r="M194" s="1217">
        <f>'8 Peralatan &amp; Perlengkapan'!C23</f>
        <v>42005</v>
      </c>
      <c r="N194" s="1212">
        <f>'8 Peralatan &amp; Perlengkapan'!E23</f>
        <v>5733000</v>
      </c>
    </row>
    <row r="195" spans="2:14">
      <c r="B195" s="1215">
        <f t="shared" si="8"/>
        <v>191</v>
      </c>
      <c r="C195" s="1216" t="s">
        <v>1317</v>
      </c>
      <c r="D195" s="1216" t="s">
        <v>764</v>
      </c>
      <c r="E195" s="1217">
        <v>42005</v>
      </c>
      <c r="F195" s="1212">
        <v>945000</v>
      </c>
      <c r="J195" s="1215">
        <f t="shared" si="12"/>
        <v>191</v>
      </c>
      <c r="K195" s="1216" t="s">
        <v>1216</v>
      </c>
      <c r="L195" s="1216" t="str">
        <f>'8 Peralatan &amp; Perlengkapan'!B24</f>
        <v>Hardisk - 2015</v>
      </c>
      <c r="M195" s="1217">
        <f>'8 Peralatan &amp; Perlengkapan'!C24</f>
        <v>42005</v>
      </c>
      <c r="N195" s="1212">
        <f>'8 Peralatan &amp; Perlengkapan'!E24</f>
        <v>2760000</v>
      </c>
    </row>
    <row r="196" spans="2:14">
      <c r="B196" s="1215">
        <f t="shared" si="8"/>
        <v>192</v>
      </c>
      <c r="C196" s="1216" t="s">
        <v>1317</v>
      </c>
      <c r="D196" s="1216" t="s">
        <v>765</v>
      </c>
      <c r="E196" s="1217">
        <v>42005</v>
      </c>
      <c r="F196" s="1212">
        <v>2200000</v>
      </c>
      <c r="J196" s="1215">
        <f t="shared" si="12"/>
        <v>192</v>
      </c>
      <c r="K196" s="1216" t="s">
        <v>1216</v>
      </c>
      <c r="L196" s="1216" t="str">
        <f>'8 Peralatan &amp; Perlengkapan'!B25</f>
        <v>Kursi - 2015</v>
      </c>
      <c r="M196" s="1217">
        <f>'8 Peralatan &amp; Perlengkapan'!C25</f>
        <v>42005</v>
      </c>
      <c r="N196" s="1212">
        <f>'8 Peralatan &amp; Perlengkapan'!E25</f>
        <v>650000</v>
      </c>
    </row>
    <row r="197" spans="2:14">
      <c r="B197" s="1215">
        <f t="shared" si="8"/>
        <v>193</v>
      </c>
      <c r="C197" s="1216" t="s">
        <v>1317</v>
      </c>
      <c r="D197" s="1216" t="s">
        <v>766</v>
      </c>
      <c r="E197" s="1217">
        <v>42005</v>
      </c>
      <c r="F197" s="1212">
        <v>2395000</v>
      </c>
      <c r="J197" s="1215">
        <f t="shared" si="12"/>
        <v>193</v>
      </c>
      <c r="K197" s="1216" t="s">
        <v>1216</v>
      </c>
      <c r="L197" s="1216" t="str">
        <f>'8 Peralatan &amp; Perlengkapan'!B26</f>
        <v>Kursi Putar (Indachi) - 2015</v>
      </c>
      <c r="M197" s="1217">
        <f>'8 Peralatan &amp; Perlengkapan'!C26</f>
        <v>42005</v>
      </c>
      <c r="N197" s="1212">
        <f>'8 Peralatan &amp; Perlengkapan'!E26</f>
        <v>2600000</v>
      </c>
    </row>
    <row r="198" spans="2:14">
      <c r="B198" s="1215">
        <f t="shared" si="8"/>
        <v>194</v>
      </c>
      <c r="C198" s="1216" t="s">
        <v>1317</v>
      </c>
      <c r="D198" s="1216" t="s">
        <v>767</v>
      </c>
      <c r="E198" s="1217">
        <v>42005</v>
      </c>
      <c r="F198" s="1212">
        <v>820000</v>
      </c>
      <c r="J198" s="1215">
        <f t="shared" si="12"/>
        <v>194</v>
      </c>
      <c r="K198" s="1216" t="s">
        <v>1216</v>
      </c>
      <c r="L198" s="1216" t="str">
        <f>'8 Peralatan &amp; Perlengkapan'!B27</f>
        <v>AC Daikin 5 PK - 2019</v>
      </c>
      <c r="M198" s="1217">
        <f>'8 Peralatan &amp; Perlengkapan'!C27</f>
        <v>43679</v>
      </c>
      <c r="N198" s="1212">
        <f>'8 Peralatan &amp; Perlengkapan'!E27</f>
        <v>111700000</v>
      </c>
    </row>
    <row r="199" spans="2:14">
      <c r="B199" s="1215">
        <f t="shared" ref="B199:B262" si="13">B198+1</f>
        <v>195</v>
      </c>
      <c r="C199" s="1216" t="s">
        <v>1317</v>
      </c>
      <c r="D199" s="1216" t="s">
        <v>768</v>
      </c>
      <c r="E199" s="1217">
        <v>42005</v>
      </c>
      <c r="F199" s="1212">
        <v>3990000</v>
      </c>
      <c r="J199" s="1215">
        <f t="shared" si="12"/>
        <v>195</v>
      </c>
      <c r="K199" s="1216" t="s">
        <v>1216</v>
      </c>
      <c r="L199" s="1216" t="str">
        <f>'8 Peralatan &amp; Perlengkapan'!B28</f>
        <v>Laptop Acer Aspire 2467 QC - 2019</v>
      </c>
      <c r="M199" s="1217">
        <f>'8 Peralatan &amp; Perlengkapan'!C28</f>
        <v>43752</v>
      </c>
      <c r="N199" s="1212">
        <f>'8 Peralatan &amp; Perlengkapan'!E28</f>
        <v>5600000</v>
      </c>
    </row>
    <row r="200" spans="2:14">
      <c r="B200" s="1215">
        <f t="shared" si="13"/>
        <v>196</v>
      </c>
      <c r="C200" s="1216" t="s">
        <v>1317</v>
      </c>
      <c r="D200" s="1216" t="s">
        <v>769</v>
      </c>
      <c r="E200" s="1217">
        <v>42005</v>
      </c>
      <c r="F200" s="1212">
        <v>900000</v>
      </c>
      <c r="J200" s="1215">
        <f t="shared" si="12"/>
        <v>196</v>
      </c>
      <c r="K200" s="1216" t="s">
        <v>1216</v>
      </c>
      <c r="L200" s="1216" t="str">
        <f>'8 Peralatan &amp; Perlengkapan'!B29</f>
        <v>AC Daikin 1.5 PK FTC 35 NV- 2019</v>
      </c>
      <c r="M200" s="1217">
        <f>'8 Peralatan &amp; Perlengkapan'!C29</f>
        <v>43748</v>
      </c>
      <c r="N200" s="1212">
        <f>'8 Peralatan &amp; Perlengkapan'!E29</f>
        <v>7095000</v>
      </c>
    </row>
    <row r="201" spans="2:14">
      <c r="B201" s="1215">
        <f t="shared" si="13"/>
        <v>197</v>
      </c>
      <c r="C201" s="1216" t="s">
        <v>1317</v>
      </c>
      <c r="D201" s="1216" t="s">
        <v>770</v>
      </c>
      <c r="E201" s="1217">
        <v>42005</v>
      </c>
      <c r="F201" s="1212">
        <v>1250000</v>
      </c>
      <c r="J201" s="1215">
        <f t="shared" si="12"/>
        <v>197</v>
      </c>
      <c r="K201" s="1216" t="s">
        <v>1216</v>
      </c>
      <c r="L201" s="1216" t="str">
        <f>'8 Peralatan &amp; Perlengkapan'!B30</f>
        <v>AC Daikin 1.5 PK R23 - 2019</v>
      </c>
      <c r="M201" s="1217">
        <f>'8 Peralatan &amp; Perlengkapan'!C30</f>
        <v>43773</v>
      </c>
      <c r="N201" s="1212">
        <f>'8 Peralatan &amp; Perlengkapan'!E30</f>
        <v>11990000</v>
      </c>
    </row>
    <row r="202" spans="2:14">
      <c r="B202" s="1215">
        <f t="shared" si="13"/>
        <v>198</v>
      </c>
      <c r="C202" s="1216" t="s">
        <v>1317</v>
      </c>
      <c r="D202" s="1216" t="s">
        <v>771</v>
      </c>
      <c r="E202" s="1217">
        <v>42005</v>
      </c>
      <c r="F202" s="1212">
        <v>175000</v>
      </c>
      <c r="J202" s="1215">
        <f t="shared" si="12"/>
        <v>198</v>
      </c>
      <c r="K202" s="1216" t="s">
        <v>1216</v>
      </c>
      <c r="L202" s="1216" t="str">
        <f>'8 Peralatan &amp; Perlengkapan'!B31</f>
        <v>Meja 1/2 Biro - 2019</v>
      </c>
      <c r="M202" s="1217">
        <f>'8 Peralatan &amp; Perlengkapan'!C31</f>
        <v>43771</v>
      </c>
      <c r="N202" s="1212">
        <f>'8 Peralatan &amp; Perlengkapan'!E31</f>
        <v>500000</v>
      </c>
    </row>
    <row r="203" spans="2:14">
      <c r="B203" s="1215">
        <f t="shared" si="13"/>
        <v>199</v>
      </c>
      <c r="C203" s="1216" t="s">
        <v>1317</v>
      </c>
      <c r="D203" s="1216" t="s">
        <v>772</v>
      </c>
      <c r="E203" s="1217">
        <v>42005</v>
      </c>
      <c r="F203" s="1212">
        <v>2350000</v>
      </c>
      <c r="J203" s="1215">
        <f t="shared" si="12"/>
        <v>199</v>
      </c>
      <c r="K203" s="1216" t="s">
        <v>1216</v>
      </c>
      <c r="L203" s="1216" t="str">
        <f>'8 Peralatan &amp; Perlengkapan'!B32</f>
        <v>Printer Canon Laserjet LBP - 6030 - 2019</v>
      </c>
      <c r="M203" s="1217">
        <f>'8 Peralatan &amp; Perlengkapan'!C32</f>
        <v>43770</v>
      </c>
      <c r="N203" s="1212">
        <f>'8 Peralatan &amp; Perlengkapan'!E32</f>
        <v>1450000</v>
      </c>
    </row>
    <row r="204" spans="2:14">
      <c r="B204" s="1215">
        <f t="shared" si="13"/>
        <v>200</v>
      </c>
      <c r="C204" s="1216" t="s">
        <v>1317</v>
      </c>
      <c r="D204" s="1216" t="s">
        <v>773</v>
      </c>
      <c r="E204" s="1217">
        <v>42005</v>
      </c>
      <c r="F204" s="1212">
        <v>980000</v>
      </c>
      <c r="J204" s="1215">
        <f t="shared" si="12"/>
        <v>200</v>
      </c>
      <c r="K204" s="1216" t="s">
        <v>1216</v>
      </c>
      <c r="L204" s="1216" t="str">
        <f>'8 Peralatan &amp; Perlengkapan'!B33</f>
        <v>CPU Rakitan - 2019</v>
      </c>
      <c r="M204" s="1217">
        <f>'8 Peralatan &amp; Perlengkapan'!C33</f>
        <v>43810</v>
      </c>
      <c r="N204" s="1212">
        <f>'8 Peralatan &amp; Perlengkapan'!E33</f>
        <v>2500000</v>
      </c>
    </row>
    <row r="205" spans="2:14">
      <c r="B205" s="1215">
        <f t="shared" si="13"/>
        <v>201</v>
      </c>
      <c r="C205" s="1216" t="s">
        <v>1317</v>
      </c>
      <c r="D205" s="1216" t="s">
        <v>774</v>
      </c>
      <c r="E205" s="1217">
        <v>42005</v>
      </c>
      <c r="F205" s="1212">
        <v>595000</v>
      </c>
      <c r="J205" s="1215">
        <f t="shared" si="12"/>
        <v>201</v>
      </c>
      <c r="K205" s="1216" t="s">
        <v>1216</v>
      </c>
      <c r="L205" s="1216" t="str">
        <f>'8 Peralatan &amp; Perlengkapan'!B34</f>
        <v>Printer Canon Laserjet LBP - 6030 - 2019</v>
      </c>
      <c r="M205" s="1217">
        <f>'8 Peralatan &amp; Perlengkapan'!C34</f>
        <v>43820</v>
      </c>
      <c r="N205" s="1212">
        <f>'8 Peralatan &amp; Perlengkapan'!E34</f>
        <v>1450000</v>
      </c>
    </row>
    <row r="206" spans="2:14">
      <c r="B206" s="1215">
        <f t="shared" si="13"/>
        <v>202</v>
      </c>
      <c r="C206" s="1216" t="s">
        <v>1317</v>
      </c>
      <c r="D206" s="1216" t="s">
        <v>775</v>
      </c>
      <c r="E206" s="1217">
        <v>42005</v>
      </c>
      <c r="F206" s="1212">
        <v>5733000</v>
      </c>
      <c r="J206" s="1215">
        <f t="shared" si="12"/>
        <v>202</v>
      </c>
      <c r="K206" s="1216" t="s">
        <v>1216</v>
      </c>
      <c r="L206" s="1216" t="str">
        <f>'8 Peralatan &amp; Perlengkapan'!B35</f>
        <v>Lemari Gantung 2 Pintu - 2020</v>
      </c>
      <c r="M206" s="1217">
        <f>'8 Peralatan &amp; Perlengkapan'!C35</f>
        <v>43858</v>
      </c>
      <c r="N206" s="1212">
        <f>'8 Peralatan &amp; Perlengkapan'!E35</f>
        <v>1000000</v>
      </c>
    </row>
    <row r="207" spans="2:14">
      <c r="B207" s="1215">
        <f t="shared" si="13"/>
        <v>203</v>
      </c>
      <c r="C207" s="1216" t="s">
        <v>1317</v>
      </c>
      <c r="D207" s="1216" t="s">
        <v>776</v>
      </c>
      <c r="E207" s="1217">
        <v>42005</v>
      </c>
      <c r="F207" s="1212">
        <v>2760000</v>
      </c>
      <c r="J207" s="1215">
        <f t="shared" si="12"/>
        <v>203</v>
      </c>
      <c r="K207" s="1216" t="s">
        <v>1216</v>
      </c>
      <c r="L207" s="1216" t="str">
        <f>'8 Peralatan &amp; Perlengkapan'!B60</f>
        <v>Keranjang</v>
      </c>
      <c r="M207" s="1217">
        <f>'8 Peralatan &amp; Perlengkapan'!C60</f>
        <v>42005</v>
      </c>
      <c r="N207" s="1212">
        <f>'8 Peralatan &amp; Perlengkapan'!E60</f>
        <v>9450000</v>
      </c>
    </row>
    <row r="208" spans="2:14">
      <c r="B208" s="1215">
        <f t="shared" si="13"/>
        <v>204</v>
      </c>
      <c r="C208" s="1216" t="s">
        <v>1317</v>
      </c>
      <c r="D208" s="1216" t="s">
        <v>777</v>
      </c>
      <c r="E208" s="1217">
        <v>42005</v>
      </c>
      <c r="F208" s="1212">
        <v>650000</v>
      </c>
      <c r="J208" s="1215">
        <f t="shared" si="12"/>
        <v>204</v>
      </c>
      <c r="K208" s="1216" t="s">
        <v>1216</v>
      </c>
      <c r="L208" s="1216" t="str">
        <f>'8 Peralatan &amp; Perlengkapan'!B61</f>
        <v>Thermometer Jarum Atermo - 2015</v>
      </c>
      <c r="M208" s="1217">
        <f>'8 Peralatan &amp; Perlengkapan'!C61</f>
        <v>42005</v>
      </c>
      <c r="N208" s="1212">
        <f>'8 Peralatan &amp; Perlengkapan'!E61</f>
        <v>1300000</v>
      </c>
    </row>
    <row r="209" spans="2:14">
      <c r="B209" s="1215">
        <f t="shared" si="13"/>
        <v>205</v>
      </c>
      <c r="C209" s="1216" t="s">
        <v>1317</v>
      </c>
      <c r="D209" s="1216" t="s">
        <v>778</v>
      </c>
      <c r="E209" s="1217">
        <v>42005</v>
      </c>
      <c r="F209" s="1212">
        <v>2600000</v>
      </c>
      <c r="J209" s="1215">
        <f t="shared" si="12"/>
        <v>205</v>
      </c>
      <c r="K209" s="1216" t="s">
        <v>1216</v>
      </c>
      <c r="L209" s="1216" t="str">
        <f>'8 Peralatan &amp; Perlengkapan'!B62</f>
        <v>Thermometer Digital - 2015</v>
      </c>
      <c r="M209" s="1217">
        <f>'8 Peralatan &amp; Perlengkapan'!C62</f>
        <v>42005</v>
      </c>
      <c r="N209" s="1212">
        <f>'8 Peralatan &amp; Perlengkapan'!E62</f>
        <v>2517500</v>
      </c>
    </row>
    <row r="210" spans="2:14">
      <c r="B210" s="1215">
        <f t="shared" si="13"/>
        <v>206</v>
      </c>
      <c r="C210" s="1216" t="s">
        <v>1317</v>
      </c>
      <c r="D210" s="1216" t="s">
        <v>779</v>
      </c>
      <c r="E210" s="1217">
        <v>43679</v>
      </c>
      <c r="F210" s="1212">
        <v>111700000</v>
      </c>
      <c r="J210" s="1215">
        <f t="shared" si="12"/>
        <v>206</v>
      </c>
      <c r="K210" s="1216" t="s">
        <v>1216</v>
      </c>
      <c r="L210" s="1216" t="str">
        <f>'8 Peralatan &amp; Perlengkapan'!B63</f>
        <v>Timbangan Digital 5kg - 2015</v>
      </c>
      <c r="M210" s="1217">
        <f>'8 Peralatan &amp; Perlengkapan'!C63</f>
        <v>42005</v>
      </c>
      <c r="N210" s="1212">
        <f>'8 Peralatan &amp; Perlengkapan'!E63</f>
        <v>250000</v>
      </c>
    </row>
    <row r="211" spans="2:14">
      <c r="B211" s="1215">
        <f t="shared" si="13"/>
        <v>207</v>
      </c>
      <c r="C211" s="1216" t="s">
        <v>1317</v>
      </c>
      <c r="D211" s="1216" t="s">
        <v>780</v>
      </c>
      <c r="E211" s="1217">
        <v>43752</v>
      </c>
      <c r="F211" s="1212">
        <v>5600000</v>
      </c>
      <c r="J211" s="1215">
        <f t="shared" si="12"/>
        <v>207</v>
      </c>
      <c r="K211" s="1216" t="s">
        <v>1216</v>
      </c>
      <c r="L211" s="1216" t="str">
        <f>'8 Peralatan &amp; Perlengkapan'!B64</f>
        <v>Loadcell Timbangan - 2015</v>
      </c>
      <c r="M211" s="1217">
        <f>'8 Peralatan &amp; Perlengkapan'!C64</f>
        <v>42005</v>
      </c>
      <c r="N211" s="1212">
        <f>'8 Peralatan &amp; Perlengkapan'!E64</f>
        <v>1650000</v>
      </c>
    </row>
    <row r="212" spans="2:14">
      <c r="B212" s="1215">
        <f t="shared" si="13"/>
        <v>208</v>
      </c>
      <c r="C212" s="1216" t="s">
        <v>1317</v>
      </c>
      <c r="D212" s="1216" t="s">
        <v>781</v>
      </c>
      <c r="E212" s="1217">
        <v>43748</v>
      </c>
      <c r="F212" s="1212">
        <v>7095000</v>
      </c>
      <c r="J212" s="1215">
        <f t="shared" si="12"/>
        <v>208</v>
      </c>
      <c r="K212" s="1216" t="s">
        <v>1216</v>
      </c>
      <c r="L212" s="1216" t="str">
        <f>'8 Peralatan &amp; Perlengkapan'!B65</f>
        <v>Kulkas - 2015</v>
      </c>
      <c r="M212" s="1217">
        <f>'8 Peralatan &amp; Perlengkapan'!C65</f>
        <v>42005</v>
      </c>
      <c r="N212" s="1212">
        <f>'8 Peralatan &amp; Perlengkapan'!E65</f>
        <v>2625000</v>
      </c>
    </row>
    <row r="213" spans="2:14">
      <c r="B213" s="1215">
        <f t="shared" si="13"/>
        <v>209</v>
      </c>
      <c r="C213" s="1216" t="s">
        <v>1317</v>
      </c>
      <c r="D213" s="1216" t="s">
        <v>782</v>
      </c>
      <c r="E213" s="1217">
        <v>43773</v>
      </c>
      <c r="F213" s="1212">
        <v>11990000</v>
      </c>
      <c r="J213" s="1215">
        <f t="shared" si="12"/>
        <v>209</v>
      </c>
      <c r="K213" s="1216" t="s">
        <v>1216</v>
      </c>
      <c r="L213" s="1216" t="str">
        <f>'8 Peralatan &amp; Perlengkapan'!B66</f>
        <v>Roda Hercules -2016</v>
      </c>
      <c r="M213" s="1217">
        <f>'8 Peralatan &amp; Perlengkapan'!C66</f>
        <v>42370</v>
      </c>
      <c r="N213" s="1212">
        <f>'8 Peralatan &amp; Perlengkapan'!E66</f>
        <v>24049545</v>
      </c>
    </row>
    <row r="214" spans="2:14">
      <c r="B214" s="1215">
        <f t="shared" si="13"/>
        <v>210</v>
      </c>
      <c r="C214" s="1216" t="s">
        <v>1317</v>
      </c>
      <c r="D214" s="1216" t="s">
        <v>783</v>
      </c>
      <c r="E214" s="1217">
        <v>43771</v>
      </c>
      <c r="F214" s="1212">
        <v>500000</v>
      </c>
      <c r="J214" s="1215">
        <f t="shared" si="12"/>
        <v>210</v>
      </c>
      <c r="K214" s="1216" t="s">
        <v>1216</v>
      </c>
      <c r="L214" s="1216" t="str">
        <f>'8 Peralatan &amp; Perlengkapan'!B67</f>
        <v>Iner Pan + Tutup @2100 Pcs - 2016</v>
      </c>
      <c r="M214" s="1217">
        <f>'8 Peralatan &amp; Perlengkapan'!C67</f>
        <v>42370</v>
      </c>
      <c r="N214" s="1212">
        <f>'8 Peralatan &amp; Perlengkapan'!E67</f>
        <v>210000000</v>
      </c>
    </row>
    <row r="215" spans="2:14">
      <c r="B215" s="1215">
        <f t="shared" si="13"/>
        <v>211</v>
      </c>
      <c r="C215" s="1216" t="s">
        <v>1317</v>
      </c>
      <c r="D215" s="1216" t="s">
        <v>784</v>
      </c>
      <c r="E215" s="1217">
        <v>43770</v>
      </c>
      <c r="F215" s="1212">
        <v>1450000</v>
      </c>
      <c r="J215" s="1215">
        <f t="shared" si="12"/>
        <v>211</v>
      </c>
      <c r="K215" s="1216" t="s">
        <v>1216</v>
      </c>
      <c r="L215" s="1216" t="str">
        <f>'8 Peralatan &amp; Perlengkapan'!B68</f>
        <v>Long Pan @700Pcs - 2016</v>
      </c>
      <c r="M215" s="1217">
        <f>'8 Peralatan &amp; Perlengkapan'!C68</f>
        <v>42370</v>
      </c>
      <c r="N215" s="1212">
        <f>'8 Peralatan &amp; Perlengkapan'!E68</f>
        <v>112000000</v>
      </c>
    </row>
    <row r="216" spans="2:14">
      <c r="B216" s="1215">
        <f t="shared" si="13"/>
        <v>212</v>
      </c>
      <c r="C216" s="1216" t="s">
        <v>1317</v>
      </c>
      <c r="D216" s="1216" t="s">
        <v>785</v>
      </c>
      <c r="E216" s="1217">
        <v>43810</v>
      </c>
      <c r="F216" s="1212">
        <v>2500000</v>
      </c>
      <c r="J216" s="1215">
        <f t="shared" si="12"/>
        <v>212</v>
      </c>
      <c r="K216" s="1216" t="s">
        <v>1216</v>
      </c>
      <c r="L216" s="1216" t="str">
        <f>'8 Peralatan &amp; Perlengkapan'!B69</f>
        <v xml:space="preserve">Fiber Box - 2017 </v>
      </c>
      <c r="M216" s="1217">
        <f>'8 Peralatan &amp; Perlengkapan'!C69</f>
        <v>42736</v>
      </c>
      <c r="N216" s="1212">
        <f>'8 Peralatan &amp; Perlengkapan'!E69</f>
        <v>301700000</v>
      </c>
    </row>
    <row r="217" spans="2:14">
      <c r="B217" s="1215">
        <f t="shared" si="13"/>
        <v>213</v>
      </c>
      <c r="C217" s="1216" t="s">
        <v>1317</v>
      </c>
      <c r="D217" s="1216" t="s">
        <v>784</v>
      </c>
      <c r="E217" s="1217">
        <v>43820</v>
      </c>
      <c r="F217" s="1212">
        <v>1450000</v>
      </c>
      <c r="J217" s="1215">
        <f t="shared" si="12"/>
        <v>213</v>
      </c>
      <c r="K217" s="1216" t="s">
        <v>1216</v>
      </c>
      <c r="L217" s="1216" t="str">
        <f>'8 Peralatan &amp; Perlengkapan'!B70</f>
        <v>Vaccum pack @ 2 unit - 2017</v>
      </c>
      <c r="M217" s="1217">
        <f>'8 Peralatan &amp; Perlengkapan'!C70</f>
        <v>42736</v>
      </c>
      <c r="N217" s="1212">
        <f>'8 Peralatan &amp; Perlengkapan'!E70</f>
        <v>30000000</v>
      </c>
    </row>
    <row r="218" spans="2:14">
      <c r="B218" s="1215">
        <f t="shared" si="13"/>
        <v>214</v>
      </c>
      <c r="C218" s="1216" t="s">
        <v>1317</v>
      </c>
      <c r="D218" s="1216" t="s">
        <v>786</v>
      </c>
      <c r="E218" s="1217">
        <v>43858</v>
      </c>
      <c r="F218" s="1212">
        <v>1000000</v>
      </c>
      <c r="J218" s="1215">
        <f t="shared" si="12"/>
        <v>214</v>
      </c>
      <c r="K218" s="1216" t="s">
        <v>1216</v>
      </c>
      <c r="L218" s="1216" t="str">
        <f>'8 Peralatan &amp; Perlengkapan'!B71</f>
        <v>Printer Barcode "TSC Type TTP 246 Pro"</v>
      </c>
      <c r="M218" s="1217">
        <f>'8 Peralatan &amp; Perlengkapan'!C71</f>
        <v>42736</v>
      </c>
      <c r="N218" s="1212">
        <f>'8 Peralatan &amp; Perlengkapan'!E71</f>
        <v>17750000</v>
      </c>
    </row>
    <row r="219" spans="2:14">
      <c r="B219" s="1215">
        <f t="shared" si="13"/>
        <v>215</v>
      </c>
      <c r="C219" s="1216" t="s">
        <v>1317</v>
      </c>
      <c r="D219" s="1216" t="s">
        <v>787</v>
      </c>
      <c r="E219" s="1217">
        <v>43896</v>
      </c>
      <c r="F219" s="1212">
        <v>600000</v>
      </c>
      <c r="J219" s="1215">
        <f t="shared" si="12"/>
        <v>215</v>
      </c>
      <c r="K219" s="1216" t="s">
        <v>1216</v>
      </c>
      <c r="L219" s="1216" t="str">
        <f>'8 Peralatan &amp; Perlengkapan'!B72</f>
        <v>Handystep - 2017</v>
      </c>
      <c r="M219" s="1217">
        <f>'8 Peralatan &amp; Perlengkapan'!C72</f>
        <v>42736</v>
      </c>
      <c r="N219" s="1212">
        <f>'8 Peralatan &amp; Perlengkapan'!E72</f>
        <v>15105000</v>
      </c>
    </row>
    <row r="220" spans="2:14">
      <c r="B220" s="1215">
        <f t="shared" si="13"/>
        <v>216</v>
      </c>
      <c r="C220" s="1216" t="s">
        <v>1317</v>
      </c>
      <c r="D220" s="1216" t="s">
        <v>788</v>
      </c>
      <c r="E220" s="1217">
        <v>44049</v>
      </c>
      <c r="F220" s="1212">
        <v>1900000</v>
      </c>
      <c r="J220" s="1215">
        <f t="shared" si="12"/>
        <v>216</v>
      </c>
      <c r="K220" s="1216" t="s">
        <v>1216</v>
      </c>
      <c r="L220" s="1216" t="str">
        <f>'8 Peralatan &amp; Perlengkapan'!B73</f>
        <v>Timbangan Digital Vibra AJ-4200E - 2017</v>
      </c>
      <c r="M220" s="1217">
        <f>'8 Peralatan &amp; Perlengkapan'!C73</f>
        <v>42736</v>
      </c>
      <c r="N220" s="1212">
        <f>'8 Peralatan &amp; Perlengkapan'!E73</f>
        <v>11700000</v>
      </c>
    </row>
    <row r="221" spans="2:14">
      <c r="B221" s="1215">
        <f t="shared" si="13"/>
        <v>217</v>
      </c>
      <c r="C221" s="1216" t="s">
        <v>1317</v>
      </c>
      <c r="D221" s="1216" t="s">
        <v>789</v>
      </c>
      <c r="E221" s="1217">
        <v>44049</v>
      </c>
      <c r="F221" s="1212">
        <v>180000</v>
      </c>
      <c r="J221" s="1215">
        <f t="shared" si="12"/>
        <v>217</v>
      </c>
      <c r="K221" s="1216" t="s">
        <v>1216</v>
      </c>
      <c r="L221" s="1216" t="str">
        <f>'8 Peralatan &amp; Perlengkapan'!B74</f>
        <v>Timbangan Digital Avery Weight Tronix - 2019</v>
      </c>
      <c r="M221" s="1217">
        <f>'8 Peralatan &amp; Perlengkapan'!C74</f>
        <v>43495</v>
      </c>
      <c r="N221" s="1212">
        <f>'8 Peralatan &amp; Perlengkapan'!E74</f>
        <v>32470000</v>
      </c>
    </row>
    <row r="222" spans="2:14">
      <c r="B222" s="1215">
        <f t="shared" si="13"/>
        <v>218</v>
      </c>
      <c r="C222" s="1216" t="s">
        <v>1317</v>
      </c>
      <c r="D222" s="1216" t="s">
        <v>788</v>
      </c>
      <c r="E222" s="1217">
        <v>44097</v>
      </c>
      <c r="F222" s="1212">
        <v>1900000</v>
      </c>
      <c r="J222" s="1215">
        <f t="shared" si="12"/>
        <v>218</v>
      </c>
      <c r="K222" s="1216" t="s">
        <v>1216</v>
      </c>
      <c r="L222" s="1216" t="str">
        <f>'8 Peralatan &amp; Perlengkapan'!B75</f>
        <v>Ice Box</v>
      </c>
      <c r="M222" s="1217">
        <f>'8 Peralatan &amp; Perlengkapan'!C75</f>
        <v>43663</v>
      </c>
      <c r="N222" s="1212">
        <f>'8 Peralatan &amp; Perlengkapan'!E75</f>
        <v>114349251</v>
      </c>
    </row>
    <row r="223" spans="2:14">
      <c r="B223" s="1215">
        <f t="shared" si="13"/>
        <v>219</v>
      </c>
      <c r="C223" s="1216" t="s">
        <v>1317</v>
      </c>
      <c r="D223" s="1216" t="s">
        <v>790</v>
      </c>
      <c r="E223" s="1217">
        <v>44084</v>
      </c>
      <c r="F223" s="1212">
        <v>275000</v>
      </c>
      <c r="J223" s="1215">
        <f t="shared" si="12"/>
        <v>219</v>
      </c>
      <c r="K223" s="1216" t="s">
        <v>1216</v>
      </c>
      <c r="L223" s="1216" t="str">
        <f>'8 Peralatan &amp; Perlengkapan'!B76</f>
        <v>Pompa Air Morris M-Jet - 2019</v>
      </c>
      <c r="M223" s="1217">
        <f>'8 Peralatan &amp; Perlengkapan'!C76</f>
        <v>43801</v>
      </c>
      <c r="N223" s="1212">
        <f>'8 Peralatan &amp; Perlengkapan'!E76</f>
        <v>3700000</v>
      </c>
    </row>
    <row r="224" spans="2:14">
      <c r="B224" s="1215">
        <f t="shared" si="13"/>
        <v>220</v>
      </c>
      <c r="C224" s="1216" t="s">
        <v>1317</v>
      </c>
      <c r="D224" s="1216" t="s">
        <v>788</v>
      </c>
      <c r="E224" s="1217">
        <v>44162</v>
      </c>
      <c r="F224" s="1212">
        <v>1785000</v>
      </c>
      <c r="J224" s="1215">
        <f t="shared" si="12"/>
        <v>220</v>
      </c>
      <c r="K224" s="1216" t="s">
        <v>1216</v>
      </c>
      <c r="L224" s="1216" t="str">
        <f>'8 Peralatan &amp; Perlengkapan'!B83</f>
        <v>Komputer+UPS</v>
      </c>
      <c r="M224" s="1217">
        <f>'8 Peralatan &amp; Perlengkapan'!C83</f>
        <v>38718</v>
      </c>
      <c r="N224" s="1212">
        <f>'8 Peralatan &amp; Perlengkapan'!E83</f>
        <v>11300000</v>
      </c>
    </row>
    <row r="225" spans="2:14">
      <c r="B225" s="1215">
        <f t="shared" si="13"/>
        <v>221</v>
      </c>
      <c r="C225" s="1216" t="s">
        <v>1317</v>
      </c>
      <c r="D225" s="1216" t="s">
        <v>802</v>
      </c>
      <c r="E225" s="1217">
        <v>42005</v>
      </c>
      <c r="F225" s="1212">
        <v>9450000</v>
      </c>
      <c r="J225" s="1215">
        <f t="shared" si="12"/>
        <v>221</v>
      </c>
      <c r="K225" s="1216" t="s">
        <v>1216</v>
      </c>
      <c r="L225" s="1216" t="str">
        <f>'8 Peralatan &amp; Perlengkapan'!B84</f>
        <v>Televisi</v>
      </c>
      <c r="M225" s="1217">
        <f>'8 Peralatan &amp; Perlengkapan'!C84</f>
        <v>38718</v>
      </c>
      <c r="N225" s="1212">
        <f>'8 Peralatan &amp; Perlengkapan'!E84</f>
        <v>2000000</v>
      </c>
    </row>
    <row r="226" spans="2:14">
      <c r="B226" s="1215">
        <f t="shared" si="13"/>
        <v>222</v>
      </c>
      <c r="C226" s="1216" t="s">
        <v>1317</v>
      </c>
      <c r="D226" s="1216" t="s">
        <v>803</v>
      </c>
      <c r="E226" s="1217">
        <v>42005</v>
      </c>
      <c r="F226" s="1212">
        <v>1300000</v>
      </c>
      <c r="J226" s="1215">
        <f t="shared" si="12"/>
        <v>222</v>
      </c>
      <c r="K226" s="1216" t="s">
        <v>1216</v>
      </c>
      <c r="L226" s="1216" t="str">
        <f>'8 Peralatan &amp; Perlengkapan'!B85</f>
        <v>Laptop</v>
      </c>
      <c r="M226" s="1217">
        <f>'8 Peralatan &amp; Perlengkapan'!C85</f>
        <v>40909</v>
      </c>
      <c r="N226" s="1212">
        <f>'8 Peralatan &amp; Perlengkapan'!E85</f>
        <v>4700000</v>
      </c>
    </row>
    <row r="227" spans="2:14">
      <c r="B227" s="1215">
        <f t="shared" si="13"/>
        <v>223</v>
      </c>
      <c r="C227" s="1216" t="s">
        <v>1317</v>
      </c>
      <c r="D227" s="1216" t="s">
        <v>804</v>
      </c>
      <c r="E227" s="1217">
        <v>42005</v>
      </c>
      <c r="F227" s="1212">
        <v>2517500</v>
      </c>
      <c r="J227" s="1215">
        <f t="shared" si="12"/>
        <v>223</v>
      </c>
      <c r="K227" s="1216" t="s">
        <v>1216</v>
      </c>
      <c r="L227" s="1216" t="str">
        <f>'8 Peralatan &amp; Perlengkapan'!B86</f>
        <v>Notebook</v>
      </c>
      <c r="M227" s="1217">
        <f>'8 Peralatan &amp; Perlengkapan'!C86</f>
        <v>41275</v>
      </c>
      <c r="N227" s="1212">
        <f>'8 Peralatan &amp; Perlengkapan'!E86</f>
        <v>4700000</v>
      </c>
    </row>
    <row r="228" spans="2:14">
      <c r="B228" s="1215">
        <f t="shared" si="13"/>
        <v>224</v>
      </c>
      <c r="C228" s="1216" t="s">
        <v>1317</v>
      </c>
      <c r="D228" s="1216" t="s">
        <v>805</v>
      </c>
      <c r="E228" s="1217">
        <v>42005</v>
      </c>
      <c r="F228" s="1212">
        <v>250000</v>
      </c>
      <c r="J228" s="1215">
        <f t="shared" si="12"/>
        <v>224</v>
      </c>
      <c r="K228" s="1216" t="s">
        <v>1216</v>
      </c>
      <c r="L228" s="1216" t="str">
        <f>'8 Peralatan &amp; Perlengkapan'!B88</f>
        <v>AC</v>
      </c>
      <c r="M228" s="1217">
        <f>'8 Peralatan &amp; Perlengkapan'!C88</f>
        <v>42005</v>
      </c>
      <c r="N228" s="1212">
        <f>'8 Peralatan &amp; Perlengkapan'!E88</f>
        <v>5100000</v>
      </c>
    </row>
    <row r="229" spans="2:14">
      <c r="B229" s="1215">
        <f t="shared" si="13"/>
        <v>225</v>
      </c>
      <c r="C229" s="1216" t="s">
        <v>1317</v>
      </c>
      <c r="D229" s="1216" t="s">
        <v>806</v>
      </c>
      <c r="E229" s="1217">
        <v>42005</v>
      </c>
      <c r="F229" s="1212">
        <v>1650000</v>
      </c>
      <c r="J229" s="1215">
        <f t="shared" si="12"/>
        <v>225</v>
      </c>
      <c r="K229" s="1216" t="s">
        <v>1216</v>
      </c>
      <c r="L229" s="1216" t="str">
        <f>'8 Peralatan &amp; Perlengkapan'!B90</f>
        <v>Kompor Gas + Regulator</v>
      </c>
      <c r="M229" s="1217">
        <f>'8 Peralatan &amp; Perlengkapan'!C90</f>
        <v>42005</v>
      </c>
      <c r="N229" s="1212">
        <f>'8 Peralatan &amp; Perlengkapan'!E90</f>
        <v>530000</v>
      </c>
    </row>
    <row r="230" spans="2:14">
      <c r="B230" s="1215">
        <f t="shared" si="13"/>
        <v>226</v>
      </c>
      <c r="C230" s="1216" t="s">
        <v>1317</v>
      </c>
      <c r="D230" s="1216" t="s">
        <v>807</v>
      </c>
      <c r="E230" s="1217">
        <v>42005</v>
      </c>
      <c r="F230" s="1212">
        <v>2625000</v>
      </c>
      <c r="J230" s="1215">
        <f t="shared" si="12"/>
        <v>226</v>
      </c>
      <c r="K230" s="1216" t="s">
        <v>1216</v>
      </c>
      <c r="L230" s="1216" t="str">
        <f>'8 Peralatan &amp; Perlengkapan'!B91</f>
        <v>Kipas Angin National Greet 16"</v>
      </c>
      <c r="M230" s="1217">
        <f>'8 Peralatan &amp; Perlengkapan'!C91</f>
        <v>42005</v>
      </c>
      <c r="N230" s="1212">
        <f>'8 Peralatan &amp; Perlengkapan'!E91</f>
        <v>525000</v>
      </c>
    </row>
    <row r="231" spans="2:14">
      <c r="B231" s="1215">
        <f t="shared" si="13"/>
        <v>227</v>
      </c>
      <c r="C231" s="1216" t="s">
        <v>1317</v>
      </c>
      <c r="D231" s="1216" t="s">
        <v>808</v>
      </c>
      <c r="E231" s="1217">
        <v>42370</v>
      </c>
      <c r="F231" s="1212">
        <v>24049545</v>
      </c>
      <c r="J231" s="1215">
        <f t="shared" si="12"/>
        <v>227</v>
      </c>
      <c r="K231" s="1216" t="s">
        <v>1216</v>
      </c>
      <c r="L231" s="1216" t="str">
        <f>'8 Peralatan &amp; Perlengkapan'!B92</f>
        <v>Printer</v>
      </c>
      <c r="M231" s="1217">
        <f>'8 Peralatan &amp; Perlengkapan'!C92</f>
        <v>42005</v>
      </c>
      <c r="N231" s="1212">
        <f>'8 Peralatan &amp; Perlengkapan'!E92</f>
        <v>2970000</v>
      </c>
    </row>
    <row r="232" spans="2:14">
      <c r="B232" s="1215">
        <f t="shared" si="13"/>
        <v>228</v>
      </c>
      <c r="C232" s="1216" t="s">
        <v>1317</v>
      </c>
      <c r="D232" s="1216" t="s">
        <v>809</v>
      </c>
      <c r="E232" s="1217">
        <v>42370</v>
      </c>
      <c r="F232" s="1212">
        <v>210000000</v>
      </c>
      <c r="J232" s="1215">
        <f t="shared" si="12"/>
        <v>228</v>
      </c>
      <c r="K232" s="1216" t="s">
        <v>1216</v>
      </c>
      <c r="L232" s="1216" t="str">
        <f>'8 Peralatan &amp; Perlengkapan'!B93</f>
        <v>UPS Prolink</v>
      </c>
      <c r="M232" s="1217">
        <f>'8 Peralatan &amp; Perlengkapan'!C93</f>
        <v>42005</v>
      </c>
      <c r="N232" s="1212">
        <f>'8 Peralatan &amp; Perlengkapan'!E93</f>
        <v>565000</v>
      </c>
    </row>
    <row r="233" spans="2:14">
      <c r="B233" s="1215">
        <f t="shared" si="13"/>
        <v>229</v>
      </c>
      <c r="C233" s="1216" t="s">
        <v>1317</v>
      </c>
      <c r="D233" s="1216" t="s">
        <v>810</v>
      </c>
      <c r="E233" s="1217">
        <v>42370</v>
      </c>
      <c r="F233" s="1212">
        <v>112000000</v>
      </c>
      <c r="J233" s="1215">
        <f t="shared" si="12"/>
        <v>229</v>
      </c>
      <c r="K233" s="1216" t="s">
        <v>1216</v>
      </c>
      <c r="L233" s="1216" t="str">
        <f>'8 Peralatan &amp; Perlengkapan'!B94</f>
        <v>AC</v>
      </c>
      <c r="M233" s="1217">
        <f>'8 Peralatan &amp; Perlengkapan'!C94</f>
        <v>42370</v>
      </c>
      <c r="N233" s="1212">
        <f>'8 Peralatan &amp; Perlengkapan'!E94</f>
        <v>3350000</v>
      </c>
    </row>
    <row r="234" spans="2:14">
      <c r="B234" s="1215">
        <f t="shared" si="13"/>
        <v>230</v>
      </c>
      <c r="C234" s="1216" t="s">
        <v>1317</v>
      </c>
      <c r="D234" s="1216" t="s">
        <v>811</v>
      </c>
      <c r="E234" s="1217">
        <v>42736</v>
      </c>
      <c r="F234" s="1212">
        <v>301700000</v>
      </c>
      <c r="J234" s="1215">
        <f t="shared" si="12"/>
        <v>230</v>
      </c>
      <c r="K234" s="1216" t="s">
        <v>1216</v>
      </c>
      <c r="L234" s="1216" t="str">
        <f>'8 Peralatan &amp; Perlengkapan'!B96</f>
        <v>Laptop Asus</v>
      </c>
      <c r="M234" s="1217">
        <f>'8 Peralatan &amp; Perlengkapan'!C96</f>
        <v>42370</v>
      </c>
      <c r="N234" s="1212">
        <f>'8 Peralatan &amp; Perlengkapan'!E96</f>
        <v>5400000</v>
      </c>
    </row>
    <row r="235" spans="2:14">
      <c r="B235" s="1215">
        <f t="shared" si="13"/>
        <v>231</v>
      </c>
      <c r="C235" s="1216" t="s">
        <v>1317</v>
      </c>
      <c r="D235" s="1216" t="s">
        <v>812</v>
      </c>
      <c r="E235" s="1217">
        <v>42736</v>
      </c>
      <c r="F235" s="1212">
        <v>30000000</v>
      </c>
      <c r="J235" s="1215">
        <f t="shared" si="12"/>
        <v>231</v>
      </c>
      <c r="K235" s="1216" t="s">
        <v>1216</v>
      </c>
      <c r="L235" s="1216" t="str">
        <f>'8 Peralatan &amp; Perlengkapan'!B97</f>
        <v>Laptop Asus A4555LF</v>
      </c>
      <c r="M235" s="1217">
        <f>'8 Peralatan &amp; Perlengkapan'!C97</f>
        <v>42736</v>
      </c>
      <c r="N235" s="1212">
        <f>'8 Peralatan &amp; Perlengkapan'!E97</f>
        <v>5510000</v>
      </c>
    </row>
    <row r="236" spans="2:14">
      <c r="B236" s="1215">
        <f t="shared" si="13"/>
        <v>232</v>
      </c>
      <c r="C236" s="1216" t="s">
        <v>1317</v>
      </c>
      <c r="D236" s="1216" t="s">
        <v>813</v>
      </c>
      <c r="E236" s="1217">
        <v>42736</v>
      </c>
      <c r="F236" s="1212">
        <v>17750000</v>
      </c>
      <c r="J236" s="1215">
        <f t="shared" si="12"/>
        <v>232</v>
      </c>
      <c r="K236" s="1216" t="s">
        <v>1216</v>
      </c>
      <c r="L236" s="1216" t="str">
        <f>'8 Peralatan &amp; Perlengkapan'!B98</f>
        <v>Brangkas</v>
      </c>
      <c r="M236" s="1217">
        <f>'8 Peralatan &amp; Perlengkapan'!C98</f>
        <v>42736</v>
      </c>
      <c r="N236" s="1212">
        <f>'8 Peralatan &amp; Perlengkapan'!E98</f>
        <v>34963500</v>
      </c>
    </row>
    <row r="237" spans="2:14">
      <c r="B237" s="1215">
        <f t="shared" si="13"/>
        <v>233</v>
      </c>
      <c r="C237" s="1216" t="s">
        <v>1317</v>
      </c>
      <c r="D237" s="1216" t="s">
        <v>814</v>
      </c>
      <c r="E237" s="1217">
        <v>42736</v>
      </c>
      <c r="F237" s="1212">
        <v>15105000</v>
      </c>
      <c r="J237" s="1215">
        <f t="shared" si="12"/>
        <v>233</v>
      </c>
      <c r="K237" s="1216" t="s">
        <v>1216</v>
      </c>
      <c r="L237" s="1216" t="str">
        <f>'8 Peralatan &amp; Perlengkapan'!B99</f>
        <v>Laptop Acer ES1</v>
      </c>
      <c r="M237" s="1217">
        <f>'8 Peralatan &amp; Perlengkapan'!C99</f>
        <v>43160</v>
      </c>
      <c r="N237" s="1212">
        <f>'8 Peralatan &amp; Perlengkapan'!E99</f>
        <v>5900000</v>
      </c>
    </row>
    <row r="238" spans="2:14">
      <c r="B238" s="1215">
        <f t="shared" si="13"/>
        <v>234</v>
      </c>
      <c r="C238" s="1216" t="s">
        <v>1317</v>
      </c>
      <c r="D238" s="1216" t="s">
        <v>815</v>
      </c>
      <c r="E238" s="1217">
        <v>42736</v>
      </c>
      <c r="F238" s="1212">
        <v>11700000</v>
      </c>
      <c r="J238" s="1215">
        <f t="shared" si="12"/>
        <v>234</v>
      </c>
      <c r="K238" s="1216" t="s">
        <v>1216</v>
      </c>
      <c r="L238" s="1216" t="str">
        <f>'8 Peralatan &amp; Perlengkapan'!B100</f>
        <v>Laptop Acer E5</v>
      </c>
      <c r="M238" s="1217">
        <f>'8 Peralatan &amp; Perlengkapan'!C100</f>
        <v>43160</v>
      </c>
      <c r="N238" s="1212">
        <f>'8 Peralatan &amp; Perlengkapan'!E100</f>
        <v>5900000</v>
      </c>
    </row>
    <row r="239" spans="2:14">
      <c r="B239" s="1215">
        <f t="shared" si="13"/>
        <v>235</v>
      </c>
      <c r="C239" s="1216" t="s">
        <v>1317</v>
      </c>
      <c r="D239" s="1216" t="s">
        <v>816</v>
      </c>
      <c r="E239" s="1217">
        <v>43495</v>
      </c>
      <c r="F239" s="1212">
        <v>32470000</v>
      </c>
      <c r="J239" s="1215">
        <f t="shared" si="12"/>
        <v>235</v>
      </c>
      <c r="K239" s="1216" t="s">
        <v>1216</v>
      </c>
      <c r="L239" s="1216" t="str">
        <f>'8 Peralatan &amp; Perlengkapan'!B101</f>
        <v>Printer Epson L120</v>
      </c>
      <c r="M239" s="1217">
        <f>'8 Peralatan &amp; Perlengkapan'!C101</f>
        <v>43160</v>
      </c>
      <c r="N239" s="1212">
        <f>'8 Peralatan &amp; Perlengkapan'!E101</f>
        <v>2930000</v>
      </c>
    </row>
    <row r="240" spans="2:14">
      <c r="B240" s="1215">
        <f t="shared" si="13"/>
        <v>236</v>
      </c>
      <c r="C240" s="1216" t="s">
        <v>1317</v>
      </c>
      <c r="D240" s="1216" t="s">
        <v>146</v>
      </c>
      <c r="E240" s="1217">
        <v>43663</v>
      </c>
      <c r="F240" s="1212">
        <v>114349251</v>
      </c>
      <c r="J240" s="1215">
        <f t="shared" si="12"/>
        <v>236</v>
      </c>
      <c r="K240" s="1216" t="s">
        <v>1216</v>
      </c>
      <c r="L240" s="1216" t="str">
        <f>'8 Peralatan &amp; Perlengkapan'!B103</f>
        <v>AC</v>
      </c>
      <c r="M240" s="1217">
        <f>'8 Peralatan &amp; Perlengkapan'!C103</f>
        <v>43221</v>
      </c>
      <c r="N240" s="1212">
        <f>'8 Peralatan &amp; Perlengkapan'!E103</f>
        <v>3200000</v>
      </c>
    </row>
    <row r="241" spans="2:14">
      <c r="B241" s="1215">
        <f t="shared" si="13"/>
        <v>237</v>
      </c>
      <c r="C241" s="1216" t="s">
        <v>1317</v>
      </c>
      <c r="D241" s="1216" t="s">
        <v>817</v>
      </c>
      <c r="E241" s="1217">
        <v>43801</v>
      </c>
      <c r="F241" s="1212">
        <v>3700000</v>
      </c>
      <c r="J241" s="1215">
        <f t="shared" si="12"/>
        <v>237</v>
      </c>
      <c r="K241" s="1216" t="s">
        <v>1216</v>
      </c>
      <c r="L241" s="1216" t="str">
        <f>'8 Peralatan &amp; Perlengkapan'!B114</f>
        <v>CCTV 1 set</v>
      </c>
      <c r="M241" s="1217">
        <f>'8 Peralatan &amp; Perlengkapan'!C114</f>
        <v>41275</v>
      </c>
      <c r="N241" s="1212">
        <f>'8 Peralatan &amp; Perlengkapan'!E114</f>
        <v>15700000</v>
      </c>
    </row>
    <row r="242" spans="2:14">
      <c r="B242" s="1215">
        <f t="shared" si="13"/>
        <v>238</v>
      </c>
      <c r="C242" s="1216" t="s">
        <v>1317</v>
      </c>
      <c r="D242" s="1216" t="s">
        <v>821</v>
      </c>
      <c r="E242" s="1217">
        <v>38718</v>
      </c>
      <c r="F242" s="1212">
        <v>11300000</v>
      </c>
      <c r="J242" s="1215">
        <f t="shared" si="12"/>
        <v>238</v>
      </c>
      <c r="K242" s="1216" t="s">
        <v>1216</v>
      </c>
      <c r="L242" s="1216" t="str">
        <f>'8 Peralatan &amp; Perlengkapan'!B115</f>
        <v xml:space="preserve">1 unit AC </v>
      </c>
      <c r="M242" s="1217">
        <f>'8 Peralatan &amp; Perlengkapan'!C115</f>
        <v>41640</v>
      </c>
      <c r="N242" s="1212">
        <f>'8 Peralatan &amp; Perlengkapan'!E115</f>
        <v>6600000</v>
      </c>
    </row>
    <row r="243" spans="2:14">
      <c r="B243" s="1215">
        <f t="shared" si="13"/>
        <v>239</v>
      </c>
      <c r="C243" s="1216" t="s">
        <v>1317</v>
      </c>
      <c r="D243" s="1216" t="s">
        <v>822</v>
      </c>
      <c r="E243" s="1217">
        <v>38718</v>
      </c>
      <c r="F243" s="1212">
        <v>2000000</v>
      </c>
      <c r="J243" s="1215">
        <f t="shared" ref="J243" si="14">J242+1</f>
        <v>239</v>
      </c>
      <c r="K243" s="1216" t="s">
        <v>903</v>
      </c>
      <c r="L243" s="1216" t="str">
        <f>'9. Infrastruktur'!B7</f>
        <v>Panel Condensor + Kapasitor Bank + KWH Meter - 2015</v>
      </c>
      <c r="M243" s="1217">
        <f>'9. Infrastruktur'!C7</f>
        <v>42005</v>
      </c>
      <c r="N243" s="1212">
        <f>'9. Infrastruktur'!E7</f>
        <v>19903000</v>
      </c>
    </row>
    <row r="244" spans="2:14">
      <c r="B244" s="1215">
        <f t="shared" si="13"/>
        <v>240</v>
      </c>
      <c r="C244" s="1216" t="s">
        <v>1317</v>
      </c>
      <c r="D244" s="1216" t="s">
        <v>823</v>
      </c>
      <c r="E244" s="1217">
        <v>40909</v>
      </c>
      <c r="F244" s="1212">
        <v>4700000</v>
      </c>
      <c r="J244" s="1215">
        <f t="shared" ref="J244:J253" si="15">J243+1</f>
        <v>240</v>
      </c>
      <c r="K244" s="1216" t="s">
        <v>903</v>
      </c>
      <c r="L244" s="1216" t="str">
        <f>'9. Infrastruktur'!B8</f>
        <v>Infrastruktur Lainnya</v>
      </c>
      <c r="M244" s="1217">
        <f>'9. Infrastruktur'!C8</f>
        <v>43101</v>
      </c>
      <c r="N244" s="1212">
        <f>'9. Infrastruktur'!E8</f>
        <v>101945945</v>
      </c>
    </row>
    <row r="245" spans="2:14">
      <c r="B245" s="1215">
        <f t="shared" si="13"/>
        <v>241</v>
      </c>
      <c r="C245" s="1216" t="s">
        <v>1317</v>
      </c>
      <c r="D245" s="1216" t="s">
        <v>824</v>
      </c>
      <c r="E245" s="1217">
        <v>41275</v>
      </c>
      <c r="F245" s="1212">
        <v>4700000</v>
      </c>
      <c r="J245" s="1215">
        <f t="shared" si="15"/>
        <v>241</v>
      </c>
      <c r="K245" s="1216" t="s">
        <v>903</v>
      </c>
      <c r="L245" s="1216" t="str">
        <f>'9. Infrastruktur'!B10</f>
        <v>Travo</v>
      </c>
      <c r="M245" s="1217">
        <f>'9. Infrastruktur'!C10</f>
        <v>40909</v>
      </c>
      <c r="N245" s="1212">
        <f>'9. Infrastruktur'!E10</f>
        <v>95400000</v>
      </c>
    </row>
    <row r="246" spans="2:14">
      <c r="B246" s="1215">
        <f t="shared" si="13"/>
        <v>242</v>
      </c>
      <c r="C246" s="1216" t="s">
        <v>1317</v>
      </c>
      <c r="D246" s="1216" t="s">
        <v>826</v>
      </c>
      <c r="E246" s="1217">
        <v>42005</v>
      </c>
      <c r="F246" s="1212">
        <v>5100000</v>
      </c>
      <c r="J246" s="1215">
        <f t="shared" si="15"/>
        <v>242</v>
      </c>
      <c r="K246" s="1216" t="s">
        <v>903</v>
      </c>
      <c r="L246" s="1216" t="str">
        <f>'9. Infrastruktur'!B12</f>
        <v>Kabel Listrik</v>
      </c>
      <c r="M246" s="1217">
        <f>'9. Infrastruktur'!C12</f>
        <v>41640</v>
      </c>
      <c r="N246" s="1212">
        <f>'9. Infrastruktur'!E12</f>
        <v>48900000</v>
      </c>
    </row>
    <row r="247" spans="2:14">
      <c r="B247" s="1215">
        <f t="shared" si="13"/>
        <v>243</v>
      </c>
      <c r="C247" s="1216" t="s">
        <v>1317</v>
      </c>
      <c r="D247" s="1216" t="s">
        <v>828</v>
      </c>
      <c r="E247" s="1217">
        <v>42005</v>
      </c>
      <c r="F247" s="1212">
        <v>530000</v>
      </c>
      <c r="J247" s="1215">
        <f t="shared" si="15"/>
        <v>243</v>
      </c>
      <c r="K247" s="1216" t="s">
        <v>903</v>
      </c>
      <c r="L247" s="1216" t="str">
        <f>'9. Infrastruktur'!B13</f>
        <v>Plastik HDPE Blok D14-15</v>
      </c>
      <c r="M247" s="1217">
        <f>'9. Infrastruktur'!C13</f>
        <v>42370</v>
      </c>
      <c r="N247" s="1212">
        <f>'9. Infrastruktur'!E13</f>
        <v>959327031.60000002</v>
      </c>
    </row>
    <row r="248" spans="2:14">
      <c r="B248" s="1215">
        <f t="shared" si="13"/>
        <v>244</v>
      </c>
      <c r="C248" s="1216" t="s">
        <v>1317</v>
      </c>
      <c r="D248" s="1216" t="s">
        <v>829</v>
      </c>
      <c r="E248" s="1217">
        <v>42005</v>
      </c>
      <c r="F248" s="1212">
        <v>525000</v>
      </c>
      <c r="J248" s="1215">
        <f t="shared" si="15"/>
        <v>244</v>
      </c>
      <c r="K248" s="1216" t="s">
        <v>903</v>
      </c>
      <c r="L248" s="1216" t="str">
        <f>'9. Infrastruktur'!B14</f>
        <v>Plastik HDPE Blok G13-19 &amp; H</v>
      </c>
      <c r="M248" s="1217">
        <f>'9. Infrastruktur'!C14</f>
        <v>42370</v>
      </c>
      <c r="N248" s="1212">
        <f>'9. Infrastruktur'!E14</f>
        <v>1295126985</v>
      </c>
    </row>
    <row r="249" spans="2:14">
      <c r="B249" s="1215">
        <f t="shared" si="13"/>
        <v>245</v>
      </c>
      <c r="C249" s="1216" t="s">
        <v>1317</v>
      </c>
      <c r="D249" s="1216" t="s">
        <v>830</v>
      </c>
      <c r="E249" s="1217">
        <v>42005</v>
      </c>
      <c r="F249" s="1212">
        <v>2970000</v>
      </c>
      <c r="J249" s="1215">
        <f t="shared" si="15"/>
        <v>245</v>
      </c>
      <c r="K249" s="1216" t="s">
        <v>903</v>
      </c>
      <c r="L249" s="1216" t="str">
        <f>'9. Infrastruktur'!B15</f>
        <v>Plastik HDPE Blok H1-5</v>
      </c>
      <c r="M249" s="1217">
        <f>'9. Infrastruktur'!C15</f>
        <v>42370</v>
      </c>
      <c r="N249" s="1212">
        <f>'9. Infrastruktur'!E15</f>
        <v>1673691360</v>
      </c>
    </row>
    <row r="250" spans="2:14">
      <c r="B250" s="1215">
        <f t="shared" si="13"/>
        <v>246</v>
      </c>
      <c r="C250" s="1216" t="s">
        <v>1317</v>
      </c>
      <c r="D250" s="1216" t="s">
        <v>831</v>
      </c>
      <c r="E250" s="1217">
        <v>42005</v>
      </c>
      <c r="F250" s="1212">
        <v>565000</v>
      </c>
      <c r="J250" s="1215">
        <f t="shared" si="15"/>
        <v>246</v>
      </c>
      <c r="K250" s="1216" t="s">
        <v>903</v>
      </c>
      <c r="L250" s="1216" t="str">
        <f>'9. Infrastruktur'!B17</f>
        <v>Pasang Baru &amp; SLO Listrik</v>
      </c>
      <c r="M250" s="1217">
        <f>'9. Infrastruktur'!C17</f>
        <v>42370</v>
      </c>
      <c r="N250" s="1212">
        <f>'9. Infrastruktur'!E17</f>
        <v>240394000</v>
      </c>
    </row>
    <row r="251" spans="2:14">
      <c r="B251" s="1215">
        <f t="shared" si="13"/>
        <v>247</v>
      </c>
      <c r="C251" s="1216" t="s">
        <v>1317</v>
      </c>
      <c r="D251" s="1216" t="s">
        <v>826</v>
      </c>
      <c r="E251" s="1217">
        <v>42370</v>
      </c>
      <c r="F251" s="1212">
        <v>3350000</v>
      </c>
      <c r="J251" s="1215">
        <f t="shared" si="15"/>
        <v>247</v>
      </c>
      <c r="K251" s="1216" t="s">
        <v>903</v>
      </c>
      <c r="L251" s="1216" t="str">
        <f>'9. Infrastruktur'!B18</f>
        <v>Plastik HDPE Blok E</v>
      </c>
      <c r="M251" s="1217">
        <f>'9. Infrastruktur'!C18</f>
        <v>42370</v>
      </c>
      <c r="N251" s="1212">
        <f>'9. Infrastruktur'!E18</f>
        <v>953018035</v>
      </c>
    </row>
    <row r="252" spans="2:14">
      <c r="B252" s="1215">
        <f t="shared" si="13"/>
        <v>248</v>
      </c>
      <c r="C252" s="1216" t="s">
        <v>1317</v>
      </c>
      <c r="D252" s="1216" t="s">
        <v>833</v>
      </c>
      <c r="E252" s="1217">
        <v>42370</v>
      </c>
      <c r="F252" s="1212">
        <v>5400000</v>
      </c>
      <c r="J252" s="1215">
        <f t="shared" si="15"/>
        <v>248</v>
      </c>
      <c r="K252" s="1216" t="s">
        <v>903</v>
      </c>
      <c r="L252" s="1216" t="str">
        <f>'9. Infrastruktur'!B19</f>
        <v>Plastik HDPE Blok A</v>
      </c>
      <c r="M252" s="1217">
        <f>'9. Infrastruktur'!C19</f>
        <v>42370</v>
      </c>
      <c r="N252" s="1212">
        <f>'9. Infrastruktur'!E19</f>
        <v>953018035</v>
      </c>
    </row>
    <row r="253" spans="2:14">
      <c r="B253" s="1215">
        <f t="shared" si="13"/>
        <v>249</v>
      </c>
      <c r="C253" s="1216" t="s">
        <v>1317</v>
      </c>
      <c r="D253" s="1216" t="s">
        <v>834</v>
      </c>
      <c r="E253" s="1217">
        <v>42736</v>
      </c>
      <c r="F253" s="1212">
        <v>5510000</v>
      </c>
      <c r="J253" s="1215">
        <f t="shared" si="15"/>
        <v>249</v>
      </c>
      <c r="K253" s="1216" t="s">
        <v>903</v>
      </c>
      <c r="L253" s="1216" t="str">
        <f>'9. Infrastruktur'!B26</f>
        <v>Bak Talang Air F</v>
      </c>
      <c r="M253" s="1217">
        <f>'9. Infrastruktur'!C26</f>
        <v>43313</v>
      </c>
      <c r="N253" s="1212">
        <f>'9. Infrastruktur'!E26</f>
        <v>65808556</v>
      </c>
    </row>
    <row r="254" spans="2:14">
      <c r="B254" s="1215">
        <f t="shared" si="13"/>
        <v>250</v>
      </c>
      <c r="C254" s="1216" t="s">
        <v>1317</v>
      </c>
      <c r="D254" s="1216" t="s">
        <v>835</v>
      </c>
      <c r="E254" s="1217">
        <v>42736</v>
      </c>
      <c r="F254" s="1212">
        <v>34963500</v>
      </c>
    </row>
    <row r="255" spans="2:14">
      <c r="B255" s="1215">
        <f t="shared" si="13"/>
        <v>251</v>
      </c>
      <c r="C255" s="1216" t="s">
        <v>1317</v>
      </c>
      <c r="D255" s="1216" t="s">
        <v>836</v>
      </c>
      <c r="E255" s="1217">
        <v>43160</v>
      </c>
      <c r="F255" s="1212">
        <v>5900000</v>
      </c>
    </row>
    <row r="256" spans="2:14">
      <c r="B256" s="1215">
        <f t="shared" si="13"/>
        <v>252</v>
      </c>
      <c r="C256" s="1216" t="s">
        <v>1317</v>
      </c>
      <c r="D256" s="1216" t="s">
        <v>837</v>
      </c>
      <c r="E256" s="1217">
        <v>43160</v>
      </c>
      <c r="F256" s="1212">
        <v>5900000</v>
      </c>
    </row>
    <row r="257" spans="2:6">
      <c r="B257" s="1215">
        <f t="shared" si="13"/>
        <v>253</v>
      </c>
      <c r="C257" s="1216" t="s">
        <v>1317</v>
      </c>
      <c r="D257" s="1216" t="s">
        <v>838</v>
      </c>
      <c r="E257" s="1217">
        <v>43160</v>
      </c>
      <c r="F257" s="1212">
        <v>2930000</v>
      </c>
    </row>
    <row r="258" spans="2:6">
      <c r="B258" s="1215">
        <f t="shared" si="13"/>
        <v>254</v>
      </c>
      <c r="C258" s="1216" t="s">
        <v>1317</v>
      </c>
      <c r="D258" s="1216" t="s">
        <v>826</v>
      </c>
      <c r="E258" s="1217">
        <v>43221</v>
      </c>
      <c r="F258" s="1212">
        <v>3200000</v>
      </c>
    </row>
    <row r="259" spans="2:6">
      <c r="B259" s="1215">
        <f t="shared" si="13"/>
        <v>255</v>
      </c>
      <c r="C259" s="1216" t="s">
        <v>1317</v>
      </c>
      <c r="D259" s="1216" t="s">
        <v>835</v>
      </c>
      <c r="E259" s="1217">
        <v>44136</v>
      </c>
      <c r="F259" s="1212">
        <v>4000000</v>
      </c>
    </row>
    <row r="260" spans="2:6">
      <c r="B260" s="1215">
        <f t="shared" si="13"/>
        <v>256</v>
      </c>
      <c r="C260" s="1216" t="s">
        <v>1317</v>
      </c>
      <c r="D260" s="1216" t="s">
        <v>849</v>
      </c>
      <c r="E260" s="1217">
        <v>41275</v>
      </c>
      <c r="F260" s="1212">
        <v>15700000</v>
      </c>
    </row>
    <row r="261" spans="2:6">
      <c r="B261" s="1215">
        <f t="shared" si="13"/>
        <v>257</v>
      </c>
      <c r="C261" s="1216" t="s">
        <v>1317</v>
      </c>
      <c r="D261" s="1216" t="s">
        <v>850</v>
      </c>
      <c r="E261" s="1217">
        <v>41640</v>
      </c>
      <c r="F261" s="1212">
        <v>6600000</v>
      </c>
    </row>
    <row r="262" spans="2:6">
      <c r="B262" s="1215">
        <f t="shared" si="13"/>
        <v>258</v>
      </c>
      <c r="C262" s="1216" t="s">
        <v>903</v>
      </c>
      <c r="D262" s="1216" t="s">
        <v>1155</v>
      </c>
      <c r="E262" s="1217">
        <v>42005</v>
      </c>
      <c r="F262" s="1212">
        <v>19903000</v>
      </c>
    </row>
    <row r="263" spans="2:6">
      <c r="B263" s="1215">
        <f t="shared" ref="B263:B279" si="16">B262+1</f>
        <v>259</v>
      </c>
      <c r="C263" s="1216" t="s">
        <v>903</v>
      </c>
      <c r="D263" s="1216" t="s">
        <v>886</v>
      </c>
      <c r="E263" s="1217">
        <v>43101</v>
      </c>
      <c r="F263" s="1212">
        <v>101945945</v>
      </c>
    </row>
    <row r="264" spans="2:6">
      <c r="B264" s="1215">
        <f t="shared" si="16"/>
        <v>260</v>
      </c>
      <c r="C264" s="1216" t="s">
        <v>903</v>
      </c>
      <c r="D264" s="1216" t="s">
        <v>890</v>
      </c>
      <c r="E264" s="1217">
        <v>40909</v>
      </c>
      <c r="F264" s="1212">
        <v>95400000</v>
      </c>
    </row>
    <row r="265" spans="2:6">
      <c r="B265" s="1215">
        <f t="shared" si="16"/>
        <v>261</v>
      </c>
      <c r="C265" s="1216" t="s">
        <v>903</v>
      </c>
      <c r="D265" s="1216" t="s">
        <v>891</v>
      </c>
      <c r="E265" s="1217">
        <v>41640</v>
      </c>
      <c r="F265" s="1212">
        <v>48900000</v>
      </c>
    </row>
    <row r="266" spans="2:6">
      <c r="B266" s="1215">
        <f t="shared" si="16"/>
        <v>262</v>
      </c>
      <c r="C266" s="1216" t="s">
        <v>903</v>
      </c>
      <c r="D266" s="1216" t="s">
        <v>892</v>
      </c>
      <c r="E266" s="1217">
        <v>42370</v>
      </c>
      <c r="F266" s="1212">
        <v>959327031.60000002</v>
      </c>
    </row>
    <row r="267" spans="2:6">
      <c r="B267" s="1215">
        <f t="shared" si="16"/>
        <v>263</v>
      </c>
      <c r="C267" s="1216" t="s">
        <v>903</v>
      </c>
      <c r="D267" s="1216" t="s">
        <v>893</v>
      </c>
      <c r="E267" s="1217">
        <v>42370</v>
      </c>
      <c r="F267" s="1212">
        <v>1295126985</v>
      </c>
    </row>
    <row r="268" spans="2:6">
      <c r="B268" s="1215">
        <f t="shared" si="16"/>
        <v>264</v>
      </c>
      <c r="C268" s="1216" t="s">
        <v>903</v>
      </c>
      <c r="D268" s="1216" t="s">
        <v>894</v>
      </c>
      <c r="E268" s="1217">
        <v>42370</v>
      </c>
      <c r="F268" s="1212">
        <v>1673691360</v>
      </c>
    </row>
    <row r="269" spans="2:6">
      <c r="B269" s="1215">
        <f t="shared" si="16"/>
        <v>265</v>
      </c>
      <c r="C269" s="1216" t="s">
        <v>903</v>
      </c>
      <c r="D269" s="1216" t="s">
        <v>895</v>
      </c>
      <c r="E269" s="1217">
        <v>42370</v>
      </c>
      <c r="F269" s="1212">
        <v>138272764</v>
      </c>
    </row>
    <row r="270" spans="2:6">
      <c r="B270" s="1215">
        <f t="shared" si="16"/>
        <v>266</v>
      </c>
      <c r="C270" s="1216" t="s">
        <v>903</v>
      </c>
      <c r="D270" s="1216" t="s">
        <v>896</v>
      </c>
      <c r="E270" s="1217">
        <v>42370</v>
      </c>
      <c r="F270" s="1212">
        <v>240394000</v>
      </c>
    </row>
    <row r="271" spans="2:6">
      <c r="B271" s="1215">
        <f t="shared" si="16"/>
        <v>267</v>
      </c>
      <c r="C271" s="1216" t="s">
        <v>903</v>
      </c>
      <c r="D271" s="1216" t="s">
        <v>897</v>
      </c>
      <c r="E271" s="1217">
        <v>42370</v>
      </c>
      <c r="F271" s="1212">
        <v>953018035</v>
      </c>
    </row>
    <row r="272" spans="2:6">
      <c r="B272" s="1215">
        <f t="shared" si="16"/>
        <v>268</v>
      </c>
      <c r="C272" s="1216" t="s">
        <v>903</v>
      </c>
      <c r="D272" s="1216" t="s">
        <v>898</v>
      </c>
      <c r="E272" s="1217">
        <v>42370</v>
      </c>
      <c r="F272" s="1212">
        <v>953018035</v>
      </c>
    </row>
    <row r="273" spans="2:6">
      <c r="B273" s="1215">
        <f t="shared" si="16"/>
        <v>269</v>
      </c>
      <c r="C273" s="1216" t="s">
        <v>903</v>
      </c>
      <c r="D273" s="1216" t="s">
        <v>899</v>
      </c>
      <c r="E273" s="1217">
        <v>42736</v>
      </c>
      <c r="F273" s="1212">
        <v>476509018</v>
      </c>
    </row>
    <row r="274" spans="2:6">
      <c r="B274" s="1215">
        <f t="shared" si="16"/>
        <v>270</v>
      </c>
      <c r="C274" s="1216" t="s">
        <v>903</v>
      </c>
      <c r="D274" s="1216" t="s">
        <v>900</v>
      </c>
      <c r="E274" s="1217">
        <v>42736</v>
      </c>
      <c r="F274" s="1212">
        <v>467349120</v>
      </c>
    </row>
    <row r="275" spans="2:6">
      <c r="B275" s="1215">
        <f t="shared" si="16"/>
        <v>271</v>
      </c>
      <c r="C275" s="1216" t="s">
        <v>903</v>
      </c>
      <c r="D275" s="1216" t="s">
        <v>900</v>
      </c>
      <c r="E275" s="1217">
        <v>42736</v>
      </c>
      <c r="F275" s="1212">
        <v>934698240</v>
      </c>
    </row>
    <row r="276" spans="2:6">
      <c r="B276" s="1215">
        <f t="shared" si="16"/>
        <v>272</v>
      </c>
      <c r="C276" s="1216" t="s">
        <v>903</v>
      </c>
      <c r="D276" s="1216" t="s">
        <v>900</v>
      </c>
      <c r="E276" s="1217">
        <v>42736</v>
      </c>
      <c r="F276" s="1212">
        <v>467349120</v>
      </c>
    </row>
    <row r="277" spans="2:6">
      <c r="B277" s="1215">
        <f t="shared" si="16"/>
        <v>273</v>
      </c>
      <c r="C277" s="1216" t="s">
        <v>903</v>
      </c>
      <c r="D277" s="1216" t="s">
        <v>901</v>
      </c>
      <c r="E277" s="1217">
        <v>42736</v>
      </c>
      <c r="F277" s="1212">
        <v>499520000</v>
      </c>
    </row>
    <row r="278" spans="2:6">
      <c r="B278" s="1215">
        <f t="shared" si="16"/>
        <v>274</v>
      </c>
      <c r="C278" s="1216" t="s">
        <v>903</v>
      </c>
      <c r="D278" s="1216" t="s">
        <v>902</v>
      </c>
      <c r="E278" s="1217">
        <v>42736</v>
      </c>
      <c r="F278" s="1212">
        <v>447552000</v>
      </c>
    </row>
    <row r="279" spans="2:6">
      <c r="B279" s="1215">
        <f t="shared" si="16"/>
        <v>275</v>
      </c>
      <c r="C279" s="1216" t="s">
        <v>903</v>
      </c>
      <c r="D279" s="1216" t="s">
        <v>905</v>
      </c>
      <c r="E279" s="1217">
        <v>43313</v>
      </c>
      <c r="F279" s="1212">
        <v>65808556</v>
      </c>
    </row>
  </sheetData>
  <autoFilter ref="B4:F279" xr:uid="{13B7AC82-7A34-4580-811C-2035FD8357D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2545-1A5B-4E7F-8AC9-03B780AA26EA}">
  <sheetPr>
    <tabColor theme="1"/>
  </sheetPr>
  <dimension ref="A2:W112"/>
  <sheetViews>
    <sheetView showGridLines="0" tabSelected="1" topLeftCell="A22" zoomScale="92" zoomScaleNormal="110" workbookViewId="0">
      <selection activeCell="P27" sqref="P27"/>
    </sheetView>
  </sheetViews>
  <sheetFormatPr defaultRowHeight="14.5"/>
  <cols>
    <col min="1" max="1" width="27.453125" bestFit="1" customWidth="1"/>
    <col min="2" max="2" width="16.1796875" bestFit="1" customWidth="1"/>
    <col min="3" max="3" width="2.08984375" customWidth="1"/>
    <col min="4" max="4" width="13.81640625" bestFit="1" customWidth="1"/>
    <col min="5" max="5" width="1.26953125" customWidth="1"/>
    <col min="6" max="6" width="12.26953125" bestFit="1" customWidth="1"/>
    <col min="7" max="7" width="1.6328125" customWidth="1"/>
    <col min="8" max="8" width="11.54296875" bestFit="1" customWidth="1"/>
    <col min="9" max="9" width="1.08984375" customWidth="1"/>
    <col min="10" max="10" width="16.1796875" bestFit="1" customWidth="1"/>
    <col min="11" max="11" width="15.453125" hidden="1" customWidth="1"/>
    <col min="12" max="12" width="14.81640625" hidden="1" customWidth="1"/>
    <col min="13" max="13" width="0" hidden="1" customWidth="1"/>
    <col min="14" max="14" width="11.1796875" hidden="1" customWidth="1"/>
    <col min="15" max="15" width="12.1796875" hidden="1" customWidth="1"/>
    <col min="16" max="16" width="15.453125" bestFit="1" customWidth="1"/>
    <col min="17" max="17" width="14.81640625" bestFit="1" customWidth="1"/>
    <col min="18" max="18" width="15.54296875" style="121" bestFit="1" customWidth="1"/>
    <col min="19" max="19" width="17.36328125" bestFit="1" customWidth="1"/>
    <col min="21" max="21" width="14.1796875" bestFit="1" customWidth="1"/>
  </cols>
  <sheetData>
    <row r="2" spans="1:10">
      <c r="A2" s="64"/>
      <c r="B2" s="1299" t="s">
        <v>224</v>
      </c>
      <c r="C2" s="1299"/>
      <c r="D2" s="1299"/>
      <c r="E2" s="1299"/>
      <c r="F2" s="1299"/>
      <c r="G2" s="1299"/>
      <c r="H2" s="1299"/>
      <c r="I2" s="1299"/>
      <c r="J2" s="1299"/>
    </row>
    <row r="3" spans="1:10">
      <c r="A3" s="66"/>
      <c r="B3" s="1304">
        <v>45627</v>
      </c>
      <c r="C3" s="1304"/>
      <c r="D3" s="1304"/>
      <c r="E3" s="1304"/>
      <c r="F3" s="1304"/>
      <c r="G3" s="1304"/>
      <c r="H3" s="1304"/>
      <c r="I3" s="1304"/>
      <c r="J3" s="1304"/>
    </row>
    <row r="4" spans="1:10">
      <c r="A4" s="66"/>
      <c r="B4" s="67" t="s">
        <v>30</v>
      </c>
      <c r="C4" s="69"/>
      <c r="D4" s="67" t="s">
        <v>29</v>
      </c>
      <c r="E4" s="69"/>
      <c r="F4" s="67" t="s">
        <v>196</v>
      </c>
      <c r="G4" s="69"/>
      <c r="H4" s="67" t="s">
        <v>197</v>
      </c>
      <c r="I4" s="69"/>
      <c r="J4" s="67" t="s">
        <v>198</v>
      </c>
    </row>
    <row r="5" spans="1:10">
      <c r="A5" s="66"/>
      <c r="B5" s="71"/>
      <c r="C5" s="72"/>
      <c r="D5" s="66"/>
      <c r="E5" s="72"/>
      <c r="F5" s="66"/>
      <c r="G5" s="72"/>
      <c r="H5" s="66"/>
      <c r="I5" s="72"/>
      <c r="J5" s="66"/>
    </row>
    <row r="6" spans="1:10">
      <c r="A6" s="72" t="s">
        <v>201</v>
      </c>
      <c r="B6" s="66"/>
      <c r="C6" s="72"/>
      <c r="D6" s="66"/>
      <c r="E6" s="72"/>
      <c r="F6" s="66"/>
      <c r="G6" s="72"/>
      <c r="H6" s="66"/>
      <c r="I6" s="72"/>
      <c r="J6" s="66"/>
    </row>
    <row r="7" spans="1:10">
      <c r="A7" s="66" t="s">
        <v>207</v>
      </c>
      <c r="B7" s="73">
        <f>'Disclosure Aset'!K9</f>
        <v>0</v>
      </c>
      <c r="C7" s="66"/>
      <c r="D7" s="73"/>
      <c r="E7" s="66"/>
      <c r="F7" s="73"/>
      <c r="G7" s="66"/>
      <c r="H7" s="66"/>
      <c r="I7" s="66"/>
      <c r="J7" s="73">
        <f t="shared" ref="J7:J15" si="0">B7+D7+F7+H7</f>
        <v>0</v>
      </c>
    </row>
    <row r="8" spans="1:10">
      <c r="A8" s="66" t="s">
        <v>47</v>
      </c>
      <c r="B8" s="73">
        <f>'Disclosure Aset'!K10</f>
        <v>37188156152.100014</v>
      </c>
      <c r="C8" s="73"/>
      <c r="D8" s="73"/>
      <c r="E8" s="73"/>
      <c r="F8" s="73"/>
      <c r="G8" s="73"/>
      <c r="H8" s="73"/>
      <c r="I8" s="74"/>
      <c r="J8" s="73">
        <f t="shared" si="0"/>
        <v>37188156152.100014</v>
      </c>
    </row>
    <row r="9" spans="1:10">
      <c r="A9" s="66" t="s">
        <v>211</v>
      </c>
      <c r="B9" s="73">
        <f>'Disclosure Aset'!K11</f>
        <v>445059500</v>
      </c>
      <c r="C9" s="73"/>
      <c r="D9" s="73"/>
      <c r="E9" s="73"/>
      <c r="F9" s="73"/>
      <c r="G9" s="73"/>
      <c r="H9" s="73"/>
      <c r="I9" s="74"/>
      <c r="J9" s="73">
        <f t="shared" si="0"/>
        <v>445059500</v>
      </c>
    </row>
    <row r="10" spans="1:10">
      <c r="A10" s="66" t="s">
        <v>922</v>
      </c>
      <c r="B10" s="73">
        <f>'Disclosure Aset'!K12</f>
        <v>6200217370</v>
      </c>
      <c r="C10" s="73"/>
      <c r="D10" s="73"/>
      <c r="E10" s="73"/>
      <c r="F10" s="73"/>
      <c r="G10" s="73"/>
      <c r="H10" s="73"/>
      <c r="I10" s="74"/>
      <c r="J10" s="73">
        <f t="shared" si="0"/>
        <v>6200217370</v>
      </c>
    </row>
    <row r="11" spans="1:10">
      <c r="A11" s="66" t="s">
        <v>208</v>
      </c>
      <c r="B11" s="73">
        <f>'Disclosure Aset'!K13</f>
        <v>37618136451.599983</v>
      </c>
      <c r="C11" s="73"/>
      <c r="D11" s="73">
        <f>'5. Mesin'!F330</f>
        <v>170000000</v>
      </c>
      <c r="E11" s="73"/>
      <c r="F11" s="73"/>
      <c r="G11" s="73"/>
      <c r="H11" s="73"/>
      <c r="I11" s="74"/>
      <c r="J11" s="73">
        <f t="shared" si="0"/>
        <v>37788136451.599983</v>
      </c>
    </row>
    <row r="12" spans="1:10">
      <c r="A12" s="66" t="s">
        <v>923</v>
      </c>
      <c r="B12" s="73">
        <f>'Disclosure Aset'!K14</f>
        <v>1452280000</v>
      </c>
      <c r="C12" s="73"/>
      <c r="D12" s="73"/>
      <c r="E12" s="73"/>
      <c r="F12" s="73"/>
      <c r="G12" s="73"/>
      <c r="H12" s="73"/>
      <c r="I12" s="74"/>
      <c r="J12" s="73">
        <f t="shared" si="0"/>
        <v>1452280000</v>
      </c>
    </row>
    <row r="13" spans="1:10">
      <c r="A13" s="66" t="s">
        <v>203</v>
      </c>
      <c r="B13" s="73">
        <f>'Disclosure Aset'!K15</f>
        <v>8462660000</v>
      </c>
      <c r="C13" s="73"/>
      <c r="D13" s="73"/>
      <c r="E13" s="73"/>
      <c r="F13" s="73"/>
      <c r="G13" s="73"/>
      <c r="H13" s="73"/>
      <c r="I13" s="75"/>
      <c r="J13" s="73">
        <f t="shared" si="0"/>
        <v>8462660000</v>
      </c>
    </row>
    <row r="14" spans="1:10">
      <c r="A14" s="66" t="s">
        <v>924</v>
      </c>
      <c r="B14" s="73">
        <f>'Disclosure Aset'!K16</f>
        <v>1303269796</v>
      </c>
      <c r="C14" s="73"/>
      <c r="D14" s="73"/>
      <c r="E14" s="73"/>
      <c r="F14" s="73"/>
      <c r="G14" s="73"/>
      <c r="H14" s="73"/>
      <c r="I14" s="76"/>
      <c r="J14" s="73">
        <f t="shared" si="0"/>
        <v>1303269796</v>
      </c>
    </row>
    <row r="15" spans="1:10">
      <c r="A15" s="66" t="s">
        <v>903</v>
      </c>
      <c r="B15" s="73">
        <f>'Disclosure Aset'!K17</f>
        <v>11170379446.6</v>
      </c>
      <c r="C15" s="73"/>
      <c r="D15" s="73"/>
      <c r="E15" s="73"/>
      <c r="F15" s="73"/>
      <c r="G15" s="73"/>
      <c r="H15" s="73"/>
      <c r="I15" s="77"/>
      <c r="J15" s="73">
        <f t="shared" si="0"/>
        <v>11170379446.6</v>
      </c>
    </row>
    <row r="16" spans="1:10">
      <c r="A16" s="78"/>
      <c r="B16" s="79"/>
      <c r="C16" s="80"/>
      <c r="D16" s="79"/>
      <c r="E16" s="80"/>
      <c r="F16" s="79"/>
      <c r="G16" s="80"/>
      <c r="H16" s="79"/>
      <c r="I16" s="81"/>
      <c r="J16" s="79"/>
    </row>
    <row r="17" spans="1:17">
      <c r="A17" s="72" t="s">
        <v>223</v>
      </c>
      <c r="B17" s="82">
        <f>SUM(B7:B15)</f>
        <v>103840158716.3</v>
      </c>
      <c r="C17" s="77"/>
      <c r="D17" s="82">
        <f>SUM(D7:D15)</f>
        <v>170000000</v>
      </c>
      <c r="E17" s="83"/>
      <c r="F17" s="82">
        <f>SUM(F7:F15)</f>
        <v>0</v>
      </c>
      <c r="G17" s="83"/>
      <c r="H17" s="82">
        <f>SUM(H8:H15)</f>
        <v>0</v>
      </c>
      <c r="I17" s="83"/>
      <c r="J17" s="82">
        <f>SUM(J7:J15)</f>
        <v>104010158716.3</v>
      </c>
    </row>
    <row r="18" spans="1:17">
      <c r="A18" s="66"/>
      <c r="B18" s="84"/>
      <c r="C18" s="85"/>
      <c r="D18" s="84"/>
      <c r="E18" s="85"/>
      <c r="F18" s="84"/>
      <c r="G18" s="85"/>
      <c r="H18" s="84"/>
      <c r="I18" s="85"/>
      <c r="J18" s="84"/>
    </row>
    <row r="19" spans="1:17">
      <c r="A19" s="66" t="s">
        <v>222</v>
      </c>
      <c r="B19" s="73"/>
      <c r="C19" s="73"/>
      <c r="D19" s="73"/>
      <c r="E19" s="73"/>
      <c r="F19" s="73">
        <v>0</v>
      </c>
      <c r="G19" s="73"/>
      <c r="H19" s="73">
        <v>0</v>
      </c>
      <c r="I19" s="77"/>
      <c r="J19" s="73">
        <f>B19+D19-F19+H19</f>
        <v>0</v>
      </c>
    </row>
    <row r="20" spans="1:17">
      <c r="A20" s="66"/>
      <c r="B20" s="79"/>
      <c r="C20" s="80"/>
      <c r="D20" s="79"/>
      <c r="E20" s="80"/>
      <c r="F20" s="79"/>
      <c r="G20" s="80"/>
      <c r="H20" s="79"/>
      <c r="I20" s="81"/>
      <c r="J20" s="79"/>
    </row>
    <row r="21" spans="1:17">
      <c r="A21" s="72" t="s">
        <v>204</v>
      </c>
      <c r="B21" s="100">
        <f>B17+B19</f>
        <v>103840158716.3</v>
      </c>
      <c r="C21" s="77"/>
      <c r="D21" s="100">
        <f>D17+D19</f>
        <v>170000000</v>
      </c>
      <c r="E21" s="83"/>
      <c r="F21" s="100">
        <f>F17+F19</f>
        <v>0</v>
      </c>
      <c r="G21" s="83"/>
      <c r="H21" s="82">
        <f>SUM(H12:H19)</f>
        <v>0</v>
      </c>
      <c r="I21" s="83"/>
      <c r="J21" s="100">
        <f>J17+J19</f>
        <v>104010158716.3</v>
      </c>
    </row>
    <row r="22" spans="1:17">
      <c r="A22" s="66"/>
      <c r="B22" s="1304">
        <f>B3</f>
        <v>45627</v>
      </c>
      <c r="C22" s="1304"/>
      <c r="D22" s="1304"/>
      <c r="E22" s="1304"/>
      <c r="F22" s="1304"/>
      <c r="G22" s="1304"/>
      <c r="H22" s="1304"/>
      <c r="I22" s="1304"/>
      <c r="J22" s="1304"/>
    </row>
    <row r="23" spans="1:17">
      <c r="A23" s="72" t="s">
        <v>205</v>
      </c>
      <c r="B23" s="74"/>
      <c r="C23" s="86"/>
      <c r="D23" s="74"/>
      <c r="E23" s="86"/>
      <c r="F23" s="74"/>
      <c r="G23" s="86"/>
      <c r="H23" s="74"/>
      <c r="I23" s="86"/>
      <c r="J23" s="74"/>
    </row>
    <row r="24" spans="1:17">
      <c r="A24" s="66" t="s">
        <v>47</v>
      </c>
      <c r="B24" s="73">
        <f>'Disclosure Aset'!K26</f>
        <v>11072665281.767462</v>
      </c>
      <c r="C24" s="73"/>
      <c r="D24" s="674">
        <f>'2. Bangunan'!AW115</f>
        <v>1860373507.605001</v>
      </c>
      <c r="E24" s="73"/>
      <c r="F24" s="73"/>
      <c r="G24" s="73"/>
      <c r="H24" s="73"/>
      <c r="I24" s="74"/>
      <c r="J24" s="73">
        <f t="shared" ref="J24:J31" si="1">B24+D24+F24+H24</f>
        <v>12933038789.372463</v>
      </c>
    </row>
    <row r="25" spans="1:17">
      <c r="A25" s="66" t="s">
        <v>211</v>
      </c>
      <c r="B25" s="73">
        <f>'Disclosure Aset'!K27</f>
        <v>412066000</v>
      </c>
      <c r="C25" s="73"/>
      <c r="D25" s="674">
        <f>'3. Sumur Bor'!AZ40</f>
        <v>8569937.5</v>
      </c>
      <c r="E25" s="73"/>
      <c r="F25" s="73"/>
      <c r="G25" s="73"/>
      <c r="H25" s="73"/>
      <c r="I25" s="74"/>
      <c r="J25" s="73">
        <f t="shared" si="1"/>
        <v>420635937.5</v>
      </c>
    </row>
    <row r="26" spans="1:17">
      <c r="A26" s="66" t="s">
        <v>922</v>
      </c>
      <c r="B26" s="73">
        <f>'Disclosure Aset'!K28</f>
        <v>3745452369.9999995</v>
      </c>
      <c r="C26" s="73"/>
      <c r="D26" s="674">
        <f>'4. Sarana &amp; Prasarana'!AZ29</f>
        <v>306845625</v>
      </c>
      <c r="E26" s="73"/>
      <c r="F26" s="73"/>
      <c r="G26" s="73"/>
      <c r="H26" s="73"/>
      <c r="I26" s="74"/>
      <c r="J26" s="73">
        <f t="shared" si="1"/>
        <v>4052297994.9999995</v>
      </c>
    </row>
    <row r="27" spans="1:17">
      <c r="A27" s="66" t="s">
        <v>208</v>
      </c>
      <c r="B27" s="73">
        <f>'Disclosure Aset'!K29</f>
        <v>21363854450.941658</v>
      </c>
      <c r="C27" s="73"/>
      <c r="D27" s="674">
        <f>'5. Mesin'!AV315</f>
        <v>2392045987.8697882</v>
      </c>
      <c r="E27" s="73"/>
      <c r="F27" s="73"/>
      <c r="G27" s="73"/>
      <c r="H27" s="73"/>
      <c r="I27" s="74"/>
      <c r="J27" s="73">
        <f t="shared" si="1"/>
        <v>23755900438.811447</v>
      </c>
      <c r="P27" s="121"/>
      <c r="Q27" s="1334"/>
    </row>
    <row r="28" spans="1:17">
      <c r="A28" s="66" t="s">
        <v>923</v>
      </c>
      <c r="B28" s="73">
        <f>'Disclosure Aset'!K30</f>
        <v>469792000</v>
      </c>
      <c r="C28" s="73"/>
      <c r="D28" s="674">
        <f>'6. Instalasi Elektrik'!AV43</f>
        <v>72614000</v>
      </c>
      <c r="E28" s="73"/>
      <c r="F28" s="73"/>
      <c r="G28" s="73"/>
      <c r="H28" s="73"/>
      <c r="I28" s="74"/>
      <c r="J28" s="73">
        <f t="shared" si="1"/>
        <v>542406000</v>
      </c>
    </row>
    <row r="29" spans="1:17">
      <c r="A29" s="66" t="s">
        <v>203</v>
      </c>
      <c r="B29" s="73">
        <f>'Disclosure Aset'!K31</f>
        <v>8328910000.5</v>
      </c>
      <c r="C29" s="73"/>
      <c r="D29" s="674">
        <f>'7. Kendaraan'!AV69</f>
        <v>43750000</v>
      </c>
      <c r="E29" s="73"/>
      <c r="F29" s="73"/>
      <c r="G29" s="73"/>
      <c r="H29" s="73"/>
      <c r="I29" s="75"/>
      <c r="J29" s="73">
        <f t="shared" si="1"/>
        <v>8372660000.5</v>
      </c>
    </row>
    <row r="30" spans="1:17">
      <c r="A30" s="66" t="s">
        <v>924</v>
      </c>
      <c r="B30" s="73">
        <f>'Disclosure Aset'!K32</f>
        <v>1238791525.1666667</v>
      </c>
      <c r="C30" s="73"/>
      <c r="D30" s="674">
        <f>'8 Peralatan &amp; Perlengkapan'!AV149</f>
        <v>23811020.833333336</v>
      </c>
      <c r="E30" s="73"/>
      <c r="F30" s="73"/>
      <c r="G30" s="73"/>
      <c r="H30" s="73"/>
      <c r="I30" s="76"/>
      <c r="J30" s="73">
        <f t="shared" si="1"/>
        <v>1262602546</v>
      </c>
    </row>
    <row r="31" spans="1:17">
      <c r="A31" s="66" t="s">
        <v>903</v>
      </c>
      <c r="B31" s="73">
        <f>'Disclosure Aset'!K33</f>
        <v>10397886078.35</v>
      </c>
      <c r="C31" s="73"/>
      <c r="D31" s="674">
        <f>'9. Infrastruktur'!AV50</f>
        <v>595480812.375</v>
      </c>
      <c r="E31" s="73"/>
      <c r="F31" s="73"/>
      <c r="G31" s="73"/>
      <c r="H31" s="73"/>
      <c r="I31" s="77"/>
      <c r="J31" s="73">
        <f t="shared" si="1"/>
        <v>10993366890.725</v>
      </c>
    </row>
    <row r="32" spans="1:17">
      <c r="A32" s="78"/>
      <c r="B32" s="79"/>
      <c r="C32" s="80"/>
      <c r="D32" s="79"/>
      <c r="E32" s="80"/>
      <c r="F32" s="79"/>
      <c r="G32" s="80"/>
      <c r="H32" s="79"/>
      <c r="I32" s="81"/>
      <c r="J32" s="79"/>
    </row>
    <row r="33" spans="1:18">
      <c r="A33" s="72" t="s">
        <v>204</v>
      </c>
      <c r="B33" s="82">
        <f>SUM(B24:B32)</f>
        <v>57029417706.725784</v>
      </c>
      <c r="C33" s="77"/>
      <c r="D33" s="82">
        <f>SUM(D24:D32)</f>
        <v>5303490891.1831217</v>
      </c>
      <c r="E33" s="83"/>
      <c r="F33" s="82">
        <f>SUM(F24:F32)</f>
        <v>0</v>
      </c>
      <c r="G33" s="83"/>
      <c r="H33" s="82">
        <f>SUM(H24:H32)</f>
        <v>0</v>
      </c>
      <c r="I33" s="83"/>
      <c r="J33" s="82">
        <f>SUM(J24:J32)</f>
        <v>62332908597.908913</v>
      </c>
    </row>
    <row r="34" spans="1:18">
      <c r="A34" s="78"/>
      <c r="B34" s="84"/>
      <c r="C34" s="85"/>
      <c r="D34" s="84"/>
      <c r="E34" s="85"/>
      <c r="F34" s="84"/>
      <c r="G34" s="85"/>
      <c r="H34" s="84"/>
      <c r="I34" s="85"/>
      <c r="J34" s="84"/>
    </row>
    <row r="35" spans="1:18" ht="15" thickBot="1">
      <c r="A35" s="72" t="s">
        <v>206</v>
      </c>
      <c r="B35" s="87">
        <f>B21-B33</f>
        <v>46810741009.574219</v>
      </c>
      <c r="C35" s="88"/>
      <c r="D35" s="89"/>
      <c r="E35" s="88"/>
      <c r="F35" s="66"/>
      <c r="G35" s="88"/>
      <c r="H35" s="66"/>
      <c r="I35" s="88"/>
      <c r="J35" s="87">
        <f>J21-J33</f>
        <v>41677250118.39109</v>
      </c>
    </row>
    <row r="36" spans="1:18" ht="15" thickTop="1"/>
    <row r="38" spans="1:18" s="1198" customFormat="1" ht="8.5" customHeight="1">
      <c r="R38" s="1202"/>
    </row>
    <row r="39" spans="1:18">
      <c r="A39" s="64"/>
      <c r="B39" s="1299" t="s">
        <v>224</v>
      </c>
      <c r="C39" s="1299"/>
      <c r="D39" s="1299"/>
      <c r="E39" s="1299"/>
      <c r="F39" s="1299"/>
      <c r="G39" s="1299"/>
      <c r="H39" s="1299"/>
      <c r="I39" s="1299"/>
      <c r="J39" s="1299"/>
    </row>
    <row r="40" spans="1:18">
      <c r="A40" s="66"/>
      <c r="B40" s="1304">
        <v>45536</v>
      </c>
      <c r="C40" s="1304"/>
      <c r="D40" s="1304"/>
      <c r="E40" s="1304"/>
      <c r="F40" s="1304"/>
      <c r="G40" s="1304"/>
      <c r="H40" s="1304"/>
      <c r="I40" s="1304"/>
      <c r="J40" s="1304"/>
    </row>
    <row r="41" spans="1:18">
      <c r="A41" s="66"/>
      <c r="B41" s="67" t="s">
        <v>30</v>
      </c>
      <c r="C41" s="69"/>
      <c r="D41" s="67" t="s">
        <v>29</v>
      </c>
      <c r="E41" s="69"/>
      <c r="F41" s="67" t="s">
        <v>196</v>
      </c>
      <c r="G41" s="69"/>
      <c r="H41" s="67" t="s">
        <v>197</v>
      </c>
      <c r="I41" s="69"/>
      <c r="J41" s="67" t="s">
        <v>198</v>
      </c>
    </row>
    <row r="42" spans="1:18">
      <c r="A42" s="66"/>
      <c r="B42" s="71"/>
      <c r="C42" s="72"/>
      <c r="D42" s="66"/>
      <c r="E42" s="72"/>
      <c r="F42" s="66"/>
      <c r="G42" s="72"/>
      <c r="H42" s="66"/>
      <c r="I42" s="72"/>
      <c r="J42" s="66"/>
    </row>
    <row r="43" spans="1:18">
      <c r="A43" s="72" t="s">
        <v>201</v>
      </c>
      <c r="B43" s="66"/>
      <c r="C43" s="72"/>
      <c r="D43" s="66"/>
      <c r="E43" s="72"/>
      <c r="F43" s="66"/>
      <c r="G43" s="72"/>
      <c r="H43" s="66"/>
      <c r="I43" s="72"/>
      <c r="J43" s="66"/>
    </row>
    <row r="44" spans="1:18">
      <c r="A44" s="66" t="s">
        <v>207</v>
      </c>
      <c r="B44" s="73">
        <f>'Disclosure Aset'!K9</f>
        <v>0</v>
      </c>
      <c r="C44" s="66"/>
      <c r="D44" s="73"/>
      <c r="E44" s="66"/>
      <c r="F44" s="73"/>
      <c r="G44" s="66"/>
      <c r="H44" s="66"/>
      <c r="I44" s="66"/>
      <c r="J44" s="73">
        <f t="shared" ref="J44:J52" si="2">B44+D44+F44+H44</f>
        <v>0</v>
      </c>
    </row>
    <row r="45" spans="1:18">
      <c r="A45" s="66" t="s">
        <v>47</v>
      </c>
      <c r="B45" s="73">
        <f>'Disclosure Aset'!K10</f>
        <v>37188156152.100014</v>
      </c>
      <c r="C45" s="73"/>
      <c r="D45" s="73"/>
      <c r="E45" s="73"/>
      <c r="F45" s="73"/>
      <c r="G45" s="73"/>
      <c r="H45" s="73"/>
      <c r="I45" s="74"/>
      <c r="J45" s="73">
        <f t="shared" si="2"/>
        <v>37188156152.100014</v>
      </c>
    </row>
    <row r="46" spans="1:18">
      <c r="A46" s="66" t="s">
        <v>211</v>
      </c>
      <c r="B46" s="73">
        <f>'Disclosure Aset'!K11</f>
        <v>445059500</v>
      </c>
      <c r="C46" s="73"/>
      <c r="D46" s="73"/>
      <c r="E46" s="73"/>
      <c r="F46" s="73"/>
      <c r="G46" s="73"/>
      <c r="H46" s="73"/>
      <c r="I46" s="74"/>
      <c r="J46" s="73">
        <f t="shared" si="2"/>
        <v>445059500</v>
      </c>
    </row>
    <row r="47" spans="1:18">
      <c r="A47" s="66" t="s">
        <v>922</v>
      </c>
      <c r="B47" s="73">
        <f>'Disclosure Aset'!K12</f>
        <v>6200217370</v>
      </c>
      <c r="C47" s="73"/>
      <c r="D47" s="73"/>
      <c r="E47" s="73"/>
      <c r="F47" s="73"/>
      <c r="G47" s="73"/>
      <c r="H47" s="73"/>
      <c r="I47" s="74"/>
      <c r="J47" s="73">
        <f t="shared" si="2"/>
        <v>6200217370</v>
      </c>
    </row>
    <row r="48" spans="1:18">
      <c r="A48" s="66" t="s">
        <v>208</v>
      </c>
      <c r="B48" s="73">
        <f>'Disclosure Aset'!K13</f>
        <v>37618136451.599983</v>
      </c>
      <c r="C48" s="73"/>
      <c r="D48" s="73"/>
      <c r="E48" s="73"/>
      <c r="F48" s="73"/>
      <c r="G48" s="73"/>
      <c r="H48" s="73"/>
      <c r="I48" s="74"/>
      <c r="J48" s="73">
        <f t="shared" si="2"/>
        <v>37618136451.599983</v>
      </c>
    </row>
    <row r="49" spans="1:23">
      <c r="A49" s="66" t="s">
        <v>923</v>
      </c>
      <c r="B49" s="73">
        <f>'Disclosure Aset'!K14</f>
        <v>1452280000</v>
      </c>
      <c r="C49" s="73"/>
      <c r="D49" s="73"/>
      <c r="E49" s="73"/>
      <c r="F49" s="73"/>
      <c r="G49" s="73"/>
      <c r="H49" s="73"/>
      <c r="I49" s="74"/>
      <c r="J49" s="73">
        <f t="shared" si="2"/>
        <v>1452280000</v>
      </c>
    </row>
    <row r="50" spans="1:23">
      <c r="A50" s="66" t="s">
        <v>203</v>
      </c>
      <c r="B50" s="73">
        <f>'Disclosure Aset'!K15</f>
        <v>8462660000</v>
      </c>
      <c r="C50" s="73"/>
      <c r="D50" s="73"/>
      <c r="E50" s="73"/>
      <c r="F50" s="73"/>
      <c r="G50" s="73"/>
      <c r="H50" s="73"/>
      <c r="I50" s="75"/>
      <c r="J50" s="73">
        <f t="shared" si="2"/>
        <v>8462660000</v>
      </c>
    </row>
    <row r="51" spans="1:23">
      <c r="A51" s="66" t="s">
        <v>924</v>
      </c>
      <c r="B51" s="73">
        <f>'Disclosure Aset'!K16</f>
        <v>1303269796</v>
      </c>
      <c r="C51" s="73"/>
      <c r="D51" s="73"/>
      <c r="E51" s="73"/>
      <c r="F51" s="73"/>
      <c r="G51" s="73"/>
      <c r="H51" s="73"/>
      <c r="I51" s="76"/>
      <c r="J51" s="73">
        <f t="shared" si="2"/>
        <v>1303269796</v>
      </c>
    </row>
    <row r="52" spans="1:23">
      <c r="A52" s="66" t="s">
        <v>903</v>
      </c>
      <c r="B52" s="73">
        <f>'Disclosure Aset'!K17</f>
        <v>11170379446.6</v>
      </c>
      <c r="C52" s="73"/>
      <c r="D52" s="73"/>
      <c r="E52" s="73"/>
      <c r="F52" s="73"/>
      <c r="G52" s="73"/>
      <c r="H52" s="73"/>
      <c r="I52" s="77"/>
      <c r="J52" s="73">
        <f t="shared" si="2"/>
        <v>11170379446.6</v>
      </c>
    </row>
    <row r="53" spans="1:23">
      <c r="A53" s="78"/>
      <c r="B53" s="79"/>
      <c r="C53" s="80"/>
      <c r="D53" s="79"/>
      <c r="E53" s="80"/>
      <c r="F53" s="79"/>
      <c r="G53" s="80"/>
      <c r="H53" s="79"/>
      <c r="I53" s="81"/>
      <c r="J53" s="79"/>
    </row>
    <row r="54" spans="1:23">
      <c r="A54" s="72" t="s">
        <v>223</v>
      </c>
      <c r="B54" s="82">
        <f>SUM(B44:B52)</f>
        <v>103840158716.3</v>
      </c>
      <c r="C54" s="77"/>
      <c r="D54" s="82">
        <f>SUM(D44:D52)</f>
        <v>0</v>
      </c>
      <c r="E54" s="83"/>
      <c r="F54" s="82">
        <f>SUM(F44:F52)</f>
        <v>0</v>
      </c>
      <c r="G54" s="83"/>
      <c r="H54" s="82">
        <f>SUM(H45:H52)</f>
        <v>0</v>
      </c>
      <c r="I54" s="83"/>
      <c r="J54" s="82">
        <f>SUM(J44:J52)</f>
        <v>103840158716.3</v>
      </c>
    </row>
    <row r="55" spans="1:23">
      <c r="A55" s="66"/>
      <c r="B55" s="84"/>
      <c r="C55" s="85"/>
      <c r="D55" s="84"/>
      <c r="E55" s="85"/>
      <c r="F55" s="84"/>
      <c r="G55" s="85"/>
      <c r="H55" s="84"/>
      <c r="I55" s="85"/>
      <c r="J55" s="84"/>
    </row>
    <row r="56" spans="1:23">
      <c r="A56" s="66" t="s">
        <v>222</v>
      </c>
      <c r="B56" s="73"/>
      <c r="C56" s="73"/>
      <c r="D56" s="73"/>
      <c r="E56" s="73"/>
      <c r="F56" s="73">
        <v>0</v>
      </c>
      <c r="G56" s="73"/>
      <c r="H56" s="73">
        <v>0</v>
      </c>
      <c r="I56" s="77"/>
      <c r="J56" s="73">
        <f>B56+D56-F56+H56</f>
        <v>0</v>
      </c>
      <c r="V56" s="1199"/>
    </row>
    <row r="57" spans="1:23">
      <c r="A57" s="66"/>
      <c r="B57" s="79"/>
      <c r="C57" s="80"/>
      <c r="D57" s="79"/>
      <c r="E57" s="80"/>
      <c r="F57" s="79"/>
      <c r="G57" s="80"/>
      <c r="H57" s="79"/>
      <c r="I57" s="81"/>
      <c r="J57" s="79"/>
      <c r="W57" s="1199"/>
    </row>
    <row r="58" spans="1:23">
      <c r="A58" s="72" t="s">
        <v>204</v>
      </c>
      <c r="B58" s="100">
        <f>B54+B56</f>
        <v>103840158716.3</v>
      </c>
      <c r="C58" s="77"/>
      <c r="D58" s="100">
        <f>D54+D56</f>
        <v>0</v>
      </c>
      <c r="E58" s="83"/>
      <c r="F58" s="100">
        <f>F54+F56</f>
        <v>0</v>
      </c>
      <c r="G58" s="83"/>
      <c r="H58" s="82">
        <f>SUM(H49:H56)</f>
        <v>0</v>
      </c>
      <c r="I58" s="83"/>
      <c r="J58" s="100">
        <f>J54+J56</f>
        <v>103840158716.3</v>
      </c>
    </row>
    <row r="59" spans="1:23">
      <c r="A59" s="66"/>
      <c r="B59" s="1304">
        <f>B40</f>
        <v>45536</v>
      </c>
      <c r="C59" s="1304"/>
      <c r="D59" s="1304"/>
      <c r="E59" s="1304"/>
      <c r="F59" s="1304"/>
      <c r="G59" s="1304"/>
      <c r="H59" s="1304"/>
      <c r="I59" s="1304"/>
      <c r="J59" s="1304"/>
    </row>
    <row r="60" spans="1:23">
      <c r="A60" s="72" t="s">
        <v>205</v>
      </c>
      <c r="B60" s="74"/>
      <c r="C60" s="86"/>
      <c r="D60" s="74"/>
      <c r="E60" s="86"/>
      <c r="F60" s="74"/>
      <c r="G60" s="86"/>
      <c r="H60" s="74"/>
      <c r="I60" s="86"/>
      <c r="J60" s="74"/>
    </row>
    <row r="61" spans="1:23">
      <c r="A61" s="66" t="s">
        <v>47</v>
      </c>
      <c r="B61" s="73">
        <f>'Disclosure Aset'!K26</f>
        <v>11072665281.767462</v>
      </c>
      <c r="C61" s="73"/>
      <c r="D61" s="674">
        <f>'2. Bangunan'!AT115</f>
        <v>1395280130.7037506</v>
      </c>
      <c r="E61" s="73"/>
      <c r="F61" s="73"/>
      <c r="G61" s="73"/>
      <c r="H61" s="73"/>
      <c r="I61" s="74"/>
      <c r="J61" s="73">
        <f t="shared" ref="J61:J68" si="3">B61+D61+F61+H61</f>
        <v>12467945412.471212</v>
      </c>
      <c r="K61" s="121">
        <v>-11227696407</v>
      </c>
      <c r="L61" s="46">
        <f>J61+K61</f>
        <v>1240249005.4712124</v>
      </c>
      <c r="N61" s="1184">
        <v>155031125</v>
      </c>
      <c r="O61" s="46">
        <f t="shared" ref="O61:O66" si="4">D61-N61</f>
        <v>1240249005.7037506</v>
      </c>
      <c r="P61" s="121">
        <v>1395280130.7037506</v>
      </c>
      <c r="Q61" s="46">
        <f>D61-P61</f>
        <v>0</v>
      </c>
      <c r="R61" s="121">
        <v>-12467945412.471212</v>
      </c>
      <c r="S61" s="121">
        <f>J61+R61</f>
        <v>0</v>
      </c>
    </row>
    <row r="62" spans="1:23">
      <c r="A62" s="66" t="s">
        <v>211</v>
      </c>
      <c r="B62" s="73">
        <f>'Disclosure Aset'!K27</f>
        <v>412066000</v>
      </c>
      <c r="C62" s="73"/>
      <c r="D62" s="674">
        <f>'3. Sumur Bor'!AT40</f>
        <v>6427453.125</v>
      </c>
      <c r="E62" s="73"/>
      <c r="F62" s="73"/>
      <c r="G62" s="73"/>
      <c r="H62" s="73"/>
      <c r="I62" s="74"/>
      <c r="J62" s="73">
        <f t="shared" si="3"/>
        <v>418493453.125</v>
      </c>
      <c r="K62" s="121">
        <v>-417779292</v>
      </c>
      <c r="L62" s="46">
        <f t="shared" ref="L62:L68" si="5">J62+K62</f>
        <v>714161.125</v>
      </c>
      <c r="N62" s="1184">
        <v>5713291</v>
      </c>
      <c r="O62" s="46">
        <f t="shared" si="4"/>
        <v>714162.125</v>
      </c>
      <c r="P62" s="121">
        <v>6427453</v>
      </c>
      <c r="Q62" s="46">
        <f t="shared" ref="Q62:Q68" si="6">D62-P62</f>
        <v>0.125</v>
      </c>
      <c r="R62" s="121">
        <v>-418493453.5</v>
      </c>
      <c r="S62" s="121">
        <f t="shared" ref="S62:S68" si="7">J62+R62</f>
        <v>-0.375</v>
      </c>
    </row>
    <row r="63" spans="1:23">
      <c r="A63" s="66" t="s">
        <v>922</v>
      </c>
      <c r="B63" s="73">
        <f>'Disclosure Aset'!K28</f>
        <v>3745452369.9999995</v>
      </c>
      <c r="C63" s="73"/>
      <c r="D63" s="674">
        <f>'4. Sarana &amp; Prasarana'!AT29</f>
        <v>230134218.75</v>
      </c>
      <c r="E63" s="73"/>
      <c r="F63" s="73"/>
      <c r="G63" s="73"/>
      <c r="H63" s="73"/>
      <c r="I63" s="74"/>
      <c r="J63" s="73">
        <f t="shared" si="3"/>
        <v>3975586588.7499995</v>
      </c>
      <c r="K63" s="121">
        <v>-3771022839</v>
      </c>
      <c r="L63" s="46">
        <f t="shared" si="5"/>
        <v>204563749.74999952</v>
      </c>
      <c r="N63" s="1184">
        <v>25570469</v>
      </c>
      <c r="O63" s="46">
        <f t="shared" si="4"/>
        <v>204563749.75</v>
      </c>
      <c r="P63" s="121">
        <v>230134218.74999952</v>
      </c>
      <c r="Q63" s="46">
        <f t="shared" si="6"/>
        <v>4.76837158203125E-7</v>
      </c>
      <c r="R63" s="121">
        <v>-3975586588.7499995</v>
      </c>
      <c r="S63" s="121">
        <f t="shared" si="7"/>
        <v>0</v>
      </c>
    </row>
    <row r="64" spans="1:23">
      <c r="A64" s="66" t="s">
        <v>208</v>
      </c>
      <c r="B64" s="73">
        <f>'Disclosure Aset'!K29</f>
        <v>21363854450.941658</v>
      </c>
      <c r="C64" s="73"/>
      <c r="D64" s="674">
        <f>'5. Mesin'!AS315</f>
        <v>1773009945.5135405</v>
      </c>
      <c r="E64" s="73"/>
      <c r="F64" s="73"/>
      <c r="G64" s="73"/>
      <c r="H64" s="73"/>
      <c r="I64" s="74"/>
      <c r="J64" s="73">
        <f t="shared" si="3"/>
        <v>23136864396.4552</v>
      </c>
      <c r="K64" s="121">
        <v>-21562885847</v>
      </c>
      <c r="L64" s="46">
        <f t="shared" si="5"/>
        <v>1573978549.4552002</v>
      </c>
      <c r="N64" s="1184">
        <v>199031396</v>
      </c>
      <c r="O64" s="46">
        <f t="shared" si="4"/>
        <v>1573978549.5135405</v>
      </c>
      <c r="P64" s="121">
        <v>1773009945.3552017</v>
      </c>
      <c r="Q64" s="46">
        <f t="shared" si="6"/>
        <v>0.15833878517150879</v>
      </c>
      <c r="R64" s="121">
        <v>-23136864396.4552</v>
      </c>
      <c r="S64" s="121">
        <f>J64+R64</f>
        <v>0</v>
      </c>
    </row>
    <row r="65" spans="1:19">
      <c r="A65" s="66" t="s">
        <v>923</v>
      </c>
      <c r="B65" s="73">
        <f>'Disclosure Aset'!K30</f>
        <v>469792000</v>
      </c>
      <c r="C65" s="73"/>
      <c r="D65" s="674">
        <f>'6. Instalasi Elektrik'!AS43</f>
        <v>54460500</v>
      </c>
      <c r="E65" s="73"/>
      <c r="F65" s="73"/>
      <c r="G65" s="73"/>
      <c r="H65" s="73"/>
      <c r="I65" s="74"/>
      <c r="J65" s="73">
        <f t="shared" si="3"/>
        <v>524252500</v>
      </c>
      <c r="K65" s="121">
        <v>-475843167</v>
      </c>
      <c r="L65" s="46">
        <f t="shared" si="5"/>
        <v>48409333</v>
      </c>
      <c r="N65" s="1184">
        <v>6051167</v>
      </c>
      <c r="O65" s="46">
        <f t="shared" si="4"/>
        <v>48409333</v>
      </c>
      <c r="P65" s="121">
        <v>54460500</v>
      </c>
      <c r="Q65" s="46">
        <f t="shared" si="6"/>
        <v>0</v>
      </c>
      <c r="R65" s="121">
        <v>-524252500</v>
      </c>
      <c r="S65" s="121">
        <f t="shared" si="7"/>
        <v>0</v>
      </c>
    </row>
    <row r="66" spans="1:19">
      <c r="A66" s="66" t="s">
        <v>203</v>
      </c>
      <c r="B66" s="73">
        <f>'Disclosure Aset'!K31</f>
        <v>8328910000.5</v>
      </c>
      <c r="C66" s="73"/>
      <c r="D66" s="674">
        <f>'7. Kendaraan'!AS69</f>
        <v>32812500</v>
      </c>
      <c r="E66" s="73"/>
      <c r="F66" s="73"/>
      <c r="G66" s="73"/>
      <c r="H66" s="73"/>
      <c r="I66" s="75"/>
      <c r="J66" s="73">
        <f t="shared" si="3"/>
        <v>8361722500.5</v>
      </c>
      <c r="K66" s="121">
        <v>-8332555834</v>
      </c>
      <c r="L66" s="46">
        <f t="shared" si="5"/>
        <v>29166666.5</v>
      </c>
      <c r="N66" s="1184">
        <v>3645834</v>
      </c>
      <c r="O66" s="46">
        <f t="shared" si="4"/>
        <v>29166666</v>
      </c>
      <c r="P66" s="121">
        <v>32812500</v>
      </c>
      <c r="Q66" s="46">
        <f t="shared" si="6"/>
        <v>0</v>
      </c>
      <c r="R66" s="121">
        <v>-8361722500</v>
      </c>
      <c r="S66" s="121">
        <f t="shared" si="7"/>
        <v>0.5</v>
      </c>
    </row>
    <row r="67" spans="1:19">
      <c r="A67" s="66" t="s">
        <v>924</v>
      </c>
      <c r="B67" s="73">
        <f>'Disclosure Aset'!K32</f>
        <v>1238791525.1666667</v>
      </c>
      <c r="C67" s="73"/>
      <c r="D67" s="674">
        <f>'8 Peralatan &amp; Perlengkapan'!AS149</f>
        <v>18238395.833333336</v>
      </c>
      <c r="E67" s="73"/>
      <c r="F67" s="73"/>
      <c r="G67" s="73"/>
      <c r="H67" s="73"/>
      <c r="I67" s="76"/>
      <c r="J67" s="73">
        <f t="shared" si="3"/>
        <v>1257029921</v>
      </c>
      <c r="K67" s="121">
        <v>-1240977192</v>
      </c>
      <c r="L67" s="46">
        <f t="shared" si="5"/>
        <v>16052729</v>
      </c>
      <c r="N67" s="1184">
        <v>2185667</v>
      </c>
      <c r="O67" s="46">
        <f>D67-N67</f>
        <v>16052728.833333336</v>
      </c>
      <c r="P67" s="121">
        <v>18238396.299999952</v>
      </c>
      <c r="Q67" s="46">
        <f t="shared" si="6"/>
        <v>-0.46666661649942398</v>
      </c>
      <c r="R67" s="121">
        <v>-1257029921</v>
      </c>
      <c r="S67" s="121">
        <f t="shared" si="7"/>
        <v>0</v>
      </c>
    </row>
    <row r="68" spans="1:19">
      <c r="A68" s="66" t="s">
        <v>903</v>
      </c>
      <c r="B68" s="73">
        <f>'Disclosure Aset'!K33</f>
        <v>10397886078.35</v>
      </c>
      <c r="C68" s="73"/>
      <c r="D68" s="674">
        <f>'9. Infrastruktur'!AS50</f>
        <v>446610609.28125</v>
      </c>
      <c r="E68" s="73"/>
      <c r="F68" s="73"/>
      <c r="G68" s="73"/>
      <c r="H68" s="73"/>
      <c r="I68" s="77"/>
      <c r="J68" s="73">
        <f t="shared" si="3"/>
        <v>10844496687.63125</v>
      </c>
      <c r="K68" s="121">
        <v>-10447509479</v>
      </c>
      <c r="L68" s="46">
        <f t="shared" si="5"/>
        <v>396987208.63125038</v>
      </c>
      <c r="N68" s="1184">
        <v>49623401</v>
      </c>
      <c r="O68" s="46">
        <f t="shared" ref="O68" si="8">D68-N68</f>
        <v>396987208.28125</v>
      </c>
      <c r="P68" s="121">
        <v>446610609</v>
      </c>
      <c r="Q68" s="46">
        <f t="shared" si="6"/>
        <v>0.28125</v>
      </c>
      <c r="R68" s="121">
        <v>-10844496687.1</v>
      </c>
      <c r="S68" s="121">
        <f t="shared" si="7"/>
        <v>0.53125</v>
      </c>
    </row>
    <row r="69" spans="1:19">
      <c r="A69" s="78"/>
      <c r="B69" s="79"/>
      <c r="C69" s="80"/>
      <c r="D69" s="79"/>
      <c r="E69" s="80"/>
      <c r="F69" s="79"/>
      <c r="G69" s="80"/>
      <c r="H69" s="79"/>
      <c r="I69" s="81"/>
      <c r="J69" s="79"/>
    </row>
    <row r="70" spans="1:19">
      <c r="A70" s="72" t="s">
        <v>204</v>
      </c>
      <c r="B70" s="82">
        <f>SUM(B61:B69)</f>
        <v>57029417706.725784</v>
      </c>
      <c r="C70" s="77"/>
      <c r="D70" s="82">
        <f>SUM(D61:D69)</f>
        <v>3956973753.2068744</v>
      </c>
      <c r="E70" s="83"/>
      <c r="F70" s="82">
        <f>SUM(F61:F69)</f>
        <v>0</v>
      </c>
      <c r="G70" s="83"/>
      <c r="H70" s="82">
        <f>SUM(H61:H69)</f>
        <v>0</v>
      </c>
      <c r="I70" s="83"/>
      <c r="J70" s="82">
        <f>SUM(J61:J69)</f>
        <v>60986391459.932663</v>
      </c>
    </row>
    <row r="71" spans="1:19">
      <c r="A71" s="78"/>
      <c r="B71" s="84"/>
      <c r="C71" s="85"/>
      <c r="D71" s="84"/>
      <c r="E71" s="85"/>
      <c r="F71" s="84"/>
      <c r="G71" s="85"/>
      <c r="H71" s="84"/>
      <c r="I71" s="85"/>
      <c r="J71" s="84"/>
    </row>
    <row r="72" spans="1:19" ht="15" thickBot="1">
      <c r="A72" s="72" t="s">
        <v>206</v>
      </c>
      <c r="B72" s="87">
        <f>B58-B70</f>
        <v>46810741009.574219</v>
      </c>
      <c r="C72" s="88"/>
      <c r="D72" s="89"/>
      <c r="E72" s="88"/>
      <c r="F72" s="66"/>
      <c r="G72" s="88"/>
      <c r="H72" s="66"/>
      <c r="I72" s="88"/>
      <c r="J72" s="87">
        <f>J58-J70</f>
        <v>42853767256.36734</v>
      </c>
    </row>
    <row r="73" spans="1:19" ht="15" thickTop="1">
      <c r="A73" s="72"/>
      <c r="B73" s="1192"/>
      <c r="C73" s="88"/>
      <c r="D73" s="89"/>
      <c r="E73" s="88"/>
      <c r="F73" s="66"/>
      <c r="G73" s="88"/>
      <c r="H73" s="66"/>
      <c r="I73" s="88"/>
      <c r="J73" s="1192"/>
    </row>
    <row r="74" spans="1:19" s="1198" customFormat="1">
      <c r="A74" s="1193"/>
      <c r="B74" s="1194"/>
      <c r="C74" s="1195"/>
      <c r="D74" s="1196"/>
      <c r="E74" s="1195"/>
      <c r="F74" s="1197"/>
      <c r="G74" s="1195"/>
      <c r="H74" s="1197"/>
      <c r="I74" s="1195"/>
      <c r="J74" s="1194"/>
      <c r="R74" s="1202"/>
    </row>
    <row r="77" spans="1:19">
      <c r="A77" s="64"/>
      <c r="B77" s="1299" t="s">
        <v>224</v>
      </c>
      <c r="C77" s="1299"/>
      <c r="D77" s="1299"/>
      <c r="E77" s="1299"/>
      <c r="F77" s="1299"/>
      <c r="G77" s="1299"/>
      <c r="H77" s="1299"/>
      <c r="I77" s="1299"/>
      <c r="J77" s="1299"/>
    </row>
    <row r="78" spans="1:19">
      <c r="A78" s="66"/>
      <c r="B78" s="1304">
        <v>45170</v>
      </c>
      <c r="C78" s="1301"/>
      <c r="D78" s="1301"/>
      <c r="E78" s="1301"/>
      <c r="F78" s="1301"/>
      <c r="G78" s="1301"/>
      <c r="H78" s="1301"/>
      <c r="I78" s="1301"/>
      <c r="J78" s="1301"/>
    </row>
    <row r="79" spans="1:19">
      <c r="A79" s="66"/>
      <c r="B79" s="67" t="s">
        <v>30</v>
      </c>
      <c r="C79" s="69"/>
      <c r="D79" s="67" t="s">
        <v>29</v>
      </c>
      <c r="E79" s="69"/>
      <c r="F79" s="67" t="s">
        <v>196</v>
      </c>
      <c r="G79" s="69"/>
      <c r="H79" s="67" t="s">
        <v>197</v>
      </c>
      <c r="I79" s="69"/>
      <c r="J79" s="67" t="s">
        <v>198</v>
      </c>
    </row>
    <row r="80" spans="1:19">
      <c r="A80" s="66"/>
      <c r="B80" s="71"/>
      <c r="C80" s="72"/>
      <c r="D80" s="66"/>
      <c r="E80" s="72"/>
      <c r="F80" s="66"/>
      <c r="G80" s="72"/>
      <c r="H80" s="66"/>
      <c r="I80" s="72"/>
      <c r="J80" s="66"/>
    </row>
    <row r="81" spans="1:10">
      <c r="A81" s="72" t="s">
        <v>201</v>
      </c>
      <c r="B81" s="66"/>
      <c r="C81" s="72"/>
      <c r="D81" s="66"/>
      <c r="E81" s="72"/>
      <c r="F81" s="66"/>
      <c r="G81" s="72"/>
      <c r="H81" s="66"/>
      <c r="I81" s="72"/>
      <c r="J81" s="66"/>
    </row>
    <row r="82" spans="1:10">
      <c r="A82" s="66" t="s">
        <v>207</v>
      </c>
      <c r="B82" s="73">
        <v>0</v>
      </c>
      <c r="C82" s="66"/>
      <c r="D82" s="73"/>
      <c r="E82" s="66"/>
      <c r="F82" s="73"/>
      <c r="G82" s="66"/>
      <c r="H82" s="66"/>
      <c r="I82" s="66"/>
      <c r="J82" s="73">
        <f t="shared" ref="J82:J90" si="9">B82+D82+F82+H82</f>
        <v>0</v>
      </c>
    </row>
    <row r="83" spans="1:10">
      <c r="A83" s="66" t="s">
        <v>47</v>
      </c>
      <c r="B83" s="73">
        <v>37188156152.100014</v>
      </c>
      <c r="C83" s="73"/>
      <c r="D83" s="73"/>
      <c r="E83" s="73"/>
      <c r="F83" s="73"/>
      <c r="G83" s="73"/>
      <c r="H83" s="73"/>
      <c r="I83" s="74"/>
      <c r="J83" s="73">
        <f t="shared" si="9"/>
        <v>37188156152.100014</v>
      </c>
    </row>
    <row r="84" spans="1:10">
      <c r="A84" s="66" t="s">
        <v>211</v>
      </c>
      <c r="B84" s="73">
        <v>445059500</v>
      </c>
      <c r="C84" s="73"/>
      <c r="D84" s="73"/>
      <c r="E84" s="73"/>
      <c r="F84" s="73"/>
      <c r="G84" s="73"/>
      <c r="H84" s="73"/>
      <c r="I84" s="74"/>
      <c r="J84" s="73">
        <f t="shared" si="9"/>
        <v>445059500</v>
      </c>
    </row>
    <row r="85" spans="1:10">
      <c r="A85" s="66" t="s">
        <v>922</v>
      </c>
      <c r="B85" s="73">
        <v>6200217370</v>
      </c>
      <c r="C85" s="73"/>
      <c r="D85" s="73"/>
      <c r="E85" s="73"/>
      <c r="F85" s="73"/>
      <c r="G85" s="73"/>
      <c r="H85" s="73"/>
      <c r="I85" s="74"/>
      <c r="J85" s="73">
        <f t="shared" si="9"/>
        <v>6200217370</v>
      </c>
    </row>
    <row r="86" spans="1:10">
      <c r="A86" s="66" t="s">
        <v>208</v>
      </c>
      <c r="B86" s="73">
        <v>37618136451.599983</v>
      </c>
      <c r="C86" s="73"/>
      <c r="D86" s="73"/>
      <c r="E86" s="73"/>
      <c r="F86" s="73"/>
      <c r="G86" s="73"/>
      <c r="H86" s="73"/>
      <c r="I86" s="74"/>
      <c r="J86" s="73">
        <f t="shared" si="9"/>
        <v>37618136451.599983</v>
      </c>
    </row>
    <row r="87" spans="1:10">
      <c r="A87" s="66" t="s">
        <v>923</v>
      </c>
      <c r="B87" s="73">
        <v>1452280000</v>
      </c>
      <c r="C87" s="73"/>
      <c r="D87" s="73"/>
      <c r="E87" s="73"/>
      <c r="F87" s="73"/>
      <c r="G87" s="73"/>
      <c r="H87" s="73"/>
      <c r="I87" s="74"/>
      <c r="J87" s="73">
        <f t="shared" si="9"/>
        <v>1452280000</v>
      </c>
    </row>
    <row r="88" spans="1:10">
      <c r="A88" s="66" t="s">
        <v>203</v>
      </c>
      <c r="B88" s="73">
        <v>8342660000</v>
      </c>
      <c r="C88" s="73"/>
      <c r="D88" s="73">
        <f>'7. Kendaraan'!F82</f>
        <v>120000000</v>
      </c>
      <c r="E88" s="73"/>
      <c r="F88" s="73"/>
      <c r="G88" s="73"/>
      <c r="H88" s="73"/>
      <c r="I88" s="75"/>
      <c r="J88" s="73">
        <f t="shared" si="9"/>
        <v>8462660000</v>
      </c>
    </row>
    <row r="89" spans="1:10">
      <c r="A89" s="66" t="s">
        <v>924</v>
      </c>
      <c r="B89" s="73">
        <v>1274154796</v>
      </c>
      <c r="C89" s="73"/>
      <c r="D89" s="73">
        <f>'8 Peralatan &amp; Perlengkapan'!F162</f>
        <v>29115000</v>
      </c>
      <c r="E89" s="73"/>
      <c r="F89" s="73"/>
      <c r="G89" s="73"/>
      <c r="H89" s="73"/>
      <c r="I89" s="76"/>
      <c r="J89" s="73">
        <f t="shared" si="9"/>
        <v>1303269796</v>
      </c>
    </row>
    <row r="90" spans="1:10">
      <c r="A90" s="66" t="s">
        <v>903</v>
      </c>
      <c r="B90" s="73">
        <v>11170379446.6</v>
      </c>
      <c r="C90" s="73"/>
      <c r="D90" s="73"/>
      <c r="E90" s="73"/>
      <c r="F90" s="73"/>
      <c r="G90" s="73"/>
      <c r="H90" s="73"/>
      <c r="I90" s="77"/>
      <c r="J90" s="73">
        <f t="shared" si="9"/>
        <v>11170379446.6</v>
      </c>
    </row>
    <row r="91" spans="1:10" hidden="1">
      <c r="A91" s="78"/>
      <c r="B91" s="79"/>
      <c r="C91" s="80"/>
      <c r="D91" s="79"/>
      <c r="E91" s="80"/>
      <c r="F91" s="79"/>
      <c r="G91" s="80"/>
      <c r="H91" s="79"/>
      <c r="I91" s="81"/>
      <c r="J91" s="79"/>
    </row>
    <row r="92" spans="1:10">
      <c r="A92" s="72" t="s">
        <v>223</v>
      </c>
      <c r="B92" s="82">
        <f>SUM(B82:B90)</f>
        <v>103691043716.3</v>
      </c>
      <c r="C92" s="77"/>
      <c r="D92" s="82">
        <f>SUM(D82:D90)</f>
        <v>149115000</v>
      </c>
      <c r="E92" s="83"/>
      <c r="F92" s="82">
        <f>SUM(F82:F90)</f>
        <v>0</v>
      </c>
      <c r="G92" s="83"/>
      <c r="H92" s="82">
        <f>SUM(H83:H90)</f>
        <v>0</v>
      </c>
      <c r="I92" s="83">
        <f>SUM(I83:I90)</f>
        <v>0</v>
      </c>
      <c r="J92" s="82">
        <f>SUM(J82:J90)</f>
        <v>103840158716.3</v>
      </c>
    </row>
    <row r="93" spans="1:10" hidden="1">
      <c r="A93" s="66"/>
      <c r="B93" s="84"/>
      <c r="C93" s="85"/>
      <c r="D93" s="84"/>
      <c r="E93" s="85"/>
      <c r="F93" s="84"/>
      <c r="G93" s="85"/>
      <c r="H93" s="84"/>
      <c r="I93" s="85"/>
      <c r="J93" s="84"/>
    </row>
    <row r="94" spans="1:10">
      <c r="A94" s="66" t="s">
        <v>222</v>
      </c>
      <c r="B94" s="73">
        <f>J132</f>
        <v>0</v>
      </c>
      <c r="C94" s="73"/>
      <c r="D94" s="73"/>
      <c r="E94" s="73"/>
      <c r="F94" s="73">
        <v>0</v>
      </c>
      <c r="G94" s="73"/>
      <c r="H94" s="73">
        <v>0</v>
      </c>
      <c r="I94" s="77"/>
      <c r="J94" s="73">
        <f>B94+D94-F94+H94</f>
        <v>0</v>
      </c>
    </row>
    <row r="95" spans="1:10" ht="2" customHeight="1">
      <c r="A95" s="66"/>
      <c r="B95" s="79"/>
      <c r="C95" s="80"/>
      <c r="D95" s="79"/>
      <c r="E95" s="80"/>
      <c r="F95" s="79"/>
      <c r="G95" s="80"/>
      <c r="H95" s="79"/>
      <c r="I95" s="81"/>
      <c r="J95" s="79"/>
    </row>
    <row r="96" spans="1:10">
      <c r="A96" s="72" t="s">
        <v>204</v>
      </c>
      <c r="B96" s="100">
        <f>B92+B94</f>
        <v>103691043716.3</v>
      </c>
      <c r="C96" s="77"/>
      <c r="D96" s="100">
        <f>D92+D94</f>
        <v>149115000</v>
      </c>
      <c r="E96" s="83"/>
      <c r="F96" s="100">
        <f>F92+F94</f>
        <v>0</v>
      </c>
      <c r="G96" s="83"/>
      <c r="H96" s="82">
        <f>SUM(H87:H94)</f>
        <v>0</v>
      </c>
      <c r="I96" s="83">
        <f>SUM(I87:I94)</f>
        <v>0</v>
      </c>
      <c r="J96" s="100">
        <f>J92+J94</f>
        <v>103840158716.3</v>
      </c>
    </row>
    <row r="97" spans="1:19">
      <c r="A97" s="72"/>
      <c r="B97" s="100"/>
      <c r="C97" s="77"/>
      <c r="D97" s="100"/>
      <c r="E97" s="83"/>
      <c r="F97" s="100"/>
      <c r="G97" s="83"/>
      <c r="H97" s="82"/>
      <c r="I97" s="83"/>
      <c r="J97" s="100"/>
    </row>
    <row r="98" spans="1:19">
      <c r="A98" s="66"/>
      <c r="B98" s="1304">
        <f>B78</f>
        <v>45170</v>
      </c>
      <c r="C98" s="1301"/>
      <c r="D98" s="1301"/>
      <c r="E98" s="1301"/>
      <c r="F98" s="1301"/>
      <c r="G98" s="1301"/>
      <c r="H98" s="1301"/>
      <c r="I98" s="1301"/>
      <c r="J98" s="1301"/>
    </row>
    <row r="99" spans="1:19">
      <c r="A99" s="72" t="s">
        <v>205</v>
      </c>
      <c r="B99" s="74"/>
      <c r="C99" s="86"/>
      <c r="D99" s="74"/>
      <c r="E99" s="86"/>
      <c r="F99" s="74"/>
      <c r="G99" s="86"/>
      <c r="H99" s="74"/>
      <c r="I99" s="86"/>
      <c r="J99" s="74"/>
    </row>
    <row r="100" spans="1:19">
      <c r="A100" s="66" t="s">
        <v>47</v>
      </c>
      <c r="B100" s="73">
        <v>9212291774.1624603</v>
      </c>
      <c r="C100" s="73"/>
      <c r="D100" s="674">
        <f>'2. Bangunan'!AN115</f>
        <v>1395280130.7037506</v>
      </c>
      <c r="E100" s="73"/>
      <c r="F100" s="73">
        <v>0</v>
      </c>
      <c r="G100" s="73"/>
      <c r="H100" s="73">
        <v>0</v>
      </c>
      <c r="I100" s="74"/>
      <c r="J100" s="73">
        <f t="shared" ref="J100:J107" si="10">B100+D100+F100+H100</f>
        <v>10607571904.866211</v>
      </c>
      <c r="P100" s="121">
        <v>-10607571905</v>
      </c>
      <c r="Q100" s="147">
        <f>J100+P100</f>
        <v>-0.1337890625</v>
      </c>
      <c r="R100" s="121">
        <v>1395280130.7037506</v>
      </c>
      <c r="S100" s="147">
        <f>D100-R100</f>
        <v>0</v>
      </c>
    </row>
    <row r="101" spans="1:19">
      <c r="A101" s="66" t="s">
        <v>211</v>
      </c>
      <c r="B101" s="73">
        <v>358558562.5</v>
      </c>
      <c r="C101" s="73"/>
      <c r="D101" s="674">
        <f>'3. Sumur Bor'!AN40</f>
        <v>40130578.125</v>
      </c>
      <c r="E101" s="73"/>
      <c r="F101" s="73">
        <v>0</v>
      </c>
      <c r="G101" s="73"/>
      <c r="H101" s="73"/>
      <c r="I101" s="74"/>
      <c r="J101" s="73">
        <f t="shared" si="10"/>
        <v>398689140.625</v>
      </c>
      <c r="P101" s="121">
        <v>-398689141</v>
      </c>
      <c r="Q101" s="46">
        <f t="shared" ref="Q101:Q107" si="11">J101+P101</f>
        <v>-0.375</v>
      </c>
      <c r="R101" s="121">
        <v>40130577</v>
      </c>
      <c r="S101" s="46">
        <f t="shared" ref="S101:S106" si="12">D101-R101</f>
        <v>1.125</v>
      </c>
    </row>
    <row r="102" spans="1:19">
      <c r="A102" s="66" t="s">
        <v>922</v>
      </c>
      <c r="B102" s="73">
        <v>3366962619.9999995</v>
      </c>
      <c r="C102" s="73"/>
      <c r="D102" s="674">
        <f>'4. Sarana &amp; Prasarana'!AN29</f>
        <v>283867312.5</v>
      </c>
      <c r="E102" s="73"/>
      <c r="F102" s="73">
        <v>0</v>
      </c>
      <c r="G102" s="73"/>
      <c r="H102" s="73"/>
      <c r="I102" s="74"/>
      <c r="J102" s="73">
        <f t="shared" si="10"/>
        <v>3650829932.4999995</v>
      </c>
      <c r="P102" s="121">
        <v>-3650829932</v>
      </c>
      <c r="Q102" s="46">
        <f t="shared" si="11"/>
        <v>0.4999995231628418</v>
      </c>
      <c r="R102" s="121">
        <v>283867312</v>
      </c>
      <c r="S102" s="46">
        <f t="shared" si="12"/>
        <v>0.5</v>
      </c>
    </row>
    <row r="103" spans="1:19">
      <c r="A103" s="66" t="s">
        <v>208</v>
      </c>
      <c r="B103" s="73">
        <v>18146072182.133327</v>
      </c>
      <c r="C103" s="73"/>
      <c r="D103" s="674">
        <f>'5. Mesin'!AM315</f>
        <v>2401463529.8364568</v>
      </c>
      <c r="E103" s="73"/>
      <c r="F103" s="73">
        <v>0</v>
      </c>
      <c r="G103" s="73"/>
      <c r="H103" s="73"/>
      <c r="I103" s="74"/>
      <c r="J103" s="73">
        <f t="shared" si="10"/>
        <v>20547535711.969784</v>
      </c>
      <c r="P103" s="121">
        <v>-20547535712</v>
      </c>
      <c r="Q103" s="46">
        <f t="shared" si="11"/>
        <v>-3.0216217041015625E-2</v>
      </c>
      <c r="R103" s="121">
        <v>2401463530</v>
      </c>
      <c r="S103" s="46">
        <f t="shared" si="12"/>
        <v>-0.1635432243347168</v>
      </c>
    </row>
    <row r="104" spans="1:19">
      <c r="A104" s="66" t="s">
        <v>923</v>
      </c>
      <c r="B104" s="73">
        <v>397178000</v>
      </c>
      <c r="C104" s="73"/>
      <c r="D104" s="674">
        <f>'6. Instalasi Elektrik'!AM43</f>
        <v>54460500</v>
      </c>
      <c r="E104" s="73"/>
      <c r="F104" s="73">
        <v>0</v>
      </c>
      <c r="G104" s="73"/>
      <c r="H104" s="73"/>
      <c r="I104" s="74"/>
      <c r="J104" s="73">
        <f t="shared" si="10"/>
        <v>451638500</v>
      </c>
      <c r="P104" s="121">
        <v>-451638500</v>
      </c>
      <c r="Q104" s="46">
        <f t="shared" si="11"/>
        <v>0</v>
      </c>
      <c r="R104" s="121">
        <v>54460503</v>
      </c>
      <c r="S104" s="46">
        <f t="shared" si="12"/>
        <v>-3</v>
      </c>
    </row>
    <row r="105" spans="1:19">
      <c r="A105" s="66" t="s">
        <v>203</v>
      </c>
      <c r="B105" s="73">
        <v>7346435000</v>
      </c>
      <c r="C105" s="73"/>
      <c r="D105" s="674">
        <f>'7. Kendaraan'!AM69</f>
        <v>736856250</v>
      </c>
      <c r="E105" s="73"/>
      <c r="F105" s="73">
        <v>0</v>
      </c>
      <c r="G105" s="73"/>
      <c r="H105" s="73">
        <v>0</v>
      </c>
      <c r="I105" s="75"/>
      <c r="J105" s="73">
        <f t="shared" si="10"/>
        <v>8083291250</v>
      </c>
      <c r="P105" s="121">
        <v>-8083291250</v>
      </c>
      <c r="Q105" s="46">
        <f t="shared" si="11"/>
        <v>0</v>
      </c>
      <c r="R105" s="121">
        <v>736856250</v>
      </c>
      <c r="S105" s="46">
        <f t="shared" si="12"/>
        <v>0</v>
      </c>
    </row>
    <row r="106" spans="1:19">
      <c r="A106" s="66" t="s">
        <v>924</v>
      </c>
      <c r="B106" s="73">
        <v>1174692681.2916667</v>
      </c>
      <c r="C106" s="73"/>
      <c r="D106" s="674">
        <f>'8 Peralatan &amp; Perlengkapan'!AM149</f>
        <v>56870177.208333336</v>
      </c>
      <c r="E106" s="73"/>
      <c r="F106" s="73">
        <v>0</v>
      </c>
      <c r="G106" s="73"/>
      <c r="H106" s="73">
        <v>0</v>
      </c>
      <c r="I106" s="76"/>
      <c r="J106" s="73">
        <f t="shared" si="10"/>
        <v>1231562858.5</v>
      </c>
      <c r="P106" s="121">
        <v>-1231562859</v>
      </c>
      <c r="Q106" s="46">
        <f>J106+P106</f>
        <v>-0.5</v>
      </c>
      <c r="R106" s="121">
        <v>56870177</v>
      </c>
      <c r="S106" s="46">
        <f t="shared" si="12"/>
        <v>0.2083333358168602</v>
      </c>
    </row>
    <row r="107" spans="1:19">
      <c r="A107" s="66" t="s">
        <v>903</v>
      </c>
      <c r="B107" s="1200">
        <v>9073132585.1499996</v>
      </c>
      <c r="C107" s="73"/>
      <c r="D107" s="1201">
        <f>'9. Infrastruktur'!AM50</f>
        <v>993565119.89999998</v>
      </c>
      <c r="E107" s="73"/>
      <c r="F107" s="1200">
        <v>0</v>
      </c>
      <c r="G107" s="73"/>
      <c r="H107" s="1200">
        <v>0</v>
      </c>
      <c r="I107" s="77"/>
      <c r="J107" s="1200">
        <f t="shared" si="10"/>
        <v>10066697705.049999</v>
      </c>
      <c r="P107" s="121">
        <v>-10066697705</v>
      </c>
      <c r="Q107" s="46">
        <f t="shared" si="11"/>
        <v>4.9999237060546875E-2</v>
      </c>
      <c r="R107" s="121">
        <v>993565120</v>
      </c>
      <c r="S107" s="46">
        <f>D107-R107</f>
        <v>-0.10000002384185791</v>
      </c>
    </row>
    <row r="108" spans="1:19">
      <c r="A108" s="78"/>
      <c r="B108" s="79"/>
      <c r="C108" s="80"/>
      <c r="D108" s="79"/>
      <c r="E108" s="80"/>
      <c r="F108" s="79"/>
      <c r="G108" s="80"/>
      <c r="H108" s="79"/>
      <c r="I108" s="81"/>
      <c r="J108" s="79"/>
    </row>
    <row r="109" spans="1:19">
      <c r="A109" s="72" t="s">
        <v>204</v>
      </c>
      <c r="B109" s="100">
        <f>SUM(B100:B108)</f>
        <v>49075323405.237457</v>
      </c>
      <c r="C109" s="77"/>
      <c r="D109" s="100">
        <f>SUM(D100:D108)</f>
        <v>5962493598.2735395</v>
      </c>
      <c r="E109" s="83"/>
      <c r="F109" s="100">
        <f>SUM(F100:F108)</f>
        <v>0</v>
      </c>
      <c r="G109" s="83"/>
      <c r="H109" s="100">
        <f>SUM(H100:H108)</f>
        <v>0</v>
      </c>
      <c r="I109" s="83"/>
      <c r="J109" s="100">
        <f>SUM(J100:J108)</f>
        <v>55037817003.511002</v>
      </c>
    </row>
    <row r="110" spans="1:19">
      <c r="A110" s="78"/>
      <c r="B110" s="84"/>
      <c r="C110" s="85"/>
      <c r="D110" s="84"/>
      <c r="E110" s="85"/>
      <c r="F110" s="84"/>
      <c r="G110" s="85"/>
      <c r="H110" s="84"/>
      <c r="I110" s="85"/>
      <c r="J110" s="84"/>
    </row>
    <row r="111" spans="1:19" ht="15" thickBot="1">
      <c r="A111" s="72" t="s">
        <v>206</v>
      </c>
      <c r="B111" s="87">
        <f>B96-B109</f>
        <v>54615720311.062546</v>
      </c>
      <c r="C111" s="88"/>
      <c r="D111" s="89"/>
      <c r="E111" s="88"/>
      <c r="F111" s="66"/>
      <c r="G111" s="88"/>
      <c r="H111" s="66"/>
      <c r="I111" s="88"/>
      <c r="J111" s="87">
        <f>J96-J109</f>
        <v>48802341712.789001</v>
      </c>
    </row>
    <row r="112" spans="1:19" ht="15" thickTop="1"/>
  </sheetData>
  <mergeCells count="9">
    <mergeCell ref="B2:J2"/>
    <mergeCell ref="B3:J3"/>
    <mergeCell ref="B22:J22"/>
    <mergeCell ref="B98:J98"/>
    <mergeCell ref="B39:J39"/>
    <mergeCell ref="B40:J40"/>
    <mergeCell ref="B59:J59"/>
    <mergeCell ref="B77:J77"/>
    <mergeCell ref="B78:J7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D6E-6AEB-4931-9C9F-A75470BB8993}">
  <sheetPr>
    <tabColor theme="5" tint="0.39997558519241921"/>
  </sheetPr>
  <dimension ref="A1:I75"/>
  <sheetViews>
    <sheetView workbookViewId="0">
      <selection activeCell="C13" sqref="C13"/>
    </sheetView>
  </sheetViews>
  <sheetFormatPr defaultColWidth="6.81640625" defaultRowHeight="12.5"/>
  <cols>
    <col min="1" max="1" width="6.81640625" style="64"/>
    <col min="2" max="2" width="24.26953125" style="64" bestFit="1" customWidth="1"/>
    <col min="3" max="3" width="13.81640625" style="64" bestFit="1" customWidth="1"/>
    <col min="4" max="4" width="16.54296875" style="64" bestFit="1" customWidth="1"/>
    <col min="5" max="5" width="13.81640625" style="188" bestFit="1" customWidth="1"/>
    <col min="6" max="6" width="18.26953125" style="64" bestFit="1" customWidth="1"/>
    <col min="7" max="7" width="46.1796875" style="64" bestFit="1" customWidth="1"/>
    <col min="8" max="8" width="14.453125" style="64" bestFit="1" customWidth="1"/>
    <col min="9" max="9" width="14" style="64" bestFit="1" customWidth="1"/>
    <col min="10" max="16384" width="6.81640625" style="64"/>
  </cols>
  <sheetData>
    <row r="1" spans="1:6" ht="13">
      <c r="A1" s="1313" t="s">
        <v>17</v>
      </c>
      <c r="B1" s="1314" t="s">
        <v>0</v>
      </c>
      <c r="C1" s="191" t="s">
        <v>1</v>
      </c>
      <c r="D1" s="191" t="s">
        <v>3</v>
      </c>
      <c r="E1" s="1305" t="s">
        <v>297</v>
      </c>
    </row>
    <row r="2" spans="1:6" ht="13">
      <c r="A2" s="1313"/>
      <c r="B2" s="1314"/>
      <c r="C2" s="192" t="s">
        <v>9</v>
      </c>
      <c r="D2" s="192" t="s">
        <v>9</v>
      </c>
      <c r="E2" s="1306"/>
    </row>
    <row r="3" spans="1:6" ht="13">
      <c r="A3" s="193" t="s">
        <v>296</v>
      </c>
      <c r="B3" s="194"/>
      <c r="C3" s="195"/>
      <c r="D3" s="195"/>
      <c r="E3" s="1088"/>
    </row>
    <row r="4" spans="1:6" s="200" customFormat="1" ht="17.5" customHeight="1">
      <c r="A4" s="196">
        <v>1</v>
      </c>
      <c r="B4" s="197" t="s">
        <v>293</v>
      </c>
      <c r="C4" s="198">
        <v>2002</v>
      </c>
      <c r="D4" s="199">
        <f>AT!K13</f>
        <v>655809273</v>
      </c>
      <c r="E4" s="203"/>
    </row>
    <row r="5" spans="1:6" s="200" customFormat="1" ht="17.5" customHeight="1">
      <c r="A5" s="201">
        <v>2</v>
      </c>
      <c r="B5" s="202" t="s">
        <v>294</v>
      </c>
      <c r="C5" s="198">
        <v>2002</v>
      </c>
      <c r="D5" s="199">
        <f>AT!K14</f>
        <v>200000000</v>
      </c>
      <c r="E5" s="203"/>
    </row>
    <row r="6" spans="1:6" s="200" customFormat="1" ht="17.5" customHeight="1">
      <c r="A6" s="201">
        <v>3</v>
      </c>
      <c r="B6" s="204" t="s">
        <v>295</v>
      </c>
      <c r="C6" s="198">
        <v>2002</v>
      </c>
      <c r="D6" s="199">
        <f>AT!K15</f>
        <v>226850626</v>
      </c>
      <c r="E6" s="203"/>
    </row>
    <row r="7" spans="1:6" s="207" customFormat="1" ht="11.5" customHeight="1">
      <c r="A7" s="1315"/>
      <c r="B7" s="1316"/>
      <c r="C7" s="1317"/>
      <c r="D7" s="205"/>
      <c r="E7" s="206">
        <f>SUM(D4:D6)*0</f>
        <v>0</v>
      </c>
      <c r="F7" s="64" t="s">
        <v>1142</v>
      </c>
    </row>
    <row r="8" spans="1:6" ht="13">
      <c r="A8" s="193" t="s">
        <v>298</v>
      </c>
      <c r="B8" s="194"/>
      <c r="C8" s="195"/>
      <c r="D8" s="195"/>
      <c r="E8" s="1088"/>
    </row>
    <row r="9" spans="1:6">
      <c r="A9" s="196">
        <v>1</v>
      </c>
      <c r="B9" s="197" t="s">
        <v>299</v>
      </c>
      <c r="C9" s="198">
        <v>2005</v>
      </c>
      <c r="D9" s="199">
        <v>2538567500</v>
      </c>
      <c r="E9" s="1088"/>
    </row>
    <row r="10" spans="1:6" ht="13">
      <c r="A10" s="1307"/>
      <c r="B10" s="1308"/>
      <c r="C10" s="1308"/>
      <c r="D10" s="1309"/>
      <c r="E10" s="1089">
        <f>D9*0</f>
        <v>0</v>
      </c>
      <c r="F10" s="64" t="s">
        <v>1142</v>
      </c>
    </row>
    <row r="11" spans="1:6" ht="13.5" customHeight="1">
      <c r="A11" s="209" t="s">
        <v>300</v>
      </c>
      <c r="B11" s="204"/>
      <c r="C11" s="198"/>
      <c r="D11" s="203"/>
      <c r="E11" s="1088"/>
    </row>
    <row r="12" spans="1:6">
      <c r="A12" s="201">
        <v>1</v>
      </c>
      <c r="B12" s="204" t="s">
        <v>301</v>
      </c>
      <c r="C12" s="198">
        <v>2008</v>
      </c>
      <c r="D12" s="203">
        <v>1533972000</v>
      </c>
      <c r="E12" s="1088"/>
    </row>
    <row r="13" spans="1:6">
      <c r="A13" s="201">
        <v>2</v>
      </c>
      <c r="B13" s="204" t="s">
        <v>302</v>
      </c>
      <c r="C13" s="198">
        <v>2002</v>
      </c>
      <c r="D13" s="203">
        <v>202373350</v>
      </c>
      <c r="E13" s="1088"/>
    </row>
    <row r="14" spans="1:6" s="207" customFormat="1" ht="13">
      <c r="A14" s="1310"/>
      <c r="B14" s="1311"/>
      <c r="C14" s="1311"/>
      <c r="D14" s="1312"/>
      <c r="E14" s="1089">
        <f>SUM(D12:D13)*0</f>
        <v>0</v>
      </c>
      <c r="F14" s="64" t="s">
        <v>1142</v>
      </c>
    </row>
    <row r="15" spans="1:6" s="207" customFormat="1" ht="13">
      <c r="A15" s="209" t="s">
        <v>303</v>
      </c>
      <c r="B15" s="210"/>
      <c r="C15" s="211"/>
      <c r="D15" s="212"/>
      <c r="E15" s="1089"/>
    </row>
    <row r="16" spans="1:6" s="207" customFormat="1" ht="13">
      <c r="A16" s="983">
        <v>1</v>
      </c>
      <c r="B16" s="984" t="s">
        <v>304</v>
      </c>
      <c r="C16" s="985">
        <v>2002</v>
      </c>
      <c r="D16" s="986">
        <f>3436245000*0</f>
        <v>0</v>
      </c>
      <c r="E16" s="1090"/>
    </row>
    <row r="17" spans="1:9" s="207" customFormat="1" ht="13">
      <c r="A17" s="1310"/>
      <c r="B17" s="1311"/>
      <c r="C17" s="1311"/>
      <c r="D17" s="1312"/>
      <c r="E17" s="1089">
        <f>D16</f>
        <v>0</v>
      </c>
      <c r="G17" s="207" t="s">
        <v>925</v>
      </c>
    </row>
    <row r="18" spans="1:9" ht="13">
      <c r="A18" s="201"/>
      <c r="B18" s="204"/>
      <c r="C18" s="198"/>
      <c r="D18" s="208"/>
      <c r="E18" s="1091">
        <f>SUM(E7:E17)</f>
        <v>0</v>
      </c>
      <c r="G18" s="188">
        <f>AT!K35</f>
        <v>8793817749</v>
      </c>
      <c r="H18" s="265"/>
    </row>
    <row r="19" spans="1:9" ht="13">
      <c r="C19" s="1094" t="s">
        <v>1205</v>
      </c>
      <c r="D19" s="1093">
        <f>SUM(D4:D6)+SUM(D9)+SUM(D12:D13)</f>
        <v>5357572749</v>
      </c>
    </row>
    <row r="21" spans="1:9">
      <c r="B21" s="265"/>
    </row>
    <row r="22" spans="1:9">
      <c r="B22" s="265"/>
    </row>
    <row r="23" spans="1:9" ht="13">
      <c r="A23" s="207" t="s">
        <v>1175</v>
      </c>
      <c r="B23" s="265"/>
      <c r="C23" s="265"/>
    </row>
    <row r="25" spans="1:9" ht="13">
      <c r="A25" s="1083" t="s">
        <v>1177</v>
      </c>
      <c r="B25" s="1083" t="s">
        <v>1176</v>
      </c>
    </row>
    <row r="26" spans="1:9" ht="13">
      <c r="B26" s="1080" t="s">
        <v>1178</v>
      </c>
      <c r="C26" s="1080" t="s">
        <v>1180</v>
      </c>
      <c r="D26" s="1080" t="s">
        <v>1184</v>
      </c>
      <c r="E26" s="1092" t="s">
        <v>1183</v>
      </c>
      <c r="F26" s="1080"/>
      <c r="G26" s="1080" t="s">
        <v>1181</v>
      </c>
      <c r="H26" s="1080" t="s">
        <v>1187</v>
      </c>
      <c r="I26" s="207" t="s">
        <v>1191</v>
      </c>
    </row>
    <row r="27" spans="1:9">
      <c r="B27" s="64" t="s">
        <v>1179</v>
      </c>
      <c r="C27" s="64">
        <v>112</v>
      </c>
      <c r="D27" s="1079">
        <v>32483</v>
      </c>
      <c r="E27" s="188">
        <v>14215</v>
      </c>
      <c r="F27" s="64" t="s">
        <v>1185</v>
      </c>
      <c r="G27" s="64" t="s">
        <v>1182</v>
      </c>
    </row>
    <row r="28" spans="1:9">
      <c r="B28" s="64" t="s">
        <v>1179</v>
      </c>
      <c r="C28" s="64">
        <v>151</v>
      </c>
      <c r="D28" s="1079">
        <v>33436</v>
      </c>
      <c r="E28" s="188">
        <v>8250</v>
      </c>
      <c r="F28" s="64" t="s">
        <v>1185</v>
      </c>
      <c r="G28" s="64" t="s">
        <v>1182</v>
      </c>
    </row>
    <row r="29" spans="1:9">
      <c r="B29" s="64" t="s">
        <v>1179</v>
      </c>
      <c r="C29" s="64">
        <v>197</v>
      </c>
      <c r="D29" s="1079">
        <v>34967</v>
      </c>
      <c r="E29" s="188">
        <v>15912</v>
      </c>
      <c r="F29" s="64" t="s">
        <v>1185</v>
      </c>
      <c r="G29" s="64" t="s">
        <v>1182</v>
      </c>
    </row>
    <row r="30" spans="1:9">
      <c r="B30" s="64" t="s">
        <v>1179</v>
      </c>
      <c r="C30" s="64">
        <v>244</v>
      </c>
      <c r="D30" s="1079">
        <v>36781</v>
      </c>
      <c r="E30" s="188">
        <f>E32+H32</f>
        <v>14838</v>
      </c>
      <c r="F30" s="64" t="s">
        <v>1186</v>
      </c>
      <c r="G30" s="64" t="s">
        <v>1182</v>
      </c>
    </row>
    <row r="31" spans="1:9">
      <c r="B31" s="1084" t="s">
        <v>1179</v>
      </c>
      <c r="C31" s="1084">
        <v>244</v>
      </c>
      <c r="D31" s="1085">
        <v>36781</v>
      </c>
      <c r="E31" s="1086"/>
      <c r="F31" s="1084" t="s">
        <v>1186</v>
      </c>
      <c r="G31" s="1084" t="s">
        <v>1182</v>
      </c>
      <c r="H31" s="1084"/>
      <c r="I31" s="1084" t="s">
        <v>1190</v>
      </c>
    </row>
    <row r="32" spans="1:9">
      <c r="B32" s="1084" t="s">
        <v>1179</v>
      </c>
      <c r="C32" s="1084">
        <v>1868</v>
      </c>
      <c r="D32" s="1085">
        <v>43643</v>
      </c>
      <c r="E32" s="1086">
        <v>10324</v>
      </c>
      <c r="F32" s="1084" t="s">
        <v>1186</v>
      </c>
      <c r="G32" s="1084" t="s">
        <v>1182</v>
      </c>
      <c r="H32" s="1086">
        <v>4514</v>
      </c>
      <c r="I32" s="1084"/>
    </row>
    <row r="33" spans="1:9">
      <c r="B33" s="64" t="s">
        <v>1179</v>
      </c>
      <c r="C33" s="1082" t="s">
        <v>1188</v>
      </c>
      <c r="D33" s="1079">
        <v>40135</v>
      </c>
      <c r="E33" s="188">
        <v>4994</v>
      </c>
      <c r="F33" s="64" t="s">
        <v>1186</v>
      </c>
      <c r="G33" s="64" t="s">
        <v>1182</v>
      </c>
    </row>
    <row r="34" spans="1:9">
      <c r="B34" s="1084" t="s">
        <v>1179</v>
      </c>
      <c r="C34" s="1084">
        <v>776</v>
      </c>
      <c r="D34" s="1085">
        <v>40135</v>
      </c>
      <c r="E34" s="1086"/>
      <c r="F34" s="1084" t="s">
        <v>1186</v>
      </c>
      <c r="G34" s="1084" t="s">
        <v>1182</v>
      </c>
      <c r="H34" s="1086">
        <v>1555</v>
      </c>
      <c r="I34" s="1084" t="s">
        <v>1190</v>
      </c>
    </row>
    <row r="35" spans="1:9">
      <c r="B35" s="1084" t="s">
        <v>1179</v>
      </c>
      <c r="C35" s="1087" t="s">
        <v>1189</v>
      </c>
      <c r="D35" s="1085">
        <v>43643</v>
      </c>
      <c r="E35" s="1086">
        <v>5941</v>
      </c>
      <c r="F35" s="1084" t="s">
        <v>1186</v>
      </c>
      <c r="G35" s="1084" t="s">
        <v>1182</v>
      </c>
      <c r="H35" s="1084"/>
      <c r="I35" s="1084"/>
    </row>
    <row r="36" spans="1:9">
      <c r="B36" s="64" t="s">
        <v>1179</v>
      </c>
      <c r="C36" s="64">
        <v>776</v>
      </c>
      <c r="D36" s="1079">
        <v>40135</v>
      </c>
      <c r="E36" s="188">
        <f>E35+H34</f>
        <v>7496</v>
      </c>
      <c r="F36" s="64" t="s">
        <v>1186</v>
      </c>
      <c r="G36" s="64" t="s">
        <v>1182</v>
      </c>
    </row>
    <row r="37" spans="1:9">
      <c r="B37" s="64" t="s">
        <v>1179</v>
      </c>
      <c r="C37" s="1082" t="s">
        <v>1192</v>
      </c>
      <c r="D37" s="1079">
        <v>40135</v>
      </c>
      <c r="E37" s="188">
        <v>15635</v>
      </c>
      <c r="F37" s="64" t="s">
        <v>1186</v>
      </c>
      <c r="G37" s="64" t="s">
        <v>1182</v>
      </c>
    </row>
    <row r="38" spans="1:9">
      <c r="B38" s="1084" t="s">
        <v>1179</v>
      </c>
      <c r="C38" s="1087" t="s">
        <v>1192</v>
      </c>
      <c r="D38" s="1085">
        <v>40135</v>
      </c>
      <c r="E38" s="1086">
        <v>15108</v>
      </c>
      <c r="F38" s="1084" t="s">
        <v>1186</v>
      </c>
      <c r="G38" s="1084" t="s">
        <v>1182</v>
      </c>
      <c r="H38" s="1086">
        <v>527</v>
      </c>
      <c r="I38" s="1084" t="s">
        <v>1190</v>
      </c>
    </row>
    <row r="39" spans="1:9">
      <c r="B39" s="1084" t="s">
        <v>1179</v>
      </c>
      <c r="C39" s="1087" t="s">
        <v>1193</v>
      </c>
      <c r="D39" s="1085">
        <v>43643</v>
      </c>
      <c r="E39" s="1086">
        <v>527</v>
      </c>
      <c r="F39" s="1084" t="s">
        <v>1186</v>
      </c>
      <c r="G39" s="1084" t="s">
        <v>1182</v>
      </c>
      <c r="H39" s="1084"/>
      <c r="I39" s="1084"/>
    </row>
    <row r="40" spans="1:9">
      <c r="B40" s="64" t="s">
        <v>1179</v>
      </c>
      <c r="C40" s="1082" t="s">
        <v>1194</v>
      </c>
      <c r="D40" s="1079">
        <v>40135</v>
      </c>
      <c r="E40" s="188">
        <f>E41+E42</f>
        <v>17242</v>
      </c>
      <c r="F40" s="64" t="s">
        <v>1186</v>
      </c>
      <c r="G40" s="64" t="s">
        <v>1182</v>
      </c>
    </row>
    <row r="41" spans="1:9">
      <c r="B41" s="1084" t="s">
        <v>1179</v>
      </c>
      <c r="C41" s="1087" t="s">
        <v>1194</v>
      </c>
      <c r="D41" s="1085">
        <v>40135</v>
      </c>
      <c r="E41" s="1086">
        <v>4014</v>
      </c>
      <c r="F41" s="1084" t="s">
        <v>1186</v>
      </c>
      <c r="G41" s="1084" t="s">
        <v>1182</v>
      </c>
      <c r="H41" s="1084"/>
      <c r="I41" s="1084"/>
    </row>
    <row r="42" spans="1:9">
      <c r="B42" s="1084" t="s">
        <v>1179</v>
      </c>
      <c r="C42" s="1087" t="s">
        <v>1195</v>
      </c>
      <c r="D42" s="1085">
        <v>43643</v>
      </c>
      <c r="E42" s="1086">
        <v>13228</v>
      </c>
      <c r="F42" s="1084" t="s">
        <v>1186</v>
      </c>
      <c r="G42" s="1084" t="s">
        <v>1182</v>
      </c>
      <c r="H42" s="1084"/>
      <c r="I42" s="1084"/>
    </row>
    <row r="44" spans="1:9" ht="13">
      <c r="A44" s="1083" t="s">
        <v>1196</v>
      </c>
      <c r="B44" s="1083" t="s">
        <v>1197</v>
      </c>
    </row>
    <row r="45" spans="1:9" ht="13">
      <c r="B45" s="1080" t="s">
        <v>1178</v>
      </c>
      <c r="C45" s="1080" t="s">
        <v>1180</v>
      </c>
      <c r="D45" s="1080" t="s">
        <v>1184</v>
      </c>
      <c r="E45" s="1092" t="s">
        <v>1183</v>
      </c>
      <c r="F45" s="1080"/>
      <c r="G45" s="1080" t="s">
        <v>1181</v>
      </c>
      <c r="H45" s="1080" t="s">
        <v>1187</v>
      </c>
      <c r="I45" s="207" t="s">
        <v>1191</v>
      </c>
    </row>
    <row r="46" spans="1:9">
      <c r="B46" s="64" t="s">
        <v>1179</v>
      </c>
      <c r="C46" s="64">
        <v>162</v>
      </c>
      <c r="D46" s="1079">
        <v>38651</v>
      </c>
      <c r="E46" s="188">
        <v>100000</v>
      </c>
      <c r="F46" s="64" t="s">
        <v>1198</v>
      </c>
      <c r="G46" s="64" t="s">
        <v>1199</v>
      </c>
    </row>
    <row r="47" spans="1:9">
      <c r="B47" s="64" t="s">
        <v>1179</v>
      </c>
      <c r="C47" s="64">
        <v>175</v>
      </c>
      <c r="D47" s="1079">
        <v>38842</v>
      </c>
      <c r="E47" s="188">
        <v>19485</v>
      </c>
      <c r="F47" s="64" t="s">
        <v>1200</v>
      </c>
      <c r="G47" s="64" t="s">
        <v>1199</v>
      </c>
    </row>
    <row r="48" spans="1:9">
      <c r="B48" s="64" t="s">
        <v>1179</v>
      </c>
      <c r="C48" s="64">
        <v>176</v>
      </c>
      <c r="D48" s="1079">
        <v>38842</v>
      </c>
      <c r="E48" s="188">
        <v>20000</v>
      </c>
      <c r="F48" s="64" t="s">
        <v>1200</v>
      </c>
      <c r="G48" s="64" t="s">
        <v>1199</v>
      </c>
    </row>
    <row r="49" spans="1:7">
      <c r="B49" s="64" t="s">
        <v>1179</v>
      </c>
      <c r="C49" s="64">
        <v>36</v>
      </c>
      <c r="D49" s="1079">
        <v>29824</v>
      </c>
      <c r="E49" s="188">
        <v>60000</v>
      </c>
      <c r="F49" s="64" t="s">
        <v>1198</v>
      </c>
      <c r="G49" s="64" t="s">
        <v>1199</v>
      </c>
    </row>
    <row r="50" spans="1:7">
      <c r="B50" s="64" t="s">
        <v>1179</v>
      </c>
      <c r="C50" s="64">
        <v>153</v>
      </c>
      <c r="D50" s="1079">
        <v>38384</v>
      </c>
      <c r="E50" s="188">
        <v>20000</v>
      </c>
      <c r="F50" s="64" t="s">
        <v>1201</v>
      </c>
      <c r="G50" s="64" t="s">
        <v>1199</v>
      </c>
    </row>
    <row r="51" spans="1:7">
      <c r="B51" s="64" t="s">
        <v>1179</v>
      </c>
      <c r="C51" s="64">
        <v>154</v>
      </c>
      <c r="D51" s="1079">
        <v>38384</v>
      </c>
      <c r="E51" s="188">
        <v>20000</v>
      </c>
      <c r="F51" s="64" t="s">
        <v>1201</v>
      </c>
      <c r="G51" s="64" t="s">
        <v>1199</v>
      </c>
    </row>
    <row r="52" spans="1:7">
      <c r="B52" s="64" t="s">
        <v>1179</v>
      </c>
      <c r="C52" s="64">
        <v>155</v>
      </c>
      <c r="D52" s="1079">
        <v>38384</v>
      </c>
      <c r="E52" s="188">
        <v>19500</v>
      </c>
      <c r="F52" s="64" t="s">
        <v>1198</v>
      </c>
      <c r="G52" s="64" t="s">
        <v>1199</v>
      </c>
    </row>
    <row r="53" spans="1:7">
      <c r="B53" s="64" t="s">
        <v>1179</v>
      </c>
      <c r="C53" s="64">
        <v>156</v>
      </c>
      <c r="D53" s="1079">
        <v>38384</v>
      </c>
      <c r="E53" s="188">
        <v>12770</v>
      </c>
      <c r="F53" s="64" t="s">
        <v>1202</v>
      </c>
      <c r="G53" s="64" t="s">
        <v>1199</v>
      </c>
    </row>
    <row r="54" spans="1:7">
      <c r="B54" s="64" t="s">
        <v>1179</v>
      </c>
      <c r="C54" s="64">
        <v>157</v>
      </c>
      <c r="D54" s="1079">
        <v>38384</v>
      </c>
      <c r="E54" s="188">
        <v>11070</v>
      </c>
      <c r="F54" s="64" t="s">
        <v>1201</v>
      </c>
      <c r="G54" s="64" t="s">
        <v>1199</v>
      </c>
    </row>
    <row r="55" spans="1:7">
      <c r="B55" s="64" t="s">
        <v>1179</v>
      </c>
      <c r="C55" s="64">
        <v>158</v>
      </c>
      <c r="D55" s="1079">
        <v>38397</v>
      </c>
      <c r="E55" s="188">
        <v>10290</v>
      </c>
      <c r="F55" s="64" t="s">
        <v>1198</v>
      </c>
      <c r="G55" s="64" t="s">
        <v>1199</v>
      </c>
    </row>
    <row r="56" spans="1:7">
      <c r="B56" s="64" t="s">
        <v>1179</v>
      </c>
      <c r="C56" s="64">
        <v>159</v>
      </c>
      <c r="D56" s="1079">
        <v>38651</v>
      </c>
      <c r="E56" s="188">
        <v>29080</v>
      </c>
      <c r="F56" s="64" t="s">
        <v>1185</v>
      </c>
      <c r="G56" s="64" t="s">
        <v>1199</v>
      </c>
    </row>
    <row r="57" spans="1:7">
      <c r="B57" s="64" t="s">
        <v>1179</v>
      </c>
      <c r="C57" s="64">
        <v>160</v>
      </c>
      <c r="D57" s="1079">
        <v>38651</v>
      </c>
      <c r="E57" s="188">
        <v>43400</v>
      </c>
      <c r="F57" s="64" t="s">
        <v>1185</v>
      </c>
      <c r="G57" s="64" t="s">
        <v>1199</v>
      </c>
    </row>
    <row r="58" spans="1:7">
      <c r="B58" s="64" t="s">
        <v>1179</v>
      </c>
      <c r="C58" s="64">
        <v>161</v>
      </c>
      <c r="D58" s="1079">
        <v>38651</v>
      </c>
      <c r="E58" s="188">
        <v>48300</v>
      </c>
      <c r="F58" s="64" t="s">
        <v>1185</v>
      </c>
      <c r="G58" s="64" t="s">
        <v>1199</v>
      </c>
    </row>
    <row r="59" spans="1:7">
      <c r="B59" s="64" t="s">
        <v>1179</v>
      </c>
      <c r="C59" s="64">
        <v>164</v>
      </c>
      <c r="D59" s="1079">
        <v>38651</v>
      </c>
      <c r="E59" s="188">
        <v>100000</v>
      </c>
      <c r="F59" s="64" t="s">
        <v>1206</v>
      </c>
      <c r="G59" s="64" t="s">
        <v>1199</v>
      </c>
    </row>
    <row r="60" spans="1:7">
      <c r="B60" s="64" t="s">
        <v>1179</v>
      </c>
      <c r="C60" s="64">
        <v>174</v>
      </c>
      <c r="D60" s="1079">
        <v>38840</v>
      </c>
      <c r="E60" s="188">
        <v>20000</v>
      </c>
      <c r="F60" s="64" t="s">
        <v>1185</v>
      </c>
      <c r="G60" s="64" t="s">
        <v>1199</v>
      </c>
    </row>
    <row r="61" spans="1:7">
      <c r="B61" s="64" t="s">
        <v>1179</v>
      </c>
      <c r="C61" s="64">
        <v>177</v>
      </c>
      <c r="D61" s="1079">
        <v>38840</v>
      </c>
      <c r="E61" s="188">
        <v>20000</v>
      </c>
      <c r="F61" s="64" t="s">
        <v>1185</v>
      </c>
      <c r="G61" s="64" t="s">
        <v>1199</v>
      </c>
    </row>
    <row r="62" spans="1:7">
      <c r="B62" s="64" t="s">
        <v>1179</v>
      </c>
      <c r="C62" s="64">
        <v>178</v>
      </c>
      <c r="D62" s="1079">
        <v>38840</v>
      </c>
      <c r="E62" s="188">
        <v>20000</v>
      </c>
      <c r="F62" s="64" t="s">
        <v>1185</v>
      </c>
      <c r="G62" s="64" t="s">
        <v>1199</v>
      </c>
    </row>
    <row r="64" spans="1:7" ht="13">
      <c r="A64" s="1083" t="s">
        <v>1196</v>
      </c>
      <c r="B64" s="1083" t="s">
        <v>1203</v>
      </c>
    </row>
    <row r="65" spans="2:9" ht="13">
      <c r="B65" s="1080" t="s">
        <v>1178</v>
      </c>
      <c r="C65" s="1080" t="s">
        <v>1180</v>
      </c>
      <c r="D65" s="1080" t="s">
        <v>1184</v>
      </c>
      <c r="E65" s="1092" t="s">
        <v>1183</v>
      </c>
      <c r="F65" s="1080"/>
      <c r="G65" s="1080" t="s">
        <v>1181</v>
      </c>
      <c r="H65" s="1080" t="s">
        <v>1187</v>
      </c>
      <c r="I65" s="207" t="s">
        <v>1191</v>
      </c>
    </row>
    <row r="66" spans="2:9">
      <c r="B66" s="64" t="s">
        <v>1179</v>
      </c>
      <c r="C66" s="64">
        <v>14</v>
      </c>
      <c r="D66" s="1079">
        <v>40001</v>
      </c>
      <c r="E66" s="188">
        <v>14961</v>
      </c>
      <c r="F66" s="64" t="s">
        <v>1198</v>
      </c>
      <c r="G66" s="64" t="s">
        <v>1204</v>
      </c>
    </row>
    <row r="67" spans="2:9">
      <c r="B67" s="64" t="s">
        <v>1179</v>
      </c>
      <c r="C67" s="64">
        <v>23</v>
      </c>
      <c r="D67" s="1079">
        <v>40001</v>
      </c>
      <c r="E67" s="188">
        <v>20000</v>
      </c>
      <c r="F67" s="64" t="s">
        <v>1206</v>
      </c>
      <c r="G67" s="64" t="s">
        <v>1204</v>
      </c>
    </row>
    <row r="68" spans="2:9">
      <c r="B68" s="64" t="s">
        <v>1179</v>
      </c>
      <c r="C68" s="64">
        <v>32</v>
      </c>
      <c r="D68" s="1079">
        <v>40001</v>
      </c>
      <c r="E68" s="188">
        <v>4988</v>
      </c>
      <c r="F68" s="64" t="s">
        <v>1202</v>
      </c>
      <c r="G68" s="64" t="s">
        <v>1204</v>
      </c>
    </row>
    <row r="69" spans="2:9">
      <c r="B69" s="64" t="s">
        <v>1179</v>
      </c>
      <c r="C69" s="64">
        <v>40</v>
      </c>
      <c r="D69" s="1079">
        <v>40001</v>
      </c>
      <c r="E69" s="188">
        <v>20000</v>
      </c>
      <c r="F69" s="64" t="s">
        <v>1207</v>
      </c>
      <c r="G69" s="64" t="s">
        <v>1204</v>
      </c>
    </row>
    <row r="70" spans="2:9">
      <c r="B70" s="64" t="s">
        <v>1179</v>
      </c>
      <c r="C70" s="64">
        <v>47</v>
      </c>
      <c r="D70" s="1079">
        <v>40001</v>
      </c>
      <c r="E70" s="188">
        <v>20000</v>
      </c>
      <c r="F70" s="64" t="s">
        <v>1208</v>
      </c>
      <c r="G70" s="64" t="s">
        <v>1204</v>
      </c>
    </row>
    <row r="71" spans="2:9">
      <c r="B71" s="64" t="s">
        <v>1179</v>
      </c>
      <c r="C71" s="64">
        <v>56</v>
      </c>
      <c r="D71" s="1079">
        <v>40001</v>
      </c>
      <c r="E71" s="188">
        <v>19999</v>
      </c>
      <c r="F71" s="64" t="s">
        <v>1209</v>
      </c>
      <c r="G71" s="64" t="s">
        <v>1204</v>
      </c>
    </row>
    <row r="72" spans="2:9">
      <c r="B72" s="64" t="s">
        <v>1179</v>
      </c>
      <c r="C72" s="64">
        <v>63</v>
      </c>
      <c r="D72" s="1079">
        <v>40001</v>
      </c>
      <c r="E72" s="188">
        <v>19999</v>
      </c>
      <c r="F72" s="64" t="s">
        <v>1210</v>
      </c>
      <c r="G72" s="64" t="s">
        <v>1204</v>
      </c>
    </row>
    <row r="73" spans="2:9">
      <c r="B73" s="64" t="s">
        <v>1179</v>
      </c>
      <c r="C73" s="64">
        <v>71</v>
      </c>
      <c r="D73" s="1079">
        <v>40001</v>
      </c>
      <c r="E73" s="188">
        <v>15961</v>
      </c>
      <c r="F73" s="64" t="s">
        <v>1185</v>
      </c>
      <c r="G73" s="64" t="s">
        <v>1204</v>
      </c>
    </row>
    <row r="74" spans="2:9">
      <c r="B74" s="64" t="s">
        <v>1179</v>
      </c>
      <c r="C74" s="64">
        <v>80</v>
      </c>
      <c r="D74" s="1079">
        <v>40001</v>
      </c>
      <c r="E74" s="188">
        <v>14869</v>
      </c>
      <c r="F74" s="64" t="s">
        <v>1185</v>
      </c>
      <c r="G74" s="64" t="s">
        <v>1204</v>
      </c>
    </row>
    <row r="75" spans="2:9">
      <c r="B75" s="64" t="s">
        <v>1179</v>
      </c>
      <c r="C75" s="64">
        <v>88</v>
      </c>
      <c r="D75" s="1079">
        <v>40001</v>
      </c>
      <c r="E75" s="188">
        <v>19999</v>
      </c>
      <c r="F75" s="64" t="s">
        <v>1208</v>
      </c>
      <c r="G75" s="64" t="s">
        <v>1204</v>
      </c>
    </row>
  </sheetData>
  <mergeCells count="7">
    <mergeCell ref="E1:E2"/>
    <mergeCell ref="A10:D10"/>
    <mergeCell ref="A14:D14"/>
    <mergeCell ref="A17:D17"/>
    <mergeCell ref="A1:A2"/>
    <mergeCell ref="B1:B2"/>
    <mergeCell ref="A7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FAE1-4E8F-49B9-93A7-337D7A576899}">
  <sheetPr filterMode="1">
    <tabColor theme="5" tint="0.39997558519241921"/>
  </sheetPr>
  <dimension ref="A1:BG130"/>
  <sheetViews>
    <sheetView showGridLines="0" zoomScale="102" zoomScaleNormal="102" workbookViewId="0">
      <pane xSplit="6" ySplit="4" topLeftCell="AS5" activePane="bottomRight" state="frozen"/>
      <selection activeCell="B5" sqref="B5:B20"/>
      <selection pane="topRight" activeCell="B5" sqref="B5:B20"/>
      <selection pane="bottomLeft" activeCell="B5" sqref="B5:B20"/>
      <selection pane="bottomRight" activeCell="BB112" sqref="BB112"/>
    </sheetView>
  </sheetViews>
  <sheetFormatPr defaultColWidth="9.1796875" defaultRowHeight="14.25" customHeight="1" outlineLevelCol="1"/>
  <cols>
    <col min="1" max="1" width="4.26953125" style="12" customWidth="1"/>
    <col min="2" max="2" width="25.8164062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6.453125" style="14" customWidth="1" outlineLevel="1"/>
    <col min="8" max="8" width="17.453125" style="3" customWidth="1" outlineLevel="1"/>
    <col min="9" max="9" width="14.453125" style="3" customWidth="1" outlineLevel="1"/>
    <col min="10" max="10" width="12.7265625" style="3" customWidth="1" outlineLevel="1"/>
    <col min="11" max="11" width="17.453125" style="3" customWidth="1" outlineLevel="1"/>
    <col min="12" max="12" width="14.453125" style="3" customWidth="1" outlineLevel="1"/>
    <col min="13" max="13" width="12.7265625" style="3" customWidth="1" outlineLevel="1"/>
    <col min="14" max="14" width="17.453125" style="3" customWidth="1" outlineLevel="1"/>
    <col min="15" max="15" width="14.453125" style="3" customWidth="1" outlineLevel="1"/>
    <col min="16" max="16" width="12.7265625" style="3" customWidth="1" outlineLevel="1"/>
    <col min="17" max="17" width="17.453125" style="3" customWidth="1" outlineLevel="1"/>
    <col min="18" max="18" width="14.453125" style="3" customWidth="1" outlineLevel="1"/>
    <col min="19" max="19" width="12.7265625" style="3" customWidth="1" outlineLevel="1"/>
    <col min="20" max="20" width="17.453125" style="3" customWidth="1" outlineLevel="1"/>
    <col min="21" max="21" width="14.453125" style="3" customWidth="1" outlineLevel="1"/>
    <col min="22" max="22" width="12.7265625" style="3" customWidth="1" outlineLevel="1"/>
    <col min="23" max="23" width="17.453125" style="3" customWidth="1" outlineLevel="1"/>
    <col min="24" max="24" width="14.453125" style="3" customWidth="1" outlineLevel="1"/>
    <col min="25" max="25" width="12.7265625" style="3" customWidth="1" outlineLevel="1"/>
    <col min="26" max="27" width="12.7265625" style="3" hidden="1" customWidth="1"/>
    <col min="28" max="28" width="17.453125" style="3" bestFit="1" customWidth="1"/>
    <col min="29" max="29" width="14.453125" style="3" bestFit="1" customWidth="1"/>
    <col min="30" max="30" width="12.7265625" style="3" bestFit="1" customWidth="1"/>
    <col min="31" max="31" width="17.453125" style="3" bestFit="1" customWidth="1"/>
    <col min="32" max="32" width="14.453125" style="3" bestFit="1" customWidth="1"/>
    <col min="33" max="33" width="12.7265625" style="3" bestFit="1" customWidth="1"/>
    <col min="34" max="34" width="12.6328125" style="3" customWidth="1"/>
    <col min="35" max="35" width="11.81640625" style="3" bestFit="1" customWidth="1"/>
    <col min="36" max="36" width="14.7265625" style="3" bestFit="1" customWidth="1"/>
    <col min="37" max="39" width="14.7265625" style="3" hidden="1" customWidth="1"/>
    <col min="40" max="42" width="14.7265625" style="3" customWidth="1"/>
    <col min="43" max="43" width="10.6328125" style="3" customWidth="1"/>
    <col min="44" max="44" width="13" style="3" bestFit="1" customWidth="1"/>
    <col min="45" max="45" width="12.7265625" style="3" bestFit="1" customWidth="1"/>
    <col min="46" max="48" width="12.7265625" style="3" hidden="1" customWidth="1"/>
    <col min="49" max="52" width="12.7265625" style="3" customWidth="1"/>
    <col min="53" max="53" width="9.1796875" style="3"/>
    <col min="54" max="54" width="9.90625" style="3" bestFit="1" customWidth="1"/>
    <col min="55" max="55" width="9.1796875" style="3"/>
    <col min="56" max="56" width="11.453125" style="3" bestFit="1" customWidth="1"/>
    <col min="57" max="57" width="9.90625" style="3" bestFit="1" customWidth="1"/>
    <col min="58" max="58" width="9.1796875" style="3"/>
    <col min="59" max="59" width="9.90625" style="3" bestFit="1" customWidth="1"/>
    <col min="60" max="16384" width="9.1796875" style="3"/>
  </cols>
  <sheetData>
    <row r="1" spans="1:59" ht="14.25" customHeight="1">
      <c r="B1" s="946" t="s">
        <v>1148</v>
      </c>
    </row>
    <row r="2" spans="1:59" ht="14.25" customHeight="1">
      <c r="B2" s="873" t="s">
        <v>1107</v>
      </c>
      <c r="H2" s="58"/>
    </row>
    <row r="3" spans="1:59" ht="14.25" customHeight="1">
      <c r="A3" s="1320" t="s">
        <v>17</v>
      </c>
      <c r="B3" s="1318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672" t="s">
        <v>1072</v>
      </c>
      <c r="H3" s="1318" t="s">
        <v>133</v>
      </c>
      <c r="I3" s="1" t="s">
        <v>6</v>
      </c>
      <c r="J3" s="1" t="s">
        <v>7</v>
      </c>
      <c r="K3" s="1318" t="s">
        <v>127</v>
      </c>
      <c r="L3" s="1" t="s">
        <v>6</v>
      </c>
      <c r="M3" s="1" t="s">
        <v>7</v>
      </c>
      <c r="N3" s="1318" t="s">
        <v>130</v>
      </c>
      <c r="O3" s="1" t="s">
        <v>6</v>
      </c>
      <c r="P3" s="1" t="s">
        <v>7</v>
      </c>
      <c r="Q3" s="1318" t="s">
        <v>26</v>
      </c>
      <c r="R3" s="1" t="s">
        <v>6</v>
      </c>
      <c r="S3" s="1" t="s">
        <v>7</v>
      </c>
      <c r="T3" s="1318" t="s">
        <v>18</v>
      </c>
      <c r="U3" s="1" t="s">
        <v>6</v>
      </c>
      <c r="V3" s="1" t="s">
        <v>7</v>
      </c>
      <c r="W3" s="1318" t="s">
        <v>136</v>
      </c>
      <c r="X3" s="1" t="s">
        <v>6</v>
      </c>
      <c r="Y3" s="1" t="s">
        <v>7</v>
      </c>
      <c r="Z3" s="1035" t="s">
        <v>1165</v>
      </c>
      <c r="AA3" s="1035" t="s">
        <v>1165</v>
      </c>
      <c r="AB3" s="1318" t="s">
        <v>5</v>
      </c>
      <c r="AC3" s="1" t="s">
        <v>6</v>
      </c>
      <c r="AD3" s="1" t="s">
        <v>7</v>
      </c>
      <c r="AE3" s="1318" t="s">
        <v>8</v>
      </c>
      <c r="AF3" s="1" t="s">
        <v>6</v>
      </c>
      <c r="AG3" s="1" t="s">
        <v>7</v>
      </c>
      <c r="AH3" s="1318" t="s">
        <v>23</v>
      </c>
      <c r="AI3" s="1" t="s">
        <v>6</v>
      </c>
      <c r="AJ3" s="1" t="s">
        <v>7</v>
      </c>
      <c r="AK3" s="1322" t="s">
        <v>1284</v>
      </c>
      <c r="AL3" s="1156" t="s">
        <v>6</v>
      </c>
      <c r="AM3" s="1156" t="s">
        <v>7</v>
      </c>
      <c r="AN3" s="1324" t="s">
        <v>1299</v>
      </c>
      <c r="AO3" s="1185" t="s">
        <v>6</v>
      </c>
      <c r="AP3" s="1185" t="s">
        <v>7</v>
      </c>
      <c r="AQ3" s="1318" t="s">
        <v>1219</v>
      </c>
      <c r="AR3" s="1" t="s">
        <v>6</v>
      </c>
      <c r="AS3" s="1" t="s">
        <v>7</v>
      </c>
      <c r="AT3" s="1321" t="s">
        <v>1302</v>
      </c>
      <c r="AU3" s="1156" t="s">
        <v>6</v>
      </c>
      <c r="AV3" s="1156" t="s">
        <v>7</v>
      </c>
      <c r="AW3" s="1318" t="s">
        <v>1305</v>
      </c>
      <c r="AX3" s="1" t="s">
        <v>6</v>
      </c>
      <c r="AY3" s="1" t="s">
        <v>7</v>
      </c>
      <c r="AZ3" s="870"/>
    </row>
    <row r="4" spans="1:59" ht="14.25" customHeight="1">
      <c r="A4" s="1320"/>
      <c r="B4" s="1318"/>
      <c r="C4" s="4" t="s">
        <v>9</v>
      </c>
      <c r="D4" s="4" t="s">
        <v>10</v>
      </c>
      <c r="E4" s="4" t="s">
        <v>9</v>
      </c>
      <c r="F4" s="4" t="s">
        <v>11</v>
      </c>
      <c r="G4" s="673" t="s">
        <v>1071</v>
      </c>
      <c r="H4" s="1318"/>
      <c r="I4" s="1" t="s">
        <v>134</v>
      </c>
      <c r="J4" s="1" t="s">
        <v>135</v>
      </c>
      <c r="K4" s="1318"/>
      <c r="L4" s="1" t="s">
        <v>128</v>
      </c>
      <c r="M4" s="1" t="s">
        <v>129</v>
      </c>
      <c r="N4" s="1318"/>
      <c r="O4" s="1" t="s">
        <v>131</v>
      </c>
      <c r="P4" s="1" t="s">
        <v>132</v>
      </c>
      <c r="Q4" s="1318"/>
      <c r="R4" s="1" t="s">
        <v>27</v>
      </c>
      <c r="S4" s="1" t="s">
        <v>28</v>
      </c>
      <c r="T4" s="1318"/>
      <c r="U4" s="1" t="s">
        <v>19</v>
      </c>
      <c r="V4" s="1" t="s">
        <v>20</v>
      </c>
      <c r="W4" s="1318"/>
      <c r="X4" s="1" t="s">
        <v>21</v>
      </c>
      <c r="Y4" s="1" t="s">
        <v>22</v>
      </c>
      <c r="Z4" s="1035" t="s">
        <v>1166</v>
      </c>
      <c r="AA4" s="1035" t="s">
        <v>1167</v>
      </c>
      <c r="AB4" s="1318"/>
      <c r="AC4" s="1" t="s">
        <v>12</v>
      </c>
      <c r="AD4" s="1" t="s">
        <v>13</v>
      </c>
      <c r="AE4" s="1318"/>
      <c r="AF4" s="1" t="s">
        <v>14</v>
      </c>
      <c r="AG4" s="1" t="s">
        <v>15</v>
      </c>
      <c r="AH4" s="1318"/>
      <c r="AI4" s="1" t="s">
        <v>24</v>
      </c>
      <c r="AJ4" s="1" t="s">
        <v>25</v>
      </c>
      <c r="AK4" s="1323"/>
      <c r="AL4" s="1156" t="s">
        <v>1285</v>
      </c>
      <c r="AM4" s="1156" t="s">
        <v>1286</v>
      </c>
      <c r="AN4" s="1325"/>
      <c r="AO4" s="1185" t="s">
        <v>1300</v>
      </c>
      <c r="AP4" s="1185" t="s">
        <v>1301</v>
      </c>
      <c r="AQ4" s="1318"/>
      <c r="AR4" s="1" t="s">
        <v>1220</v>
      </c>
      <c r="AS4" s="1" t="s">
        <v>1221</v>
      </c>
      <c r="AT4" s="1322"/>
      <c r="AU4" s="1159" t="s">
        <v>1303</v>
      </c>
      <c r="AV4" s="1159" t="s">
        <v>1304</v>
      </c>
      <c r="AW4" s="1319"/>
      <c r="AX4" s="1203" t="s">
        <v>1306</v>
      </c>
      <c r="AY4" s="1203" t="s">
        <v>1307</v>
      </c>
      <c r="AZ4" s="870"/>
      <c r="BB4" s="5"/>
    </row>
    <row r="5" spans="1:59" ht="14.25" customHeight="1">
      <c r="A5" s="213" t="s">
        <v>305</v>
      </c>
      <c r="B5" s="53"/>
      <c r="C5" s="54"/>
      <c r="D5" s="55"/>
      <c r="E5" s="6"/>
      <c r="F5" s="20"/>
      <c r="G5" s="2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182"/>
      <c r="BB5" s="8"/>
      <c r="BD5" s="187">
        <v>3926666.666666667</v>
      </c>
      <c r="BE5" s="19">
        <f>AG5-BD5</f>
        <v>-3926666.666666667</v>
      </c>
    </row>
    <row r="6" spans="1:59" s="220" customFormat="1" ht="14.25" customHeight="1">
      <c r="A6" s="190" t="s">
        <v>232</v>
      </c>
      <c r="B6" s="214" t="s">
        <v>306</v>
      </c>
      <c r="C6" s="215"/>
      <c r="D6" s="55"/>
      <c r="E6" s="217"/>
      <c r="F6" s="218"/>
      <c r="G6" s="218"/>
      <c r="H6" s="219"/>
      <c r="I6" s="219"/>
      <c r="J6" s="219"/>
      <c r="K6" s="219"/>
      <c r="L6" s="219"/>
      <c r="M6" s="219"/>
      <c r="N6" s="670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27"/>
      <c r="BB6" s="61"/>
      <c r="BD6" s="229">
        <v>13309391.666666666</v>
      </c>
      <c r="BE6" s="179">
        <f>AG6-BD6</f>
        <v>-13309391.666666666</v>
      </c>
      <c r="BF6" s="222">
        <f>F6/12</f>
        <v>0</v>
      </c>
      <c r="BG6" s="179">
        <f>BE6-BF6</f>
        <v>-13309391.666666666</v>
      </c>
    </row>
    <row r="7" spans="1:59" ht="14.25" customHeight="1">
      <c r="A7" s="17">
        <v>1</v>
      </c>
      <c r="B7" s="53" t="s">
        <v>307</v>
      </c>
      <c r="C7" s="238">
        <v>38353</v>
      </c>
      <c r="D7" s="55">
        <v>20</v>
      </c>
      <c r="E7" s="6">
        <v>5564855579</v>
      </c>
      <c r="F7" s="1041">
        <f>E7/D7</f>
        <v>278242778.94999999</v>
      </c>
      <c r="G7" s="1041">
        <f>E7</f>
        <v>5564855579</v>
      </c>
      <c r="H7" s="1042"/>
      <c r="I7" s="1042">
        <f>H7</f>
        <v>0</v>
      </c>
      <c r="J7" s="1042">
        <f>G7-I7</f>
        <v>5564855579</v>
      </c>
      <c r="K7" s="1042"/>
      <c r="L7" s="1042">
        <f>I7+K7</f>
        <v>0</v>
      </c>
      <c r="M7" s="1042">
        <f>E7-L7</f>
        <v>5564855579</v>
      </c>
      <c r="N7" s="1042">
        <f t="shared" ref="N7:N20" si="0">(F7/12)*12</f>
        <v>278242778.94999999</v>
      </c>
      <c r="O7" s="1042">
        <f>N7+L7</f>
        <v>278242778.94999999</v>
      </c>
      <c r="P7" s="1042">
        <f>E7-O7</f>
        <v>5286612800.0500002</v>
      </c>
      <c r="Q7" s="1042">
        <f t="shared" ref="Q7:Q20" si="1">(F7/12)*12</f>
        <v>278242778.94999999</v>
      </c>
      <c r="R7" s="1042">
        <f>Q7+O7</f>
        <v>556485557.89999998</v>
      </c>
      <c r="S7" s="1042">
        <f>E7-R7</f>
        <v>5008370021.1000004</v>
      </c>
      <c r="T7" s="1042">
        <f>(F7/12)*12</f>
        <v>278242778.94999999</v>
      </c>
      <c r="U7" s="1042">
        <f>R7+T7</f>
        <v>834728336.8499999</v>
      </c>
      <c r="V7" s="1042">
        <f>E7-U7</f>
        <v>4730127242.1499996</v>
      </c>
      <c r="W7" s="1042">
        <f t="shared" ref="W7:W20" si="2">(F7/12)*12</f>
        <v>278242778.94999999</v>
      </c>
      <c r="X7" s="1042">
        <f t="shared" ref="X7:X21" si="3">U7+W7</f>
        <v>1112971115.8</v>
      </c>
      <c r="Y7" s="1042">
        <f>E7-X7</f>
        <v>4451884463.1999998</v>
      </c>
      <c r="Z7" s="7">
        <v>1086930221.95</v>
      </c>
      <c r="AA7" s="7">
        <f>E7-Z7</f>
        <v>4477925357.0500002</v>
      </c>
      <c r="AB7" s="1042">
        <f t="shared" ref="AB7:AB21" si="4">(F7/12)*12</f>
        <v>278242778.94999999</v>
      </c>
      <c r="AC7" s="1042">
        <f>X7+AB7</f>
        <v>1391213894.75</v>
      </c>
      <c r="AD7" s="1042">
        <f t="shared" ref="AD7:AD21" si="5">E7-AC7</f>
        <v>4173641684.25</v>
      </c>
      <c r="AE7" s="1042">
        <f>(F7/12)*12</f>
        <v>278242778.94999999</v>
      </c>
      <c r="AF7" s="1042">
        <f>AC7+AE7</f>
        <v>1669456673.7</v>
      </c>
      <c r="AG7" s="1042">
        <f>E7-AF7</f>
        <v>3895398905.3000002</v>
      </c>
      <c r="AH7" s="1042">
        <f t="shared" ref="AH7:AH22" si="6">(F7/12)*12</f>
        <v>278242778.94999999</v>
      </c>
      <c r="AI7" s="1042">
        <f t="shared" ref="AI7:AI22" si="7">AF7+AH7</f>
        <v>1947699452.6500001</v>
      </c>
      <c r="AJ7" s="1042">
        <f t="shared" ref="AJ7:AJ22" si="8">E7-AI7</f>
        <v>3617156126.3499999</v>
      </c>
      <c r="AK7" s="1042">
        <f>(F7/12)*1</f>
        <v>23186898.245833334</v>
      </c>
      <c r="AL7" s="1042">
        <f>AI7+AK7</f>
        <v>1970886350.8958335</v>
      </c>
      <c r="AM7" s="1042">
        <f>E7-AL7</f>
        <v>3593969228.1041665</v>
      </c>
      <c r="AN7" s="1042">
        <f>(F7/12)*9</f>
        <v>208682084.21250001</v>
      </c>
      <c r="AO7" s="1042">
        <f>AI7+AN7</f>
        <v>2156381536.8625002</v>
      </c>
      <c r="AP7" s="1042">
        <f>E7-AO7</f>
        <v>3408474042.1374998</v>
      </c>
      <c r="AQ7" s="1042">
        <f>(F7/12)*12</f>
        <v>278242778.94999999</v>
      </c>
      <c r="AR7" s="1042">
        <f t="shared" ref="AR7:AR22" si="9">AI7+AQ7</f>
        <v>2225942231.5999999</v>
      </c>
      <c r="AS7" s="1042">
        <f t="shared" ref="AS7:AS22" si="10">E7-AR7</f>
        <v>3338913347.4000001</v>
      </c>
      <c r="AT7" s="1042">
        <f>(F7/12)*9</f>
        <v>208682084.21250001</v>
      </c>
      <c r="AU7" s="1042">
        <f>AR7+AT7</f>
        <v>2434624315.8125</v>
      </c>
      <c r="AV7" s="1042">
        <f>E7-AU7</f>
        <v>3130231263.1875</v>
      </c>
      <c r="AW7" s="1042">
        <f>(F7/12)*12</f>
        <v>278242778.94999999</v>
      </c>
      <c r="AX7" s="1042">
        <f>AR7+AW7</f>
        <v>2504185010.5499997</v>
      </c>
      <c r="AY7" s="1042">
        <f>E7-AX7</f>
        <v>3060670568.4500003</v>
      </c>
      <c r="AZ7" s="1051"/>
      <c r="BB7" s="8">
        <f>E7-AX7-AY7</f>
        <v>0</v>
      </c>
      <c r="BD7" s="187"/>
      <c r="BE7" s="19"/>
      <c r="BF7" s="58"/>
      <c r="BG7" s="19"/>
    </row>
    <row r="8" spans="1:59" ht="14.25" customHeight="1">
      <c r="A8" s="17">
        <f>A7+1</f>
        <v>2</v>
      </c>
      <c r="B8" s="1015" t="s">
        <v>308</v>
      </c>
      <c r="C8" s="238">
        <v>38353</v>
      </c>
      <c r="D8" s="55">
        <v>20</v>
      </c>
      <c r="E8" s="6">
        <v>39450000</v>
      </c>
      <c r="F8" s="1041">
        <f t="shared" ref="F8:F29" si="11">E8/D8</f>
        <v>1972500</v>
      </c>
      <c r="G8" s="1041">
        <f t="shared" ref="G8:G19" si="12">E8</f>
        <v>39450000</v>
      </c>
      <c r="H8" s="1042"/>
      <c r="I8" s="1042">
        <f t="shared" ref="I8:I19" si="13">H8</f>
        <v>0</v>
      </c>
      <c r="J8" s="1042">
        <f t="shared" ref="J8:J22" si="14">G8-I8</f>
        <v>39450000</v>
      </c>
      <c r="K8" s="1042"/>
      <c r="L8" s="1042">
        <f t="shared" ref="L8:L20" si="15">I8+K8</f>
        <v>0</v>
      </c>
      <c r="M8" s="1042">
        <f t="shared" ref="M8:M20" si="16">E8-L8</f>
        <v>39450000</v>
      </c>
      <c r="N8" s="1042">
        <f t="shared" si="0"/>
        <v>1972500</v>
      </c>
      <c r="O8" s="1042">
        <f t="shared" ref="O8:O22" si="17">N8+L8</f>
        <v>1972500</v>
      </c>
      <c r="P8" s="1042">
        <f t="shared" ref="P8:P20" si="18">E8-O8</f>
        <v>37477500</v>
      </c>
      <c r="Q8" s="1042">
        <f t="shared" si="1"/>
        <v>1972500</v>
      </c>
      <c r="R8" s="1042">
        <f>Q8+O8</f>
        <v>3945000</v>
      </c>
      <c r="S8" s="1042">
        <f t="shared" ref="S8:S20" si="19">E8-R8</f>
        <v>35505000</v>
      </c>
      <c r="T8" s="1042">
        <f t="shared" ref="T8:T20" si="20">(F8/12)*12</f>
        <v>1972500</v>
      </c>
      <c r="U8" s="1042">
        <f t="shared" ref="U8:U20" si="21">R8+T8</f>
        <v>5917500</v>
      </c>
      <c r="V8" s="1042">
        <f t="shared" ref="V8:V20" si="22">E8-U8</f>
        <v>33532500</v>
      </c>
      <c r="W8" s="1042">
        <f t="shared" si="2"/>
        <v>1972500</v>
      </c>
      <c r="X8" s="1042">
        <f t="shared" si="3"/>
        <v>7890000</v>
      </c>
      <c r="Y8" s="1042">
        <f t="shared" ref="Y8:Y21" si="23">E8-X8</f>
        <v>31560000</v>
      </c>
      <c r="Z8" s="7">
        <v>7890000</v>
      </c>
      <c r="AA8" s="7">
        <f t="shared" ref="AA8:AA21" si="24">E8-Z8</f>
        <v>31560000</v>
      </c>
      <c r="AB8" s="1042">
        <f t="shared" si="4"/>
        <v>1972500</v>
      </c>
      <c r="AC8" s="1042">
        <f t="shared" ref="AC8:AC9" si="25">X8+AB8</f>
        <v>9862500</v>
      </c>
      <c r="AD8" s="1042">
        <f t="shared" si="5"/>
        <v>29587500</v>
      </c>
      <c r="AE8" s="1042">
        <f t="shared" ref="AE8:AE21" si="26">(F8/12)*12</f>
        <v>1972500</v>
      </c>
      <c r="AF8" s="1042">
        <f t="shared" ref="AF8:AF22" si="27">AC8+AE8</f>
        <v>11835000</v>
      </c>
      <c r="AG8" s="1042">
        <f t="shared" ref="AG8:AG22" si="28">E8-AF8</f>
        <v>27615000</v>
      </c>
      <c r="AH8" s="1042">
        <f t="shared" si="6"/>
        <v>1972500</v>
      </c>
      <c r="AI8" s="1042">
        <f t="shared" si="7"/>
        <v>13807500</v>
      </c>
      <c r="AJ8" s="1042">
        <f t="shared" si="8"/>
        <v>25642500</v>
      </c>
      <c r="AK8" s="1042">
        <f t="shared" ref="AK8:AK9" si="29">(F8/12)*1</f>
        <v>164375</v>
      </c>
      <c r="AL8" s="1042">
        <f t="shared" ref="AL8:AL9" si="30">AI8+AK8</f>
        <v>13971875</v>
      </c>
      <c r="AM8" s="1042">
        <f t="shared" ref="AM8:AM9" si="31">E8-AL8</f>
        <v>25478125</v>
      </c>
      <c r="AN8" s="1042">
        <f t="shared" ref="AN8:AN9" si="32">(F8/12)*9</f>
        <v>1479375</v>
      </c>
      <c r="AO8" s="1042">
        <f t="shared" ref="AO8:AO9" si="33">AI8+AN8</f>
        <v>15286875</v>
      </c>
      <c r="AP8" s="1042">
        <f t="shared" ref="AP8:AP9" si="34">E8-AO8</f>
        <v>24163125</v>
      </c>
      <c r="AQ8" s="1042">
        <f>(F8/12)*12</f>
        <v>1972500</v>
      </c>
      <c r="AR8" s="1042">
        <f t="shared" si="9"/>
        <v>15780000</v>
      </c>
      <c r="AS8" s="1042">
        <f t="shared" si="10"/>
        <v>23670000</v>
      </c>
      <c r="AT8" s="1042">
        <f t="shared" ref="AT8:AT9" si="35">(F8/12)*9</f>
        <v>1479375</v>
      </c>
      <c r="AU8" s="1042">
        <f t="shared" ref="AU8:AU9" si="36">AR8+AT8</f>
        <v>17259375</v>
      </c>
      <c r="AV8" s="1042">
        <f t="shared" ref="AV8:AV9" si="37">E8-AU8</f>
        <v>22190625</v>
      </c>
      <c r="AW8" s="1042">
        <f t="shared" ref="AW8:AW9" si="38">(F8/12)*12</f>
        <v>1972500</v>
      </c>
      <c r="AX8" s="1042">
        <f t="shared" ref="AX8:AX9" si="39">AR8+AW8</f>
        <v>17752500</v>
      </c>
      <c r="AY8" s="1042">
        <f t="shared" ref="AY8:AY9" si="40">E8-AX8</f>
        <v>21697500</v>
      </c>
      <c r="AZ8" s="1051"/>
      <c r="BB8" s="8">
        <f t="shared" ref="BB8:BB9" si="41">E8-AX8-AY8</f>
        <v>0</v>
      </c>
      <c r="BD8" s="187"/>
      <c r="BE8" s="19"/>
      <c r="BF8" s="58"/>
      <c r="BG8" s="19"/>
    </row>
    <row r="9" spans="1:59" ht="14.25" customHeight="1">
      <c r="A9" s="17">
        <f t="shared" ref="A9:A22" si="42">A8+1</f>
        <v>3</v>
      </c>
      <c r="B9" s="53" t="s">
        <v>309</v>
      </c>
      <c r="C9" s="238">
        <v>38353</v>
      </c>
      <c r="D9" s="55">
        <v>20</v>
      </c>
      <c r="E9" s="6">
        <v>742420000</v>
      </c>
      <c r="F9" s="1041">
        <f t="shared" si="11"/>
        <v>37121000</v>
      </c>
      <c r="G9" s="1041">
        <f t="shared" si="12"/>
        <v>742420000</v>
      </c>
      <c r="H9" s="1042"/>
      <c r="I9" s="1042">
        <f t="shared" si="13"/>
        <v>0</v>
      </c>
      <c r="J9" s="1042">
        <f t="shared" si="14"/>
        <v>742420000</v>
      </c>
      <c r="K9" s="1042"/>
      <c r="L9" s="1042">
        <f t="shared" si="15"/>
        <v>0</v>
      </c>
      <c r="M9" s="1042">
        <f t="shared" si="16"/>
        <v>742420000</v>
      </c>
      <c r="N9" s="1042">
        <f t="shared" si="0"/>
        <v>37121000</v>
      </c>
      <c r="O9" s="1042">
        <f t="shared" si="17"/>
        <v>37121000</v>
      </c>
      <c r="P9" s="1042">
        <f t="shared" si="18"/>
        <v>705299000</v>
      </c>
      <c r="Q9" s="1042">
        <f t="shared" si="1"/>
        <v>37121000</v>
      </c>
      <c r="R9" s="1042">
        <f t="shared" ref="R9:R20" si="43">Q9+O9</f>
        <v>74242000</v>
      </c>
      <c r="S9" s="1042">
        <f t="shared" si="19"/>
        <v>668178000</v>
      </c>
      <c r="T9" s="1042">
        <f t="shared" si="20"/>
        <v>37121000</v>
      </c>
      <c r="U9" s="1042">
        <f t="shared" si="21"/>
        <v>111363000</v>
      </c>
      <c r="V9" s="1042">
        <f t="shared" si="22"/>
        <v>631057000</v>
      </c>
      <c r="W9" s="1042">
        <f t="shared" si="2"/>
        <v>37121000</v>
      </c>
      <c r="X9" s="1042">
        <f t="shared" si="3"/>
        <v>148484000</v>
      </c>
      <c r="Y9" s="1042">
        <f t="shared" si="23"/>
        <v>593936000</v>
      </c>
      <c r="Z9" s="7">
        <v>148484000</v>
      </c>
      <c r="AA9" s="7">
        <f t="shared" si="24"/>
        <v>593936000</v>
      </c>
      <c r="AB9" s="1042">
        <f t="shared" si="4"/>
        <v>37121000</v>
      </c>
      <c r="AC9" s="1042">
        <f t="shared" si="25"/>
        <v>185605000</v>
      </c>
      <c r="AD9" s="1042">
        <f t="shared" si="5"/>
        <v>556815000</v>
      </c>
      <c r="AE9" s="1042">
        <f t="shared" si="26"/>
        <v>37121000</v>
      </c>
      <c r="AF9" s="1042">
        <f t="shared" si="27"/>
        <v>222726000</v>
      </c>
      <c r="AG9" s="1042">
        <f t="shared" si="28"/>
        <v>519694000</v>
      </c>
      <c r="AH9" s="1042">
        <f t="shared" si="6"/>
        <v>37121000</v>
      </c>
      <c r="AI9" s="1042">
        <f t="shared" si="7"/>
        <v>259847000</v>
      </c>
      <c r="AJ9" s="1042">
        <f t="shared" si="8"/>
        <v>482573000</v>
      </c>
      <c r="AK9" s="1042">
        <f t="shared" si="29"/>
        <v>3093416.6666666665</v>
      </c>
      <c r="AL9" s="1042">
        <f t="shared" si="30"/>
        <v>262940416.66666666</v>
      </c>
      <c r="AM9" s="1042">
        <f t="shared" si="31"/>
        <v>479479583.33333337</v>
      </c>
      <c r="AN9" s="1042">
        <f t="shared" si="32"/>
        <v>27840750</v>
      </c>
      <c r="AO9" s="1042">
        <f t="shared" si="33"/>
        <v>287687750</v>
      </c>
      <c r="AP9" s="1042">
        <f t="shared" si="34"/>
        <v>454732250</v>
      </c>
      <c r="AQ9" s="1042">
        <f>(F9/12)*12</f>
        <v>37121000</v>
      </c>
      <c r="AR9" s="1042">
        <f t="shared" si="9"/>
        <v>296968000</v>
      </c>
      <c r="AS9" s="1042">
        <f t="shared" si="10"/>
        <v>445452000</v>
      </c>
      <c r="AT9" s="1042">
        <f t="shared" si="35"/>
        <v>27840750</v>
      </c>
      <c r="AU9" s="1042">
        <f t="shared" si="36"/>
        <v>324808750</v>
      </c>
      <c r="AV9" s="1042">
        <f t="shared" si="37"/>
        <v>417611250</v>
      </c>
      <c r="AW9" s="1042">
        <f t="shared" si="38"/>
        <v>37121000</v>
      </c>
      <c r="AX9" s="1042">
        <f t="shared" si="39"/>
        <v>334089000</v>
      </c>
      <c r="AY9" s="1042">
        <f t="shared" si="40"/>
        <v>408331000</v>
      </c>
      <c r="AZ9" s="1051"/>
      <c r="BB9" s="8">
        <f t="shared" si="41"/>
        <v>0</v>
      </c>
      <c r="BD9" s="187"/>
      <c r="BE9" s="19"/>
      <c r="BF9" s="58"/>
      <c r="BG9" s="19"/>
    </row>
    <row r="10" spans="1:59" s="9" customFormat="1" ht="14.25" hidden="1" customHeight="1">
      <c r="A10" s="874">
        <f t="shared" si="42"/>
        <v>4</v>
      </c>
      <c r="B10" s="875" t="s">
        <v>310</v>
      </c>
      <c r="C10" s="876">
        <v>38353</v>
      </c>
      <c r="D10" s="877">
        <v>20</v>
      </c>
      <c r="E10" s="878">
        <f>8100000*0</f>
        <v>0</v>
      </c>
      <c r="F10" s="879">
        <f t="shared" si="11"/>
        <v>0</v>
      </c>
      <c r="G10" s="879">
        <f t="shared" si="12"/>
        <v>0</v>
      </c>
      <c r="H10" s="880">
        <f>((F10/12)*(13-IF(C10="","",MONTH(C10))))*10</f>
        <v>0</v>
      </c>
      <c r="I10" s="880">
        <f t="shared" si="13"/>
        <v>0</v>
      </c>
      <c r="J10" s="880">
        <f t="shared" si="14"/>
        <v>0</v>
      </c>
      <c r="K10" s="880">
        <f t="shared" ref="K10" si="44">(F10/12)*12</f>
        <v>0</v>
      </c>
      <c r="L10" s="880">
        <f t="shared" si="15"/>
        <v>0</v>
      </c>
      <c r="M10" s="880">
        <f t="shared" si="16"/>
        <v>0</v>
      </c>
      <c r="N10" s="880">
        <f t="shared" si="0"/>
        <v>0</v>
      </c>
      <c r="O10" s="880">
        <f t="shared" si="17"/>
        <v>0</v>
      </c>
      <c r="P10" s="880">
        <f t="shared" si="18"/>
        <v>0</v>
      </c>
      <c r="Q10" s="880">
        <f t="shared" si="1"/>
        <v>0</v>
      </c>
      <c r="R10" s="880">
        <f t="shared" si="43"/>
        <v>0</v>
      </c>
      <c r="S10" s="880">
        <f t="shared" si="19"/>
        <v>0</v>
      </c>
      <c r="T10" s="880">
        <f t="shared" si="20"/>
        <v>0</v>
      </c>
      <c r="U10" s="880">
        <f t="shared" si="21"/>
        <v>0</v>
      </c>
      <c r="V10" s="880">
        <f t="shared" si="22"/>
        <v>0</v>
      </c>
      <c r="W10" s="880">
        <f t="shared" si="2"/>
        <v>0</v>
      </c>
      <c r="X10" s="880">
        <f t="shared" si="3"/>
        <v>0</v>
      </c>
      <c r="Y10" s="880">
        <f t="shared" si="23"/>
        <v>0</v>
      </c>
      <c r="Z10" s="880">
        <f>1620000*0</f>
        <v>0</v>
      </c>
      <c r="AA10" s="880">
        <f t="shared" si="24"/>
        <v>0</v>
      </c>
      <c r="AB10" s="880">
        <f t="shared" si="4"/>
        <v>0</v>
      </c>
      <c r="AC10" s="880">
        <f t="shared" ref="AC10" si="45">Z10+AB10</f>
        <v>0</v>
      </c>
      <c r="AD10" s="880">
        <f t="shared" si="5"/>
        <v>0</v>
      </c>
      <c r="AE10" s="880">
        <f t="shared" si="26"/>
        <v>0</v>
      </c>
      <c r="AF10" s="880">
        <f t="shared" si="27"/>
        <v>0</v>
      </c>
      <c r="AG10" s="880">
        <f t="shared" si="28"/>
        <v>0</v>
      </c>
      <c r="AH10" s="880">
        <f t="shared" si="6"/>
        <v>0</v>
      </c>
      <c r="AI10" s="880">
        <f t="shared" si="7"/>
        <v>0</v>
      </c>
      <c r="AJ10" s="880">
        <f t="shared" si="8"/>
        <v>0</v>
      </c>
      <c r="AK10" s="880"/>
      <c r="AL10" s="880"/>
      <c r="AM10" s="880"/>
      <c r="AN10" s="880"/>
      <c r="AO10" s="880"/>
      <c r="AP10" s="880"/>
      <c r="AQ10" s="880">
        <f t="shared" ref="AQ10" si="46">(F10/12)*7</f>
        <v>0</v>
      </c>
      <c r="AR10" s="880">
        <f t="shared" si="9"/>
        <v>0</v>
      </c>
      <c r="AS10" s="880">
        <f t="shared" si="10"/>
        <v>0</v>
      </c>
      <c r="AT10" s="896"/>
      <c r="AU10" s="896"/>
      <c r="AV10" s="896"/>
      <c r="AW10" s="896"/>
      <c r="AX10" s="896"/>
      <c r="AY10" s="896"/>
      <c r="AZ10" s="896"/>
      <c r="BB10" s="881">
        <f t="shared" ref="BB10:BB33" si="47">E10-AR10-AS10</f>
        <v>0</v>
      </c>
      <c r="BD10" s="882"/>
      <c r="BE10" s="881"/>
      <c r="BF10" s="883"/>
      <c r="BG10" s="881"/>
    </row>
    <row r="11" spans="1:59" ht="14.25" customHeight="1">
      <c r="A11" s="17">
        <f t="shared" si="42"/>
        <v>5</v>
      </c>
      <c r="B11" s="53" t="s">
        <v>311</v>
      </c>
      <c r="C11" s="238">
        <v>38718</v>
      </c>
      <c r="D11" s="55">
        <v>20</v>
      </c>
      <c r="E11" s="6">
        <v>203210000</v>
      </c>
      <c r="F11" s="1041">
        <f t="shared" si="11"/>
        <v>10160500</v>
      </c>
      <c r="G11" s="1041">
        <f t="shared" si="12"/>
        <v>203210000</v>
      </c>
      <c r="H11" s="1042"/>
      <c r="I11" s="1042">
        <f t="shared" si="13"/>
        <v>0</v>
      </c>
      <c r="J11" s="1042">
        <f t="shared" si="14"/>
        <v>203210000</v>
      </c>
      <c r="K11" s="1042"/>
      <c r="L11" s="1042">
        <f t="shared" si="15"/>
        <v>0</v>
      </c>
      <c r="M11" s="1042">
        <f t="shared" si="16"/>
        <v>203210000</v>
      </c>
      <c r="N11" s="1042">
        <f t="shared" si="0"/>
        <v>10160500</v>
      </c>
      <c r="O11" s="1042">
        <f t="shared" si="17"/>
        <v>10160500</v>
      </c>
      <c r="P11" s="1042">
        <f t="shared" si="18"/>
        <v>193049500</v>
      </c>
      <c r="Q11" s="1042">
        <f t="shared" si="1"/>
        <v>10160500</v>
      </c>
      <c r="R11" s="1042">
        <f t="shared" si="43"/>
        <v>20321000</v>
      </c>
      <c r="S11" s="1042">
        <f t="shared" si="19"/>
        <v>182889000</v>
      </c>
      <c r="T11" s="1042">
        <f t="shared" si="20"/>
        <v>10160500</v>
      </c>
      <c r="U11" s="1042">
        <f t="shared" si="21"/>
        <v>30481500</v>
      </c>
      <c r="V11" s="1042">
        <f t="shared" si="22"/>
        <v>172728500</v>
      </c>
      <c r="W11" s="1042">
        <f t="shared" si="2"/>
        <v>10160500</v>
      </c>
      <c r="X11" s="1042">
        <f t="shared" si="3"/>
        <v>40642000</v>
      </c>
      <c r="Y11" s="1042">
        <f t="shared" si="23"/>
        <v>162568000</v>
      </c>
      <c r="Z11" s="7">
        <v>40642000</v>
      </c>
      <c r="AA11" s="7">
        <f t="shared" si="24"/>
        <v>162568000</v>
      </c>
      <c r="AB11" s="1042">
        <f t="shared" si="4"/>
        <v>10160500</v>
      </c>
      <c r="AC11" s="1042">
        <f t="shared" ref="AC11:AC21" si="48">X11+AB11</f>
        <v>50802500</v>
      </c>
      <c r="AD11" s="1042">
        <f t="shared" si="5"/>
        <v>152407500</v>
      </c>
      <c r="AE11" s="1042">
        <f t="shared" si="26"/>
        <v>10160500</v>
      </c>
      <c r="AF11" s="1042">
        <f t="shared" si="27"/>
        <v>60963000</v>
      </c>
      <c r="AG11" s="1042">
        <f t="shared" si="28"/>
        <v>142247000</v>
      </c>
      <c r="AH11" s="1042">
        <f t="shared" si="6"/>
        <v>10160500</v>
      </c>
      <c r="AI11" s="1042">
        <f t="shared" si="7"/>
        <v>71123500</v>
      </c>
      <c r="AJ11" s="1042">
        <f t="shared" si="8"/>
        <v>132086500</v>
      </c>
      <c r="AK11" s="1042">
        <f t="shared" ref="AK11:AK21" si="49">(F11/12)*1</f>
        <v>846708.33333333337</v>
      </c>
      <c r="AL11" s="1042">
        <f t="shared" ref="AL11:AL21" si="50">AI11+AK11</f>
        <v>71970208.333333328</v>
      </c>
      <c r="AM11" s="1042">
        <f t="shared" ref="AM11:AM21" si="51">E11-AL11</f>
        <v>131239791.66666667</v>
      </c>
      <c r="AN11" s="1042">
        <f t="shared" ref="AN11:AN22" si="52">(F11/12)*9</f>
        <v>7620375</v>
      </c>
      <c r="AO11" s="1042">
        <f t="shared" ref="AO11:AO22" si="53">AI11+AN11</f>
        <v>78743875</v>
      </c>
      <c r="AP11" s="1042">
        <f t="shared" ref="AP11:AP22" si="54">E11-AO11</f>
        <v>124466125</v>
      </c>
      <c r="AQ11" s="1042">
        <f t="shared" ref="AQ11:AQ22" si="55">(F11/12)*12</f>
        <v>10160500</v>
      </c>
      <c r="AR11" s="1042">
        <f t="shared" si="9"/>
        <v>81284000</v>
      </c>
      <c r="AS11" s="1042">
        <f t="shared" si="10"/>
        <v>121926000</v>
      </c>
      <c r="AT11" s="1042">
        <f t="shared" ref="AT11:AT22" si="56">(F11/12)*9</f>
        <v>7620375</v>
      </c>
      <c r="AU11" s="1042">
        <f t="shared" ref="AU11:AU21" si="57">AR11+AT11</f>
        <v>88904375</v>
      </c>
      <c r="AV11" s="1042">
        <f t="shared" ref="AV11:AV21" si="58">E11-AU11</f>
        <v>114305625</v>
      </c>
      <c r="AW11" s="1042">
        <f t="shared" ref="AW11:AW22" si="59">(F11/12)*12</f>
        <v>10160500</v>
      </c>
      <c r="AX11" s="1042">
        <f t="shared" ref="AX11:AX22" si="60">AR11+AW11</f>
        <v>91444500</v>
      </c>
      <c r="AY11" s="1042">
        <f t="shared" ref="AY11:AY22" si="61">E11-AX11</f>
        <v>111765500</v>
      </c>
      <c r="AZ11" s="1051"/>
      <c r="BB11" s="8">
        <f t="shared" ref="BB11:BB23" si="62">E11-AX11-AY11</f>
        <v>0</v>
      </c>
      <c r="BD11" s="187"/>
      <c r="BE11" s="19"/>
      <c r="BF11" s="58"/>
      <c r="BG11" s="19"/>
    </row>
    <row r="12" spans="1:59" ht="14.25" customHeight="1">
      <c r="A12" s="17">
        <f t="shared" si="42"/>
        <v>6</v>
      </c>
      <c r="B12" s="1015" t="s">
        <v>312</v>
      </c>
      <c r="C12" s="238">
        <v>40179</v>
      </c>
      <c r="D12" s="55">
        <v>20</v>
      </c>
      <c r="E12" s="6">
        <v>262080000</v>
      </c>
      <c r="F12" s="1041">
        <f t="shared" si="11"/>
        <v>13104000</v>
      </c>
      <c r="G12" s="1041">
        <f t="shared" si="12"/>
        <v>262080000</v>
      </c>
      <c r="H12" s="1042"/>
      <c r="I12" s="1042">
        <f t="shared" si="13"/>
        <v>0</v>
      </c>
      <c r="J12" s="1042">
        <f t="shared" si="14"/>
        <v>262080000</v>
      </c>
      <c r="K12" s="1042"/>
      <c r="L12" s="1042">
        <f t="shared" si="15"/>
        <v>0</v>
      </c>
      <c r="M12" s="1042">
        <f t="shared" si="16"/>
        <v>262080000</v>
      </c>
      <c r="N12" s="1042">
        <f t="shared" si="0"/>
        <v>13104000</v>
      </c>
      <c r="O12" s="1042">
        <f t="shared" si="17"/>
        <v>13104000</v>
      </c>
      <c r="P12" s="1042">
        <f t="shared" si="18"/>
        <v>248976000</v>
      </c>
      <c r="Q12" s="1042">
        <f t="shared" si="1"/>
        <v>13104000</v>
      </c>
      <c r="R12" s="1042">
        <f t="shared" si="43"/>
        <v>26208000</v>
      </c>
      <c r="S12" s="1042">
        <f t="shared" si="19"/>
        <v>235872000</v>
      </c>
      <c r="T12" s="1042">
        <f t="shared" si="20"/>
        <v>13104000</v>
      </c>
      <c r="U12" s="1042">
        <f t="shared" si="21"/>
        <v>39312000</v>
      </c>
      <c r="V12" s="1042">
        <f t="shared" si="22"/>
        <v>222768000</v>
      </c>
      <c r="W12" s="1042">
        <f t="shared" si="2"/>
        <v>13104000</v>
      </c>
      <c r="X12" s="1042">
        <f t="shared" si="3"/>
        <v>52416000</v>
      </c>
      <c r="Y12" s="1042">
        <f t="shared" si="23"/>
        <v>209664000</v>
      </c>
      <c r="Z12" s="7">
        <v>52416000</v>
      </c>
      <c r="AA12" s="7">
        <f t="shared" si="24"/>
        <v>209664000</v>
      </c>
      <c r="AB12" s="1042">
        <f t="shared" si="4"/>
        <v>13104000</v>
      </c>
      <c r="AC12" s="1042">
        <f t="shared" si="48"/>
        <v>65520000</v>
      </c>
      <c r="AD12" s="1042">
        <f t="shared" si="5"/>
        <v>196560000</v>
      </c>
      <c r="AE12" s="1042">
        <f t="shared" si="26"/>
        <v>13104000</v>
      </c>
      <c r="AF12" s="1042">
        <f t="shared" si="27"/>
        <v>78624000</v>
      </c>
      <c r="AG12" s="1042">
        <f t="shared" si="28"/>
        <v>183456000</v>
      </c>
      <c r="AH12" s="1042">
        <f t="shared" si="6"/>
        <v>13104000</v>
      </c>
      <c r="AI12" s="1042">
        <f t="shared" si="7"/>
        <v>91728000</v>
      </c>
      <c r="AJ12" s="1042">
        <f t="shared" si="8"/>
        <v>170352000</v>
      </c>
      <c r="AK12" s="1042">
        <f t="shared" si="49"/>
        <v>1092000</v>
      </c>
      <c r="AL12" s="1042">
        <f t="shared" si="50"/>
        <v>92820000</v>
      </c>
      <c r="AM12" s="1042">
        <f t="shared" si="51"/>
        <v>169260000</v>
      </c>
      <c r="AN12" s="1042">
        <f t="shared" si="52"/>
        <v>9828000</v>
      </c>
      <c r="AO12" s="1042">
        <f t="shared" si="53"/>
        <v>101556000</v>
      </c>
      <c r="AP12" s="1042">
        <f t="shared" si="54"/>
        <v>160524000</v>
      </c>
      <c r="AQ12" s="1042">
        <f t="shared" si="55"/>
        <v>13104000</v>
      </c>
      <c r="AR12" s="1042">
        <f t="shared" si="9"/>
        <v>104832000</v>
      </c>
      <c r="AS12" s="1042">
        <f t="shared" si="10"/>
        <v>157248000</v>
      </c>
      <c r="AT12" s="1042">
        <f t="shared" si="56"/>
        <v>9828000</v>
      </c>
      <c r="AU12" s="1042">
        <f t="shared" si="57"/>
        <v>114660000</v>
      </c>
      <c r="AV12" s="1042">
        <f t="shared" si="58"/>
        <v>147420000</v>
      </c>
      <c r="AW12" s="1042">
        <f t="shared" si="59"/>
        <v>13104000</v>
      </c>
      <c r="AX12" s="1042">
        <f t="shared" si="60"/>
        <v>117936000</v>
      </c>
      <c r="AY12" s="1042">
        <f t="shared" si="61"/>
        <v>144144000</v>
      </c>
      <c r="AZ12" s="1051"/>
      <c r="BB12" s="8">
        <f t="shared" si="62"/>
        <v>0</v>
      </c>
      <c r="BD12" s="187"/>
      <c r="BE12" s="19"/>
      <c r="BF12" s="58"/>
      <c r="BG12" s="19"/>
    </row>
    <row r="13" spans="1:59" ht="14.25" customHeight="1">
      <c r="A13" s="17">
        <f t="shared" si="42"/>
        <v>7</v>
      </c>
      <c r="B13" s="1015" t="s">
        <v>313</v>
      </c>
      <c r="C13" s="238">
        <v>40179</v>
      </c>
      <c r="D13" s="55">
        <v>20</v>
      </c>
      <c r="E13" s="6">
        <v>194080000</v>
      </c>
      <c r="F13" s="1041">
        <f t="shared" si="11"/>
        <v>9704000</v>
      </c>
      <c r="G13" s="1041">
        <f t="shared" si="12"/>
        <v>194080000</v>
      </c>
      <c r="H13" s="1042"/>
      <c r="I13" s="1042">
        <f t="shared" si="13"/>
        <v>0</v>
      </c>
      <c r="J13" s="1042">
        <f t="shared" si="14"/>
        <v>194080000</v>
      </c>
      <c r="K13" s="1042"/>
      <c r="L13" s="1042">
        <f t="shared" si="15"/>
        <v>0</v>
      </c>
      <c r="M13" s="1042">
        <f t="shared" si="16"/>
        <v>194080000</v>
      </c>
      <c r="N13" s="1042">
        <f t="shared" si="0"/>
        <v>9704000</v>
      </c>
      <c r="O13" s="1042">
        <f t="shared" si="17"/>
        <v>9704000</v>
      </c>
      <c r="P13" s="1042">
        <f t="shared" si="18"/>
        <v>184376000</v>
      </c>
      <c r="Q13" s="1042">
        <f t="shared" si="1"/>
        <v>9704000</v>
      </c>
      <c r="R13" s="1042">
        <f t="shared" si="43"/>
        <v>19408000</v>
      </c>
      <c r="S13" s="1042">
        <f t="shared" si="19"/>
        <v>174672000</v>
      </c>
      <c r="T13" s="1042">
        <f t="shared" si="20"/>
        <v>9704000</v>
      </c>
      <c r="U13" s="1042">
        <f t="shared" si="21"/>
        <v>29112000</v>
      </c>
      <c r="V13" s="1042">
        <f t="shared" si="22"/>
        <v>164968000</v>
      </c>
      <c r="W13" s="1042">
        <f t="shared" si="2"/>
        <v>9704000</v>
      </c>
      <c r="X13" s="1042">
        <f t="shared" si="3"/>
        <v>38816000</v>
      </c>
      <c r="Y13" s="1042">
        <f t="shared" si="23"/>
        <v>155264000</v>
      </c>
      <c r="Z13" s="7">
        <v>38816000</v>
      </c>
      <c r="AA13" s="7">
        <f t="shared" si="24"/>
        <v>155264000</v>
      </c>
      <c r="AB13" s="1042">
        <f t="shared" si="4"/>
        <v>9704000</v>
      </c>
      <c r="AC13" s="1042">
        <f t="shared" si="48"/>
        <v>48520000</v>
      </c>
      <c r="AD13" s="1042">
        <f t="shared" si="5"/>
        <v>145560000</v>
      </c>
      <c r="AE13" s="1042">
        <f t="shared" si="26"/>
        <v>9704000</v>
      </c>
      <c r="AF13" s="1042">
        <f t="shared" si="27"/>
        <v>58224000</v>
      </c>
      <c r="AG13" s="1042">
        <f t="shared" si="28"/>
        <v>135856000</v>
      </c>
      <c r="AH13" s="1042">
        <f t="shared" si="6"/>
        <v>9704000</v>
      </c>
      <c r="AI13" s="1042">
        <f t="shared" si="7"/>
        <v>67928000</v>
      </c>
      <c r="AJ13" s="1042">
        <f t="shared" si="8"/>
        <v>126152000</v>
      </c>
      <c r="AK13" s="1042">
        <f t="shared" si="49"/>
        <v>808666.66666666663</v>
      </c>
      <c r="AL13" s="1042">
        <f t="shared" si="50"/>
        <v>68736666.666666672</v>
      </c>
      <c r="AM13" s="1042">
        <f t="shared" si="51"/>
        <v>125343333.33333333</v>
      </c>
      <c r="AN13" s="1042">
        <f t="shared" si="52"/>
        <v>7278000</v>
      </c>
      <c r="AO13" s="1042">
        <f t="shared" si="53"/>
        <v>75206000</v>
      </c>
      <c r="AP13" s="1042">
        <f t="shared" si="54"/>
        <v>118874000</v>
      </c>
      <c r="AQ13" s="1042">
        <f t="shared" si="55"/>
        <v>9704000</v>
      </c>
      <c r="AR13" s="1042">
        <f t="shared" si="9"/>
        <v>77632000</v>
      </c>
      <c r="AS13" s="1042">
        <f t="shared" si="10"/>
        <v>116448000</v>
      </c>
      <c r="AT13" s="1042">
        <f t="shared" si="56"/>
        <v>7278000</v>
      </c>
      <c r="AU13" s="1042">
        <f t="shared" si="57"/>
        <v>84910000</v>
      </c>
      <c r="AV13" s="1042">
        <f t="shared" si="58"/>
        <v>109170000</v>
      </c>
      <c r="AW13" s="1042">
        <f t="shared" si="59"/>
        <v>9704000</v>
      </c>
      <c r="AX13" s="1042">
        <f t="shared" si="60"/>
        <v>87336000</v>
      </c>
      <c r="AY13" s="1042">
        <f t="shared" si="61"/>
        <v>106744000</v>
      </c>
      <c r="AZ13" s="1051"/>
      <c r="BB13" s="8">
        <f t="shared" si="62"/>
        <v>0</v>
      </c>
      <c r="BD13" s="187"/>
      <c r="BE13" s="19"/>
      <c r="BF13" s="58"/>
      <c r="BG13" s="19"/>
    </row>
    <row r="14" spans="1:59" ht="14.25" customHeight="1">
      <c r="A14" s="17">
        <f t="shared" si="42"/>
        <v>8</v>
      </c>
      <c r="B14" s="1015" t="s">
        <v>314</v>
      </c>
      <c r="C14" s="238">
        <v>40179</v>
      </c>
      <c r="D14" s="55">
        <v>20</v>
      </c>
      <c r="E14" s="6">
        <v>313090000</v>
      </c>
      <c r="F14" s="1041">
        <f t="shared" si="11"/>
        <v>15654500</v>
      </c>
      <c r="G14" s="1041">
        <f t="shared" si="12"/>
        <v>313090000</v>
      </c>
      <c r="H14" s="1042"/>
      <c r="I14" s="1042">
        <f t="shared" si="13"/>
        <v>0</v>
      </c>
      <c r="J14" s="1042">
        <f t="shared" si="14"/>
        <v>313090000</v>
      </c>
      <c r="K14" s="1042"/>
      <c r="L14" s="1042">
        <f t="shared" si="15"/>
        <v>0</v>
      </c>
      <c r="M14" s="1042">
        <f t="shared" si="16"/>
        <v>313090000</v>
      </c>
      <c r="N14" s="1042">
        <f t="shared" si="0"/>
        <v>15654500</v>
      </c>
      <c r="O14" s="1042">
        <f t="shared" si="17"/>
        <v>15654500</v>
      </c>
      <c r="P14" s="1042">
        <f t="shared" si="18"/>
        <v>297435500</v>
      </c>
      <c r="Q14" s="1042">
        <f t="shared" si="1"/>
        <v>15654500</v>
      </c>
      <c r="R14" s="1042">
        <f t="shared" si="43"/>
        <v>31309000</v>
      </c>
      <c r="S14" s="1042">
        <f t="shared" si="19"/>
        <v>281781000</v>
      </c>
      <c r="T14" s="1042">
        <f t="shared" si="20"/>
        <v>15654500</v>
      </c>
      <c r="U14" s="1042">
        <f t="shared" si="21"/>
        <v>46963500</v>
      </c>
      <c r="V14" s="1042">
        <f t="shared" si="22"/>
        <v>266126500</v>
      </c>
      <c r="W14" s="1042">
        <f t="shared" si="2"/>
        <v>15654500</v>
      </c>
      <c r="X14" s="1042">
        <f t="shared" si="3"/>
        <v>62618000</v>
      </c>
      <c r="Y14" s="1042">
        <f t="shared" si="23"/>
        <v>250472000</v>
      </c>
      <c r="Z14" s="7">
        <v>62618000</v>
      </c>
      <c r="AA14" s="7">
        <f t="shared" si="24"/>
        <v>250472000</v>
      </c>
      <c r="AB14" s="1042">
        <f t="shared" si="4"/>
        <v>15654500</v>
      </c>
      <c r="AC14" s="1042">
        <f t="shared" si="48"/>
        <v>78272500</v>
      </c>
      <c r="AD14" s="1042">
        <f t="shared" si="5"/>
        <v>234817500</v>
      </c>
      <c r="AE14" s="1042">
        <f t="shared" si="26"/>
        <v>15654500</v>
      </c>
      <c r="AF14" s="1042">
        <f t="shared" si="27"/>
        <v>93927000</v>
      </c>
      <c r="AG14" s="1042">
        <f t="shared" si="28"/>
        <v>219163000</v>
      </c>
      <c r="AH14" s="1042">
        <f t="shared" si="6"/>
        <v>15654500</v>
      </c>
      <c r="AI14" s="1042">
        <f t="shared" si="7"/>
        <v>109581500</v>
      </c>
      <c r="AJ14" s="1042">
        <f t="shared" si="8"/>
        <v>203508500</v>
      </c>
      <c r="AK14" s="1042">
        <f t="shared" si="49"/>
        <v>1304541.6666666667</v>
      </c>
      <c r="AL14" s="1042">
        <f t="shared" si="50"/>
        <v>110886041.66666667</v>
      </c>
      <c r="AM14" s="1042">
        <f t="shared" si="51"/>
        <v>202203958.33333331</v>
      </c>
      <c r="AN14" s="1042">
        <f t="shared" si="52"/>
        <v>11740875</v>
      </c>
      <c r="AO14" s="1042">
        <f t="shared" si="53"/>
        <v>121322375</v>
      </c>
      <c r="AP14" s="1042">
        <f t="shared" si="54"/>
        <v>191767625</v>
      </c>
      <c r="AQ14" s="1042">
        <f t="shared" si="55"/>
        <v>15654500</v>
      </c>
      <c r="AR14" s="1042">
        <f t="shared" si="9"/>
        <v>125236000</v>
      </c>
      <c r="AS14" s="1042">
        <f t="shared" si="10"/>
        <v>187854000</v>
      </c>
      <c r="AT14" s="1042">
        <f t="shared" si="56"/>
        <v>11740875</v>
      </c>
      <c r="AU14" s="1042">
        <f t="shared" si="57"/>
        <v>136976875</v>
      </c>
      <c r="AV14" s="1042">
        <f t="shared" si="58"/>
        <v>176113125</v>
      </c>
      <c r="AW14" s="1042">
        <f t="shared" si="59"/>
        <v>15654500</v>
      </c>
      <c r="AX14" s="1042">
        <f t="shared" si="60"/>
        <v>140890500</v>
      </c>
      <c r="AY14" s="1042">
        <f t="shared" si="61"/>
        <v>172199500</v>
      </c>
      <c r="AZ14" s="1051"/>
      <c r="BB14" s="8">
        <f t="shared" si="62"/>
        <v>0</v>
      </c>
      <c r="BD14" s="187"/>
      <c r="BE14" s="19"/>
      <c r="BF14" s="58"/>
      <c r="BG14" s="19"/>
    </row>
    <row r="15" spans="1:59" ht="14.25" customHeight="1">
      <c r="A15" s="17">
        <f t="shared" si="42"/>
        <v>9</v>
      </c>
      <c r="B15" s="53" t="s">
        <v>315</v>
      </c>
      <c r="C15" s="238">
        <v>40179</v>
      </c>
      <c r="D15" s="55">
        <v>20</v>
      </c>
      <c r="E15" s="6">
        <v>23340000</v>
      </c>
      <c r="F15" s="1041">
        <f t="shared" si="11"/>
        <v>1167000</v>
      </c>
      <c r="G15" s="1041">
        <f t="shared" si="12"/>
        <v>23340000</v>
      </c>
      <c r="H15" s="1042"/>
      <c r="I15" s="1042">
        <f t="shared" si="13"/>
        <v>0</v>
      </c>
      <c r="J15" s="1042">
        <f t="shared" si="14"/>
        <v>23340000</v>
      </c>
      <c r="K15" s="1042"/>
      <c r="L15" s="1042">
        <f t="shared" si="15"/>
        <v>0</v>
      </c>
      <c r="M15" s="1042">
        <f t="shared" si="16"/>
        <v>23340000</v>
      </c>
      <c r="N15" s="1042">
        <f t="shared" si="0"/>
        <v>1167000</v>
      </c>
      <c r="O15" s="1042">
        <f t="shared" si="17"/>
        <v>1167000</v>
      </c>
      <c r="P15" s="1042">
        <f t="shared" si="18"/>
        <v>22173000</v>
      </c>
      <c r="Q15" s="1042">
        <f t="shared" si="1"/>
        <v>1167000</v>
      </c>
      <c r="R15" s="1042">
        <f t="shared" si="43"/>
        <v>2334000</v>
      </c>
      <c r="S15" s="1042">
        <f t="shared" si="19"/>
        <v>21006000</v>
      </c>
      <c r="T15" s="1042">
        <f t="shared" si="20"/>
        <v>1167000</v>
      </c>
      <c r="U15" s="1042">
        <f t="shared" si="21"/>
        <v>3501000</v>
      </c>
      <c r="V15" s="1042">
        <f t="shared" si="22"/>
        <v>19839000</v>
      </c>
      <c r="W15" s="1042">
        <f t="shared" si="2"/>
        <v>1167000</v>
      </c>
      <c r="X15" s="1042">
        <f t="shared" si="3"/>
        <v>4668000</v>
      </c>
      <c r="Y15" s="1042">
        <f t="shared" si="23"/>
        <v>18672000</v>
      </c>
      <c r="Z15" s="7">
        <v>4668000</v>
      </c>
      <c r="AA15" s="7">
        <f t="shared" si="24"/>
        <v>18672000</v>
      </c>
      <c r="AB15" s="1042">
        <f t="shared" si="4"/>
        <v>1167000</v>
      </c>
      <c r="AC15" s="1042">
        <f t="shared" si="48"/>
        <v>5835000</v>
      </c>
      <c r="AD15" s="1042">
        <f t="shared" si="5"/>
        <v>17505000</v>
      </c>
      <c r="AE15" s="1042">
        <f t="shared" si="26"/>
        <v>1167000</v>
      </c>
      <c r="AF15" s="1042">
        <f t="shared" si="27"/>
        <v>7002000</v>
      </c>
      <c r="AG15" s="1042">
        <f t="shared" si="28"/>
        <v>16338000</v>
      </c>
      <c r="AH15" s="1042">
        <f t="shared" si="6"/>
        <v>1167000</v>
      </c>
      <c r="AI15" s="1042">
        <f t="shared" si="7"/>
        <v>8169000</v>
      </c>
      <c r="AJ15" s="1042">
        <f t="shared" si="8"/>
        <v>15171000</v>
      </c>
      <c r="AK15" s="1042">
        <f t="shared" si="49"/>
        <v>97250</v>
      </c>
      <c r="AL15" s="1042">
        <f t="shared" si="50"/>
        <v>8266250</v>
      </c>
      <c r="AM15" s="1042">
        <f t="shared" si="51"/>
        <v>15073750</v>
      </c>
      <c r="AN15" s="1042">
        <f t="shared" si="52"/>
        <v>875250</v>
      </c>
      <c r="AO15" s="1042">
        <f t="shared" si="53"/>
        <v>9044250</v>
      </c>
      <c r="AP15" s="1042">
        <f t="shared" si="54"/>
        <v>14295750</v>
      </c>
      <c r="AQ15" s="1042">
        <f t="shared" si="55"/>
        <v>1167000</v>
      </c>
      <c r="AR15" s="1042">
        <f t="shared" si="9"/>
        <v>9336000</v>
      </c>
      <c r="AS15" s="1042">
        <f t="shared" si="10"/>
        <v>14004000</v>
      </c>
      <c r="AT15" s="1042">
        <f t="shared" si="56"/>
        <v>875250</v>
      </c>
      <c r="AU15" s="1042">
        <f t="shared" si="57"/>
        <v>10211250</v>
      </c>
      <c r="AV15" s="1042">
        <f t="shared" si="58"/>
        <v>13128750</v>
      </c>
      <c r="AW15" s="1042">
        <f t="shared" si="59"/>
        <v>1167000</v>
      </c>
      <c r="AX15" s="1042">
        <f t="shared" si="60"/>
        <v>10503000</v>
      </c>
      <c r="AY15" s="1042">
        <f t="shared" si="61"/>
        <v>12837000</v>
      </c>
      <c r="AZ15" s="1051"/>
      <c r="BB15" s="8">
        <f t="shared" si="62"/>
        <v>0</v>
      </c>
      <c r="BD15" s="187"/>
      <c r="BE15" s="19"/>
      <c r="BF15" s="58"/>
      <c r="BG15" s="19"/>
    </row>
    <row r="16" spans="1:59" ht="14.25" customHeight="1">
      <c r="A16" s="17">
        <f t="shared" si="42"/>
        <v>10</v>
      </c>
      <c r="B16" s="53" t="s">
        <v>316</v>
      </c>
      <c r="C16" s="238">
        <v>40179</v>
      </c>
      <c r="D16" s="55">
        <v>20</v>
      </c>
      <c r="E16" s="6">
        <v>66130000</v>
      </c>
      <c r="F16" s="1041">
        <f t="shared" si="11"/>
        <v>3306500</v>
      </c>
      <c r="G16" s="1041">
        <f t="shared" si="12"/>
        <v>66130000</v>
      </c>
      <c r="H16" s="1042"/>
      <c r="I16" s="1042">
        <f t="shared" si="13"/>
        <v>0</v>
      </c>
      <c r="J16" s="1042">
        <f t="shared" si="14"/>
        <v>66130000</v>
      </c>
      <c r="K16" s="1042"/>
      <c r="L16" s="1042">
        <f t="shared" si="15"/>
        <v>0</v>
      </c>
      <c r="M16" s="1042">
        <f t="shared" si="16"/>
        <v>66130000</v>
      </c>
      <c r="N16" s="1042">
        <f t="shared" si="0"/>
        <v>3306500</v>
      </c>
      <c r="O16" s="1042">
        <f t="shared" si="17"/>
        <v>3306500</v>
      </c>
      <c r="P16" s="1042">
        <f t="shared" si="18"/>
        <v>62823500</v>
      </c>
      <c r="Q16" s="1042">
        <f t="shared" si="1"/>
        <v>3306500</v>
      </c>
      <c r="R16" s="1042">
        <f t="shared" si="43"/>
        <v>6613000</v>
      </c>
      <c r="S16" s="1042">
        <f t="shared" si="19"/>
        <v>59517000</v>
      </c>
      <c r="T16" s="1042">
        <f t="shared" si="20"/>
        <v>3306500</v>
      </c>
      <c r="U16" s="1042">
        <f t="shared" si="21"/>
        <v>9919500</v>
      </c>
      <c r="V16" s="1042">
        <f t="shared" si="22"/>
        <v>56210500</v>
      </c>
      <c r="W16" s="1042">
        <f t="shared" si="2"/>
        <v>3306500</v>
      </c>
      <c r="X16" s="1042">
        <f t="shared" si="3"/>
        <v>13226000</v>
      </c>
      <c r="Y16" s="1042">
        <f t="shared" si="23"/>
        <v>52904000</v>
      </c>
      <c r="Z16" s="7">
        <v>13226000</v>
      </c>
      <c r="AA16" s="7">
        <f t="shared" si="24"/>
        <v>52904000</v>
      </c>
      <c r="AB16" s="1042">
        <f t="shared" si="4"/>
        <v>3306500</v>
      </c>
      <c r="AC16" s="1042">
        <f t="shared" si="48"/>
        <v>16532500</v>
      </c>
      <c r="AD16" s="1042">
        <f t="shared" si="5"/>
        <v>49597500</v>
      </c>
      <c r="AE16" s="1042">
        <f t="shared" si="26"/>
        <v>3306500</v>
      </c>
      <c r="AF16" s="1042">
        <f t="shared" si="27"/>
        <v>19839000</v>
      </c>
      <c r="AG16" s="1042">
        <f t="shared" si="28"/>
        <v>46291000</v>
      </c>
      <c r="AH16" s="1042">
        <f t="shared" si="6"/>
        <v>3306500</v>
      </c>
      <c r="AI16" s="1042">
        <f t="shared" si="7"/>
        <v>23145500</v>
      </c>
      <c r="AJ16" s="1042">
        <f t="shared" si="8"/>
        <v>42984500</v>
      </c>
      <c r="AK16" s="1042">
        <f t="shared" si="49"/>
        <v>275541.66666666669</v>
      </c>
      <c r="AL16" s="1042">
        <f t="shared" si="50"/>
        <v>23421041.666666668</v>
      </c>
      <c r="AM16" s="1042">
        <f t="shared" si="51"/>
        <v>42708958.333333328</v>
      </c>
      <c r="AN16" s="1042">
        <f t="shared" si="52"/>
        <v>2479875</v>
      </c>
      <c r="AO16" s="1042">
        <f t="shared" si="53"/>
        <v>25625375</v>
      </c>
      <c r="AP16" s="1042">
        <f t="shared" si="54"/>
        <v>40504625</v>
      </c>
      <c r="AQ16" s="1042">
        <f t="shared" si="55"/>
        <v>3306500</v>
      </c>
      <c r="AR16" s="1042">
        <f t="shared" si="9"/>
        <v>26452000</v>
      </c>
      <c r="AS16" s="1042">
        <f t="shared" si="10"/>
        <v>39678000</v>
      </c>
      <c r="AT16" s="1042">
        <f t="shared" si="56"/>
        <v>2479875</v>
      </c>
      <c r="AU16" s="1042">
        <f t="shared" si="57"/>
        <v>28931875</v>
      </c>
      <c r="AV16" s="1042">
        <f t="shared" si="58"/>
        <v>37198125</v>
      </c>
      <c r="AW16" s="1042">
        <f t="shared" si="59"/>
        <v>3306500</v>
      </c>
      <c r="AX16" s="1042">
        <f t="shared" si="60"/>
        <v>29758500</v>
      </c>
      <c r="AY16" s="1042">
        <f t="shared" si="61"/>
        <v>36371500</v>
      </c>
      <c r="AZ16" s="1051"/>
      <c r="BB16" s="8">
        <f t="shared" si="62"/>
        <v>0</v>
      </c>
      <c r="BD16" s="187"/>
      <c r="BE16" s="19"/>
      <c r="BF16" s="58"/>
      <c r="BG16" s="19"/>
    </row>
    <row r="17" spans="1:59" ht="14.25" customHeight="1">
      <c r="A17" s="17">
        <f t="shared" si="42"/>
        <v>11</v>
      </c>
      <c r="B17" s="53" t="s">
        <v>317</v>
      </c>
      <c r="C17" s="238">
        <v>40179</v>
      </c>
      <c r="D17" s="55">
        <v>20</v>
      </c>
      <c r="E17" s="6">
        <v>753420000</v>
      </c>
      <c r="F17" s="1041">
        <f t="shared" si="11"/>
        <v>37671000</v>
      </c>
      <c r="G17" s="1041">
        <f t="shared" si="12"/>
        <v>753420000</v>
      </c>
      <c r="H17" s="1042"/>
      <c r="I17" s="1042">
        <f t="shared" si="13"/>
        <v>0</v>
      </c>
      <c r="J17" s="1042">
        <f t="shared" si="14"/>
        <v>753420000</v>
      </c>
      <c r="K17" s="1042"/>
      <c r="L17" s="1042">
        <f t="shared" si="15"/>
        <v>0</v>
      </c>
      <c r="M17" s="1042">
        <f t="shared" si="16"/>
        <v>753420000</v>
      </c>
      <c r="N17" s="1042">
        <f t="shared" si="0"/>
        <v>37671000</v>
      </c>
      <c r="O17" s="1042">
        <f t="shared" si="17"/>
        <v>37671000</v>
      </c>
      <c r="P17" s="1042">
        <f t="shared" si="18"/>
        <v>715749000</v>
      </c>
      <c r="Q17" s="1042">
        <f t="shared" si="1"/>
        <v>37671000</v>
      </c>
      <c r="R17" s="1042">
        <f t="shared" si="43"/>
        <v>75342000</v>
      </c>
      <c r="S17" s="1042">
        <f t="shared" si="19"/>
        <v>678078000</v>
      </c>
      <c r="T17" s="1042">
        <f t="shared" si="20"/>
        <v>37671000</v>
      </c>
      <c r="U17" s="1042">
        <f t="shared" si="21"/>
        <v>113013000</v>
      </c>
      <c r="V17" s="1042">
        <f t="shared" si="22"/>
        <v>640407000</v>
      </c>
      <c r="W17" s="1042">
        <f t="shared" si="2"/>
        <v>37671000</v>
      </c>
      <c r="X17" s="1042">
        <f t="shared" si="3"/>
        <v>150684000</v>
      </c>
      <c r="Y17" s="1042">
        <f t="shared" si="23"/>
        <v>602736000</v>
      </c>
      <c r="Z17" s="7">
        <v>150684000</v>
      </c>
      <c r="AA17" s="7">
        <f t="shared" si="24"/>
        <v>602736000</v>
      </c>
      <c r="AB17" s="1042">
        <f t="shared" si="4"/>
        <v>37671000</v>
      </c>
      <c r="AC17" s="1042">
        <f t="shared" si="48"/>
        <v>188355000</v>
      </c>
      <c r="AD17" s="1042">
        <f t="shared" si="5"/>
        <v>565065000</v>
      </c>
      <c r="AE17" s="1042">
        <f t="shared" si="26"/>
        <v>37671000</v>
      </c>
      <c r="AF17" s="1042">
        <f t="shared" si="27"/>
        <v>226026000</v>
      </c>
      <c r="AG17" s="1042">
        <f t="shared" si="28"/>
        <v>527394000</v>
      </c>
      <c r="AH17" s="1042">
        <f t="shared" si="6"/>
        <v>37671000</v>
      </c>
      <c r="AI17" s="1042">
        <f t="shared" si="7"/>
        <v>263697000</v>
      </c>
      <c r="AJ17" s="1042">
        <f t="shared" si="8"/>
        <v>489723000</v>
      </c>
      <c r="AK17" s="1042">
        <f t="shared" si="49"/>
        <v>3139250</v>
      </c>
      <c r="AL17" s="1042">
        <f t="shared" si="50"/>
        <v>266836250</v>
      </c>
      <c r="AM17" s="1042">
        <f t="shared" si="51"/>
        <v>486583750</v>
      </c>
      <c r="AN17" s="1042">
        <f t="shared" si="52"/>
        <v>28253250</v>
      </c>
      <c r="AO17" s="1042">
        <f t="shared" si="53"/>
        <v>291950250</v>
      </c>
      <c r="AP17" s="1042">
        <f t="shared" si="54"/>
        <v>461469750</v>
      </c>
      <c r="AQ17" s="1042">
        <f t="shared" si="55"/>
        <v>37671000</v>
      </c>
      <c r="AR17" s="1042">
        <f t="shared" si="9"/>
        <v>301368000</v>
      </c>
      <c r="AS17" s="1042">
        <f t="shared" si="10"/>
        <v>452052000</v>
      </c>
      <c r="AT17" s="1042">
        <f t="shared" si="56"/>
        <v>28253250</v>
      </c>
      <c r="AU17" s="1042">
        <f t="shared" si="57"/>
        <v>329621250</v>
      </c>
      <c r="AV17" s="1042">
        <f t="shared" si="58"/>
        <v>423798750</v>
      </c>
      <c r="AW17" s="1042">
        <f t="shared" si="59"/>
        <v>37671000</v>
      </c>
      <c r="AX17" s="1042">
        <f t="shared" si="60"/>
        <v>339039000</v>
      </c>
      <c r="AY17" s="1042">
        <f t="shared" si="61"/>
        <v>414381000</v>
      </c>
      <c r="AZ17" s="1051"/>
      <c r="BB17" s="8">
        <f t="shared" si="62"/>
        <v>0</v>
      </c>
      <c r="BD17" s="187"/>
      <c r="BE17" s="19"/>
      <c r="BF17" s="58"/>
      <c r="BG17" s="19"/>
    </row>
    <row r="18" spans="1:59" ht="14.25" customHeight="1">
      <c r="A18" s="17">
        <f t="shared" si="42"/>
        <v>12</v>
      </c>
      <c r="B18" s="53" t="s">
        <v>318</v>
      </c>
      <c r="C18" s="238">
        <v>40179</v>
      </c>
      <c r="D18" s="55">
        <v>20</v>
      </c>
      <c r="E18" s="6">
        <v>73630000</v>
      </c>
      <c r="F18" s="1041">
        <f t="shared" si="11"/>
        <v>3681500</v>
      </c>
      <c r="G18" s="1041">
        <f t="shared" si="12"/>
        <v>73630000</v>
      </c>
      <c r="H18" s="1042"/>
      <c r="I18" s="1042">
        <f t="shared" si="13"/>
        <v>0</v>
      </c>
      <c r="J18" s="1042">
        <f t="shared" si="14"/>
        <v>73630000</v>
      </c>
      <c r="K18" s="1042"/>
      <c r="L18" s="1042">
        <f t="shared" si="15"/>
        <v>0</v>
      </c>
      <c r="M18" s="1042">
        <f t="shared" si="16"/>
        <v>73630000</v>
      </c>
      <c r="N18" s="1042">
        <f t="shared" si="0"/>
        <v>3681500</v>
      </c>
      <c r="O18" s="1042">
        <f t="shared" si="17"/>
        <v>3681500</v>
      </c>
      <c r="P18" s="1042">
        <f t="shared" si="18"/>
        <v>69948500</v>
      </c>
      <c r="Q18" s="1042">
        <f t="shared" si="1"/>
        <v>3681500</v>
      </c>
      <c r="R18" s="1042">
        <f t="shared" si="43"/>
        <v>7363000</v>
      </c>
      <c r="S18" s="1042">
        <f t="shared" si="19"/>
        <v>66267000</v>
      </c>
      <c r="T18" s="1042">
        <f t="shared" si="20"/>
        <v>3681500</v>
      </c>
      <c r="U18" s="1042">
        <f t="shared" si="21"/>
        <v>11044500</v>
      </c>
      <c r="V18" s="1042">
        <f t="shared" si="22"/>
        <v>62585500</v>
      </c>
      <c r="W18" s="1042">
        <f t="shared" si="2"/>
        <v>3681500</v>
      </c>
      <c r="X18" s="1042">
        <f t="shared" si="3"/>
        <v>14726000</v>
      </c>
      <c r="Y18" s="1042">
        <f t="shared" si="23"/>
        <v>58904000</v>
      </c>
      <c r="Z18" s="7">
        <v>14726000</v>
      </c>
      <c r="AA18" s="7">
        <f t="shared" si="24"/>
        <v>58904000</v>
      </c>
      <c r="AB18" s="1042">
        <f t="shared" si="4"/>
        <v>3681500</v>
      </c>
      <c r="AC18" s="1042">
        <f t="shared" si="48"/>
        <v>18407500</v>
      </c>
      <c r="AD18" s="1042">
        <f t="shared" si="5"/>
        <v>55222500</v>
      </c>
      <c r="AE18" s="1042">
        <f t="shared" si="26"/>
        <v>3681500</v>
      </c>
      <c r="AF18" s="1042">
        <f t="shared" si="27"/>
        <v>22089000</v>
      </c>
      <c r="AG18" s="1042">
        <f t="shared" si="28"/>
        <v>51541000</v>
      </c>
      <c r="AH18" s="1042">
        <f t="shared" si="6"/>
        <v>3681500</v>
      </c>
      <c r="AI18" s="1042">
        <f t="shared" si="7"/>
        <v>25770500</v>
      </c>
      <c r="AJ18" s="1042">
        <f t="shared" si="8"/>
        <v>47859500</v>
      </c>
      <c r="AK18" s="1042">
        <f t="shared" si="49"/>
        <v>306791.66666666669</v>
      </c>
      <c r="AL18" s="1042">
        <f t="shared" si="50"/>
        <v>26077291.666666668</v>
      </c>
      <c r="AM18" s="1042">
        <f t="shared" si="51"/>
        <v>47552708.333333328</v>
      </c>
      <c r="AN18" s="1042">
        <f t="shared" si="52"/>
        <v>2761125</v>
      </c>
      <c r="AO18" s="1042">
        <f t="shared" si="53"/>
        <v>28531625</v>
      </c>
      <c r="AP18" s="1042">
        <f t="shared" si="54"/>
        <v>45098375</v>
      </c>
      <c r="AQ18" s="1042">
        <f t="shared" si="55"/>
        <v>3681500</v>
      </c>
      <c r="AR18" s="1042">
        <f t="shared" si="9"/>
        <v>29452000</v>
      </c>
      <c r="AS18" s="1042">
        <f t="shared" si="10"/>
        <v>44178000</v>
      </c>
      <c r="AT18" s="1042">
        <f t="shared" si="56"/>
        <v>2761125</v>
      </c>
      <c r="AU18" s="1042">
        <f t="shared" si="57"/>
        <v>32213125</v>
      </c>
      <c r="AV18" s="1042">
        <f t="shared" si="58"/>
        <v>41416875</v>
      </c>
      <c r="AW18" s="1042">
        <f t="shared" si="59"/>
        <v>3681500</v>
      </c>
      <c r="AX18" s="1042">
        <f t="shared" si="60"/>
        <v>33133500</v>
      </c>
      <c r="AY18" s="1042">
        <f t="shared" si="61"/>
        <v>40496500</v>
      </c>
      <c r="AZ18" s="1051"/>
      <c r="BB18" s="8">
        <f t="shared" si="62"/>
        <v>0</v>
      </c>
      <c r="BD18" s="187"/>
      <c r="BE18" s="19"/>
      <c r="BF18" s="58"/>
      <c r="BG18" s="19"/>
    </row>
    <row r="19" spans="1:59" ht="14.25" customHeight="1">
      <c r="A19" s="17">
        <f t="shared" si="42"/>
        <v>13</v>
      </c>
      <c r="B19" s="53" t="s">
        <v>319</v>
      </c>
      <c r="C19" s="238">
        <v>41640</v>
      </c>
      <c r="D19" s="55">
        <v>20</v>
      </c>
      <c r="E19" s="6">
        <v>50330000</v>
      </c>
      <c r="F19" s="1041">
        <f t="shared" si="11"/>
        <v>2516500</v>
      </c>
      <c r="G19" s="1041">
        <f t="shared" si="12"/>
        <v>50330000</v>
      </c>
      <c r="H19" s="1042"/>
      <c r="I19" s="1042">
        <f t="shared" si="13"/>
        <v>0</v>
      </c>
      <c r="J19" s="1042">
        <f t="shared" si="14"/>
        <v>50330000</v>
      </c>
      <c r="K19" s="1042"/>
      <c r="L19" s="1042">
        <f t="shared" si="15"/>
        <v>0</v>
      </c>
      <c r="M19" s="1042">
        <f t="shared" si="16"/>
        <v>50330000</v>
      </c>
      <c r="N19" s="1042">
        <f t="shared" si="0"/>
        <v>2516500</v>
      </c>
      <c r="O19" s="1042">
        <f t="shared" si="17"/>
        <v>2516500</v>
      </c>
      <c r="P19" s="1042">
        <f t="shared" si="18"/>
        <v>47813500</v>
      </c>
      <c r="Q19" s="1042">
        <f t="shared" si="1"/>
        <v>2516500</v>
      </c>
      <c r="R19" s="1042">
        <f t="shared" si="43"/>
        <v>5033000</v>
      </c>
      <c r="S19" s="1042">
        <f t="shared" si="19"/>
        <v>45297000</v>
      </c>
      <c r="T19" s="1042">
        <f t="shared" si="20"/>
        <v>2516500</v>
      </c>
      <c r="U19" s="1042">
        <f t="shared" si="21"/>
        <v>7549500</v>
      </c>
      <c r="V19" s="1042">
        <f t="shared" si="22"/>
        <v>42780500</v>
      </c>
      <c r="W19" s="1042">
        <f t="shared" si="2"/>
        <v>2516500</v>
      </c>
      <c r="X19" s="1042">
        <f t="shared" si="3"/>
        <v>10066000</v>
      </c>
      <c r="Y19" s="1042">
        <f t="shared" si="23"/>
        <v>40264000</v>
      </c>
      <c r="Z19" s="7">
        <v>10066000</v>
      </c>
      <c r="AA19" s="7">
        <f t="shared" si="24"/>
        <v>40264000</v>
      </c>
      <c r="AB19" s="1042">
        <f t="shared" si="4"/>
        <v>2516500</v>
      </c>
      <c r="AC19" s="1042">
        <f t="shared" si="48"/>
        <v>12582500</v>
      </c>
      <c r="AD19" s="1042">
        <f t="shared" si="5"/>
        <v>37747500</v>
      </c>
      <c r="AE19" s="1042">
        <f t="shared" si="26"/>
        <v>2516500</v>
      </c>
      <c r="AF19" s="1042">
        <f t="shared" si="27"/>
        <v>15099000</v>
      </c>
      <c r="AG19" s="1042">
        <f t="shared" si="28"/>
        <v>35231000</v>
      </c>
      <c r="AH19" s="1042">
        <f t="shared" si="6"/>
        <v>2516500</v>
      </c>
      <c r="AI19" s="1042">
        <f t="shared" si="7"/>
        <v>17615500</v>
      </c>
      <c r="AJ19" s="1042">
        <f t="shared" si="8"/>
        <v>32714500</v>
      </c>
      <c r="AK19" s="1042">
        <f t="shared" si="49"/>
        <v>209708.33333333334</v>
      </c>
      <c r="AL19" s="1042">
        <f t="shared" si="50"/>
        <v>17825208.333333332</v>
      </c>
      <c r="AM19" s="1042">
        <f t="shared" si="51"/>
        <v>32504791.666666668</v>
      </c>
      <c r="AN19" s="1042">
        <f t="shared" si="52"/>
        <v>1887375</v>
      </c>
      <c r="AO19" s="1042">
        <f t="shared" si="53"/>
        <v>19502875</v>
      </c>
      <c r="AP19" s="1042">
        <f t="shared" si="54"/>
        <v>30827125</v>
      </c>
      <c r="AQ19" s="1042">
        <f t="shared" si="55"/>
        <v>2516500</v>
      </c>
      <c r="AR19" s="1042">
        <f t="shared" si="9"/>
        <v>20132000</v>
      </c>
      <c r="AS19" s="1042">
        <f t="shared" si="10"/>
        <v>30198000</v>
      </c>
      <c r="AT19" s="1042">
        <f t="shared" si="56"/>
        <v>1887375</v>
      </c>
      <c r="AU19" s="1042">
        <f t="shared" si="57"/>
        <v>22019375</v>
      </c>
      <c r="AV19" s="1042">
        <f t="shared" si="58"/>
        <v>28310625</v>
      </c>
      <c r="AW19" s="1042">
        <f t="shared" si="59"/>
        <v>2516500</v>
      </c>
      <c r="AX19" s="1042">
        <f t="shared" si="60"/>
        <v>22648500</v>
      </c>
      <c r="AY19" s="1042">
        <f t="shared" si="61"/>
        <v>27681500</v>
      </c>
      <c r="AZ19" s="1051"/>
      <c r="BB19" s="8">
        <f t="shared" si="62"/>
        <v>0</v>
      </c>
      <c r="BD19" s="187"/>
      <c r="BE19" s="19"/>
      <c r="BF19" s="58"/>
      <c r="BG19" s="19"/>
    </row>
    <row r="20" spans="1:59" ht="14.25" customHeight="1">
      <c r="A20" s="1016">
        <f t="shared" si="42"/>
        <v>14</v>
      </c>
      <c r="B20" s="948" t="s">
        <v>320</v>
      </c>
      <c r="C20" s="964">
        <v>42005</v>
      </c>
      <c r="D20" s="965">
        <v>10</v>
      </c>
      <c r="E20" s="1043">
        <v>9720000</v>
      </c>
      <c r="F20" s="1041">
        <f t="shared" si="11"/>
        <v>972000</v>
      </c>
      <c r="G20" s="1041"/>
      <c r="H20" s="1042"/>
      <c r="I20" s="1042"/>
      <c r="J20" s="1042">
        <f t="shared" si="14"/>
        <v>0</v>
      </c>
      <c r="K20" s="1044">
        <f>(F20/12)*0</f>
        <v>0</v>
      </c>
      <c r="L20" s="1042">
        <f t="shared" si="15"/>
        <v>0</v>
      </c>
      <c r="M20" s="1042">
        <f t="shared" si="16"/>
        <v>9720000</v>
      </c>
      <c r="N20" s="1042">
        <f t="shared" si="0"/>
        <v>972000</v>
      </c>
      <c r="O20" s="1042">
        <f t="shared" si="17"/>
        <v>972000</v>
      </c>
      <c r="P20" s="1042">
        <f t="shared" si="18"/>
        <v>8748000</v>
      </c>
      <c r="Q20" s="1042">
        <f t="shared" si="1"/>
        <v>972000</v>
      </c>
      <c r="R20" s="1042">
        <f t="shared" si="43"/>
        <v>1944000</v>
      </c>
      <c r="S20" s="1042">
        <f t="shared" si="19"/>
        <v>7776000</v>
      </c>
      <c r="T20" s="1042">
        <f t="shared" si="20"/>
        <v>972000</v>
      </c>
      <c r="U20" s="1042">
        <f t="shared" si="21"/>
        <v>2916000</v>
      </c>
      <c r="V20" s="1042">
        <f t="shared" si="22"/>
        <v>6804000</v>
      </c>
      <c r="W20" s="1042">
        <f t="shared" si="2"/>
        <v>972000</v>
      </c>
      <c r="X20" s="1042">
        <f t="shared" si="3"/>
        <v>3888000</v>
      </c>
      <c r="Y20" s="1042">
        <f t="shared" si="23"/>
        <v>5832000</v>
      </c>
      <c r="Z20" s="7">
        <v>1944000</v>
      </c>
      <c r="AA20" s="7">
        <f t="shared" si="24"/>
        <v>7776000</v>
      </c>
      <c r="AB20" s="1042">
        <f t="shared" si="4"/>
        <v>972000</v>
      </c>
      <c r="AC20" s="1042">
        <f t="shared" si="48"/>
        <v>4860000</v>
      </c>
      <c r="AD20" s="1042">
        <f t="shared" si="5"/>
        <v>4860000</v>
      </c>
      <c r="AE20" s="1042">
        <f t="shared" si="26"/>
        <v>972000</v>
      </c>
      <c r="AF20" s="1042">
        <f t="shared" si="27"/>
        <v>5832000</v>
      </c>
      <c r="AG20" s="1042">
        <f t="shared" si="28"/>
        <v>3888000</v>
      </c>
      <c r="AH20" s="1042">
        <f t="shared" si="6"/>
        <v>972000</v>
      </c>
      <c r="AI20" s="1042">
        <f t="shared" si="7"/>
        <v>6804000</v>
      </c>
      <c r="AJ20" s="1042">
        <f t="shared" si="8"/>
        <v>2916000</v>
      </c>
      <c r="AK20" s="1042">
        <f t="shared" si="49"/>
        <v>81000</v>
      </c>
      <c r="AL20" s="1042">
        <f t="shared" si="50"/>
        <v>6885000</v>
      </c>
      <c r="AM20" s="1042">
        <f t="shared" si="51"/>
        <v>2835000</v>
      </c>
      <c r="AN20" s="1042">
        <f t="shared" si="52"/>
        <v>729000</v>
      </c>
      <c r="AO20" s="1042">
        <f t="shared" si="53"/>
        <v>7533000</v>
      </c>
      <c r="AP20" s="1042">
        <f t="shared" si="54"/>
        <v>2187000</v>
      </c>
      <c r="AQ20" s="1042">
        <f t="shared" si="55"/>
        <v>972000</v>
      </c>
      <c r="AR20" s="1042">
        <f t="shared" si="9"/>
        <v>7776000</v>
      </c>
      <c r="AS20" s="1042">
        <f t="shared" si="10"/>
        <v>1944000</v>
      </c>
      <c r="AT20" s="1042">
        <f t="shared" si="56"/>
        <v>729000</v>
      </c>
      <c r="AU20" s="1042">
        <f t="shared" si="57"/>
        <v>8505000</v>
      </c>
      <c r="AV20" s="1042">
        <f t="shared" si="58"/>
        <v>1215000</v>
      </c>
      <c r="AW20" s="1042">
        <f t="shared" si="59"/>
        <v>972000</v>
      </c>
      <c r="AX20" s="1042">
        <f t="shared" si="60"/>
        <v>8748000</v>
      </c>
      <c r="AY20" s="1042">
        <f t="shared" si="61"/>
        <v>972000</v>
      </c>
      <c r="AZ20" s="1051"/>
      <c r="BB20" s="8">
        <f t="shared" si="62"/>
        <v>0</v>
      </c>
      <c r="BD20" s="187"/>
      <c r="BE20" s="19"/>
      <c r="BF20" s="58"/>
      <c r="BG20" s="19"/>
    </row>
    <row r="21" spans="1:59" ht="17" customHeight="1">
      <c r="A21" s="17">
        <f t="shared" si="42"/>
        <v>15</v>
      </c>
      <c r="B21" s="53" t="s">
        <v>321</v>
      </c>
      <c r="C21" s="54">
        <v>43708</v>
      </c>
      <c r="D21" s="55">
        <v>20</v>
      </c>
      <c r="E21" s="6">
        <v>3949277860.8299999</v>
      </c>
      <c r="F21" s="1041">
        <f t="shared" si="11"/>
        <v>197463893.0415</v>
      </c>
      <c r="G21" s="1041"/>
      <c r="H21" s="1042"/>
      <c r="I21" s="1042"/>
      <c r="J21" s="1042">
        <f t="shared" si="14"/>
        <v>0</v>
      </c>
      <c r="K21" s="1042"/>
      <c r="L21" s="1042"/>
      <c r="M21" s="1042"/>
      <c r="N21" s="1042"/>
      <c r="O21" s="1042">
        <f t="shared" si="17"/>
        <v>0</v>
      </c>
      <c r="P21" s="1042"/>
      <c r="Q21" s="1042"/>
      <c r="R21" s="1042"/>
      <c r="S21" s="1042"/>
      <c r="T21" s="1042"/>
      <c r="U21" s="1042"/>
      <c r="V21" s="1042"/>
      <c r="W21" s="1044">
        <f>(F21/12)*5</f>
        <v>82276622.100625008</v>
      </c>
      <c r="X21" s="1042">
        <f t="shared" si="3"/>
        <v>82276622.100625008</v>
      </c>
      <c r="Y21" s="1042">
        <f t="shared" si="23"/>
        <v>3867001238.7293749</v>
      </c>
      <c r="Z21" s="7">
        <v>65821297.680500001</v>
      </c>
      <c r="AA21" s="7">
        <f t="shared" si="24"/>
        <v>3883456563.1494999</v>
      </c>
      <c r="AB21" s="1042">
        <f t="shared" si="4"/>
        <v>197463893.0415</v>
      </c>
      <c r="AC21" s="1042">
        <f t="shared" si="48"/>
        <v>279740515.14212501</v>
      </c>
      <c r="AD21" s="1042">
        <f t="shared" si="5"/>
        <v>3669537345.6878748</v>
      </c>
      <c r="AE21" s="1042">
        <f t="shared" si="26"/>
        <v>197463893.0415</v>
      </c>
      <c r="AF21" s="1042">
        <f t="shared" si="27"/>
        <v>477204408.18362498</v>
      </c>
      <c r="AG21" s="1042">
        <f t="shared" si="28"/>
        <v>3472073452.6463747</v>
      </c>
      <c r="AH21" s="1042">
        <f t="shared" si="6"/>
        <v>197463893.0415</v>
      </c>
      <c r="AI21" s="1042">
        <f t="shared" si="7"/>
        <v>674668301.22512496</v>
      </c>
      <c r="AJ21" s="1042">
        <f t="shared" si="8"/>
        <v>3274609559.6048751</v>
      </c>
      <c r="AK21" s="1042">
        <f t="shared" si="49"/>
        <v>16455324.420125</v>
      </c>
      <c r="AL21" s="1042">
        <f t="shared" si="50"/>
        <v>691123625.64524996</v>
      </c>
      <c r="AM21" s="1042">
        <f t="shared" si="51"/>
        <v>3258154235.1847501</v>
      </c>
      <c r="AN21" s="1042">
        <f t="shared" si="52"/>
        <v>148097919.78112501</v>
      </c>
      <c r="AO21" s="1042">
        <f t="shared" si="53"/>
        <v>822766221.0062499</v>
      </c>
      <c r="AP21" s="1042">
        <f t="shared" si="54"/>
        <v>3126511639.82375</v>
      </c>
      <c r="AQ21" s="1042">
        <f t="shared" si="55"/>
        <v>197463893.0415</v>
      </c>
      <c r="AR21" s="1042">
        <f t="shared" si="9"/>
        <v>872132194.26662493</v>
      </c>
      <c r="AS21" s="1042">
        <f t="shared" si="10"/>
        <v>3077145666.563375</v>
      </c>
      <c r="AT21" s="1042">
        <f t="shared" si="56"/>
        <v>148097919.78112501</v>
      </c>
      <c r="AU21" s="1042">
        <f t="shared" si="57"/>
        <v>1020230114.04775</v>
      </c>
      <c r="AV21" s="1042">
        <f t="shared" si="58"/>
        <v>2929047746.7822499</v>
      </c>
      <c r="AW21" s="1042">
        <f t="shared" si="59"/>
        <v>197463893.0415</v>
      </c>
      <c r="AX21" s="1042">
        <f t="shared" si="60"/>
        <v>1069596087.3081249</v>
      </c>
      <c r="AY21" s="1042">
        <f t="shared" si="61"/>
        <v>2879681773.5218749</v>
      </c>
      <c r="AZ21" s="1051"/>
      <c r="BB21" s="8">
        <f t="shared" si="62"/>
        <v>0</v>
      </c>
      <c r="BD21" s="187"/>
      <c r="BE21" s="19"/>
      <c r="BF21" s="58"/>
      <c r="BG21" s="19"/>
    </row>
    <row r="22" spans="1:59" ht="15" customHeight="1">
      <c r="A22" s="17">
        <f t="shared" si="42"/>
        <v>16</v>
      </c>
      <c r="B22" s="1081" t="s">
        <v>322</v>
      </c>
      <c r="C22" s="54">
        <v>44561</v>
      </c>
      <c r="D22" s="55">
        <v>20</v>
      </c>
      <c r="E22" s="6">
        <f>8926795238.26-72371732</f>
        <v>8854423506.2600002</v>
      </c>
      <c r="F22" s="1041">
        <f t="shared" si="11"/>
        <v>442721175.31300002</v>
      </c>
      <c r="G22" s="1041"/>
      <c r="H22" s="1042"/>
      <c r="I22" s="1042"/>
      <c r="J22" s="1042">
        <f t="shared" si="14"/>
        <v>0</v>
      </c>
      <c r="K22" s="1042"/>
      <c r="L22" s="1042"/>
      <c r="M22" s="1042"/>
      <c r="N22" s="1042"/>
      <c r="O22" s="1042">
        <f t="shared" si="17"/>
        <v>0</v>
      </c>
      <c r="P22" s="1042"/>
      <c r="Q22" s="1042"/>
      <c r="R22" s="1042"/>
      <c r="S22" s="1042"/>
      <c r="T22" s="1042"/>
      <c r="U22" s="1042"/>
      <c r="V22" s="1042"/>
      <c r="W22" s="1042"/>
      <c r="X22" s="1042"/>
      <c r="Y22" s="1042"/>
      <c r="Z22" s="7"/>
      <c r="AA22" s="7"/>
      <c r="AB22" s="1042"/>
      <c r="AC22" s="1042"/>
      <c r="AD22" s="1042"/>
      <c r="AE22" s="1044">
        <f>(F22/12)</f>
        <v>36893431.276083335</v>
      </c>
      <c r="AF22" s="1042">
        <f t="shared" si="27"/>
        <v>36893431.276083335</v>
      </c>
      <c r="AG22" s="1042">
        <f t="shared" si="28"/>
        <v>8817530074.9839172</v>
      </c>
      <c r="AH22" s="1042">
        <f t="shared" si="6"/>
        <v>442721175.31300002</v>
      </c>
      <c r="AI22" s="1042">
        <f t="shared" si="7"/>
        <v>479614606.58908337</v>
      </c>
      <c r="AJ22" s="1042">
        <f t="shared" si="8"/>
        <v>8374808899.6709166</v>
      </c>
      <c r="AK22" s="1042">
        <f t="shared" ref="AK22" si="63">(F22/12)*1</f>
        <v>36893431.276083335</v>
      </c>
      <c r="AL22" s="1042">
        <f t="shared" ref="AL22" si="64">AI22+AK22</f>
        <v>516508037.86516672</v>
      </c>
      <c r="AM22" s="1042">
        <f t="shared" ref="AM22" si="65">E22-AL22</f>
        <v>8337915468.3948336</v>
      </c>
      <c r="AN22" s="1042">
        <f t="shared" si="52"/>
        <v>332040881.48475003</v>
      </c>
      <c r="AO22" s="1042">
        <f t="shared" si="53"/>
        <v>811655488.07383347</v>
      </c>
      <c r="AP22" s="1042">
        <f t="shared" si="54"/>
        <v>8042768018.1861668</v>
      </c>
      <c r="AQ22" s="1042">
        <f t="shared" si="55"/>
        <v>442721175.31300002</v>
      </c>
      <c r="AR22" s="1042">
        <f t="shared" si="9"/>
        <v>922335781.9020834</v>
      </c>
      <c r="AS22" s="1042">
        <f t="shared" si="10"/>
        <v>7932087724.3579168</v>
      </c>
      <c r="AT22" s="1042">
        <f t="shared" si="56"/>
        <v>332040881.48475003</v>
      </c>
      <c r="AU22" s="1042">
        <f t="shared" ref="AU22" si="66">AR22+AT22</f>
        <v>1254376663.3868334</v>
      </c>
      <c r="AV22" s="1042">
        <f t="shared" ref="AV22" si="67">E22-AU22</f>
        <v>7600046842.873167</v>
      </c>
      <c r="AW22" s="1042">
        <f t="shared" si="59"/>
        <v>442721175.31300002</v>
      </c>
      <c r="AX22" s="1042">
        <f t="shared" si="60"/>
        <v>1365056957.2150834</v>
      </c>
      <c r="AY22" s="1042">
        <f t="shared" si="61"/>
        <v>7489366549.0449171</v>
      </c>
      <c r="AZ22" s="1051"/>
      <c r="BB22" s="8">
        <f t="shared" si="62"/>
        <v>0</v>
      </c>
      <c r="BD22" s="187"/>
      <c r="BE22" s="19"/>
      <c r="BF22" s="58"/>
      <c r="BG22" s="19"/>
    </row>
    <row r="23" spans="1:59" s="220" customFormat="1" ht="10.5" customHeight="1">
      <c r="A23" s="190" t="s">
        <v>324</v>
      </c>
      <c r="B23" s="214" t="s">
        <v>323</v>
      </c>
      <c r="C23" s="215"/>
      <c r="D23" s="216"/>
      <c r="E23" s="217"/>
      <c r="F23" s="1045"/>
      <c r="G23" s="1045"/>
      <c r="H23" s="1046"/>
      <c r="I23" s="1046"/>
      <c r="J23" s="1046"/>
      <c r="K23" s="1046"/>
      <c r="L23" s="1046"/>
      <c r="M23" s="1046"/>
      <c r="N23" s="1046"/>
      <c r="O23" s="1046"/>
      <c r="P23" s="1046"/>
      <c r="Q23" s="1046"/>
      <c r="R23" s="1046"/>
      <c r="S23" s="1046"/>
      <c r="T23" s="1046"/>
      <c r="U23" s="1046"/>
      <c r="V23" s="1046"/>
      <c r="W23" s="1046"/>
      <c r="X23" s="1046"/>
      <c r="Y23" s="1046"/>
      <c r="Z23" s="219"/>
      <c r="AA23" s="219"/>
      <c r="AB23" s="1046"/>
      <c r="AC23" s="1046"/>
      <c r="AD23" s="1046"/>
      <c r="AE23" s="1046"/>
      <c r="AF23" s="1046"/>
      <c r="AG23" s="1046"/>
      <c r="AH23" s="1046"/>
      <c r="AI23" s="1046"/>
      <c r="AJ23" s="1046"/>
      <c r="AK23" s="1046"/>
      <c r="AL23" s="1046"/>
      <c r="AM23" s="1046"/>
      <c r="AN23" s="1046"/>
      <c r="AO23" s="1046"/>
      <c r="AP23" s="1046"/>
      <c r="AQ23" s="1046"/>
      <c r="AR23" s="1046"/>
      <c r="AS23" s="1046"/>
      <c r="AT23" s="1046"/>
      <c r="AU23" s="1046"/>
      <c r="AV23" s="1046"/>
      <c r="AW23" s="1046"/>
      <c r="AX23" s="1046"/>
      <c r="AY23" s="1046"/>
      <c r="AZ23" s="1189"/>
      <c r="BB23" s="8">
        <f t="shared" si="62"/>
        <v>0</v>
      </c>
      <c r="BD23" s="229"/>
      <c r="BE23" s="179"/>
      <c r="BF23" s="222"/>
      <c r="BG23" s="179"/>
    </row>
    <row r="24" spans="1:59" ht="14.25" hidden="1" customHeight="1">
      <c r="A24" s="17">
        <v>1</v>
      </c>
      <c r="B24" s="56" t="s">
        <v>325</v>
      </c>
      <c r="C24" s="238">
        <v>38353</v>
      </c>
      <c r="D24" s="55">
        <v>20</v>
      </c>
      <c r="E24" s="6">
        <v>0</v>
      </c>
      <c r="F24" s="20">
        <f t="shared" si="11"/>
        <v>0</v>
      </c>
      <c r="G24" s="20">
        <f>E24</f>
        <v>0</v>
      </c>
      <c r="H24" s="7">
        <f>((F24/12)*(13-IF(C24="","",MONTH(C24))))*10</f>
        <v>0</v>
      </c>
      <c r="I24" s="7"/>
      <c r="J24" s="7">
        <f t="shared" ref="J24:J29" si="68">G24-I24</f>
        <v>0</v>
      </c>
      <c r="K24" s="7">
        <f>(F24/12)*12</f>
        <v>0</v>
      </c>
      <c r="L24" s="7"/>
      <c r="M24" s="7"/>
      <c r="N24" s="7"/>
      <c r="O24" s="7"/>
      <c r="P24" s="7"/>
      <c r="Q24" s="7">
        <f>(F24/12)*12</f>
        <v>0</v>
      </c>
      <c r="R24" s="7"/>
      <c r="S24" s="7"/>
      <c r="T24" s="7">
        <f>(F24/12)*12</f>
        <v>0</v>
      </c>
      <c r="U24" s="7">
        <f>R24+T24</f>
        <v>0</v>
      </c>
      <c r="V24" s="7">
        <f>E24-U24</f>
        <v>0</v>
      </c>
      <c r="W24" s="7">
        <f>(F24/12)*12</f>
        <v>0</v>
      </c>
      <c r="X24" s="7">
        <f t="shared" ref="X24:X29" si="69">U24+W24</f>
        <v>0</v>
      </c>
      <c r="Y24" s="7">
        <f>E24-X24</f>
        <v>0</v>
      </c>
      <c r="Z24" s="7">
        <v>0</v>
      </c>
      <c r="AA24" s="7">
        <f t="shared" ref="AA24:AA26" si="70">E24-Z24</f>
        <v>0</v>
      </c>
      <c r="AB24" s="7">
        <f t="shared" ref="AB24:AB26" si="71">(F24/12)*12</f>
        <v>0</v>
      </c>
      <c r="AC24" s="7">
        <f t="shared" ref="AC24" si="72">Z24+AB24</f>
        <v>0</v>
      </c>
      <c r="AD24" s="7">
        <f>E24-AC24</f>
        <v>0</v>
      </c>
      <c r="AE24" s="7">
        <f>(F24/12)*12</f>
        <v>0</v>
      </c>
      <c r="AF24" s="7">
        <f>AC24+AE24</f>
        <v>0</v>
      </c>
      <c r="AG24" s="7">
        <f>E24-AF24</f>
        <v>0</v>
      </c>
      <c r="AH24" s="7">
        <f>(F24/12)*12</f>
        <v>0</v>
      </c>
      <c r="AI24" s="7">
        <f>AF24+AH24</f>
        <v>0</v>
      </c>
      <c r="AJ24" s="7">
        <f>E24-AI24</f>
        <v>0</v>
      </c>
      <c r="AK24" s="7"/>
      <c r="AL24" s="7"/>
      <c r="AM24" s="7"/>
      <c r="AN24" s="7"/>
      <c r="AO24" s="7"/>
      <c r="AP24" s="7"/>
      <c r="AQ24" s="7">
        <f>(F24/12)*7</f>
        <v>0</v>
      </c>
      <c r="AR24" s="7">
        <f>AI24+AQ24</f>
        <v>0</v>
      </c>
      <c r="AS24" s="7">
        <f>E24-AR24</f>
        <v>0</v>
      </c>
      <c r="AT24" s="182"/>
      <c r="AU24" s="182"/>
      <c r="AV24" s="182"/>
      <c r="AW24" s="182"/>
      <c r="AX24" s="182"/>
      <c r="AY24" s="182"/>
      <c r="AZ24" s="182"/>
      <c r="BB24" s="8">
        <f t="shared" si="47"/>
        <v>0</v>
      </c>
      <c r="BD24" s="57">
        <v>28414110.416666668</v>
      </c>
      <c r="BE24" s="19">
        <f>AG24-BD24</f>
        <v>-28414110.416666668</v>
      </c>
      <c r="BF24" s="58">
        <f>F24/12</f>
        <v>0</v>
      </c>
      <c r="BG24" s="19">
        <f>BE24-BF24</f>
        <v>-28414110.416666668</v>
      </c>
    </row>
    <row r="25" spans="1:59" ht="14.25" customHeight="1">
      <c r="A25" s="17">
        <f>A24+1</f>
        <v>2</v>
      </c>
      <c r="B25" s="56" t="s">
        <v>326</v>
      </c>
      <c r="C25" s="238">
        <v>40179</v>
      </c>
      <c r="D25" s="55">
        <v>20</v>
      </c>
      <c r="E25" s="6">
        <v>128910000</v>
      </c>
      <c r="F25" s="1041">
        <f t="shared" si="11"/>
        <v>6445500</v>
      </c>
      <c r="G25" s="1041">
        <f>E25</f>
        <v>128910000</v>
      </c>
      <c r="H25" s="1042"/>
      <c r="I25" s="1042">
        <f>H25</f>
        <v>0</v>
      </c>
      <c r="J25" s="1042">
        <f t="shared" si="68"/>
        <v>128910000</v>
      </c>
      <c r="K25" s="1042"/>
      <c r="L25" s="1042">
        <f>I25+K25</f>
        <v>0</v>
      </c>
      <c r="M25" s="1042">
        <f>E25-L25</f>
        <v>128910000</v>
      </c>
      <c r="N25" s="1042">
        <f>(F25/12)*12</f>
        <v>6445500</v>
      </c>
      <c r="O25" s="1042">
        <f>N25+L25</f>
        <v>6445500</v>
      </c>
      <c r="P25" s="1042">
        <f>E25-O25</f>
        <v>122464500</v>
      </c>
      <c r="Q25" s="1042">
        <f>(F25/12)*12</f>
        <v>6445500</v>
      </c>
      <c r="R25" s="1042">
        <f>Q25+O25</f>
        <v>12891000</v>
      </c>
      <c r="S25" s="1042">
        <f>E25-R25</f>
        <v>116019000</v>
      </c>
      <c r="T25" s="1042">
        <f>(F25/12)*12</f>
        <v>6445500</v>
      </c>
      <c r="U25" s="1042">
        <f>R25+T25</f>
        <v>19336500</v>
      </c>
      <c r="V25" s="1042">
        <f>E25-U25</f>
        <v>109573500</v>
      </c>
      <c r="W25" s="1042">
        <f>(F25/12)*12</f>
        <v>6445500</v>
      </c>
      <c r="X25" s="1042">
        <f t="shared" si="69"/>
        <v>25782000</v>
      </c>
      <c r="Y25" s="1042">
        <f>E25-X25</f>
        <v>103128000</v>
      </c>
      <c r="Z25" s="7">
        <v>25782000</v>
      </c>
      <c r="AA25" s="7">
        <f t="shared" si="70"/>
        <v>103128000</v>
      </c>
      <c r="AB25" s="1042">
        <f t="shared" si="71"/>
        <v>6445500</v>
      </c>
      <c r="AC25" s="1042">
        <f t="shared" ref="AC25:AC29" si="73">X25+AB25</f>
        <v>32227500</v>
      </c>
      <c r="AD25" s="1042">
        <f>E25-AC25</f>
        <v>96682500</v>
      </c>
      <c r="AE25" s="1042">
        <f>(F25/12)*12</f>
        <v>6445500</v>
      </c>
      <c r="AF25" s="1042">
        <f>AC25+AE25</f>
        <v>38673000</v>
      </c>
      <c r="AG25" s="1042">
        <f>E25-AF25</f>
        <v>90237000</v>
      </c>
      <c r="AH25" s="1042">
        <f>(F25/12)*12</f>
        <v>6445500</v>
      </c>
      <c r="AI25" s="1042">
        <f>AF25+AH25</f>
        <v>45118500</v>
      </c>
      <c r="AJ25" s="1042">
        <f>E25-AI25</f>
        <v>83791500</v>
      </c>
      <c r="AK25" s="1042">
        <f t="shared" ref="AK25" si="74">(F25/12)*1</f>
        <v>537125</v>
      </c>
      <c r="AL25" s="1042">
        <f t="shared" ref="AL25" si="75">AI25+AK25</f>
        <v>45655625</v>
      </c>
      <c r="AM25" s="1042">
        <f t="shared" ref="AM25" si="76">E25-AL25</f>
        <v>83254375</v>
      </c>
      <c r="AN25" s="1042">
        <f>(F25/12)*9</f>
        <v>4834125</v>
      </c>
      <c r="AO25" s="1042">
        <f t="shared" ref="AO25:AO26" si="77">AI25+AN25</f>
        <v>49952625</v>
      </c>
      <c r="AP25" s="1042">
        <f t="shared" ref="AP25:AP26" si="78">E25-AO25</f>
        <v>78957375</v>
      </c>
      <c r="AQ25" s="1042">
        <f t="shared" ref="AQ25:AQ26" si="79">(F25/12)*12</f>
        <v>6445500</v>
      </c>
      <c r="AR25" s="1042">
        <f>AI25+AQ25</f>
        <v>51564000</v>
      </c>
      <c r="AS25" s="1042">
        <f>E25-AR25</f>
        <v>77346000</v>
      </c>
      <c r="AT25" s="1042">
        <f t="shared" ref="AT25:AT26" si="80">(F25/12)*9</f>
        <v>4834125</v>
      </c>
      <c r="AU25" s="1042">
        <f t="shared" ref="AU25:AU26" si="81">AR25+AT25</f>
        <v>56398125</v>
      </c>
      <c r="AV25" s="1042">
        <f t="shared" ref="AV25:AV26" si="82">E25-AU25</f>
        <v>72511875</v>
      </c>
      <c r="AW25" s="1042">
        <f t="shared" ref="AW25:AW26" si="83">(F25/12)*12</f>
        <v>6445500</v>
      </c>
      <c r="AX25" s="1042">
        <f t="shared" ref="AX25:AX26" si="84">AR25+AW25</f>
        <v>58009500</v>
      </c>
      <c r="AY25" s="1042">
        <f t="shared" ref="AY25:AY26" si="85">E25-AX25</f>
        <v>70900500</v>
      </c>
      <c r="AZ25" s="1051"/>
      <c r="BB25" s="8">
        <f t="shared" ref="BB25:BB27" si="86">E25-AX25-AY25</f>
        <v>0</v>
      </c>
      <c r="BD25" s="187">
        <v>7475000</v>
      </c>
      <c r="BE25" s="19">
        <f>AG25-BD25</f>
        <v>82762000</v>
      </c>
      <c r="BF25" s="58">
        <f>F25/12</f>
        <v>537125</v>
      </c>
      <c r="BG25" s="19">
        <f>BE25-BF25</f>
        <v>82224875</v>
      </c>
    </row>
    <row r="26" spans="1:59" ht="14.25" customHeight="1">
      <c r="A26" s="17">
        <f>A25+1</f>
        <v>3</v>
      </c>
      <c r="B26" s="53" t="s">
        <v>327</v>
      </c>
      <c r="C26" s="238">
        <v>40544</v>
      </c>
      <c r="D26" s="55">
        <v>20</v>
      </c>
      <c r="E26" s="6">
        <v>9443284879.9899998</v>
      </c>
      <c r="F26" s="1041">
        <f t="shared" si="11"/>
        <v>472164243.99949998</v>
      </c>
      <c r="G26" s="1041">
        <f>E26</f>
        <v>9443284879.9899998</v>
      </c>
      <c r="H26" s="1042"/>
      <c r="I26" s="1042">
        <f>H26</f>
        <v>0</v>
      </c>
      <c r="J26" s="1042">
        <f t="shared" si="68"/>
        <v>9443284879.9899998</v>
      </c>
      <c r="K26" s="1042"/>
      <c r="L26" s="1042">
        <f>I26+K26</f>
        <v>0</v>
      </c>
      <c r="M26" s="1042">
        <f>E26-L26</f>
        <v>9443284879.9899998</v>
      </c>
      <c r="N26" s="1042">
        <f>(F26/12)*12</f>
        <v>472164243.99949998</v>
      </c>
      <c r="O26" s="1042">
        <f>N26+L26</f>
        <v>472164243.99949998</v>
      </c>
      <c r="P26" s="1042">
        <f>E26-O26</f>
        <v>8971120635.9904995</v>
      </c>
      <c r="Q26" s="1042">
        <f>(F26/12)*12</f>
        <v>472164243.99949998</v>
      </c>
      <c r="R26" s="1042">
        <f>Q26+O26</f>
        <v>944328487.99899995</v>
      </c>
      <c r="S26" s="1042">
        <f>E26-R26</f>
        <v>8498956391.9910002</v>
      </c>
      <c r="T26" s="1042">
        <f>(F26/12)*12</f>
        <v>472164243.99949998</v>
      </c>
      <c r="U26" s="1042">
        <f>R26+T26</f>
        <v>1416492731.9984999</v>
      </c>
      <c r="V26" s="1042">
        <f>E26-U26</f>
        <v>8026792147.9914999</v>
      </c>
      <c r="W26" s="1042">
        <f>(F26/12)*12</f>
        <v>472164243.99949998</v>
      </c>
      <c r="X26" s="1042">
        <f t="shared" si="69"/>
        <v>1888656975.9979999</v>
      </c>
      <c r="Y26" s="1042">
        <f>E26-X26</f>
        <v>7554627903.9919996</v>
      </c>
      <c r="Z26" s="7">
        <v>1694468487.9990001</v>
      </c>
      <c r="AA26" s="7">
        <f t="shared" si="70"/>
        <v>7748816391.9909992</v>
      </c>
      <c r="AB26" s="1042">
        <f t="shared" si="71"/>
        <v>472164243.99949998</v>
      </c>
      <c r="AC26" s="1042">
        <f t="shared" si="73"/>
        <v>2360821219.9974999</v>
      </c>
      <c r="AD26" s="1042">
        <f>E26-AC26</f>
        <v>7082463659.9925003</v>
      </c>
      <c r="AE26" s="1042">
        <f>(F26/12)*12</f>
        <v>472164243.99949998</v>
      </c>
      <c r="AF26" s="1042">
        <f>AC26+AE26</f>
        <v>2832985463.9969997</v>
      </c>
      <c r="AG26" s="1042">
        <f>E26-AF26</f>
        <v>6610299415.993</v>
      </c>
      <c r="AH26" s="1042">
        <f>(F26/12)*12</f>
        <v>472164243.99949998</v>
      </c>
      <c r="AI26" s="1042">
        <f>AF26+AH26</f>
        <v>3305149707.9964995</v>
      </c>
      <c r="AJ26" s="1042">
        <f>E26-AI26</f>
        <v>6138135171.9934998</v>
      </c>
      <c r="AK26" s="1042">
        <f>(F26/12)*1</f>
        <v>39347020.333291665</v>
      </c>
      <c r="AL26" s="1042">
        <f>AI26+AK26</f>
        <v>3344496728.3297911</v>
      </c>
      <c r="AM26" s="1042">
        <f>E26-AL26</f>
        <v>6098788151.6602087</v>
      </c>
      <c r="AN26" s="1042">
        <f>(F26/12)*9</f>
        <v>354123182.99962497</v>
      </c>
      <c r="AO26" s="1042">
        <f t="shared" si="77"/>
        <v>3659272890.9961243</v>
      </c>
      <c r="AP26" s="1042">
        <f t="shared" si="78"/>
        <v>5784011988.9938755</v>
      </c>
      <c r="AQ26" s="1042">
        <f t="shared" si="79"/>
        <v>472164243.99949998</v>
      </c>
      <c r="AR26" s="1042">
        <f>AI26+AQ26</f>
        <v>3777313951.9959993</v>
      </c>
      <c r="AS26" s="1042">
        <f>E26-AR26</f>
        <v>5665970927.9940004</v>
      </c>
      <c r="AT26" s="1042">
        <f t="shared" si="80"/>
        <v>354123182.99962497</v>
      </c>
      <c r="AU26" s="1042">
        <f t="shared" si="81"/>
        <v>4131437134.9956245</v>
      </c>
      <c r="AV26" s="1042">
        <f t="shared" si="82"/>
        <v>5311847744.9943752</v>
      </c>
      <c r="AW26" s="1042">
        <f t="shared" si="83"/>
        <v>472164243.99949998</v>
      </c>
      <c r="AX26" s="1042">
        <f t="shared" si="84"/>
        <v>4249478195.9954991</v>
      </c>
      <c r="AY26" s="1042">
        <f t="shared" si="85"/>
        <v>5193806683.9945011</v>
      </c>
      <c r="AZ26" s="1051"/>
      <c r="BB26" s="8">
        <f t="shared" si="86"/>
        <v>0</v>
      </c>
      <c r="BD26" s="187">
        <v>134618791.66666666</v>
      </c>
      <c r="BE26" s="19">
        <f>AG26-BD26</f>
        <v>6475680624.326333</v>
      </c>
      <c r="BF26" s="58">
        <f>F26/12</f>
        <v>39347020.333291665</v>
      </c>
      <c r="BG26" s="19">
        <f>BE26-BF26</f>
        <v>6436333603.993041</v>
      </c>
    </row>
    <row r="27" spans="1:59" s="220" customFormat="1" ht="14.25" customHeight="1">
      <c r="A27" s="190" t="s">
        <v>329</v>
      </c>
      <c r="B27" s="214" t="s">
        <v>328</v>
      </c>
      <c r="C27" s="215"/>
      <c r="D27" s="216"/>
      <c r="E27" s="217"/>
      <c r="F27" s="1045"/>
      <c r="G27" s="1045"/>
      <c r="H27" s="1046"/>
      <c r="I27" s="1046"/>
      <c r="J27" s="1046"/>
      <c r="K27" s="1046"/>
      <c r="L27" s="1046"/>
      <c r="M27" s="1046"/>
      <c r="N27" s="1046"/>
      <c r="O27" s="1046"/>
      <c r="P27" s="1046"/>
      <c r="Q27" s="1046"/>
      <c r="R27" s="1046"/>
      <c r="S27" s="1046"/>
      <c r="T27" s="1046"/>
      <c r="U27" s="1046"/>
      <c r="V27" s="1046"/>
      <c r="W27" s="1046"/>
      <c r="X27" s="1046"/>
      <c r="Y27" s="1046"/>
      <c r="Z27" s="219"/>
      <c r="AA27" s="219"/>
      <c r="AB27" s="1046"/>
      <c r="AC27" s="1046"/>
      <c r="AD27" s="1046"/>
      <c r="AE27" s="1046"/>
      <c r="AF27" s="1046"/>
      <c r="AG27" s="1046"/>
      <c r="AH27" s="1046"/>
      <c r="AI27" s="1046"/>
      <c r="AJ27" s="1046"/>
      <c r="AK27" s="1046"/>
      <c r="AL27" s="1046"/>
      <c r="AM27" s="1046"/>
      <c r="AN27" s="1046"/>
      <c r="AO27" s="1046"/>
      <c r="AP27" s="1046"/>
      <c r="AQ27" s="1046"/>
      <c r="AR27" s="1046"/>
      <c r="AS27" s="1046"/>
      <c r="AT27" s="1046"/>
      <c r="AU27" s="1046"/>
      <c r="AV27" s="1046"/>
      <c r="AW27" s="1046"/>
      <c r="AX27" s="1046"/>
      <c r="AY27" s="1046"/>
      <c r="AZ27" s="1189"/>
      <c r="BB27" s="8">
        <f t="shared" si="86"/>
        <v>0</v>
      </c>
      <c r="BD27" s="229"/>
      <c r="BE27" s="179"/>
      <c r="BF27" s="222"/>
      <c r="BG27" s="179"/>
    </row>
    <row r="28" spans="1:59" ht="14.25" hidden="1" customHeight="1">
      <c r="A28" s="17">
        <v>1</v>
      </c>
      <c r="B28" s="53" t="s">
        <v>330</v>
      </c>
      <c r="C28" s="671">
        <v>40909</v>
      </c>
      <c r="D28" s="55">
        <v>20</v>
      </c>
      <c r="E28" s="6">
        <v>0</v>
      </c>
      <c r="F28" s="20">
        <f t="shared" si="11"/>
        <v>0</v>
      </c>
      <c r="G28" s="20">
        <f>E28</f>
        <v>0</v>
      </c>
      <c r="H28" s="7"/>
      <c r="I28" s="7"/>
      <c r="J28" s="7">
        <f t="shared" si="68"/>
        <v>0</v>
      </c>
      <c r="K28" s="7">
        <f>(F28/12)*12</f>
        <v>0</v>
      </c>
      <c r="L28" s="7"/>
      <c r="M28" s="7">
        <f>E28-L28</f>
        <v>0</v>
      </c>
      <c r="N28" s="7"/>
      <c r="O28" s="7">
        <f>N28+L28</f>
        <v>0</v>
      </c>
      <c r="P28" s="7">
        <f>E28-O28</f>
        <v>0</v>
      </c>
      <c r="Q28" s="7">
        <f>(F28/12)*12</f>
        <v>0</v>
      </c>
      <c r="R28" s="7"/>
      <c r="S28" s="7"/>
      <c r="T28" s="7">
        <f>(F28/12)*12</f>
        <v>0</v>
      </c>
      <c r="U28" s="7">
        <f>R28+T28</f>
        <v>0</v>
      </c>
      <c r="V28" s="7">
        <f>E28-U28</f>
        <v>0</v>
      </c>
      <c r="W28" s="7">
        <f>(F28/12)*12</f>
        <v>0</v>
      </c>
      <c r="X28" s="7">
        <f t="shared" si="69"/>
        <v>0</v>
      </c>
      <c r="Y28" s="7">
        <f>E28-X28</f>
        <v>0</v>
      </c>
      <c r="Z28" s="7"/>
      <c r="AA28" s="7"/>
      <c r="AB28" s="7">
        <f>(F28/12)*12</f>
        <v>0</v>
      </c>
      <c r="AC28" s="7">
        <f t="shared" si="73"/>
        <v>0</v>
      </c>
      <c r="AD28" s="7">
        <f>E28-AC28</f>
        <v>0</v>
      </c>
      <c r="AE28" s="7">
        <f>(F28/12)*12</f>
        <v>0</v>
      </c>
      <c r="AF28" s="7">
        <f>AC28+AE28</f>
        <v>0</v>
      </c>
      <c r="AG28" s="7">
        <f>E28-AF28</f>
        <v>0</v>
      </c>
      <c r="AH28" s="7">
        <f>(F28/12)*12</f>
        <v>0</v>
      </c>
      <c r="AI28" s="7">
        <f>AF28+AH28</f>
        <v>0</v>
      </c>
      <c r="AJ28" s="7">
        <f>E28-AI28</f>
        <v>0</v>
      </c>
      <c r="AK28" s="7"/>
      <c r="AL28" s="7"/>
      <c r="AM28" s="7"/>
      <c r="AN28" s="7"/>
      <c r="AO28" s="7"/>
      <c r="AP28" s="7"/>
      <c r="AQ28" s="7">
        <f>(F28/12)*7</f>
        <v>0</v>
      </c>
      <c r="AR28" s="7">
        <f>AI28+AQ28</f>
        <v>0</v>
      </c>
      <c r="AS28" s="7">
        <f>E28-AR28</f>
        <v>0</v>
      </c>
      <c r="AT28" s="182"/>
      <c r="AU28" s="182"/>
      <c r="AV28" s="182"/>
      <c r="AW28" s="182"/>
      <c r="AX28" s="182"/>
      <c r="AY28" s="182"/>
      <c r="AZ28" s="182"/>
      <c r="BB28" s="8">
        <f t="shared" si="47"/>
        <v>0</v>
      </c>
      <c r="BD28" s="57"/>
      <c r="BE28" s="19"/>
      <c r="BF28" s="58"/>
      <c r="BG28" s="19"/>
    </row>
    <row r="29" spans="1:59" ht="14.25" hidden="1" customHeight="1">
      <c r="A29" s="17">
        <f>A28+1</f>
        <v>2</v>
      </c>
      <c r="B29" s="53" t="s">
        <v>331</v>
      </c>
      <c r="C29" s="671">
        <v>40909</v>
      </c>
      <c r="D29" s="55">
        <v>20</v>
      </c>
      <c r="E29" s="6">
        <v>0</v>
      </c>
      <c r="F29" s="20">
        <f t="shared" si="11"/>
        <v>0</v>
      </c>
      <c r="G29" s="20">
        <f>E29</f>
        <v>0</v>
      </c>
      <c r="H29" s="7"/>
      <c r="I29" s="7"/>
      <c r="J29" s="7">
        <f t="shared" si="68"/>
        <v>0</v>
      </c>
      <c r="K29" s="7">
        <f>(F29/12)*12</f>
        <v>0</v>
      </c>
      <c r="L29" s="7"/>
      <c r="M29" s="7">
        <f>E29-L29</f>
        <v>0</v>
      </c>
      <c r="N29" s="7"/>
      <c r="O29" s="7">
        <f>N29+L29</f>
        <v>0</v>
      </c>
      <c r="P29" s="7">
        <f>E29-O29</f>
        <v>0</v>
      </c>
      <c r="Q29" s="7">
        <f>(F29/12)*12</f>
        <v>0</v>
      </c>
      <c r="R29" s="7"/>
      <c r="S29" s="7"/>
      <c r="T29" s="7">
        <f>(F29/12)*12</f>
        <v>0</v>
      </c>
      <c r="U29" s="7">
        <f>R29+T29</f>
        <v>0</v>
      </c>
      <c r="V29" s="7">
        <f>E29-U29</f>
        <v>0</v>
      </c>
      <c r="W29" s="7">
        <f>(F29/12)*12</f>
        <v>0</v>
      </c>
      <c r="X29" s="7">
        <f t="shared" si="69"/>
        <v>0</v>
      </c>
      <c r="Y29" s="7">
        <f>E29-X29</f>
        <v>0</v>
      </c>
      <c r="Z29" s="7"/>
      <c r="AA29" s="7"/>
      <c r="AB29" s="7">
        <f>(F29/12)*12</f>
        <v>0</v>
      </c>
      <c r="AC29" s="7">
        <f t="shared" si="73"/>
        <v>0</v>
      </c>
      <c r="AD29" s="7">
        <f>E29-AC29</f>
        <v>0</v>
      </c>
      <c r="AE29" s="7">
        <f>(F29/12)*12</f>
        <v>0</v>
      </c>
      <c r="AF29" s="7">
        <f>AC29+AE29</f>
        <v>0</v>
      </c>
      <c r="AG29" s="7">
        <f>E29-AF29</f>
        <v>0</v>
      </c>
      <c r="AH29" s="7">
        <f>(F29/12)*12</f>
        <v>0</v>
      </c>
      <c r="AI29" s="7">
        <f>AF29+AH29</f>
        <v>0</v>
      </c>
      <c r="AJ29" s="7">
        <f>E29-AI29</f>
        <v>0</v>
      </c>
      <c r="AK29" s="7"/>
      <c r="AL29" s="7"/>
      <c r="AM29" s="7"/>
      <c r="AN29" s="7"/>
      <c r="AO29" s="7"/>
      <c r="AP29" s="7"/>
      <c r="AQ29" s="7">
        <f>(F29/12)*7</f>
        <v>0</v>
      </c>
      <c r="AR29" s="7">
        <f>AI29+AQ29</f>
        <v>0</v>
      </c>
      <c r="AS29" s="7">
        <f>E29-AR29</f>
        <v>0</v>
      </c>
      <c r="AT29" s="182"/>
      <c r="AU29" s="182"/>
      <c r="AV29" s="182"/>
      <c r="AW29" s="182"/>
      <c r="AX29" s="182"/>
      <c r="AY29" s="182"/>
      <c r="AZ29" s="182"/>
      <c r="BB29" s="8">
        <f t="shared" si="47"/>
        <v>0</v>
      </c>
      <c r="BD29" s="57"/>
      <c r="BE29" s="19"/>
      <c r="BF29" s="58"/>
      <c r="BG29" s="19"/>
    </row>
    <row r="30" spans="1:59" ht="14.25" customHeight="1">
      <c r="A30" s="17"/>
      <c r="B30" s="53"/>
      <c r="C30" s="54"/>
      <c r="D30" s="55"/>
      <c r="E30" s="6"/>
      <c r="F30" s="1041"/>
      <c r="G30" s="1041"/>
      <c r="H30" s="1042"/>
      <c r="I30" s="1042"/>
      <c r="J30" s="1042"/>
      <c r="K30" s="1042"/>
      <c r="L30" s="1042"/>
      <c r="M30" s="1042"/>
      <c r="N30" s="1042"/>
      <c r="O30" s="1042"/>
      <c r="P30" s="1042"/>
      <c r="Q30" s="1042"/>
      <c r="R30" s="1042"/>
      <c r="S30" s="1042"/>
      <c r="T30" s="1042"/>
      <c r="U30" s="1042"/>
      <c r="V30" s="1042"/>
      <c r="W30" s="1042"/>
      <c r="X30" s="1042"/>
      <c r="Y30" s="1042"/>
      <c r="Z30" s="7"/>
      <c r="AA30" s="7"/>
      <c r="AB30" s="1042"/>
      <c r="AC30" s="1042"/>
      <c r="AD30" s="1042"/>
      <c r="AE30" s="1042"/>
      <c r="AF30" s="1042"/>
      <c r="AG30" s="1042"/>
      <c r="AH30" s="1042"/>
      <c r="AI30" s="1042"/>
      <c r="AJ30" s="1042"/>
      <c r="AK30" s="1042"/>
      <c r="AL30" s="1042"/>
      <c r="AM30" s="1042"/>
      <c r="AN30" s="1042"/>
      <c r="AO30" s="1042"/>
      <c r="AP30" s="1042"/>
      <c r="AQ30" s="1042"/>
      <c r="AR30" s="1042"/>
      <c r="AS30" s="1042"/>
      <c r="AT30" s="1042"/>
      <c r="AU30" s="1042"/>
      <c r="AV30" s="1042"/>
      <c r="AW30" s="1042"/>
      <c r="AX30" s="1042"/>
      <c r="AY30" s="1042"/>
      <c r="AZ30" s="1051"/>
      <c r="BB30" s="8">
        <f t="shared" ref="BB30:BB32" si="87">E30-AX30-AY30</f>
        <v>0</v>
      </c>
      <c r="BD30" s="187"/>
      <c r="BE30" s="19"/>
      <c r="BF30" s="58"/>
      <c r="BG30" s="19"/>
    </row>
    <row r="31" spans="1:59" ht="14.25" customHeight="1">
      <c r="A31" s="213" t="s">
        <v>332</v>
      </c>
      <c r="B31" s="53"/>
      <c r="C31" s="54"/>
      <c r="D31" s="55"/>
      <c r="E31" s="6"/>
      <c r="F31" s="1041"/>
      <c r="G31" s="1041"/>
      <c r="H31" s="1042"/>
      <c r="I31" s="1042"/>
      <c r="J31" s="1042"/>
      <c r="K31" s="1042"/>
      <c r="L31" s="1042"/>
      <c r="M31" s="1042"/>
      <c r="N31" s="1042"/>
      <c r="O31" s="1042"/>
      <c r="P31" s="1042"/>
      <c r="Q31" s="1042"/>
      <c r="R31" s="1042"/>
      <c r="S31" s="1042"/>
      <c r="T31" s="1042"/>
      <c r="U31" s="1042"/>
      <c r="V31" s="1042"/>
      <c r="W31" s="1042"/>
      <c r="X31" s="1042"/>
      <c r="Y31" s="1042"/>
      <c r="Z31" s="7"/>
      <c r="AA31" s="7"/>
      <c r="AB31" s="1042"/>
      <c r="AC31" s="1042"/>
      <c r="AD31" s="1042"/>
      <c r="AE31" s="1042"/>
      <c r="AF31" s="1042"/>
      <c r="AG31" s="1042"/>
      <c r="AH31" s="1042"/>
      <c r="AI31" s="1042"/>
      <c r="AJ31" s="1042"/>
      <c r="AK31" s="1042"/>
      <c r="AL31" s="1042"/>
      <c r="AM31" s="1042"/>
      <c r="AN31" s="1042"/>
      <c r="AO31" s="1042"/>
      <c r="AP31" s="1042"/>
      <c r="AQ31" s="1042"/>
      <c r="AR31" s="1042"/>
      <c r="AS31" s="1042"/>
      <c r="AT31" s="1042"/>
      <c r="AU31" s="1042"/>
      <c r="AV31" s="1042"/>
      <c r="AW31" s="1042"/>
      <c r="AX31" s="1042"/>
      <c r="AY31" s="1042"/>
      <c r="AZ31" s="1051"/>
      <c r="BB31" s="8">
        <f t="shared" si="87"/>
        <v>0</v>
      </c>
      <c r="BD31" s="187"/>
      <c r="BE31" s="19"/>
      <c r="BF31" s="58"/>
      <c r="BG31" s="19"/>
    </row>
    <row r="32" spans="1:59" s="220" customFormat="1" ht="14.25" customHeight="1">
      <c r="A32" s="190" t="s">
        <v>233</v>
      </c>
      <c r="B32" s="214" t="s">
        <v>333</v>
      </c>
      <c r="C32" s="215"/>
      <c r="D32" s="216"/>
      <c r="E32" s="217"/>
      <c r="F32" s="1045"/>
      <c r="G32" s="1045"/>
      <c r="H32" s="1046"/>
      <c r="I32" s="1046"/>
      <c r="J32" s="1046"/>
      <c r="K32" s="1046"/>
      <c r="L32" s="1046"/>
      <c r="M32" s="1046"/>
      <c r="N32" s="1046"/>
      <c r="O32" s="1046"/>
      <c r="P32" s="1046"/>
      <c r="Q32" s="1046"/>
      <c r="R32" s="1046"/>
      <c r="S32" s="1046"/>
      <c r="T32" s="1046"/>
      <c r="U32" s="1046"/>
      <c r="V32" s="1046"/>
      <c r="W32" s="1046"/>
      <c r="X32" s="1046"/>
      <c r="Y32" s="1046"/>
      <c r="Z32" s="219"/>
      <c r="AA32" s="219"/>
      <c r="AB32" s="1046"/>
      <c r="AC32" s="1046"/>
      <c r="AD32" s="1046"/>
      <c r="AE32" s="1046"/>
      <c r="AF32" s="1046"/>
      <c r="AG32" s="1046"/>
      <c r="AH32" s="1046"/>
      <c r="AI32" s="1046"/>
      <c r="AJ32" s="1046"/>
      <c r="AK32" s="1046"/>
      <c r="AL32" s="1046"/>
      <c r="AM32" s="1046"/>
      <c r="AN32" s="1046"/>
      <c r="AO32" s="1046"/>
      <c r="AP32" s="1046"/>
      <c r="AQ32" s="1046"/>
      <c r="AR32" s="1046"/>
      <c r="AS32" s="1046"/>
      <c r="AT32" s="1046"/>
      <c r="AU32" s="1046"/>
      <c r="AV32" s="1046"/>
      <c r="AW32" s="1046"/>
      <c r="AX32" s="1046"/>
      <c r="AY32" s="1046"/>
      <c r="AZ32" s="1189"/>
      <c r="BB32" s="8">
        <f t="shared" si="87"/>
        <v>0</v>
      </c>
      <c r="BD32" s="229"/>
      <c r="BE32" s="179"/>
      <c r="BF32" s="222"/>
      <c r="BG32" s="179"/>
    </row>
    <row r="33" spans="1:59" s="960" customFormat="1" ht="14.25" hidden="1" customHeight="1">
      <c r="A33" s="966">
        <v>1</v>
      </c>
      <c r="B33" s="954" t="s">
        <v>334</v>
      </c>
      <c r="C33" s="955">
        <v>38353</v>
      </c>
      <c r="D33" s="956">
        <v>20</v>
      </c>
      <c r="E33" s="957">
        <f>10960000*0</f>
        <v>0</v>
      </c>
      <c r="F33" s="958">
        <f t="shared" ref="F33:F41" si="88">E33/D33</f>
        <v>0</v>
      </c>
      <c r="G33" s="958">
        <f t="shared" ref="G33:G41" si="89">E33</f>
        <v>0</v>
      </c>
      <c r="H33" s="959">
        <f>((F33/12)*(13-IF(C33="","",MONTH(C33))))*10</f>
        <v>0</v>
      </c>
      <c r="I33" s="959">
        <f t="shared" ref="I33:I41" si="90">H33</f>
        <v>0</v>
      </c>
      <c r="J33" s="959">
        <f t="shared" ref="J33:J41" si="91">G33-I33</f>
        <v>0</v>
      </c>
      <c r="K33" s="959">
        <f t="shared" ref="K33:K40" si="92">(F33/12)*12</f>
        <v>0</v>
      </c>
      <c r="L33" s="959">
        <f t="shared" ref="L33:L41" si="93">I33+K33</f>
        <v>0</v>
      </c>
      <c r="M33" s="959">
        <f t="shared" ref="M33:M41" si="94">E33-L33</f>
        <v>0</v>
      </c>
      <c r="N33" s="959">
        <f t="shared" ref="N33:N41" si="95">(F33/12)*12</f>
        <v>0</v>
      </c>
      <c r="O33" s="959">
        <f t="shared" ref="O33:O41" si="96">N33+L33</f>
        <v>0</v>
      </c>
      <c r="P33" s="959">
        <f t="shared" ref="P33:P41" si="97">E33-O33</f>
        <v>0</v>
      </c>
      <c r="Q33" s="959">
        <f t="shared" ref="Q33:Q41" si="98">(F33/12)*12</f>
        <v>0</v>
      </c>
      <c r="R33" s="959">
        <f t="shared" ref="R33:R41" si="99">Q33+O33</f>
        <v>0</v>
      </c>
      <c r="S33" s="959">
        <f t="shared" ref="S33:S52" si="100">E33-R33</f>
        <v>0</v>
      </c>
      <c r="T33" s="959">
        <f t="shared" ref="T33:T41" si="101">(F33/12)*12</f>
        <v>0</v>
      </c>
      <c r="U33" s="959">
        <f t="shared" ref="U33:U41" si="102">R33+T33</f>
        <v>0</v>
      </c>
      <c r="V33" s="959">
        <f t="shared" ref="V33:V41" si="103">E33-U33</f>
        <v>0</v>
      </c>
      <c r="W33" s="959">
        <f t="shared" ref="W33:W41" si="104">(F33/12)*12</f>
        <v>0</v>
      </c>
      <c r="X33" s="959">
        <f t="shared" ref="X33:X41" si="105">U33+W33</f>
        <v>0</v>
      </c>
      <c r="Y33" s="959">
        <f t="shared" ref="Y33:Y41" si="106">E33-X33</f>
        <v>0</v>
      </c>
      <c r="Z33" s="959">
        <f>1644000*0</f>
        <v>0</v>
      </c>
      <c r="AA33" s="959">
        <f t="shared" ref="AA33:AA79" si="107">E33-Z33</f>
        <v>0</v>
      </c>
      <c r="AB33" s="959">
        <f t="shared" ref="AB33:AB41" si="108">(F33/12)*12</f>
        <v>0</v>
      </c>
      <c r="AC33" s="959">
        <f t="shared" ref="AC33:AC80" si="109">Z33+AB33</f>
        <v>0</v>
      </c>
      <c r="AD33" s="959">
        <f t="shared" ref="AD33:AD41" si="110">E33-AC33</f>
        <v>0</v>
      </c>
      <c r="AE33" s="959">
        <f t="shared" ref="AE33:AE41" si="111">(F33/12)*12</f>
        <v>0</v>
      </c>
      <c r="AF33" s="959">
        <f t="shared" ref="AF33:AF41" si="112">AC33+AE33</f>
        <v>0</v>
      </c>
      <c r="AG33" s="959">
        <f t="shared" ref="AG33:AG41" si="113">E33-AF33</f>
        <v>0</v>
      </c>
      <c r="AH33" s="959">
        <f t="shared" ref="AH33" si="114">(F33/12)*12</f>
        <v>0</v>
      </c>
      <c r="AI33" s="959">
        <f t="shared" ref="AI33:AI41" si="115">AF33+AH33</f>
        <v>0</v>
      </c>
      <c r="AJ33" s="959">
        <f t="shared" ref="AJ33:AJ41" si="116">E33-AI33</f>
        <v>0</v>
      </c>
      <c r="AK33" s="959"/>
      <c r="AL33" s="959"/>
      <c r="AM33" s="959"/>
      <c r="AN33" s="959"/>
      <c r="AO33" s="959"/>
      <c r="AP33" s="959"/>
      <c r="AQ33" s="959">
        <f t="shared" ref="AQ33:AQ40" si="117">(F33/12)*7</f>
        <v>0</v>
      </c>
      <c r="AR33" s="959">
        <f t="shared" ref="AR33:AR41" si="118">AI33+AQ33</f>
        <v>0</v>
      </c>
      <c r="AS33" s="959">
        <f t="shared" ref="AS33:AS41" si="119">E33-AR33</f>
        <v>0</v>
      </c>
      <c r="AT33" s="1157"/>
      <c r="AU33" s="1157"/>
      <c r="AV33" s="1157"/>
      <c r="AW33" s="1157"/>
      <c r="AX33" s="1157"/>
      <c r="AY33" s="1157"/>
      <c r="AZ33" s="1157"/>
      <c r="BB33" s="961">
        <f t="shared" si="47"/>
        <v>0</v>
      </c>
      <c r="BD33" s="962"/>
      <c r="BE33" s="961"/>
      <c r="BF33" s="963"/>
      <c r="BG33" s="961"/>
    </row>
    <row r="34" spans="1:59" ht="14.25" customHeight="1">
      <c r="A34" s="966">
        <f>A33+1</f>
        <v>2</v>
      </c>
      <c r="B34" s="954" t="s">
        <v>335</v>
      </c>
      <c r="C34" s="238">
        <v>38353</v>
      </c>
      <c r="D34" s="55">
        <v>20</v>
      </c>
      <c r="E34" s="6">
        <f>596230000+10960000</f>
        <v>607190000</v>
      </c>
      <c r="F34" s="1041">
        <f t="shared" si="88"/>
        <v>30359500</v>
      </c>
      <c r="G34" s="1041">
        <f>E34</f>
        <v>607190000</v>
      </c>
      <c r="H34" s="1042"/>
      <c r="I34" s="1042">
        <f>H34</f>
        <v>0</v>
      </c>
      <c r="J34" s="1042">
        <f t="shared" si="91"/>
        <v>607190000</v>
      </c>
      <c r="K34" s="1042"/>
      <c r="L34" s="1042">
        <f t="shared" si="93"/>
        <v>0</v>
      </c>
      <c r="M34" s="1042">
        <f t="shared" si="94"/>
        <v>607190000</v>
      </c>
      <c r="N34" s="1042">
        <f t="shared" si="95"/>
        <v>30359500</v>
      </c>
      <c r="O34" s="1042">
        <f t="shared" si="96"/>
        <v>30359500</v>
      </c>
      <c r="P34" s="1042">
        <f t="shared" si="97"/>
        <v>576830500</v>
      </c>
      <c r="Q34" s="1042">
        <f t="shared" si="98"/>
        <v>30359500</v>
      </c>
      <c r="R34" s="1042">
        <f t="shared" si="99"/>
        <v>60719000</v>
      </c>
      <c r="S34" s="1042">
        <f t="shared" si="100"/>
        <v>546471000</v>
      </c>
      <c r="T34" s="1042">
        <f t="shared" si="101"/>
        <v>30359500</v>
      </c>
      <c r="U34" s="1042">
        <f t="shared" si="102"/>
        <v>91078500</v>
      </c>
      <c r="V34" s="1042">
        <f t="shared" si="103"/>
        <v>516111500</v>
      </c>
      <c r="W34" s="1042">
        <f t="shared" si="104"/>
        <v>30359500</v>
      </c>
      <c r="X34" s="1042">
        <f t="shared" si="105"/>
        <v>121438000</v>
      </c>
      <c r="Y34" s="1042">
        <f t="shared" si="106"/>
        <v>485752000</v>
      </c>
      <c r="Z34" s="7">
        <f>89434500+1644000</f>
        <v>91078500</v>
      </c>
      <c r="AA34" s="7">
        <f t="shared" si="107"/>
        <v>516111500</v>
      </c>
      <c r="AB34" s="1042">
        <f t="shared" si="108"/>
        <v>30359500</v>
      </c>
      <c r="AC34" s="1042">
        <f>X34+AB34</f>
        <v>151797500</v>
      </c>
      <c r="AD34" s="1042">
        <f t="shared" si="110"/>
        <v>455392500</v>
      </c>
      <c r="AE34" s="1042">
        <f t="shared" si="111"/>
        <v>30359500</v>
      </c>
      <c r="AF34" s="1042">
        <f t="shared" si="112"/>
        <v>182157000</v>
      </c>
      <c r="AG34" s="1042">
        <f t="shared" si="113"/>
        <v>425033000</v>
      </c>
      <c r="AH34" s="1042">
        <f>(F34/12)*12</f>
        <v>30359500</v>
      </c>
      <c r="AI34" s="1042">
        <f t="shared" si="115"/>
        <v>212516500</v>
      </c>
      <c r="AJ34" s="1042">
        <f>E34-AI34</f>
        <v>394673500</v>
      </c>
      <c r="AK34" s="1042">
        <f t="shared" ref="AK34:AK39" si="120">(F34/12)*1</f>
        <v>2529958.3333333335</v>
      </c>
      <c r="AL34" s="1042">
        <f t="shared" ref="AL34:AL39" si="121">AI34+AK34</f>
        <v>215046458.33333334</v>
      </c>
      <c r="AM34" s="1042">
        <f t="shared" ref="AM34:AM39" si="122">E34-AL34</f>
        <v>392143541.66666663</v>
      </c>
      <c r="AN34" s="1042">
        <f t="shared" ref="AN34:AN39" si="123">(F34/12)*9</f>
        <v>22769625</v>
      </c>
      <c r="AO34" s="1042">
        <f t="shared" ref="AO34:AO39" si="124">AI34+AN34</f>
        <v>235286125</v>
      </c>
      <c r="AP34" s="1042">
        <f t="shared" ref="AP34:AP39" si="125">E34-AO34</f>
        <v>371903875</v>
      </c>
      <c r="AQ34" s="1042">
        <f t="shared" ref="AQ34:AQ39" si="126">(F34/12)*12</f>
        <v>30359500</v>
      </c>
      <c r="AR34" s="1042">
        <f t="shared" si="118"/>
        <v>242876000</v>
      </c>
      <c r="AS34" s="1042">
        <f t="shared" si="119"/>
        <v>364314000</v>
      </c>
      <c r="AT34" s="1042">
        <f t="shared" ref="AT34:AT39" si="127">(F34/12)*9</f>
        <v>22769625</v>
      </c>
      <c r="AU34" s="1042">
        <f t="shared" ref="AU34:AU39" si="128">AR34+AT34</f>
        <v>265645625</v>
      </c>
      <c r="AV34" s="1042">
        <f t="shared" ref="AV34:AV39" si="129">E34-AU34</f>
        <v>341544375</v>
      </c>
      <c r="AW34" s="1042">
        <f t="shared" ref="AW34:AW39" si="130">(F34/12)*12</f>
        <v>30359500</v>
      </c>
      <c r="AX34" s="1042">
        <f t="shared" ref="AX34:AX39" si="131">AR34+AW34</f>
        <v>273235500</v>
      </c>
      <c r="AY34" s="1042">
        <f t="shared" ref="AY34:AY39" si="132">E34-AX34</f>
        <v>333954500</v>
      </c>
      <c r="AZ34" s="1051"/>
      <c r="BB34" s="8">
        <f t="shared" ref="BB34:BB39" si="133">E34-AX34-AY34</f>
        <v>0</v>
      </c>
      <c r="BD34" s="187"/>
      <c r="BE34" s="19"/>
      <c r="BF34" s="58"/>
      <c r="BG34" s="19"/>
    </row>
    <row r="35" spans="1:59" ht="14.25" customHeight="1">
      <c r="A35" s="17">
        <f t="shared" ref="A35:A41" si="134">A34+1</f>
        <v>3</v>
      </c>
      <c r="B35" s="53" t="s">
        <v>336</v>
      </c>
      <c r="C35" s="238">
        <v>40544</v>
      </c>
      <c r="D35" s="55">
        <v>20</v>
      </c>
      <c r="E35" s="6">
        <v>97760000</v>
      </c>
      <c r="F35" s="1041">
        <f t="shared" si="88"/>
        <v>4888000</v>
      </c>
      <c r="G35" s="1041">
        <f t="shared" si="89"/>
        <v>97760000</v>
      </c>
      <c r="H35" s="1042"/>
      <c r="I35" s="1042">
        <f t="shared" si="90"/>
        <v>0</v>
      </c>
      <c r="J35" s="1042">
        <f t="shared" si="91"/>
        <v>97760000</v>
      </c>
      <c r="K35" s="1042"/>
      <c r="L35" s="1042">
        <f t="shared" si="93"/>
        <v>0</v>
      </c>
      <c r="M35" s="1042">
        <f t="shared" si="94"/>
        <v>97760000</v>
      </c>
      <c r="N35" s="1042">
        <f t="shared" si="95"/>
        <v>4888000</v>
      </c>
      <c r="O35" s="1042">
        <f t="shared" si="96"/>
        <v>4888000</v>
      </c>
      <c r="P35" s="1042">
        <f t="shared" si="97"/>
        <v>92872000</v>
      </c>
      <c r="Q35" s="1042">
        <f t="shared" si="98"/>
        <v>4888000</v>
      </c>
      <c r="R35" s="1042">
        <f t="shared" si="99"/>
        <v>9776000</v>
      </c>
      <c r="S35" s="1042">
        <f t="shared" si="100"/>
        <v>87984000</v>
      </c>
      <c r="T35" s="1042">
        <f t="shared" si="101"/>
        <v>4888000</v>
      </c>
      <c r="U35" s="1042">
        <f t="shared" si="102"/>
        <v>14664000</v>
      </c>
      <c r="V35" s="1042">
        <f t="shared" si="103"/>
        <v>83096000</v>
      </c>
      <c r="W35" s="1042">
        <f t="shared" si="104"/>
        <v>4888000</v>
      </c>
      <c r="X35" s="1042">
        <f t="shared" si="105"/>
        <v>19552000</v>
      </c>
      <c r="Y35" s="1042">
        <f t="shared" si="106"/>
        <v>78208000</v>
      </c>
      <c r="Z35" s="7">
        <v>14664000</v>
      </c>
      <c r="AA35" s="7">
        <f t="shared" si="107"/>
        <v>83096000</v>
      </c>
      <c r="AB35" s="1042">
        <f t="shared" si="108"/>
        <v>4888000</v>
      </c>
      <c r="AC35" s="1042">
        <f t="shared" ref="AC35:AC38" si="135">X35+AB35</f>
        <v>24440000</v>
      </c>
      <c r="AD35" s="1042">
        <f t="shared" si="110"/>
        <v>73320000</v>
      </c>
      <c r="AE35" s="1042">
        <f t="shared" si="111"/>
        <v>4888000</v>
      </c>
      <c r="AF35" s="1042">
        <f t="shared" si="112"/>
        <v>29328000</v>
      </c>
      <c r="AG35" s="1042">
        <f t="shared" si="113"/>
        <v>68432000</v>
      </c>
      <c r="AH35" s="1042">
        <f t="shared" ref="AH35:AH53" si="136">(F35/12)*12</f>
        <v>4888000</v>
      </c>
      <c r="AI35" s="1042">
        <f t="shared" si="115"/>
        <v>34216000</v>
      </c>
      <c r="AJ35" s="1042">
        <f t="shared" si="116"/>
        <v>63544000</v>
      </c>
      <c r="AK35" s="1042">
        <f t="shared" si="120"/>
        <v>407333.33333333331</v>
      </c>
      <c r="AL35" s="1042">
        <f t="shared" si="121"/>
        <v>34623333.333333336</v>
      </c>
      <c r="AM35" s="1042">
        <f t="shared" si="122"/>
        <v>63136666.666666664</v>
      </c>
      <c r="AN35" s="1042">
        <f t="shared" si="123"/>
        <v>3666000</v>
      </c>
      <c r="AO35" s="1042">
        <f t="shared" si="124"/>
        <v>37882000</v>
      </c>
      <c r="AP35" s="1042">
        <f t="shared" si="125"/>
        <v>59878000</v>
      </c>
      <c r="AQ35" s="1042">
        <f t="shared" si="126"/>
        <v>4888000</v>
      </c>
      <c r="AR35" s="1042">
        <f t="shared" si="118"/>
        <v>39104000</v>
      </c>
      <c r="AS35" s="1042">
        <f t="shared" si="119"/>
        <v>58656000</v>
      </c>
      <c r="AT35" s="1042">
        <f t="shared" si="127"/>
        <v>3666000</v>
      </c>
      <c r="AU35" s="1042">
        <f t="shared" si="128"/>
        <v>42770000</v>
      </c>
      <c r="AV35" s="1042">
        <f t="shared" si="129"/>
        <v>54990000</v>
      </c>
      <c r="AW35" s="1042">
        <f t="shared" si="130"/>
        <v>4888000</v>
      </c>
      <c r="AX35" s="1042">
        <f t="shared" si="131"/>
        <v>43992000</v>
      </c>
      <c r="AY35" s="1042">
        <f t="shared" si="132"/>
        <v>53768000</v>
      </c>
      <c r="AZ35" s="1051"/>
      <c r="BB35" s="8">
        <f t="shared" si="133"/>
        <v>0</v>
      </c>
      <c r="BD35" s="187"/>
      <c r="BE35" s="19"/>
      <c r="BF35" s="58"/>
      <c r="BG35" s="19"/>
    </row>
    <row r="36" spans="1:59" ht="14.25" customHeight="1">
      <c r="A36" s="17">
        <f t="shared" si="134"/>
        <v>4</v>
      </c>
      <c r="B36" s="53" t="s">
        <v>337</v>
      </c>
      <c r="C36" s="238">
        <v>40544</v>
      </c>
      <c r="D36" s="55">
        <v>20</v>
      </c>
      <c r="E36" s="6">
        <v>131970000</v>
      </c>
      <c r="F36" s="1041">
        <f t="shared" si="88"/>
        <v>6598500</v>
      </c>
      <c r="G36" s="1041">
        <f t="shared" si="89"/>
        <v>131970000</v>
      </c>
      <c r="H36" s="1042"/>
      <c r="I36" s="1042">
        <f t="shared" si="90"/>
        <v>0</v>
      </c>
      <c r="J36" s="1042">
        <f t="shared" si="91"/>
        <v>131970000</v>
      </c>
      <c r="K36" s="1042"/>
      <c r="L36" s="1042">
        <f t="shared" si="93"/>
        <v>0</v>
      </c>
      <c r="M36" s="1042">
        <f t="shared" si="94"/>
        <v>131970000</v>
      </c>
      <c r="N36" s="1042">
        <f t="shared" si="95"/>
        <v>6598500</v>
      </c>
      <c r="O36" s="1042">
        <f t="shared" si="96"/>
        <v>6598500</v>
      </c>
      <c r="P36" s="1042">
        <f t="shared" si="97"/>
        <v>125371500</v>
      </c>
      <c r="Q36" s="1042">
        <f t="shared" si="98"/>
        <v>6598500</v>
      </c>
      <c r="R36" s="1042">
        <f t="shared" si="99"/>
        <v>13197000</v>
      </c>
      <c r="S36" s="1042">
        <f t="shared" si="100"/>
        <v>118773000</v>
      </c>
      <c r="T36" s="1042">
        <f t="shared" si="101"/>
        <v>6598500</v>
      </c>
      <c r="U36" s="1042">
        <f t="shared" si="102"/>
        <v>19795500</v>
      </c>
      <c r="V36" s="1042">
        <f t="shared" si="103"/>
        <v>112174500</v>
      </c>
      <c r="W36" s="1042">
        <f t="shared" si="104"/>
        <v>6598500</v>
      </c>
      <c r="X36" s="1042">
        <f t="shared" si="105"/>
        <v>26394000</v>
      </c>
      <c r="Y36" s="1042">
        <f t="shared" si="106"/>
        <v>105576000</v>
      </c>
      <c r="Z36" s="7">
        <v>19795500</v>
      </c>
      <c r="AA36" s="7">
        <f t="shared" si="107"/>
        <v>112174500</v>
      </c>
      <c r="AB36" s="1042">
        <f t="shared" si="108"/>
        <v>6598500</v>
      </c>
      <c r="AC36" s="1042">
        <f t="shared" si="135"/>
        <v>32992500</v>
      </c>
      <c r="AD36" s="1042">
        <f t="shared" si="110"/>
        <v>98977500</v>
      </c>
      <c r="AE36" s="1042">
        <f t="shared" si="111"/>
        <v>6598500</v>
      </c>
      <c r="AF36" s="1042">
        <f t="shared" si="112"/>
        <v>39591000</v>
      </c>
      <c r="AG36" s="1042">
        <f t="shared" si="113"/>
        <v>92379000</v>
      </c>
      <c r="AH36" s="1042">
        <f t="shared" si="136"/>
        <v>6598500</v>
      </c>
      <c r="AI36" s="1042">
        <f t="shared" si="115"/>
        <v>46189500</v>
      </c>
      <c r="AJ36" s="1042">
        <f t="shared" si="116"/>
        <v>85780500</v>
      </c>
      <c r="AK36" s="1042">
        <f t="shared" si="120"/>
        <v>549875</v>
      </c>
      <c r="AL36" s="1042">
        <f t="shared" si="121"/>
        <v>46739375</v>
      </c>
      <c r="AM36" s="1042">
        <f t="shared" si="122"/>
        <v>85230625</v>
      </c>
      <c r="AN36" s="1042">
        <f t="shared" si="123"/>
        <v>4948875</v>
      </c>
      <c r="AO36" s="1042">
        <f>AI36+AN36</f>
        <v>51138375</v>
      </c>
      <c r="AP36" s="1042">
        <f t="shared" si="125"/>
        <v>80831625</v>
      </c>
      <c r="AQ36" s="1042">
        <f t="shared" si="126"/>
        <v>6598500</v>
      </c>
      <c r="AR36" s="1042">
        <f t="shared" si="118"/>
        <v>52788000</v>
      </c>
      <c r="AS36" s="1042">
        <f t="shared" si="119"/>
        <v>79182000</v>
      </c>
      <c r="AT36" s="1042">
        <f t="shared" si="127"/>
        <v>4948875</v>
      </c>
      <c r="AU36" s="1042">
        <f t="shared" si="128"/>
        <v>57736875</v>
      </c>
      <c r="AV36" s="1042">
        <f t="shared" si="129"/>
        <v>74233125</v>
      </c>
      <c r="AW36" s="1042">
        <f t="shared" si="130"/>
        <v>6598500</v>
      </c>
      <c r="AX36" s="1042">
        <f t="shared" si="131"/>
        <v>59386500</v>
      </c>
      <c r="AY36" s="1042">
        <f t="shared" si="132"/>
        <v>72583500</v>
      </c>
      <c r="AZ36" s="1051"/>
      <c r="BB36" s="8">
        <f t="shared" si="133"/>
        <v>0</v>
      </c>
      <c r="BD36" s="187"/>
      <c r="BE36" s="19"/>
      <c r="BF36" s="58"/>
      <c r="BG36" s="19"/>
    </row>
    <row r="37" spans="1:59" ht="14.25" customHeight="1">
      <c r="A37" s="17">
        <f t="shared" si="134"/>
        <v>5</v>
      </c>
      <c r="B37" s="53" t="s">
        <v>338</v>
      </c>
      <c r="C37" s="238">
        <v>40544</v>
      </c>
      <c r="D37" s="55">
        <v>20</v>
      </c>
      <c r="E37" s="6">
        <v>98820000</v>
      </c>
      <c r="F37" s="1041">
        <f t="shared" si="88"/>
        <v>4941000</v>
      </c>
      <c r="G37" s="1041">
        <f t="shared" si="89"/>
        <v>98820000</v>
      </c>
      <c r="H37" s="1042"/>
      <c r="I37" s="1042">
        <f t="shared" si="90"/>
        <v>0</v>
      </c>
      <c r="J37" s="1042">
        <f t="shared" si="91"/>
        <v>98820000</v>
      </c>
      <c r="K37" s="1042"/>
      <c r="L37" s="1042">
        <f t="shared" si="93"/>
        <v>0</v>
      </c>
      <c r="M37" s="1042">
        <f t="shared" si="94"/>
        <v>98820000</v>
      </c>
      <c r="N37" s="1042">
        <f t="shared" si="95"/>
        <v>4941000</v>
      </c>
      <c r="O37" s="1042">
        <f t="shared" si="96"/>
        <v>4941000</v>
      </c>
      <c r="P37" s="1042">
        <f t="shared" si="97"/>
        <v>93879000</v>
      </c>
      <c r="Q37" s="1042">
        <f t="shared" si="98"/>
        <v>4941000</v>
      </c>
      <c r="R37" s="1042">
        <f t="shared" si="99"/>
        <v>9882000</v>
      </c>
      <c r="S37" s="1042">
        <f t="shared" si="100"/>
        <v>88938000</v>
      </c>
      <c r="T37" s="1042">
        <f t="shared" si="101"/>
        <v>4941000</v>
      </c>
      <c r="U37" s="1042">
        <f t="shared" si="102"/>
        <v>14823000</v>
      </c>
      <c r="V37" s="1042">
        <f t="shared" si="103"/>
        <v>83997000</v>
      </c>
      <c r="W37" s="1042">
        <f t="shared" si="104"/>
        <v>4941000</v>
      </c>
      <c r="X37" s="1042">
        <f t="shared" si="105"/>
        <v>19764000</v>
      </c>
      <c r="Y37" s="1042">
        <f t="shared" si="106"/>
        <v>79056000</v>
      </c>
      <c r="Z37" s="7">
        <v>14823000</v>
      </c>
      <c r="AA37" s="7">
        <f t="shared" si="107"/>
        <v>83997000</v>
      </c>
      <c r="AB37" s="1042">
        <f t="shared" si="108"/>
        <v>4941000</v>
      </c>
      <c r="AC37" s="1042">
        <f t="shared" si="135"/>
        <v>24705000</v>
      </c>
      <c r="AD37" s="1042">
        <f t="shared" si="110"/>
        <v>74115000</v>
      </c>
      <c r="AE37" s="1042">
        <f t="shared" si="111"/>
        <v>4941000</v>
      </c>
      <c r="AF37" s="1042">
        <f t="shared" si="112"/>
        <v>29646000</v>
      </c>
      <c r="AG37" s="1042">
        <f t="shared" si="113"/>
        <v>69174000</v>
      </c>
      <c r="AH37" s="1042">
        <f t="shared" si="136"/>
        <v>4941000</v>
      </c>
      <c r="AI37" s="1042">
        <f t="shared" si="115"/>
        <v>34587000</v>
      </c>
      <c r="AJ37" s="1042">
        <f t="shared" si="116"/>
        <v>64233000</v>
      </c>
      <c r="AK37" s="1042">
        <f t="shared" si="120"/>
        <v>411750</v>
      </c>
      <c r="AL37" s="1042">
        <f t="shared" si="121"/>
        <v>34998750</v>
      </c>
      <c r="AM37" s="1042">
        <f t="shared" si="122"/>
        <v>63821250</v>
      </c>
      <c r="AN37" s="1042">
        <f t="shared" si="123"/>
        <v>3705750</v>
      </c>
      <c r="AO37" s="1042">
        <f t="shared" si="124"/>
        <v>38292750</v>
      </c>
      <c r="AP37" s="1042">
        <f t="shared" si="125"/>
        <v>60527250</v>
      </c>
      <c r="AQ37" s="1042">
        <f t="shared" si="126"/>
        <v>4941000</v>
      </c>
      <c r="AR37" s="1042">
        <f t="shared" si="118"/>
        <v>39528000</v>
      </c>
      <c r="AS37" s="1042">
        <f t="shared" si="119"/>
        <v>59292000</v>
      </c>
      <c r="AT37" s="1042">
        <f t="shared" si="127"/>
        <v>3705750</v>
      </c>
      <c r="AU37" s="1042">
        <f t="shared" si="128"/>
        <v>43233750</v>
      </c>
      <c r="AV37" s="1042">
        <f t="shared" si="129"/>
        <v>55586250</v>
      </c>
      <c r="AW37" s="1042">
        <f t="shared" si="130"/>
        <v>4941000</v>
      </c>
      <c r="AX37" s="1042">
        <f t="shared" si="131"/>
        <v>44469000</v>
      </c>
      <c r="AY37" s="1042">
        <f t="shared" si="132"/>
        <v>54351000</v>
      </c>
      <c r="AZ37" s="1051"/>
      <c r="BB37" s="8">
        <f t="shared" si="133"/>
        <v>0</v>
      </c>
      <c r="BD37" s="187"/>
      <c r="BE37" s="19"/>
      <c r="BF37" s="58"/>
      <c r="BG37" s="19"/>
    </row>
    <row r="38" spans="1:59" ht="14.25" customHeight="1">
      <c r="A38" s="17">
        <f t="shared" si="134"/>
        <v>6</v>
      </c>
      <c r="B38" s="53" t="s">
        <v>339</v>
      </c>
      <c r="C38" s="238">
        <v>40544</v>
      </c>
      <c r="D38" s="55">
        <v>20</v>
      </c>
      <c r="E38" s="6">
        <v>89000000</v>
      </c>
      <c r="F38" s="1041">
        <f t="shared" si="88"/>
        <v>4450000</v>
      </c>
      <c r="G38" s="1041">
        <f t="shared" si="89"/>
        <v>89000000</v>
      </c>
      <c r="H38" s="1042"/>
      <c r="I38" s="1042">
        <f t="shared" si="90"/>
        <v>0</v>
      </c>
      <c r="J38" s="1042">
        <f t="shared" si="91"/>
        <v>89000000</v>
      </c>
      <c r="K38" s="1042"/>
      <c r="L38" s="1042">
        <f t="shared" si="93"/>
        <v>0</v>
      </c>
      <c r="M38" s="1042">
        <f t="shared" si="94"/>
        <v>89000000</v>
      </c>
      <c r="N38" s="1042">
        <f t="shared" si="95"/>
        <v>4450000</v>
      </c>
      <c r="O38" s="1042">
        <f t="shared" si="96"/>
        <v>4450000</v>
      </c>
      <c r="P38" s="1042">
        <f t="shared" si="97"/>
        <v>84550000</v>
      </c>
      <c r="Q38" s="1042">
        <f t="shared" si="98"/>
        <v>4450000</v>
      </c>
      <c r="R38" s="1042">
        <f t="shared" si="99"/>
        <v>8900000</v>
      </c>
      <c r="S38" s="1042">
        <f t="shared" si="100"/>
        <v>80100000</v>
      </c>
      <c r="T38" s="1042">
        <f t="shared" si="101"/>
        <v>4450000</v>
      </c>
      <c r="U38" s="1042">
        <f t="shared" si="102"/>
        <v>13350000</v>
      </c>
      <c r="V38" s="1042">
        <f t="shared" si="103"/>
        <v>75650000</v>
      </c>
      <c r="W38" s="1042">
        <f t="shared" si="104"/>
        <v>4450000</v>
      </c>
      <c r="X38" s="1042">
        <f t="shared" si="105"/>
        <v>17800000</v>
      </c>
      <c r="Y38" s="1042">
        <f t="shared" si="106"/>
        <v>71200000</v>
      </c>
      <c r="Z38" s="7">
        <v>13350000</v>
      </c>
      <c r="AA38" s="7">
        <f t="shared" si="107"/>
        <v>75650000</v>
      </c>
      <c r="AB38" s="1042">
        <f t="shared" si="108"/>
        <v>4450000</v>
      </c>
      <c r="AC38" s="1042">
        <f t="shared" si="135"/>
        <v>22250000</v>
      </c>
      <c r="AD38" s="1042">
        <f t="shared" si="110"/>
        <v>66750000</v>
      </c>
      <c r="AE38" s="1042">
        <f t="shared" si="111"/>
        <v>4450000</v>
      </c>
      <c r="AF38" s="1042">
        <f t="shared" si="112"/>
        <v>26700000</v>
      </c>
      <c r="AG38" s="1042">
        <f t="shared" si="113"/>
        <v>62300000</v>
      </c>
      <c r="AH38" s="1042">
        <f t="shared" si="136"/>
        <v>4450000</v>
      </c>
      <c r="AI38" s="1042">
        <f t="shared" si="115"/>
        <v>31150000</v>
      </c>
      <c r="AJ38" s="1042">
        <f t="shared" si="116"/>
        <v>57850000</v>
      </c>
      <c r="AK38" s="1042">
        <f t="shared" si="120"/>
        <v>370833.33333333331</v>
      </c>
      <c r="AL38" s="1042">
        <f t="shared" si="121"/>
        <v>31520833.333333332</v>
      </c>
      <c r="AM38" s="1042">
        <f t="shared" si="122"/>
        <v>57479166.666666672</v>
      </c>
      <c r="AN38" s="1042">
        <f t="shared" si="123"/>
        <v>3337500</v>
      </c>
      <c r="AO38" s="1042">
        <f t="shared" si="124"/>
        <v>34487500</v>
      </c>
      <c r="AP38" s="1042">
        <f t="shared" si="125"/>
        <v>54512500</v>
      </c>
      <c r="AQ38" s="1042">
        <f t="shared" si="126"/>
        <v>4450000</v>
      </c>
      <c r="AR38" s="1042">
        <f t="shared" si="118"/>
        <v>35600000</v>
      </c>
      <c r="AS38" s="1042">
        <f t="shared" si="119"/>
        <v>53400000</v>
      </c>
      <c r="AT38" s="1042">
        <f t="shared" si="127"/>
        <v>3337500</v>
      </c>
      <c r="AU38" s="1042">
        <f t="shared" si="128"/>
        <v>38937500</v>
      </c>
      <c r="AV38" s="1042">
        <f t="shared" si="129"/>
        <v>50062500</v>
      </c>
      <c r="AW38" s="1042">
        <f t="shared" si="130"/>
        <v>4450000</v>
      </c>
      <c r="AX38" s="1042">
        <f t="shared" si="131"/>
        <v>40050000</v>
      </c>
      <c r="AY38" s="1042">
        <f t="shared" si="132"/>
        <v>48950000</v>
      </c>
      <c r="AZ38" s="1051"/>
      <c r="BB38" s="8">
        <f t="shared" si="133"/>
        <v>0</v>
      </c>
      <c r="BD38" s="187"/>
      <c r="BE38" s="19"/>
      <c r="BF38" s="58"/>
      <c r="BG38" s="19"/>
    </row>
    <row r="39" spans="1:59" ht="14.25" customHeight="1">
      <c r="A39" s="17">
        <f t="shared" si="134"/>
        <v>7</v>
      </c>
      <c r="B39" s="53" t="s">
        <v>340</v>
      </c>
      <c r="C39" s="238">
        <v>41640</v>
      </c>
      <c r="D39" s="55">
        <v>20</v>
      </c>
      <c r="E39" s="6">
        <v>51410000</v>
      </c>
      <c r="F39" s="1041">
        <f t="shared" si="88"/>
        <v>2570500</v>
      </c>
      <c r="G39" s="1041">
        <f t="shared" si="89"/>
        <v>51410000</v>
      </c>
      <c r="H39" s="1042"/>
      <c r="I39" s="1042">
        <f t="shared" si="90"/>
        <v>0</v>
      </c>
      <c r="J39" s="1042">
        <f t="shared" si="91"/>
        <v>51410000</v>
      </c>
      <c r="K39" s="1042"/>
      <c r="L39" s="1042">
        <f t="shared" si="93"/>
        <v>0</v>
      </c>
      <c r="M39" s="1042">
        <f t="shared" si="94"/>
        <v>51410000</v>
      </c>
      <c r="N39" s="1042">
        <f t="shared" si="95"/>
        <v>2570500</v>
      </c>
      <c r="O39" s="1042">
        <f t="shared" si="96"/>
        <v>2570500</v>
      </c>
      <c r="P39" s="1042">
        <f t="shared" si="97"/>
        <v>48839500</v>
      </c>
      <c r="Q39" s="1042">
        <f t="shared" si="98"/>
        <v>2570500</v>
      </c>
      <c r="R39" s="1042">
        <f t="shared" si="99"/>
        <v>5141000</v>
      </c>
      <c r="S39" s="1042">
        <f t="shared" si="100"/>
        <v>46269000</v>
      </c>
      <c r="T39" s="1042">
        <f t="shared" si="101"/>
        <v>2570500</v>
      </c>
      <c r="U39" s="1042">
        <f t="shared" si="102"/>
        <v>7711500</v>
      </c>
      <c r="V39" s="1042">
        <f t="shared" si="103"/>
        <v>43698500</v>
      </c>
      <c r="W39" s="1042">
        <f t="shared" si="104"/>
        <v>2570500</v>
      </c>
      <c r="X39" s="1042">
        <f t="shared" si="105"/>
        <v>10282000</v>
      </c>
      <c r="Y39" s="1042">
        <f t="shared" si="106"/>
        <v>41128000</v>
      </c>
      <c r="Z39" s="7">
        <v>7711500</v>
      </c>
      <c r="AA39" s="7">
        <f t="shared" si="107"/>
        <v>43698500</v>
      </c>
      <c r="AB39" s="1042">
        <f t="shared" si="108"/>
        <v>2570500</v>
      </c>
      <c r="AC39" s="1042">
        <f>X39+AB39</f>
        <v>12852500</v>
      </c>
      <c r="AD39" s="1042">
        <f t="shared" si="110"/>
        <v>38557500</v>
      </c>
      <c r="AE39" s="1042">
        <f t="shared" si="111"/>
        <v>2570500</v>
      </c>
      <c r="AF39" s="1042">
        <f t="shared" si="112"/>
        <v>15423000</v>
      </c>
      <c r="AG39" s="1042">
        <f t="shared" si="113"/>
        <v>35987000</v>
      </c>
      <c r="AH39" s="1042">
        <f t="shared" si="136"/>
        <v>2570500</v>
      </c>
      <c r="AI39" s="1042">
        <f t="shared" si="115"/>
        <v>17993500</v>
      </c>
      <c r="AJ39" s="1042">
        <f t="shared" si="116"/>
        <v>33416500</v>
      </c>
      <c r="AK39" s="1042">
        <f t="shared" si="120"/>
        <v>214208.33333333334</v>
      </c>
      <c r="AL39" s="1042">
        <f t="shared" si="121"/>
        <v>18207708.333333332</v>
      </c>
      <c r="AM39" s="1042">
        <f t="shared" si="122"/>
        <v>33202291.666666668</v>
      </c>
      <c r="AN39" s="1042">
        <f t="shared" si="123"/>
        <v>1927875</v>
      </c>
      <c r="AO39" s="1042">
        <f t="shared" si="124"/>
        <v>19921375</v>
      </c>
      <c r="AP39" s="1042">
        <f t="shared" si="125"/>
        <v>31488625</v>
      </c>
      <c r="AQ39" s="1042">
        <f t="shared" si="126"/>
        <v>2570500</v>
      </c>
      <c r="AR39" s="1042">
        <f t="shared" si="118"/>
        <v>20564000</v>
      </c>
      <c r="AS39" s="1042">
        <f t="shared" si="119"/>
        <v>30846000</v>
      </c>
      <c r="AT39" s="1042">
        <f t="shared" si="127"/>
        <v>1927875</v>
      </c>
      <c r="AU39" s="1042">
        <f t="shared" si="128"/>
        <v>22491875</v>
      </c>
      <c r="AV39" s="1042">
        <f t="shared" si="129"/>
        <v>28918125</v>
      </c>
      <c r="AW39" s="1042">
        <f t="shared" si="130"/>
        <v>2570500</v>
      </c>
      <c r="AX39" s="1042">
        <f t="shared" si="131"/>
        <v>23134500</v>
      </c>
      <c r="AY39" s="1042">
        <f t="shared" si="132"/>
        <v>28275500</v>
      </c>
      <c r="AZ39" s="1051"/>
      <c r="BB39" s="8">
        <f t="shared" si="133"/>
        <v>0</v>
      </c>
      <c r="BD39" s="187"/>
      <c r="BE39" s="19"/>
      <c r="BF39" s="58"/>
      <c r="BG39" s="19"/>
    </row>
    <row r="40" spans="1:59" ht="14.25" hidden="1" customHeight="1">
      <c r="A40" s="17">
        <f t="shared" si="134"/>
        <v>8</v>
      </c>
      <c r="B40" s="872" t="s">
        <v>310</v>
      </c>
      <c r="C40" s="876">
        <v>41640</v>
      </c>
      <c r="D40" s="877">
        <v>20</v>
      </c>
      <c r="E40" s="878">
        <f>24700000*0</f>
        <v>0</v>
      </c>
      <c r="F40" s="879">
        <f t="shared" si="88"/>
        <v>0</v>
      </c>
      <c r="G40" s="879">
        <f t="shared" si="89"/>
        <v>0</v>
      </c>
      <c r="H40" s="880">
        <f>((F40/12)*(13-IF(C40="","",MONTH(C40))))</f>
        <v>0</v>
      </c>
      <c r="I40" s="880">
        <f t="shared" si="90"/>
        <v>0</v>
      </c>
      <c r="J40" s="880">
        <f t="shared" si="91"/>
        <v>0</v>
      </c>
      <c r="K40" s="880">
        <f t="shared" si="92"/>
        <v>0</v>
      </c>
      <c r="L40" s="880">
        <f t="shared" si="93"/>
        <v>0</v>
      </c>
      <c r="M40" s="880">
        <f t="shared" si="94"/>
        <v>0</v>
      </c>
      <c r="N40" s="880">
        <f t="shared" si="95"/>
        <v>0</v>
      </c>
      <c r="O40" s="880">
        <f t="shared" si="96"/>
        <v>0</v>
      </c>
      <c r="P40" s="880">
        <f t="shared" si="97"/>
        <v>0</v>
      </c>
      <c r="Q40" s="880">
        <f t="shared" si="98"/>
        <v>0</v>
      </c>
      <c r="R40" s="880">
        <f t="shared" si="99"/>
        <v>0</v>
      </c>
      <c r="S40" s="880">
        <f t="shared" si="100"/>
        <v>0</v>
      </c>
      <c r="T40" s="880">
        <f t="shared" si="101"/>
        <v>0</v>
      </c>
      <c r="U40" s="880">
        <f t="shared" si="102"/>
        <v>0</v>
      </c>
      <c r="V40" s="880">
        <f t="shared" si="103"/>
        <v>0</v>
      </c>
      <c r="W40" s="880">
        <f t="shared" si="104"/>
        <v>0</v>
      </c>
      <c r="X40" s="880">
        <f t="shared" si="105"/>
        <v>0</v>
      </c>
      <c r="Y40" s="880">
        <f t="shared" si="106"/>
        <v>0</v>
      </c>
      <c r="Z40" s="880"/>
      <c r="AA40" s="880">
        <f t="shared" si="107"/>
        <v>0</v>
      </c>
      <c r="AB40" s="880">
        <f t="shared" si="108"/>
        <v>0</v>
      </c>
      <c r="AC40" s="880">
        <f t="shared" si="109"/>
        <v>0</v>
      </c>
      <c r="AD40" s="880">
        <f t="shared" si="110"/>
        <v>0</v>
      </c>
      <c r="AE40" s="880">
        <f t="shared" si="111"/>
        <v>0</v>
      </c>
      <c r="AF40" s="880">
        <f t="shared" si="112"/>
        <v>0</v>
      </c>
      <c r="AG40" s="880">
        <f t="shared" si="113"/>
        <v>0</v>
      </c>
      <c r="AH40" s="880">
        <f t="shared" si="136"/>
        <v>0</v>
      </c>
      <c r="AI40" s="880">
        <f t="shared" si="115"/>
        <v>0</v>
      </c>
      <c r="AJ40" s="880">
        <f t="shared" si="116"/>
        <v>0</v>
      </c>
      <c r="AK40" s="880"/>
      <c r="AL40" s="880"/>
      <c r="AM40" s="880"/>
      <c r="AN40" s="880"/>
      <c r="AO40" s="880"/>
      <c r="AP40" s="880"/>
      <c r="AQ40" s="880">
        <f t="shared" si="117"/>
        <v>0</v>
      </c>
      <c r="AR40" s="880">
        <f t="shared" si="118"/>
        <v>0</v>
      </c>
      <c r="AS40" s="880">
        <f t="shared" si="119"/>
        <v>0</v>
      </c>
      <c r="AT40" s="896"/>
      <c r="AU40" s="896"/>
      <c r="AV40" s="896"/>
      <c r="AW40" s="896"/>
      <c r="AX40" s="896"/>
      <c r="AY40" s="896"/>
      <c r="AZ40" s="896"/>
      <c r="BA40" s="9"/>
      <c r="BB40" s="881">
        <f t="shared" ref="BB40:BB68" si="137">E40-AR40-AS40</f>
        <v>0</v>
      </c>
      <c r="BD40" s="57"/>
      <c r="BE40" s="19"/>
      <c r="BF40" s="58"/>
      <c r="BG40" s="19"/>
    </row>
    <row r="41" spans="1:59" ht="14.25" customHeight="1">
      <c r="A41" s="17">
        <f t="shared" si="134"/>
        <v>9</v>
      </c>
      <c r="B41" s="872" t="s">
        <v>1143</v>
      </c>
      <c r="C41" s="238">
        <v>41640</v>
      </c>
      <c r="D41" s="55">
        <v>20</v>
      </c>
      <c r="E41" s="6">
        <f>65020000+24700000</f>
        <v>89720000</v>
      </c>
      <c r="F41" s="1041">
        <f t="shared" si="88"/>
        <v>4486000</v>
      </c>
      <c r="G41" s="1041">
        <f t="shared" si="89"/>
        <v>89720000</v>
      </c>
      <c r="H41" s="1042"/>
      <c r="I41" s="1042">
        <f t="shared" si="90"/>
        <v>0</v>
      </c>
      <c r="J41" s="1042">
        <f t="shared" si="91"/>
        <v>89720000</v>
      </c>
      <c r="K41" s="1042"/>
      <c r="L41" s="1042">
        <f t="shared" si="93"/>
        <v>0</v>
      </c>
      <c r="M41" s="1042">
        <f t="shared" si="94"/>
        <v>89720000</v>
      </c>
      <c r="N41" s="1042">
        <f t="shared" si="95"/>
        <v>4486000</v>
      </c>
      <c r="O41" s="1042">
        <f t="shared" si="96"/>
        <v>4486000</v>
      </c>
      <c r="P41" s="1042">
        <f t="shared" si="97"/>
        <v>85234000</v>
      </c>
      <c r="Q41" s="1042">
        <f t="shared" si="98"/>
        <v>4486000</v>
      </c>
      <c r="R41" s="1042">
        <f t="shared" si="99"/>
        <v>8972000</v>
      </c>
      <c r="S41" s="1042">
        <f t="shared" si="100"/>
        <v>80748000</v>
      </c>
      <c r="T41" s="1042">
        <f t="shared" si="101"/>
        <v>4486000</v>
      </c>
      <c r="U41" s="1042">
        <f t="shared" si="102"/>
        <v>13458000</v>
      </c>
      <c r="V41" s="1042">
        <f t="shared" si="103"/>
        <v>76262000</v>
      </c>
      <c r="W41" s="1042">
        <f t="shared" si="104"/>
        <v>4486000</v>
      </c>
      <c r="X41" s="1042">
        <f t="shared" si="105"/>
        <v>17944000</v>
      </c>
      <c r="Y41" s="1042">
        <f t="shared" si="106"/>
        <v>71776000</v>
      </c>
      <c r="Z41" s="7">
        <f>9753000+3705000</f>
        <v>13458000</v>
      </c>
      <c r="AA41" s="7">
        <f t="shared" si="107"/>
        <v>76262000</v>
      </c>
      <c r="AB41" s="1042">
        <f t="shared" si="108"/>
        <v>4486000</v>
      </c>
      <c r="AC41" s="1042">
        <f>X41+AB41</f>
        <v>22430000</v>
      </c>
      <c r="AD41" s="1042">
        <f t="shared" si="110"/>
        <v>67290000</v>
      </c>
      <c r="AE41" s="1042">
        <f t="shared" si="111"/>
        <v>4486000</v>
      </c>
      <c r="AF41" s="1042">
        <f t="shared" si="112"/>
        <v>26916000</v>
      </c>
      <c r="AG41" s="1042">
        <f t="shared" si="113"/>
        <v>62804000</v>
      </c>
      <c r="AH41" s="1042">
        <f t="shared" si="136"/>
        <v>4486000</v>
      </c>
      <c r="AI41" s="1042">
        <f t="shared" si="115"/>
        <v>31402000</v>
      </c>
      <c r="AJ41" s="1042">
        <f t="shared" si="116"/>
        <v>58318000</v>
      </c>
      <c r="AK41" s="1042">
        <f>(F41/12)*1</f>
        <v>373833.33333333331</v>
      </c>
      <c r="AL41" s="1042">
        <f>AI41+AK41</f>
        <v>31775833.333333332</v>
      </c>
      <c r="AM41" s="1042">
        <f>E41-AL41</f>
        <v>57944166.666666672</v>
      </c>
      <c r="AN41" s="1042">
        <f>(F41/12)*9</f>
        <v>3364500</v>
      </c>
      <c r="AO41" s="1042">
        <f t="shared" ref="AO41" si="138">AI41+AN41</f>
        <v>34766500</v>
      </c>
      <c r="AP41" s="1042">
        <f t="shared" ref="AP41" si="139">E41-AO41</f>
        <v>54953500</v>
      </c>
      <c r="AQ41" s="1042">
        <f t="shared" ref="AQ41:AQ53" si="140">(F41/12)*12</f>
        <v>4486000</v>
      </c>
      <c r="AR41" s="1042">
        <f t="shared" si="118"/>
        <v>35888000</v>
      </c>
      <c r="AS41" s="1042">
        <f t="shared" si="119"/>
        <v>53832000</v>
      </c>
      <c r="AT41" s="1042">
        <f t="shared" ref="AT41" si="141">(F41/12)*9</f>
        <v>3364500</v>
      </c>
      <c r="AU41" s="1042">
        <f t="shared" ref="AU41" si="142">AR41+AT41</f>
        <v>39252500</v>
      </c>
      <c r="AV41" s="1042">
        <f t="shared" ref="AV41" si="143">E41-AU41</f>
        <v>50467500</v>
      </c>
      <c r="AW41" s="1042">
        <f t="shared" ref="AW41" si="144">(F41/12)*12</f>
        <v>4486000</v>
      </c>
      <c r="AX41" s="1042">
        <f t="shared" ref="AX41" si="145">AR41+AW41</f>
        <v>40374000</v>
      </c>
      <c r="AY41" s="1042">
        <f t="shared" ref="AY41" si="146">E41-AX41</f>
        <v>49346000</v>
      </c>
      <c r="AZ41" s="1051"/>
      <c r="BB41" s="8">
        <f t="shared" ref="BB41:BB43" si="147">E41-AX41-AY41</f>
        <v>0</v>
      </c>
      <c r="BD41" s="187"/>
      <c r="BE41" s="19"/>
      <c r="BF41" s="58"/>
      <c r="BG41" s="19"/>
    </row>
    <row r="42" spans="1:59" ht="14.25" customHeight="1">
      <c r="A42" s="190" t="s">
        <v>235</v>
      </c>
      <c r="B42" s="213" t="s">
        <v>341</v>
      </c>
      <c r="C42" s="54"/>
      <c r="D42" s="55"/>
      <c r="E42" s="6"/>
      <c r="F42" s="1041"/>
      <c r="G42" s="1041"/>
      <c r="H42" s="1042"/>
      <c r="I42" s="1042"/>
      <c r="J42" s="1042"/>
      <c r="K42" s="1042"/>
      <c r="L42" s="1042"/>
      <c r="M42" s="1042"/>
      <c r="N42" s="1042"/>
      <c r="O42" s="1042"/>
      <c r="P42" s="1042"/>
      <c r="Q42" s="1042"/>
      <c r="R42" s="1042"/>
      <c r="S42" s="1042"/>
      <c r="T42" s="1042"/>
      <c r="U42" s="1042"/>
      <c r="V42" s="1042"/>
      <c r="W42" s="1042"/>
      <c r="X42" s="1042"/>
      <c r="Y42" s="1042"/>
      <c r="Z42" s="7"/>
      <c r="AA42" s="7"/>
      <c r="AB42" s="1042"/>
      <c r="AC42" s="1042"/>
      <c r="AD42" s="1042"/>
      <c r="AE42" s="1042"/>
      <c r="AF42" s="1042"/>
      <c r="AG42" s="1042"/>
      <c r="AH42" s="1042"/>
      <c r="AI42" s="1042"/>
      <c r="AJ42" s="1042"/>
      <c r="AK42" s="1042"/>
      <c r="AL42" s="1042"/>
      <c r="AM42" s="1042"/>
      <c r="AN42" s="1042"/>
      <c r="AO42" s="1042"/>
      <c r="AP42" s="1042"/>
      <c r="AQ42" s="1042"/>
      <c r="AR42" s="1042"/>
      <c r="AS42" s="1042"/>
      <c r="AT42" s="1042"/>
      <c r="AU42" s="1042"/>
      <c r="AV42" s="1042"/>
      <c r="AW42" s="1042"/>
      <c r="AX42" s="1042"/>
      <c r="AY42" s="1042"/>
      <c r="AZ42" s="1051"/>
      <c r="BB42" s="8">
        <f t="shared" si="147"/>
        <v>0</v>
      </c>
      <c r="BD42" s="187"/>
      <c r="BE42" s="19"/>
      <c r="BF42" s="58"/>
      <c r="BG42" s="19"/>
    </row>
    <row r="43" spans="1:59" ht="14.25" customHeight="1">
      <c r="A43" s="17">
        <v>1</v>
      </c>
      <c r="B43" s="53" t="s">
        <v>342</v>
      </c>
      <c r="C43" s="238">
        <v>38353</v>
      </c>
      <c r="D43" s="55">
        <v>20</v>
      </c>
      <c r="E43" s="6">
        <v>185540000</v>
      </c>
      <c r="F43" s="1041">
        <f t="shared" ref="F43:F53" si="148">E43/D43</f>
        <v>9277000</v>
      </c>
      <c r="G43" s="1041">
        <f t="shared" ref="G43:G53" si="149">E43</f>
        <v>185540000</v>
      </c>
      <c r="H43" s="1042"/>
      <c r="I43" s="1042">
        <f t="shared" ref="I43:I53" si="150">H43</f>
        <v>0</v>
      </c>
      <c r="J43" s="1042">
        <f t="shared" ref="J43:J53" si="151">G43-I43</f>
        <v>185540000</v>
      </c>
      <c r="K43" s="1042"/>
      <c r="L43" s="1042">
        <f t="shared" ref="L43:L53" si="152">I43+K43</f>
        <v>0</v>
      </c>
      <c r="M43" s="1042">
        <f t="shared" ref="M43:M53" si="153">E43-L43</f>
        <v>185540000</v>
      </c>
      <c r="N43" s="1042">
        <f t="shared" ref="N43:N53" si="154">(F43/12)*12</f>
        <v>9277000</v>
      </c>
      <c r="O43" s="1042">
        <f t="shared" ref="O43:O53" si="155">N43+L43</f>
        <v>9277000</v>
      </c>
      <c r="P43" s="1042">
        <f t="shared" ref="P43:P53" si="156">E43-O43</f>
        <v>176263000</v>
      </c>
      <c r="Q43" s="1042">
        <f t="shared" ref="Q43:Q53" si="157">(F43/12)*12</f>
        <v>9277000</v>
      </c>
      <c r="R43" s="1042">
        <f t="shared" ref="R43:R53" si="158">Q43+O43</f>
        <v>18554000</v>
      </c>
      <c r="S43" s="1042">
        <f t="shared" si="100"/>
        <v>166986000</v>
      </c>
      <c r="T43" s="1042">
        <f t="shared" ref="T43:T53" si="159">(F43/12)*12</f>
        <v>9277000</v>
      </c>
      <c r="U43" s="1042">
        <f t="shared" ref="U43:U53" si="160">R43+T43</f>
        <v>27831000</v>
      </c>
      <c r="V43" s="1042">
        <f t="shared" ref="V43:V53" si="161">E43-U43</f>
        <v>157709000</v>
      </c>
      <c r="W43" s="1042">
        <f t="shared" ref="W43:W53" si="162">(F43/12)*12</f>
        <v>9277000</v>
      </c>
      <c r="X43" s="1042">
        <f t="shared" ref="X43:X53" si="163">U43+W43</f>
        <v>37108000</v>
      </c>
      <c r="Y43" s="1042">
        <f t="shared" ref="Y43:Y53" si="164">E43-X43</f>
        <v>148432000</v>
      </c>
      <c r="Z43" s="7">
        <v>27831000</v>
      </c>
      <c r="AA43" s="7">
        <f t="shared" si="107"/>
        <v>157709000</v>
      </c>
      <c r="AB43" s="1042">
        <f t="shared" ref="AB43:AB53" si="165">(F43/12)*12</f>
        <v>9277000</v>
      </c>
      <c r="AC43" s="1042">
        <f t="shared" ref="AC43" si="166">X43+AB43</f>
        <v>46385000</v>
      </c>
      <c r="AD43" s="1042">
        <f t="shared" ref="AD43:AD53" si="167">E43-AC43</f>
        <v>139155000</v>
      </c>
      <c r="AE43" s="1042">
        <f t="shared" ref="AE43:AE53" si="168">(F43/12)*12</f>
        <v>9277000</v>
      </c>
      <c r="AF43" s="1042">
        <f t="shared" ref="AF43:AF53" si="169">AC43+AE43</f>
        <v>55662000</v>
      </c>
      <c r="AG43" s="1042">
        <f t="shared" ref="AG43:AG53" si="170">E43-AF43</f>
        <v>129878000</v>
      </c>
      <c r="AH43" s="1042">
        <f t="shared" si="136"/>
        <v>9277000</v>
      </c>
      <c r="AI43" s="1042">
        <f t="shared" ref="AI43:AI53" si="171">AF43+AH43</f>
        <v>64939000</v>
      </c>
      <c r="AJ43" s="1042">
        <f t="shared" ref="AJ43:AJ53" si="172">E43-AI43</f>
        <v>120601000</v>
      </c>
      <c r="AK43" s="1042">
        <f>(F43/12)*1</f>
        <v>773083.33333333337</v>
      </c>
      <c r="AL43" s="1042">
        <f>AI43+AK43</f>
        <v>65712083.333333336</v>
      </c>
      <c r="AM43" s="1042">
        <f>E43-AL43</f>
        <v>119827916.66666666</v>
      </c>
      <c r="AN43" s="1042">
        <f>(F43/12)*9</f>
        <v>6957750</v>
      </c>
      <c r="AO43" s="1042">
        <f t="shared" ref="AO43" si="173">AI43+AN43</f>
        <v>71896750</v>
      </c>
      <c r="AP43" s="1042">
        <f t="shared" ref="AP43" si="174">E43-AO43</f>
        <v>113643250</v>
      </c>
      <c r="AQ43" s="1042">
        <f t="shared" si="140"/>
        <v>9277000</v>
      </c>
      <c r="AR43" s="1042">
        <f t="shared" ref="AR43:AR53" si="175">AI43+AQ43</f>
        <v>74216000</v>
      </c>
      <c r="AS43" s="1042">
        <f t="shared" ref="AS43:AS53" si="176">E43-AR43</f>
        <v>111324000</v>
      </c>
      <c r="AT43" s="1042">
        <f t="shared" ref="AT43" si="177">(F43/12)*9</f>
        <v>6957750</v>
      </c>
      <c r="AU43" s="1042">
        <f t="shared" ref="AU43" si="178">AR43+AT43</f>
        <v>81173750</v>
      </c>
      <c r="AV43" s="1042">
        <f t="shared" ref="AV43" si="179">E43-AU43</f>
        <v>104366250</v>
      </c>
      <c r="AW43" s="1042">
        <f>(F43/12)*12</f>
        <v>9277000</v>
      </c>
      <c r="AX43" s="1042">
        <f t="shared" ref="AX43" si="180">AR43+AW43</f>
        <v>83493000</v>
      </c>
      <c r="AY43" s="1042">
        <f t="shared" ref="AY43" si="181">E43-AX43</f>
        <v>102047000</v>
      </c>
      <c r="AZ43" s="1051"/>
      <c r="BB43" s="8">
        <f t="shared" si="147"/>
        <v>0</v>
      </c>
      <c r="BD43" s="187"/>
      <c r="BE43" s="19"/>
      <c r="BF43" s="58"/>
      <c r="BG43" s="19"/>
    </row>
    <row r="44" spans="1:59" s="9" customFormat="1" ht="14.25" hidden="1" customHeight="1">
      <c r="A44" s="874">
        <f>A43+1</f>
        <v>2</v>
      </c>
      <c r="B44" s="875" t="s">
        <v>343</v>
      </c>
      <c r="C44" s="876">
        <v>38353</v>
      </c>
      <c r="D44" s="877">
        <v>20</v>
      </c>
      <c r="E44" s="878">
        <f>24330000*0</f>
        <v>0</v>
      </c>
      <c r="F44" s="879">
        <f t="shared" si="148"/>
        <v>0</v>
      </c>
      <c r="G44" s="879">
        <f t="shared" si="149"/>
        <v>0</v>
      </c>
      <c r="H44" s="880">
        <f>((F44/12)*(13-IF(C44="","",MONTH(C44))))*10</f>
        <v>0</v>
      </c>
      <c r="I44" s="880">
        <f t="shared" si="150"/>
        <v>0</v>
      </c>
      <c r="J44" s="880">
        <f t="shared" si="151"/>
        <v>0</v>
      </c>
      <c r="K44" s="880">
        <f t="shared" ref="K44:K47" si="182">(F44/12)*12</f>
        <v>0</v>
      </c>
      <c r="L44" s="880">
        <f t="shared" si="152"/>
        <v>0</v>
      </c>
      <c r="M44" s="880">
        <f t="shared" si="153"/>
        <v>0</v>
      </c>
      <c r="N44" s="880">
        <f t="shared" si="154"/>
        <v>0</v>
      </c>
      <c r="O44" s="880">
        <f t="shared" si="155"/>
        <v>0</v>
      </c>
      <c r="P44" s="880">
        <f t="shared" si="156"/>
        <v>0</v>
      </c>
      <c r="Q44" s="880">
        <f t="shared" si="157"/>
        <v>0</v>
      </c>
      <c r="R44" s="880">
        <f t="shared" si="158"/>
        <v>0</v>
      </c>
      <c r="S44" s="880">
        <f t="shared" si="100"/>
        <v>0</v>
      </c>
      <c r="T44" s="880">
        <f t="shared" si="159"/>
        <v>0</v>
      </c>
      <c r="U44" s="880">
        <f t="shared" si="160"/>
        <v>0</v>
      </c>
      <c r="V44" s="880">
        <f t="shared" si="161"/>
        <v>0</v>
      </c>
      <c r="W44" s="880">
        <f t="shared" si="162"/>
        <v>0</v>
      </c>
      <c r="X44" s="880">
        <f t="shared" si="163"/>
        <v>0</v>
      </c>
      <c r="Y44" s="880">
        <f t="shared" si="164"/>
        <v>0</v>
      </c>
      <c r="Z44" s="880">
        <f>3649500*0</f>
        <v>0</v>
      </c>
      <c r="AA44" s="880">
        <f t="shared" si="107"/>
        <v>0</v>
      </c>
      <c r="AB44" s="880">
        <f t="shared" si="165"/>
        <v>0</v>
      </c>
      <c r="AC44" s="880">
        <f t="shared" si="109"/>
        <v>0</v>
      </c>
      <c r="AD44" s="880">
        <f t="shared" si="167"/>
        <v>0</v>
      </c>
      <c r="AE44" s="880">
        <f t="shared" si="168"/>
        <v>0</v>
      </c>
      <c r="AF44" s="880">
        <f t="shared" si="169"/>
        <v>0</v>
      </c>
      <c r="AG44" s="880">
        <f t="shared" si="170"/>
        <v>0</v>
      </c>
      <c r="AH44" s="880">
        <f t="shared" si="136"/>
        <v>0</v>
      </c>
      <c r="AI44" s="880">
        <f t="shared" si="171"/>
        <v>0</v>
      </c>
      <c r="AJ44" s="880">
        <f t="shared" si="172"/>
        <v>0</v>
      </c>
      <c r="AK44" s="880"/>
      <c r="AL44" s="880"/>
      <c r="AM44" s="880"/>
      <c r="AN44" s="880"/>
      <c r="AO44" s="880"/>
      <c r="AP44" s="880"/>
      <c r="AQ44" s="880">
        <f t="shared" ref="AQ44:AQ47" si="183">(F44/12)*7</f>
        <v>0</v>
      </c>
      <c r="AR44" s="880">
        <f t="shared" si="175"/>
        <v>0</v>
      </c>
      <c r="AS44" s="880">
        <f t="shared" si="176"/>
        <v>0</v>
      </c>
      <c r="AT44" s="896"/>
      <c r="AU44" s="896"/>
      <c r="AV44" s="896"/>
      <c r="AW44" s="896"/>
      <c r="AX44" s="896"/>
      <c r="AY44" s="896"/>
      <c r="AZ44" s="896"/>
      <c r="BB44" s="881">
        <f t="shared" si="137"/>
        <v>0</v>
      </c>
      <c r="BD44" s="882"/>
      <c r="BE44" s="881"/>
      <c r="BF44" s="883"/>
      <c r="BG44" s="881"/>
    </row>
    <row r="45" spans="1:59" ht="14.25" customHeight="1">
      <c r="A45" s="17">
        <f t="shared" ref="A45:A53" si="184">A44+1</f>
        <v>3</v>
      </c>
      <c r="B45" s="53" t="s">
        <v>344</v>
      </c>
      <c r="C45" s="238">
        <v>38353</v>
      </c>
      <c r="D45" s="55">
        <v>20</v>
      </c>
      <c r="E45" s="6">
        <v>64480000</v>
      </c>
      <c r="F45" s="1041">
        <f t="shared" si="148"/>
        <v>3224000</v>
      </c>
      <c r="G45" s="1041">
        <f t="shared" si="149"/>
        <v>64480000</v>
      </c>
      <c r="H45" s="1042"/>
      <c r="I45" s="1042">
        <f t="shared" si="150"/>
        <v>0</v>
      </c>
      <c r="J45" s="1042">
        <f t="shared" si="151"/>
        <v>64480000</v>
      </c>
      <c r="K45" s="1042"/>
      <c r="L45" s="1042">
        <f t="shared" si="152"/>
        <v>0</v>
      </c>
      <c r="M45" s="1042">
        <f t="shared" si="153"/>
        <v>64480000</v>
      </c>
      <c r="N45" s="1042">
        <f t="shared" si="154"/>
        <v>3224000</v>
      </c>
      <c r="O45" s="1042">
        <f t="shared" si="155"/>
        <v>3224000</v>
      </c>
      <c r="P45" s="1042">
        <f t="shared" si="156"/>
        <v>61256000</v>
      </c>
      <c r="Q45" s="1042">
        <f t="shared" si="157"/>
        <v>3224000</v>
      </c>
      <c r="R45" s="1042">
        <f t="shared" si="158"/>
        <v>6448000</v>
      </c>
      <c r="S45" s="1042">
        <f t="shared" si="100"/>
        <v>58032000</v>
      </c>
      <c r="T45" s="1042">
        <f t="shared" si="159"/>
        <v>3224000</v>
      </c>
      <c r="U45" s="1042">
        <f t="shared" si="160"/>
        <v>9672000</v>
      </c>
      <c r="V45" s="1042">
        <f t="shared" si="161"/>
        <v>54808000</v>
      </c>
      <c r="W45" s="1042">
        <f t="shared" si="162"/>
        <v>3224000</v>
      </c>
      <c r="X45" s="1042">
        <f t="shared" si="163"/>
        <v>12896000</v>
      </c>
      <c r="Y45" s="1042">
        <f t="shared" si="164"/>
        <v>51584000</v>
      </c>
      <c r="Z45" s="7">
        <v>9672000</v>
      </c>
      <c r="AA45" s="7">
        <f t="shared" si="107"/>
        <v>54808000</v>
      </c>
      <c r="AB45" s="1042">
        <f t="shared" si="165"/>
        <v>3224000</v>
      </c>
      <c r="AC45" s="1042">
        <f>X45+AB45</f>
        <v>16120000</v>
      </c>
      <c r="AD45" s="1042">
        <f t="shared" si="167"/>
        <v>48360000</v>
      </c>
      <c r="AE45" s="1042">
        <f t="shared" si="168"/>
        <v>3224000</v>
      </c>
      <c r="AF45" s="1042">
        <f t="shared" si="169"/>
        <v>19344000</v>
      </c>
      <c r="AG45" s="1042">
        <f t="shared" si="170"/>
        <v>45136000</v>
      </c>
      <c r="AH45" s="1042">
        <f t="shared" si="136"/>
        <v>3224000</v>
      </c>
      <c r="AI45" s="1042">
        <f t="shared" si="171"/>
        <v>22568000</v>
      </c>
      <c r="AJ45" s="1042">
        <f t="shared" si="172"/>
        <v>41912000</v>
      </c>
      <c r="AK45" s="1042">
        <f t="shared" ref="AK45:AK46" si="185">(F45/12)*1</f>
        <v>268666.66666666669</v>
      </c>
      <c r="AL45" s="1042">
        <f t="shared" ref="AL45:AL46" si="186">AI45+AK45</f>
        <v>22836666.666666668</v>
      </c>
      <c r="AM45" s="1042">
        <f t="shared" ref="AM45:AM46" si="187">E45-AL45</f>
        <v>41643333.333333328</v>
      </c>
      <c r="AN45" s="1042">
        <f>(F45/12)*9</f>
        <v>2418000</v>
      </c>
      <c r="AO45" s="1042">
        <f t="shared" ref="AO45:AO46" si="188">AI45+AN45</f>
        <v>24986000</v>
      </c>
      <c r="AP45" s="1042">
        <f t="shared" ref="AP45:AP46" si="189">E45-AO45</f>
        <v>39494000</v>
      </c>
      <c r="AQ45" s="1042">
        <f t="shared" si="140"/>
        <v>3224000</v>
      </c>
      <c r="AR45" s="1042">
        <f t="shared" si="175"/>
        <v>25792000</v>
      </c>
      <c r="AS45" s="1042">
        <f t="shared" si="176"/>
        <v>38688000</v>
      </c>
      <c r="AT45" s="1042">
        <f t="shared" ref="AT45:AT46" si="190">(F45/12)*9</f>
        <v>2418000</v>
      </c>
      <c r="AU45" s="1042">
        <f t="shared" ref="AU45:AU46" si="191">AR45+AT45</f>
        <v>28210000</v>
      </c>
      <c r="AV45" s="1042">
        <f t="shared" ref="AV45:AV46" si="192">E45-AU45</f>
        <v>36270000</v>
      </c>
      <c r="AW45" s="1042">
        <f t="shared" ref="AW45:AW46" si="193">(F45/12)*12</f>
        <v>3224000</v>
      </c>
      <c r="AX45" s="1042">
        <f t="shared" ref="AX45:AX46" si="194">AR45+AW45</f>
        <v>29016000</v>
      </c>
      <c r="AY45" s="1042">
        <f t="shared" ref="AY45:AY46" si="195">E45-AX45</f>
        <v>35464000</v>
      </c>
      <c r="AZ45" s="1051"/>
      <c r="BB45" s="8">
        <f t="shared" ref="BB45:BB46" si="196">E45-AX45-AY45</f>
        <v>0</v>
      </c>
      <c r="BD45" s="187"/>
      <c r="BE45" s="19"/>
      <c r="BF45" s="58"/>
      <c r="BG45" s="19"/>
    </row>
    <row r="46" spans="1:59" ht="14.25" customHeight="1">
      <c r="A46" s="17">
        <f t="shared" si="184"/>
        <v>4</v>
      </c>
      <c r="B46" s="872" t="s">
        <v>1144</v>
      </c>
      <c r="C46" s="238">
        <v>40544</v>
      </c>
      <c r="D46" s="55">
        <v>20</v>
      </c>
      <c r="E46" s="6">
        <f>149230000+26170000</f>
        <v>175400000</v>
      </c>
      <c r="F46" s="1041">
        <f t="shared" si="148"/>
        <v>8770000</v>
      </c>
      <c r="G46" s="1041">
        <f t="shared" si="149"/>
        <v>175400000</v>
      </c>
      <c r="H46" s="1042"/>
      <c r="I46" s="1042">
        <f t="shared" si="150"/>
        <v>0</v>
      </c>
      <c r="J46" s="1042">
        <f t="shared" si="151"/>
        <v>175400000</v>
      </c>
      <c r="K46" s="1042"/>
      <c r="L46" s="1042">
        <f t="shared" si="152"/>
        <v>0</v>
      </c>
      <c r="M46" s="1042">
        <f t="shared" si="153"/>
        <v>175400000</v>
      </c>
      <c r="N46" s="1042">
        <f t="shared" si="154"/>
        <v>8770000</v>
      </c>
      <c r="O46" s="1042">
        <f t="shared" si="155"/>
        <v>8770000</v>
      </c>
      <c r="P46" s="1042">
        <f t="shared" si="156"/>
        <v>166630000</v>
      </c>
      <c r="Q46" s="1042">
        <f t="shared" si="157"/>
        <v>8770000</v>
      </c>
      <c r="R46" s="1042">
        <f t="shared" si="158"/>
        <v>17540000</v>
      </c>
      <c r="S46" s="1042">
        <f t="shared" si="100"/>
        <v>157860000</v>
      </c>
      <c r="T46" s="1042">
        <f t="shared" si="159"/>
        <v>8770000</v>
      </c>
      <c r="U46" s="1042">
        <f t="shared" si="160"/>
        <v>26310000</v>
      </c>
      <c r="V46" s="1042">
        <f t="shared" si="161"/>
        <v>149090000</v>
      </c>
      <c r="W46" s="1042">
        <f t="shared" si="162"/>
        <v>8770000</v>
      </c>
      <c r="X46" s="1042">
        <f t="shared" si="163"/>
        <v>35080000</v>
      </c>
      <c r="Y46" s="1042">
        <f t="shared" si="164"/>
        <v>140320000</v>
      </c>
      <c r="Z46" s="7">
        <v>26310000</v>
      </c>
      <c r="AA46" s="7">
        <f t="shared" si="107"/>
        <v>149090000</v>
      </c>
      <c r="AB46" s="1042">
        <f t="shared" si="165"/>
        <v>8770000</v>
      </c>
      <c r="AC46" s="1042">
        <f t="shared" ref="AC46:AC53" si="197">X46+AB46</f>
        <v>43850000</v>
      </c>
      <c r="AD46" s="1042">
        <f t="shared" si="167"/>
        <v>131550000</v>
      </c>
      <c r="AE46" s="1042">
        <f t="shared" si="168"/>
        <v>8770000</v>
      </c>
      <c r="AF46" s="1042">
        <f t="shared" si="169"/>
        <v>52620000</v>
      </c>
      <c r="AG46" s="1042">
        <f t="shared" si="170"/>
        <v>122780000</v>
      </c>
      <c r="AH46" s="1042">
        <f t="shared" si="136"/>
        <v>8770000</v>
      </c>
      <c r="AI46" s="1042">
        <f t="shared" si="171"/>
        <v>61390000</v>
      </c>
      <c r="AJ46" s="1042">
        <f t="shared" si="172"/>
        <v>114010000</v>
      </c>
      <c r="AK46" s="1042">
        <f t="shared" si="185"/>
        <v>730833.33333333337</v>
      </c>
      <c r="AL46" s="1042">
        <f t="shared" si="186"/>
        <v>62120833.333333336</v>
      </c>
      <c r="AM46" s="1042">
        <f t="shared" si="187"/>
        <v>113279166.66666666</v>
      </c>
      <c r="AN46" s="1042">
        <f>(F46/12)*9</f>
        <v>6577500</v>
      </c>
      <c r="AO46" s="1042">
        <f t="shared" si="188"/>
        <v>67967500</v>
      </c>
      <c r="AP46" s="1042">
        <f t="shared" si="189"/>
        <v>107432500</v>
      </c>
      <c r="AQ46" s="1042">
        <f t="shared" si="140"/>
        <v>8770000</v>
      </c>
      <c r="AR46" s="1042">
        <f t="shared" si="175"/>
        <v>70160000</v>
      </c>
      <c r="AS46" s="1042">
        <f t="shared" si="176"/>
        <v>105240000</v>
      </c>
      <c r="AT46" s="1042">
        <f t="shared" si="190"/>
        <v>6577500</v>
      </c>
      <c r="AU46" s="1042">
        <f t="shared" si="191"/>
        <v>76737500</v>
      </c>
      <c r="AV46" s="1042">
        <f t="shared" si="192"/>
        <v>98662500</v>
      </c>
      <c r="AW46" s="1042">
        <f t="shared" si="193"/>
        <v>8770000</v>
      </c>
      <c r="AX46" s="1042">
        <f t="shared" si="194"/>
        <v>78930000</v>
      </c>
      <c r="AY46" s="1042">
        <f t="shared" si="195"/>
        <v>96470000</v>
      </c>
      <c r="AZ46" s="1051"/>
      <c r="BB46" s="8">
        <f t="shared" si="196"/>
        <v>0</v>
      </c>
      <c r="BD46" s="187"/>
      <c r="BE46" s="19"/>
      <c r="BF46" s="58"/>
      <c r="BG46" s="19"/>
    </row>
    <row r="47" spans="1:59" ht="14.25" hidden="1" customHeight="1">
      <c r="A47" s="17">
        <f t="shared" si="184"/>
        <v>5</v>
      </c>
      <c r="B47" s="872" t="s">
        <v>346</v>
      </c>
      <c r="C47" s="876">
        <v>40544</v>
      </c>
      <c r="D47" s="877">
        <v>20</v>
      </c>
      <c r="E47" s="878">
        <f>26170000*0</f>
        <v>0</v>
      </c>
      <c r="F47" s="879">
        <f t="shared" si="148"/>
        <v>0</v>
      </c>
      <c r="G47" s="879">
        <f t="shared" si="149"/>
        <v>0</v>
      </c>
      <c r="H47" s="880">
        <f t="shared" ref="H47" si="198">((F47/12)*(13-IF(C47="","",MONTH(C47))))*4</f>
        <v>0</v>
      </c>
      <c r="I47" s="880">
        <f t="shared" si="150"/>
        <v>0</v>
      </c>
      <c r="J47" s="880">
        <f t="shared" si="151"/>
        <v>0</v>
      </c>
      <c r="K47" s="880">
        <f t="shared" si="182"/>
        <v>0</v>
      </c>
      <c r="L47" s="880">
        <f t="shared" si="152"/>
        <v>0</v>
      </c>
      <c r="M47" s="880">
        <f t="shared" si="153"/>
        <v>0</v>
      </c>
      <c r="N47" s="880">
        <f t="shared" si="154"/>
        <v>0</v>
      </c>
      <c r="O47" s="880">
        <f t="shared" si="155"/>
        <v>0</v>
      </c>
      <c r="P47" s="880">
        <f t="shared" si="156"/>
        <v>0</v>
      </c>
      <c r="Q47" s="880">
        <f t="shared" si="157"/>
        <v>0</v>
      </c>
      <c r="R47" s="880">
        <f t="shared" si="158"/>
        <v>0</v>
      </c>
      <c r="S47" s="880">
        <f t="shared" si="100"/>
        <v>0</v>
      </c>
      <c r="T47" s="880">
        <f t="shared" si="159"/>
        <v>0</v>
      </c>
      <c r="U47" s="880">
        <f t="shared" si="160"/>
        <v>0</v>
      </c>
      <c r="V47" s="880">
        <f t="shared" si="161"/>
        <v>0</v>
      </c>
      <c r="W47" s="880">
        <f t="shared" si="162"/>
        <v>0</v>
      </c>
      <c r="X47" s="880">
        <f t="shared" si="163"/>
        <v>0</v>
      </c>
      <c r="Y47" s="880">
        <f t="shared" si="164"/>
        <v>0</v>
      </c>
      <c r="Z47" s="880"/>
      <c r="AA47" s="880">
        <f t="shared" si="107"/>
        <v>0</v>
      </c>
      <c r="AB47" s="880">
        <f t="shared" si="165"/>
        <v>0</v>
      </c>
      <c r="AC47" s="880">
        <f t="shared" si="109"/>
        <v>0</v>
      </c>
      <c r="AD47" s="880">
        <f t="shared" si="167"/>
        <v>0</v>
      </c>
      <c r="AE47" s="880">
        <f t="shared" si="168"/>
        <v>0</v>
      </c>
      <c r="AF47" s="880">
        <f t="shared" si="169"/>
        <v>0</v>
      </c>
      <c r="AG47" s="880">
        <f t="shared" si="170"/>
        <v>0</v>
      </c>
      <c r="AH47" s="880">
        <f t="shared" si="136"/>
        <v>0</v>
      </c>
      <c r="AI47" s="880">
        <f t="shared" si="171"/>
        <v>0</v>
      </c>
      <c r="AJ47" s="880">
        <f t="shared" si="172"/>
        <v>0</v>
      </c>
      <c r="AK47" s="880"/>
      <c r="AL47" s="880"/>
      <c r="AM47" s="880"/>
      <c r="AN47" s="880"/>
      <c r="AO47" s="880"/>
      <c r="AP47" s="880"/>
      <c r="AQ47" s="880">
        <f t="shared" si="183"/>
        <v>0</v>
      </c>
      <c r="AR47" s="880">
        <f t="shared" si="175"/>
        <v>0</v>
      </c>
      <c r="AS47" s="880">
        <f t="shared" si="176"/>
        <v>0</v>
      </c>
      <c r="AT47" s="896"/>
      <c r="AU47" s="896"/>
      <c r="AV47" s="896"/>
      <c r="AW47" s="896"/>
      <c r="AX47" s="896"/>
      <c r="AY47" s="896"/>
      <c r="AZ47" s="896"/>
      <c r="BA47" s="9"/>
      <c r="BB47" s="881">
        <f t="shared" si="137"/>
        <v>0</v>
      </c>
      <c r="BD47" s="57"/>
      <c r="BE47" s="19"/>
      <c r="BF47" s="58"/>
      <c r="BG47" s="19"/>
    </row>
    <row r="48" spans="1:59" ht="14.25" customHeight="1">
      <c r="A48" s="17">
        <f t="shared" si="184"/>
        <v>6</v>
      </c>
      <c r="B48" s="53" t="s">
        <v>347</v>
      </c>
      <c r="C48" s="238">
        <v>40544</v>
      </c>
      <c r="D48" s="55">
        <v>20</v>
      </c>
      <c r="E48" s="6">
        <v>109140000</v>
      </c>
      <c r="F48" s="1041">
        <f t="shared" si="148"/>
        <v>5457000</v>
      </c>
      <c r="G48" s="1041">
        <f t="shared" si="149"/>
        <v>109140000</v>
      </c>
      <c r="H48" s="1042"/>
      <c r="I48" s="1042">
        <f t="shared" si="150"/>
        <v>0</v>
      </c>
      <c r="J48" s="1042">
        <f t="shared" si="151"/>
        <v>109140000</v>
      </c>
      <c r="K48" s="1042"/>
      <c r="L48" s="1042">
        <f t="shared" si="152"/>
        <v>0</v>
      </c>
      <c r="M48" s="1042">
        <f t="shared" si="153"/>
        <v>109140000</v>
      </c>
      <c r="N48" s="1042">
        <f t="shared" si="154"/>
        <v>5457000</v>
      </c>
      <c r="O48" s="1042">
        <f t="shared" si="155"/>
        <v>5457000</v>
      </c>
      <c r="P48" s="1042">
        <f t="shared" si="156"/>
        <v>103683000</v>
      </c>
      <c r="Q48" s="1042">
        <f t="shared" si="157"/>
        <v>5457000</v>
      </c>
      <c r="R48" s="1042">
        <f t="shared" si="158"/>
        <v>10914000</v>
      </c>
      <c r="S48" s="1042">
        <f t="shared" si="100"/>
        <v>98226000</v>
      </c>
      <c r="T48" s="1042">
        <f t="shared" si="159"/>
        <v>5457000</v>
      </c>
      <c r="U48" s="1042">
        <f t="shared" si="160"/>
        <v>16371000</v>
      </c>
      <c r="V48" s="1042">
        <f t="shared" si="161"/>
        <v>92769000</v>
      </c>
      <c r="W48" s="1042">
        <f t="shared" si="162"/>
        <v>5457000</v>
      </c>
      <c r="X48" s="1042">
        <f t="shared" si="163"/>
        <v>21828000</v>
      </c>
      <c r="Y48" s="1042">
        <f t="shared" si="164"/>
        <v>87312000</v>
      </c>
      <c r="Z48" s="7">
        <v>16371000</v>
      </c>
      <c r="AA48" s="7">
        <f t="shared" si="107"/>
        <v>92769000</v>
      </c>
      <c r="AB48" s="1042">
        <f t="shared" si="165"/>
        <v>5457000</v>
      </c>
      <c r="AC48" s="1042">
        <f t="shared" si="197"/>
        <v>27285000</v>
      </c>
      <c r="AD48" s="1042">
        <f t="shared" si="167"/>
        <v>81855000</v>
      </c>
      <c r="AE48" s="1042">
        <f t="shared" si="168"/>
        <v>5457000</v>
      </c>
      <c r="AF48" s="1042">
        <f t="shared" si="169"/>
        <v>32742000</v>
      </c>
      <c r="AG48" s="1042">
        <f t="shared" si="170"/>
        <v>76398000</v>
      </c>
      <c r="AH48" s="1042">
        <f t="shared" si="136"/>
        <v>5457000</v>
      </c>
      <c r="AI48" s="1042">
        <f t="shared" si="171"/>
        <v>38199000</v>
      </c>
      <c r="AJ48" s="1042">
        <f t="shared" si="172"/>
        <v>70941000</v>
      </c>
      <c r="AK48" s="1042">
        <f t="shared" ref="AK48:AK53" si="199">(F48/12)*1</f>
        <v>454750</v>
      </c>
      <c r="AL48" s="1042">
        <f t="shared" ref="AL48:AL53" si="200">AI48+AK48</f>
        <v>38653750</v>
      </c>
      <c r="AM48" s="1042">
        <f t="shared" ref="AM48:AM53" si="201">E48-AL48</f>
        <v>70486250</v>
      </c>
      <c r="AN48" s="1042">
        <f t="shared" ref="AN48:AN53" si="202">(F48/12)*9</f>
        <v>4092750</v>
      </c>
      <c r="AO48" s="1042">
        <f t="shared" ref="AO48:AO53" si="203">AI48+AN48</f>
        <v>42291750</v>
      </c>
      <c r="AP48" s="1042">
        <f t="shared" ref="AP48:AP53" si="204">E48-AO48</f>
        <v>66848250</v>
      </c>
      <c r="AQ48" s="1042">
        <f t="shared" si="140"/>
        <v>5457000</v>
      </c>
      <c r="AR48" s="1042">
        <f t="shared" si="175"/>
        <v>43656000</v>
      </c>
      <c r="AS48" s="1042">
        <f t="shared" si="176"/>
        <v>65484000</v>
      </c>
      <c r="AT48" s="1042">
        <f t="shared" ref="AT48:AT53" si="205">(F48/12)*9</f>
        <v>4092750</v>
      </c>
      <c r="AU48" s="1042">
        <f t="shared" ref="AU48:AU53" si="206">AR48+AT48</f>
        <v>47748750</v>
      </c>
      <c r="AV48" s="1042">
        <f t="shared" ref="AV48:AV53" si="207">E48-AU48</f>
        <v>61391250</v>
      </c>
      <c r="AW48" s="1042">
        <f t="shared" ref="AW48:AW53" si="208">(F48/12)*12</f>
        <v>5457000</v>
      </c>
      <c r="AX48" s="1042">
        <f t="shared" ref="AX48:AX53" si="209">AR48+AW48</f>
        <v>49113000</v>
      </c>
      <c r="AY48" s="1042">
        <f t="shared" ref="AY48:AY53" si="210">E48-AX48</f>
        <v>60027000</v>
      </c>
      <c r="AZ48" s="1051"/>
      <c r="BB48" s="8">
        <f t="shared" ref="BB48:BB54" si="211">E48-AX48-AY48</f>
        <v>0</v>
      </c>
      <c r="BD48" s="187"/>
      <c r="BE48" s="19"/>
      <c r="BF48" s="58"/>
      <c r="BG48" s="19"/>
    </row>
    <row r="49" spans="1:59" ht="14.25" customHeight="1">
      <c r="A49" s="17">
        <f t="shared" si="184"/>
        <v>7</v>
      </c>
      <c r="B49" s="53" t="s">
        <v>348</v>
      </c>
      <c r="C49" s="238">
        <v>40544</v>
      </c>
      <c r="D49" s="55">
        <v>20</v>
      </c>
      <c r="E49" s="6">
        <v>48450000</v>
      </c>
      <c r="F49" s="1041">
        <f t="shared" si="148"/>
        <v>2422500</v>
      </c>
      <c r="G49" s="1041">
        <f t="shared" si="149"/>
        <v>48450000</v>
      </c>
      <c r="H49" s="1042"/>
      <c r="I49" s="1042">
        <f t="shared" si="150"/>
        <v>0</v>
      </c>
      <c r="J49" s="1042">
        <f t="shared" si="151"/>
        <v>48450000</v>
      </c>
      <c r="K49" s="1042"/>
      <c r="L49" s="1042">
        <f t="shared" si="152"/>
        <v>0</v>
      </c>
      <c r="M49" s="1042">
        <f t="shared" si="153"/>
        <v>48450000</v>
      </c>
      <c r="N49" s="1042">
        <f t="shared" si="154"/>
        <v>2422500</v>
      </c>
      <c r="O49" s="1042">
        <f t="shared" si="155"/>
        <v>2422500</v>
      </c>
      <c r="P49" s="1042">
        <f t="shared" si="156"/>
        <v>46027500</v>
      </c>
      <c r="Q49" s="1042">
        <f t="shared" si="157"/>
        <v>2422500</v>
      </c>
      <c r="R49" s="1042">
        <f t="shared" si="158"/>
        <v>4845000</v>
      </c>
      <c r="S49" s="1042">
        <f t="shared" si="100"/>
        <v>43605000</v>
      </c>
      <c r="T49" s="1042">
        <f t="shared" si="159"/>
        <v>2422500</v>
      </c>
      <c r="U49" s="1042">
        <f t="shared" si="160"/>
        <v>7267500</v>
      </c>
      <c r="V49" s="1042">
        <f t="shared" si="161"/>
        <v>41182500</v>
      </c>
      <c r="W49" s="1042">
        <f t="shared" si="162"/>
        <v>2422500</v>
      </c>
      <c r="X49" s="1042">
        <f t="shared" si="163"/>
        <v>9690000</v>
      </c>
      <c r="Y49" s="1042">
        <f t="shared" si="164"/>
        <v>38760000</v>
      </c>
      <c r="Z49" s="7">
        <v>7267500</v>
      </c>
      <c r="AA49" s="7">
        <f t="shared" si="107"/>
        <v>41182500</v>
      </c>
      <c r="AB49" s="1042">
        <f t="shared" si="165"/>
        <v>2422500</v>
      </c>
      <c r="AC49" s="1042">
        <f t="shared" si="197"/>
        <v>12112500</v>
      </c>
      <c r="AD49" s="1042">
        <f t="shared" si="167"/>
        <v>36337500</v>
      </c>
      <c r="AE49" s="1042">
        <f t="shared" si="168"/>
        <v>2422500</v>
      </c>
      <c r="AF49" s="1042">
        <f t="shared" si="169"/>
        <v>14535000</v>
      </c>
      <c r="AG49" s="1042">
        <f t="shared" si="170"/>
        <v>33915000</v>
      </c>
      <c r="AH49" s="1042">
        <f t="shared" si="136"/>
        <v>2422500</v>
      </c>
      <c r="AI49" s="1042">
        <f t="shared" si="171"/>
        <v>16957500</v>
      </c>
      <c r="AJ49" s="1042">
        <f t="shared" si="172"/>
        <v>31492500</v>
      </c>
      <c r="AK49" s="1042">
        <f t="shared" si="199"/>
        <v>201875</v>
      </c>
      <c r="AL49" s="1042">
        <f t="shared" si="200"/>
        <v>17159375</v>
      </c>
      <c r="AM49" s="1042">
        <f t="shared" si="201"/>
        <v>31290625</v>
      </c>
      <c r="AN49" s="1042">
        <f t="shared" si="202"/>
        <v>1816875</v>
      </c>
      <c r="AO49" s="1042">
        <f t="shared" si="203"/>
        <v>18774375</v>
      </c>
      <c r="AP49" s="1042">
        <f t="shared" si="204"/>
        <v>29675625</v>
      </c>
      <c r="AQ49" s="1042">
        <f t="shared" si="140"/>
        <v>2422500</v>
      </c>
      <c r="AR49" s="1042">
        <f t="shared" si="175"/>
        <v>19380000</v>
      </c>
      <c r="AS49" s="1042">
        <f t="shared" si="176"/>
        <v>29070000</v>
      </c>
      <c r="AT49" s="1042">
        <f t="shared" si="205"/>
        <v>1816875</v>
      </c>
      <c r="AU49" s="1042">
        <f t="shared" si="206"/>
        <v>21196875</v>
      </c>
      <c r="AV49" s="1042">
        <f t="shared" si="207"/>
        <v>27253125</v>
      </c>
      <c r="AW49" s="1042">
        <f t="shared" si="208"/>
        <v>2422500</v>
      </c>
      <c r="AX49" s="1042">
        <f t="shared" si="209"/>
        <v>21802500</v>
      </c>
      <c r="AY49" s="1042">
        <f t="shared" si="210"/>
        <v>26647500</v>
      </c>
      <c r="AZ49" s="1051"/>
      <c r="BB49" s="8">
        <f t="shared" si="211"/>
        <v>0</v>
      </c>
      <c r="BD49" s="187"/>
      <c r="BE49" s="19"/>
      <c r="BF49" s="58"/>
      <c r="BG49" s="19"/>
    </row>
    <row r="50" spans="1:59" ht="14.25" customHeight="1">
      <c r="A50" s="17">
        <f t="shared" si="184"/>
        <v>8</v>
      </c>
      <c r="B50" s="53" t="s">
        <v>349</v>
      </c>
      <c r="C50" s="238">
        <v>40544</v>
      </c>
      <c r="D50" s="55">
        <v>20</v>
      </c>
      <c r="E50" s="6">
        <v>83160000</v>
      </c>
      <c r="F50" s="1041">
        <f t="shared" si="148"/>
        <v>4158000</v>
      </c>
      <c r="G50" s="1041">
        <f t="shared" si="149"/>
        <v>83160000</v>
      </c>
      <c r="H50" s="1042"/>
      <c r="I50" s="1042">
        <f t="shared" si="150"/>
        <v>0</v>
      </c>
      <c r="J50" s="1042">
        <f t="shared" si="151"/>
        <v>83160000</v>
      </c>
      <c r="K50" s="1042"/>
      <c r="L50" s="1042">
        <f t="shared" si="152"/>
        <v>0</v>
      </c>
      <c r="M50" s="1042">
        <f t="shared" si="153"/>
        <v>83160000</v>
      </c>
      <c r="N50" s="1042">
        <f t="shared" si="154"/>
        <v>4158000</v>
      </c>
      <c r="O50" s="1042">
        <f t="shared" si="155"/>
        <v>4158000</v>
      </c>
      <c r="P50" s="1042">
        <f t="shared" si="156"/>
        <v>79002000</v>
      </c>
      <c r="Q50" s="1042">
        <f t="shared" si="157"/>
        <v>4158000</v>
      </c>
      <c r="R50" s="1042">
        <f t="shared" si="158"/>
        <v>8316000</v>
      </c>
      <c r="S50" s="1042">
        <f t="shared" si="100"/>
        <v>74844000</v>
      </c>
      <c r="T50" s="1042">
        <f t="shared" si="159"/>
        <v>4158000</v>
      </c>
      <c r="U50" s="1042">
        <f t="shared" si="160"/>
        <v>12474000</v>
      </c>
      <c r="V50" s="1042">
        <f t="shared" si="161"/>
        <v>70686000</v>
      </c>
      <c r="W50" s="1042">
        <f t="shared" si="162"/>
        <v>4158000</v>
      </c>
      <c r="X50" s="1042">
        <f t="shared" si="163"/>
        <v>16632000</v>
      </c>
      <c r="Y50" s="1042">
        <f t="shared" si="164"/>
        <v>66528000</v>
      </c>
      <c r="Z50" s="7">
        <v>12474000</v>
      </c>
      <c r="AA50" s="7">
        <f t="shared" si="107"/>
        <v>70686000</v>
      </c>
      <c r="AB50" s="1042">
        <f t="shared" si="165"/>
        <v>4158000</v>
      </c>
      <c r="AC50" s="1042">
        <f t="shared" si="197"/>
        <v>20790000</v>
      </c>
      <c r="AD50" s="1042">
        <f t="shared" si="167"/>
        <v>62370000</v>
      </c>
      <c r="AE50" s="1042">
        <f t="shared" si="168"/>
        <v>4158000</v>
      </c>
      <c r="AF50" s="1042">
        <f t="shared" si="169"/>
        <v>24948000</v>
      </c>
      <c r="AG50" s="1042">
        <f t="shared" si="170"/>
        <v>58212000</v>
      </c>
      <c r="AH50" s="1042">
        <f t="shared" si="136"/>
        <v>4158000</v>
      </c>
      <c r="AI50" s="1042">
        <f t="shared" si="171"/>
        <v>29106000</v>
      </c>
      <c r="AJ50" s="1042">
        <f t="shared" si="172"/>
        <v>54054000</v>
      </c>
      <c r="AK50" s="1042">
        <f t="shared" si="199"/>
        <v>346500</v>
      </c>
      <c r="AL50" s="1042">
        <f t="shared" si="200"/>
        <v>29452500</v>
      </c>
      <c r="AM50" s="1042">
        <f t="shared" si="201"/>
        <v>53707500</v>
      </c>
      <c r="AN50" s="1042">
        <f t="shared" si="202"/>
        <v>3118500</v>
      </c>
      <c r="AO50" s="1042">
        <f t="shared" si="203"/>
        <v>32224500</v>
      </c>
      <c r="AP50" s="1042">
        <f t="shared" si="204"/>
        <v>50935500</v>
      </c>
      <c r="AQ50" s="1042">
        <f t="shared" si="140"/>
        <v>4158000</v>
      </c>
      <c r="AR50" s="1042">
        <f t="shared" si="175"/>
        <v>33264000</v>
      </c>
      <c r="AS50" s="1042">
        <f t="shared" si="176"/>
        <v>49896000</v>
      </c>
      <c r="AT50" s="1042">
        <f t="shared" si="205"/>
        <v>3118500</v>
      </c>
      <c r="AU50" s="1042">
        <f t="shared" si="206"/>
        <v>36382500</v>
      </c>
      <c r="AV50" s="1042">
        <f t="shared" si="207"/>
        <v>46777500</v>
      </c>
      <c r="AW50" s="1042">
        <f t="shared" si="208"/>
        <v>4158000</v>
      </c>
      <c r="AX50" s="1042">
        <f t="shared" si="209"/>
        <v>37422000</v>
      </c>
      <c r="AY50" s="1042">
        <f t="shared" si="210"/>
        <v>45738000</v>
      </c>
      <c r="AZ50" s="1051"/>
      <c r="BB50" s="8">
        <f t="shared" si="211"/>
        <v>0</v>
      </c>
      <c r="BD50" s="187"/>
      <c r="BE50" s="19"/>
      <c r="BF50" s="58"/>
      <c r="BG50" s="19"/>
    </row>
    <row r="51" spans="1:59" ht="14.25" customHeight="1">
      <c r="A51" s="17">
        <f t="shared" si="184"/>
        <v>9</v>
      </c>
      <c r="B51" s="53" t="s">
        <v>350</v>
      </c>
      <c r="C51" s="238">
        <v>40544</v>
      </c>
      <c r="D51" s="55">
        <v>20</v>
      </c>
      <c r="E51" s="6">
        <v>90770000</v>
      </c>
      <c r="F51" s="1041">
        <f t="shared" si="148"/>
        <v>4538500</v>
      </c>
      <c r="G51" s="1041">
        <f t="shared" si="149"/>
        <v>90770000</v>
      </c>
      <c r="H51" s="1042"/>
      <c r="I51" s="1042">
        <f t="shared" si="150"/>
        <v>0</v>
      </c>
      <c r="J51" s="1042">
        <f t="shared" si="151"/>
        <v>90770000</v>
      </c>
      <c r="K51" s="1042"/>
      <c r="L51" s="1042">
        <f t="shared" si="152"/>
        <v>0</v>
      </c>
      <c r="M51" s="1042">
        <f t="shared" si="153"/>
        <v>90770000</v>
      </c>
      <c r="N51" s="1042">
        <f t="shared" si="154"/>
        <v>4538500</v>
      </c>
      <c r="O51" s="1042">
        <f t="shared" si="155"/>
        <v>4538500</v>
      </c>
      <c r="P51" s="1042">
        <f t="shared" si="156"/>
        <v>86231500</v>
      </c>
      <c r="Q51" s="1042">
        <f t="shared" si="157"/>
        <v>4538500</v>
      </c>
      <c r="R51" s="1042">
        <f t="shared" si="158"/>
        <v>9077000</v>
      </c>
      <c r="S51" s="1042">
        <f t="shared" si="100"/>
        <v>81693000</v>
      </c>
      <c r="T51" s="1042">
        <f t="shared" si="159"/>
        <v>4538500</v>
      </c>
      <c r="U51" s="1042">
        <f t="shared" si="160"/>
        <v>13615500</v>
      </c>
      <c r="V51" s="1042">
        <f t="shared" si="161"/>
        <v>77154500</v>
      </c>
      <c r="W51" s="1042">
        <f t="shared" si="162"/>
        <v>4538500</v>
      </c>
      <c r="X51" s="1042">
        <f t="shared" si="163"/>
        <v>18154000</v>
      </c>
      <c r="Y51" s="1042">
        <f t="shared" si="164"/>
        <v>72616000</v>
      </c>
      <c r="Z51" s="7">
        <v>13615500</v>
      </c>
      <c r="AA51" s="7">
        <f t="shared" si="107"/>
        <v>77154500</v>
      </c>
      <c r="AB51" s="1042">
        <f t="shared" si="165"/>
        <v>4538500</v>
      </c>
      <c r="AC51" s="1042">
        <f t="shared" si="197"/>
        <v>22692500</v>
      </c>
      <c r="AD51" s="1042">
        <f t="shared" si="167"/>
        <v>68077500</v>
      </c>
      <c r="AE51" s="1042">
        <f t="shared" si="168"/>
        <v>4538500</v>
      </c>
      <c r="AF51" s="1042">
        <f t="shared" si="169"/>
        <v>27231000</v>
      </c>
      <c r="AG51" s="1042">
        <f t="shared" si="170"/>
        <v>63539000</v>
      </c>
      <c r="AH51" s="1042">
        <f t="shared" si="136"/>
        <v>4538500</v>
      </c>
      <c r="AI51" s="1042">
        <f t="shared" si="171"/>
        <v>31769500</v>
      </c>
      <c r="AJ51" s="1042">
        <f t="shared" si="172"/>
        <v>59000500</v>
      </c>
      <c r="AK51" s="1042">
        <f t="shared" si="199"/>
        <v>378208.33333333331</v>
      </c>
      <c r="AL51" s="1042">
        <f t="shared" si="200"/>
        <v>32147708.333333332</v>
      </c>
      <c r="AM51" s="1042">
        <f t="shared" si="201"/>
        <v>58622291.666666672</v>
      </c>
      <c r="AN51" s="1042">
        <f t="shared" si="202"/>
        <v>3403875</v>
      </c>
      <c r="AO51" s="1042">
        <f t="shared" si="203"/>
        <v>35173375</v>
      </c>
      <c r="AP51" s="1042">
        <f t="shared" si="204"/>
        <v>55596625</v>
      </c>
      <c r="AQ51" s="1042">
        <f t="shared" si="140"/>
        <v>4538500</v>
      </c>
      <c r="AR51" s="1042">
        <f t="shared" si="175"/>
        <v>36308000</v>
      </c>
      <c r="AS51" s="1042">
        <f t="shared" si="176"/>
        <v>54462000</v>
      </c>
      <c r="AT51" s="1042">
        <f t="shared" si="205"/>
        <v>3403875</v>
      </c>
      <c r="AU51" s="1042">
        <f t="shared" si="206"/>
        <v>39711875</v>
      </c>
      <c r="AV51" s="1042">
        <f t="shared" si="207"/>
        <v>51058125</v>
      </c>
      <c r="AW51" s="1042">
        <f t="shared" si="208"/>
        <v>4538500</v>
      </c>
      <c r="AX51" s="1042">
        <f t="shared" si="209"/>
        <v>40846500</v>
      </c>
      <c r="AY51" s="1042">
        <f t="shared" si="210"/>
        <v>49923500</v>
      </c>
      <c r="AZ51" s="1051"/>
      <c r="BB51" s="8">
        <f t="shared" si="211"/>
        <v>0</v>
      </c>
      <c r="BD51" s="187"/>
      <c r="BE51" s="19"/>
      <c r="BF51" s="58"/>
      <c r="BG51" s="19"/>
    </row>
    <row r="52" spans="1:59" ht="14.25" customHeight="1">
      <c r="A52" s="17">
        <f t="shared" si="184"/>
        <v>10</v>
      </c>
      <c r="B52" s="53" t="s">
        <v>351</v>
      </c>
      <c r="C52" s="238">
        <v>41640</v>
      </c>
      <c r="D52" s="55">
        <v>20</v>
      </c>
      <c r="E52" s="6">
        <v>88740000</v>
      </c>
      <c r="F52" s="1041">
        <f t="shared" si="148"/>
        <v>4437000</v>
      </c>
      <c r="G52" s="1041">
        <f t="shared" si="149"/>
        <v>88740000</v>
      </c>
      <c r="H52" s="1042"/>
      <c r="I52" s="1042">
        <f t="shared" si="150"/>
        <v>0</v>
      </c>
      <c r="J52" s="1042">
        <f t="shared" si="151"/>
        <v>88740000</v>
      </c>
      <c r="K52" s="1042"/>
      <c r="L52" s="1042">
        <f t="shared" si="152"/>
        <v>0</v>
      </c>
      <c r="M52" s="1042">
        <f t="shared" si="153"/>
        <v>88740000</v>
      </c>
      <c r="N52" s="1042">
        <f t="shared" si="154"/>
        <v>4437000</v>
      </c>
      <c r="O52" s="1042">
        <f t="shared" si="155"/>
        <v>4437000</v>
      </c>
      <c r="P52" s="1042">
        <f t="shared" si="156"/>
        <v>84303000</v>
      </c>
      <c r="Q52" s="1042">
        <f t="shared" si="157"/>
        <v>4437000</v>
      </c>
      <c r="R52" s="1042">
        <f t="shared" si="158"/>
        <v>8874000</v>
      </c>
      <c r="S52" s="1042">
        <f t="shared" si="100"/>
        <v>79866000</v>
      </c>
      <c r="T52" s="1042">
        <f t="shared" si="159"/>
        <v>4437000</v>
      </c>
      <c r="U52" s="1042">
        <f t="shared" si="160"/>
        <v>13311000</v>
      </c>
      <c r="V52" s="1042">
        <f t="shared" si="161"/>
        <v>75429000</v>
      </c>
      <c r="W52" s="1042">
        <f t="shared" si="162"/>
        <v>4437000</v>
      </c>
      <c r="X52" s="1042">
        <f t="shared" si="163"/>
        <v>17748000</v>
      </c>
      <c r="Y52" s="1042">
        <f t="shared" si="164"/>
        <v>70992000</v>
      </c>
      <c r="Z52" s="7">
        <v>13311000</v>
      </c>
      <c r="AA52" s="7">
        <f t="shared" si="107"/>
        <v>75429000</v>
      </c>
      <c r="AB52" s="1042">
        <f t="shared" si="165"/>
        <v>4437000</v>
      </c>
      <c r="AC52" s="1042">
        <f t="shared" si="197"/>
        <v>22185000</v>
      </c>
      <c r="AD52" s="1042">
        <f t="shared" si="167"/>
        <v>66555000</v>
      </c>
      <c r="AE52" s="1042">
        <f t="shared" si="168"/>
        <v>4437000</v>
      </c>
      <c r="AF52" s="1042">
        <f t="shared" si="169"/>
        <v>26622000</v>
      </c>
      <c r="AG52" s="1042">
        <f t="shared" si="170"/>
        <v>62118000</v>
      </c>
      <c r="AH52" s="1042">
        <f t="shared" si="136"/>
        <v>4437000</v>
      </c>
      <c r="AI52" s="1042">
        <f t="shared" si="171"/>
        <v>31059000</v>
      </c>
      <c r="AJ52" s="1042">
        <f t="shared" si="172"/>
        <v>57681000</v>
      </c>
      <c r="AK52" s="1042">
        <f t="shared" si="199"/>
        <v>369750</v>
      </c>
      <c r="AL52" s="1042">
        <f t="shared" si="200"/>
        <v>31428750</v>
      </c>
      <c r="AM52" s="1042">
        <f t="shared" si="201"/>
        <v>57311250</v>
      </c>
      <c r="AN52" s="1042">
        <f t="shared" si="202"/>
        <v>3327750</v>
      </c>
      <c r="AO52" s="1042">
        <f t="shared" si="203"/>
        <v>34386750</v>
      </c>
      <c r="AP52" s="1042">
        <f t="shared" si="204"/>
        <v>54353250</v>
      </c>
      <c r="AQ52" s="1042">
        <f t="shared" si="140"/>
        <v>4437000</v>
      </c>
      <c r="AR52" s="1042">
        <f t="shared" si="175"/>
        <v>35496000</v>
      </c>
      <c r="AS52" s="1042">
        <f t="shared" si="176"/>
        <v>53244000</v>
      </c>
      <c r="AT52" s="1042">
        <f t="shared" si="205"/>
        <v>3327750</v>
      </c>
      <c r="AU52" s="1042">
        <f t="shared" si="206"/>
        <v>38823750</v>
      </c>
      <c r="AV52" s="1042">
        <f t="shared" si="207"/>
        <v>49916250</v>
      </c>
      <c r="AW52" s="1042">
        <f t="shared" si="208"/>
        <v>4437000</v>
      </c>
      <c r="AX52" s="1042">
        <f t="shared" si="209"/>
        <v>39933000</v>
      </c>
      <c r="AY52" s="1042">
        <f t="shared" si="210"/>
        <v>48807000</v>
      </c>
      <c r="AZ52" s="1051"/>
      <c r="BB52" s="8">
        <f t="shared" si="211"/>
        <v>0</v>
      </c>
      <c r="BD52" s="187"/>
      <c r="BE52" s="19"/>
      <c r="BF52" s="58"/>
      <c r="BG52" s="19"/>
    </row>
    <row r="53" spans="1:59" ht="14.25" customHeight="1">
      <c r="A53" s="17">
        <f t="shared" si="184"/>
        <v>11</v>
      </c>
      <c r="B53" s="53" t="s">
        <v>352</v>
      </c>
      <c r="C53" s="238">
        <v>41640</v>
      </c>
      <c r="D53" s="55">
        <v>20</v>
      </c>
      <c r="E53" s="6">
        <v>553010000</v>
      </c>
      <c r="F53" s="1041">
        <f t="shared" si="148"/>
        <v>27650500</v>
      </c>
      <c r="G53" s="1041">
        <f t="shared" si="149"/>
        <v>553010000</v>
      </c>
      <c r="H53" s="1042"/>
      <c r="I53" s="1042">
        <f t="shared" si="150"/>
        <v>0</v>
      </c>
      <c r="J53" s="1042">
        <f t="shared" si="151"/>
        <v>553010000</v>
      </c>
      <c r="K53" s="1042"/>
      <c r="L53" s="1042">
        <f t="shared" si="152"/>
        <v>0</v>
      </c>
      <c r="M53" s="1042">
        <f t="shared" si="153"/>
        <v>553010000</v>
      </c>
      <c r="N53" s="1042">
        <f t="shared" si="154"/>
        <v>27650500</v>
      </c>
      <c r="O53" s="1042">
        <f t="shared" si="155"/>
        <v>27650500</v>
      </c>
      <c r="P53" s="1042">
        <f t="shared" si="156"/>
        <v>525359500</v>
      </c>
      <c r="Q53" s="1042">
        <f t="shared" si="157"/>
        <v>27650500</v>
      </c>
      <c r="R53" s="1042">
        <f t="shared" si="158"/>
        <v>55301000</v>
      </c>
      <c r="S53" s="1042">
        <f>E53-R53</f>
        <v>497709000</v>
      </c>
      <c r="T53" s="1042">
        <f t="shared" si="159"/>
        <v>27650500</v>
      </c>
      <c r="U53" s="1042">
        <f t="shared" si="160"/>
        <v>82951500</v>
      </c>
      <c r="V53" s="1042">
        <f t="shared" si="161"/>
        <v>470058500</v>
      </c>
      <c r="W53" s="1042">
        <f t="shared" si="162"/>
        <v>27650500</v>
      </c>
      <c r="X53" s="1042">
        <f t="shared" si="163"/>
        <v>110602000</v>
      </c>
      <c r="Y53" s="1042">
        <f t="shared" si="164"/>
        <v>442408000</v>
      </c>
      <c r="Z53" s="7">
        <v>82951500</v>
      </c>
      <c r="AA53" s="7">
        <f t="shared" si="107"/>
        <v>470058500</v>
      </c>
      <c r="AB53" s="1042">
        <f t="shared" si="165"/>
        <v>27650500</v>
      </c>
      <c r="AC53" s="1042">
        <f t="shared" si="197"/>
        <v>138252500</v>
      </c>
      <c r="AD53" s="1042">
        <f t="shared" si="167"/>
        <v>414757500</v>
      </c>
      <c r="AE53" s="1042">
        <f t="shared" si="168"/>
        <v>27650500</v>
      </c>
      <c r="AF53" s="1042">
        <f t="shared" si="169"/>
        <v>165903000</v>
      </c>
      <c r="AG53" s="1042">
        <f t="shared" si="170"/>
        <v>387107000</v>
      </c>
      <c r="AH53" s="1042">
        <f t="shared" si="136"/>
        <v>27650500</v>
      </c>
      <c r="AI53" s="1042">
        <f t="shared" si="171"/>
        <v>193553500</v>
      </c>
      <c r="AJ53" s="1042">
        <f t="shared" si="172"/>
        <v>359456500</v>
      </c>
      <c r="AK53" s="1042">
        <f t="shared" si="199"/>
        <v>2304208.3333333335</v>
      </c>
      <c r="AL53" s="1042">
        <f t="shared" si="200"/>
        <v>195857708.33333334</v>
      </c>
      <c r="AM53" s="1042">
        <f t="shared" si="201"/>
        <v>357152291.66666663</v>
      </c>
      <c r="AN53" s="1042">
        <f t="shared" si="202"/>
        <v>20737875</v>
      </c>
      <c r="AO53" s="1042">
        <f t="shared" si="203"/>
        <v>214291375</v>
      </c>
      <c r="AP53" s="1042">
        <f t="shared" si="204"/>
        <v>338718625</v>
      </c>
      <c r="AQ53" s="1042">
        <f t="shared" si="140"/>
        <v>27650500</v>
      </c>
      <c r="AR53" s="1042">
        <f t="shared" si="175"/>
        <v>221204000</v>
      </c>
      <c r="AS53" s="1042">
        <f t="shared" si="176"/>
        <v>331806000</v>
      </c>
      <c r="AT53" s="1042">
        <f t="shared" si="205"/>
        <v>20737875</v>
      </c>
      <c r="AU53" s="1042">
        <f t="shared" si="206"/>
        <v>241941875</v>
      </c>
      <c r="AV53" s="1042">
        <f t="shared" si="207"/>
        <v>311068125</v>
      </c>
      <c r="AW53" s="1042">
        <f t="shared" si="208"/>
        <v>27650500</v>
      </c>
      <c r="AX53" s="1042">
        <f t="shared" si="209"/>
        <v>248854500</v>
      </c>
      <c r="AY53" s="1042">
        <f t="shared" si="210"/>
        <v>304155500</v>
      </c>
      <c r="AZ53" s="1051"/>
      <c r="BB53" s="8">
        <f t="shared" si="211"/>
        <v>0</v>
      </c>
      <c r="BD53" s="187"/>
      <c r="BE53" s="19"/>
      <c r="BF53" s="58"/>
      <c r="BG53" s="19"/>
    </row>
    <row r="54" spans="1:59" s="220" customFormat="1" ht="14.25" customHeight="1">
      <c r="A54" s="190" t="s">
        <v>237</v>
      </c>
      <c r="B54" s="214" t="s">
        <v>353</v>
      </c>
      <c r="C54" s="215"/>
      <c r="D54" s="216"/>
      <c r="E54" s="217"/>
      <c r="F54" s="1045"/>
      <c r="G54" s="1045"/>
      <c r="H54" s="1046"/>
      <c r="I54" s="1046"/>
      <c r="J54" s="1046"/>
      <c r="K54" s="1046"/>
      <c r="L54" s="1046"/>
      <c r="M54" s="1046"/>
      <c r="N54" s="1046"/>
      <c r="O54" s="1046"/>
      <c r="P54" s="1046"/>
      <c r="Q54" s="1046"/>
      <c r="R54" s="1046"/>
      <c r="S54" s="1046"/>
      <c r="T54" s="1046"/>
      <c r="U54" s="1046"/>
      <c r="V54" s="1046"/>
      <c r="W54" s="1046"/>
      <c r="X54" s="1046"/>
      <c r="Y54" s="1046"/>
      <c r="Z54" s="219"/>
      <c r="AA54" s="219"/>
      <c r="AB54" s="1046"/>
      <c r="AC54" s="1046"/>
      <c r="AD54" s="1046"/>
      <c r="AE54" s="1046"/>
      <c r="AF54" s="1046"/>
      <c r="AG54" s="1046"/>
      <c r="AH54" s="1046"/>
      <c r="AI54" s="1046"/>
      <c r="AJ54" s="1046"/>
      <c r="AK54" s="1046"/>
      <c r="AL54" s="1046"/>
      <c r="AM54" s="1046"/>
      <c r="AN54" s="1046"/>
      <c r="AO54" s="1046"/>
      <c r="AP54" s="1046"/>
      <c r="AQ54" s="1046"/>
      <c r="AR54" s="1046"/>
      <c r="AS54" s="1046"/>
      <c r="AT54" s="1046"/>
      <c r="AU54" s="1046"/>
      <c r="AV54" s="1046"/>
      <c r="AW54" s="1046"/>
      <c r="AX54" s="1046"/>
      <c r="AY54" s="1046"/>
      <c r="AZ54" s="1189"/>
      <c r="BB54" s="8">
        <f t="shared" si="211"/>
        <v>0</v>
      </c>
      <c r="BD54" s="229"/>
      <c r="BE54" s="179"/>
      <c r="BF54" s="222"/>
      <c r="BG54" s="179"/>
    </row>
    <row r="55" spans="1:59" s="9" customFormat="1" ht="14.25" hidden="1" customHeight="1">
      <c r="A55" s="874">
        <v>1</v>
      </c>
      <c r="B55" s="875" t="s">
        <v>343</v>
      </c>
      <c r="C55" s="876">
        <v>38353</v>
      </c>
      <c r="D55" s="877">
        <v>20</v>
      </c>
      <c r="E55" s="878">
        <f>19950000*0</f>
        <v>0</v>
      </c>
      <c r="F55" s="879">
        <f t="shared" ref="F55:F61" si="212">E55/D55</f>
        <v>0</v>
      </c>
      <c r="G55" s="879">
        <f t="shared" ref="G55:G61" si="213">E55</f>
        <v>0</v>
      </c>
      <c r="H55" s="880">
        <f>((F55/12)*(13-IF(C55="","",MONTH(C55))))*10</f>
        <v>0</v>
      </c>
      <c r="I55" s="880">
        <f t="shared" ref="I55:I61" si="214">H55</f>
        <v>0</v>
      </c>
      <c r="J55" s="880">
        <f t="shared" ref="J55:J61" si="215">G55-I55</f>
        <v>0</v>
      </c>
      <c r="K55" s="880">
        <f t="shared" ref="K55:K60" si="216">(F55/12)*12</f>
        <v>0</v>
      </c>
      <c r="L55" s="880">
        <f t="shared" ref="L55:L61" si="217">I55+K55</f>
        <v>0</v>
      </c>
      <c r="M55" s="880">
        <f t="shared" ref="M55:M60" si="218">E55-L55</f>
        <v>0</v>
      </c>
      <c r="N55" s="880">
        <f t="shared" ref="N55:N61" si="219">(F55/12)*12</f>
        <v>0</v>
      </c>
      <c r="O55" s="880">
        <f t="shared" ref="O55:O61" si="220">N55+L55</f>
        <v>0</v>
      </c>
      <c r="P55" s="880">
        <f t="shared" ref="P55:P69" si="221">E55-O55</f>
        <v>0</v>
      </c>
      <c r="Q55" s="880">
        <f t="shared" ref="Q55:Q61" si="222">(F55/12)*12</f>
        <v>0</v>
      </c>
      <c r="R55" s="880">
        <f t="shared" ref="R55:R61" si="223">Q55+O55</f>
        <v>0</v>
      </c>
      <c r="S55" s="880">
        <f t="shared" ref="S55:S61" si="224">E55-R55</f>
        <v>0</v>
      </c>
      <c r="T55" s="880">
        <f t="shared" ref="T55:T61" si="225">(F55/12)*12</f>
        <v>0</v>
      </c>
      <c r="U55" s="880">
        <f t="shared" ref="U55:U61" si="226">R55+T55</f>
        <v>0</v>
      </c>
      <c r="V55" s="880">
        <f t="shared" ref="V55:V61" si="227">E55-U55</f>
        <v>0</v>
      </c>
      <c r="W55" s="880">
        <f t="shared" ref="W55:W61" si="228">(F55/12)*12</f>
        <v>0</v>
      </c>
      <c r="X55" s="880">
        <f t="shared" ref="X55:X61" si="229">U55+W55</f>
        <v>0</v>
      </c>
      <c r="Y55" s="880">
        <f t="shared" ref="Y55:Y61" si="230">E55-X55</f>
        <v>0</v>
      </c>
      <c r="Z55" s="880">
        <f>2992500*0</f>
        <v>0</v>
      </c>
      <c r="AA55" s="880">
        <f t="shared" si="107"/>
        <v>0</v>
      </c>
      <c r="AB55" s="880">
        <f t="shared" ref="AB55:AB61" si="231">(F55/12)*12</f>
        <v>0</v>
      </c>
      <c r="AC55" s="880">
        <f t="shared" si="109"/>
        <v>0</v>
      </c>
      <c r="AD55" s="880">
        <f t="shared" ref="AD55:AD61" si="232">E55-AC55</f>
        <v>0</v>
      </c>
      <c r="AE55" s="880">
        <f t="shared" ref="AE55:AE61" si="233">(F55/12)*12</f>
        <v>0</v>
      </c>
      <c r="AF55" s="880">
        <f t="shared" ref="AF55:AF61" si="234">AC55+AE55</f>
        <v>0</v>
      </c>
      <c r="AG55" s="880">
        <f t="shared" ref="AG55:AG61" si="235">E55-AF55</f>
        <v>0</v>
      </c>
      <c r="AH55" s="880">
        <f t="shared" ref="AH55:AH61" si="236">(F55/12)*12</f>
        <v>0</v>
      </c>
      <c r="AI55" s="880">
        <f t="shared" ref="AI55:AI61" si="237">AF55+AH55</f>
        <v>0</v>
      </c>
      <c r="AJ55" s="880">
        <f t="shared" ref="AJ55:AJ61" si="238">E55-AI55</f>
        <v>0</v>
      </c>
      <c r="AK55" s="880"/>
      <c r="AL55" s="880"/>
      <c r="AM55" s="880"/>
      <c r="AN55" s="880"/>
      <c r="AO55" s="880"/>
      <c r="AP55" s="880"/>
      <c r="AQ55" s="880">
        <f t="shared" ref="AQ55:AQ60" si="239">(F55/12)*7</f>
        <v>0</v>
      </c>
      <c r="AR55" s="880">
        <f t="shared" ref="AR55:AR61" si="240">AI55+AQ55</f>
        <v>0</v>
      </c>
      <c r="AS55" s="880">
        <f t="shared" ref="AS55:AS61" si="241">E55-AR55</f>
        <v>0</v>
      </c>
      <c r="AT55" s="896"/>
      <c r="AU55" s="896"/>
      <c r="AV55" s="896"/>
      <c r="AW55" s="896"/>
      <c r="AX55" s="896"/>
      <c r="AY55" s="896"/>
      <c r="AZ55" s="896"/>
      <c r="BB55" s="881">
        <f t="shared" si="137"/>
        <v>0</v>
      </c>
      <c r="BD55" s="882"/>
      <c r="BE55" s="881"/>
      <c r="BF55" s="883"/>
      <c r="BG55" s="881"/>
    </row>
    <row r="56" spans="1:59" ht="14.25" hidden="1" customHeight="1">
      <c r="A56" s="17">
        <f t="shared" ref="A56:A61" si="242">A55+1</f>
        <v>2</v>
      </c>
      <c r="B56" s="872" t="s">
        <v>354</v>
      </c>
      <c r="C56" s="876">
        <v>38353</v>
      </c>
      <c r="D56" s="877">
        <v>20</v>
      </c>
      <c r="E56" s="878">
        <f>84240000*0</f>
        <v>0</v>
      </c>
      <c r="F56" s="879">
        <f t="shared" si="212"/>
        <v>0</v>
      </c>
      <c r="G56" s="879">
        <f t="shared" si="213"/>
        <v>0</v>
      </c>
      <c r="H56" s="880">
        <f>((F56/12)*(13-IF(C56="","",MONTH(C56))))*10</f>
        <v>0</v>
      </c>
      <c r="I56" s="880">
        <f t="shared" si="214"/>
        <v>0</v>
      </c>
      <c r="J56" s="880">
        <f t="shared" si="215"/>
        <v>0</v>
      </c>
      <c r="K56" s="880">
        <f t="shared" si="216"/>
        <v>0</v>
      </c>
      <c r="L56" s="880">
        <f t="shared" si="217"/>
        <v>0</v>
      </c>
      <c r="M56" s="880">
        <f t="shared" si="218"/>
        <v>0</v>
      </c>
      <c r="N56" s="880">
        <f t="shared" si="219"/>
        <v>0</v>
      </c>
      <c r="O56" s="880">
        <f t="shared" si="220"/>
        <v>0</v>
      </c>
      <c r="P56" s="880">
        <f t="shared" si="221"/>
        <v>0</v>
      </c>
      <c r="Q56" s="880">
        <f t="shared" si="222"/>
        <v>0</v>
      </c>
      <c r="R56" s="880">
        <f t="shared" si="223"/>
        <v>0</v>
      </c>
      <c r="S56" s="880">
        <f t="shared" si="224"/>
        <v>0</v>
      </c>
      <c r="T56" s="880">
        <f t="shared" si="225"/>
        <v>0</v>
      </c>
      <c r="U56" s="880">
        <f t="shared" si="226"/>
        <v>0</v>
      </c>
      <c r="V56" s="880">
        <f t="shared" si="227"/>
        <v>0</v>
      </c>
      <c r="W56" s="880">
        <f t="shared" si="228"/>
        <v>0</v>
      </c>
      <c r="X56" s="880">
        <f t="shared" si="229"/>
        <v>0</v>
      </c>
      <c r="Y56" s="880">
        <f t="shared" si="230"/>
        <v>0</v>
      </c>
      <c r="Z56" s="880"/>
      <c r="AA56" s="880">
        <f t="shared" si="107"/>
        <v>0</v>
      </c>
      <c r="AB56" s="880">
        <f t="shared" si="231"/>
        <v>0</v>
      </c>
      <c r="AC56" s="880">
        <f t="shared" si="109"/>
        <v>0</v>
      </c>
      <c r="AD56" s="880">
        <f t="shared" si="232"/>
        <v>0</v>
      </c>
      <c r="AE56" s="880">
        <f t="shared" si="233"/>
        <v>0</v>
      </c>
      <c r="AF56" s="880">
        <f t="shared" si="234"/>
        <v>0</v>
      </c>
      <c r="AG56" s="880">
        <f t="shared" si="235"/>
        <v>0</v>
      </c>
      <c r="AH56" s="880">
        <f t="shared" si="236"/>
        <v>0</v>
      </c>
      <c r="AI56" s="880">
        <f t="shared" si="237"/>
        <v>0</v>
      </c>
      <c r="AJ56" s="880">
        <f t="shared" si="238"/>
        <v>0</v>
      </c>
      <c r="AK56" s="880"/>
      <c r="AL56" s="880"/>
      <c r="AM56" s="880"/>
      <c r="AN56" s="880"/>
      <c r="AO56" s="880"/>
      <c r="AP56" s="880"/>
      <c r="AQ56" s="880">
        <f t="shared" si="239"/>
        <v>0</v>
      </c>
      <c r="AR56" s="880">
        <f t="shared" si="240"/>
        <v>0</v>
      </c>
      <c r="AS56" s="880">
        <f t="shared" si="241"/>
        <v>0</v>
      </c>
      <c r="AT56" s="896"/>
      <c r="AU56" s="896"/>
      <c r="AV56" s="896"/>
      <c r="AW56" s="896"/>
      <c r="AX56" s="896"/>
      <c r="AY56" s="896"/>
      <c r="AZ56" s="896"/>
      <c r="BA56" s="9"/>
      <c r="BB56" s="881">
        <f t="shared" si="137"/>
        <v>0</v>
      </c>
      <c r="BD56" s="57"/>
      <c r="BE56" s="19"/>
      <c r="BF56" s="58"/>
      <c r="BG56" s="19"/>
    </row>
    <row r="57" spans="1:59" ht="14.25" customHeight="1">
      <c r="A57" s="17">
        <f t="shared" si="242"/>
        <v>3</v>
      </c>
      <c r="B57" s="53" t="s">
        <v>355</v>
      </c>
      <c r="C57" s="238">
        <v>40544</v>
      </c>
      <c r="D57" s="55">
        <v>20</v>
      </c>
      <c r="E57" s="6">
        <v>150150000</v>
      </c>
      <c r="F57" s="1041">
        <f t="shared" si="212"/>
        <v>7507500</v>
      </c>
      <c r="G57" s="1041">
        <f t="shared" si="213"/>
        <v>150150000</v>
      </c>
      <c r="H57" s="1042"/>
      <c r="I57" s="1042">
        <f t="shared" si="214"/>
        <v>0</v>
      </c>
      <c r="J57" s="1042">
        <f t="shared" si="215"/>
        <v>150150000</v>
      </c>
      <c r="K57" s="1042"/>
      <c r="L57" s="1042">
        <f t="shared" si="217"/>
        <v>0</v>
      </c>
      <c r="M57" s="1042">
        <f t="shared" si="218"/>
        <v>150150000</v>
      </c>
      <c r="N57" s="1042">
        <f t="shared" si="219"/>
        <v>7507500</v>
      </c>
      <c r="O57" s="1042">
        <f t="shared" si="220"/>
        <v>7507500</v>
      </c>
      <c r="P57" s="1042">
        <f t="shared" si="221"/>
        <v>142642500</v>
      </c>
      <c r="Q57" s="1042">
        <f t="shared" si="222"/>
        <v>7507500</v>
      </c>
      <c r="R57" s="1042">
        <f t="shared" si="223"/>
        <v>15015000</v>
      </c>
      <c r="S57" s="1042">
        <f t="shared" si="224"/>
        <v>135135000</v>
      </c>
      <c r="T57" s="1042">
        <f t="shared" si="225"/>
        <v>7507500</v>
      </c>
      <c r="U57" s="1042">
        <f t="shared" si="226"/>
        <v>22522500</v>
      </c>
      <c r="V57" s="1042">
        <f t="shared" si="227"/>
        <v>127627500</v>
      </c>
      <c r="W57" s="1042">
        <f t="shared" si="228"/>
        <v>7507500</v>
      </c>
      <c r="X57" s="1042">
        <f t="shared" si="229"/>
        <v>30030000</v>
      </c>
      <c r="Y57" s="1042">
        <f t="shared" si="230"/>
        <v>120120000</v>
      </c>
      <c r="Z57" s="7">
        <v>22522500</v>
      </c>
      <c r="AA57" s="7">
        <f t="shared" si="107"/>
        <v>127627500</v>
      </c>
      <c r="AB57" s="1042">
        <f t="shared" si="231"/>
        <v>7507500</v>
      </c>
      <c r="AC57" s="1042">
        <f t="shared" ref="AC57:AC58" si="243">X57+AB57</f>
        <v>37537500</v>
      </c>
      <c r="AD57" s="1042">
        <f t="shared" si="232"/>
        <v>112612500</v>
      </c>
      <c r="AE57" s="1042">
        <f t="shared" si="233"/>
        <v>7507500</v>
      </c>
      <c r="AF57" s="1042">
        <f t="shared" si="234"/>
        <v>45045000</v>
      </c>
      <c r="AG57" s="1042">
        <f t="shared" si="235"/>
        <v>105105000</v>
      </c>
      <c r="AH57" s="1042">
        <f t="shared" si="236"/>
        <v>7507500</v>
      </c>
      <c r="AI57" s="1042">
        <f t="shared" si="237"/>
        <v>52552500</v>
      </c>
      <c r="AJ57" s="1042">
        <f t="shared" si="238"/>
        <v>97597500</v>
      </c>
      <c r="AK57" s="1042">
        <f t="shared" ref="AK57:AK58" si="244">(F57/12)*1</f>
        <v>625625</v>
      </c>
      <c r="AL57" s="1042">
        <f t="shared" ref="AL57:AL58" si="245">AI57+AK57</f>
        <v>53178125</v>
      </c>
      <c r="AM57" s="1042">
        <f t="shared" ref="AM57:AM58" si="246">E57-AL57</f>
        <v>96971875</v>
      </c>
      <c r="AN57" s="1042">
        <f>(F57/12)*9</f>
        <v>5630625</v>
      </c>
      <c r="AO57" s="1042">
        <f t="shared" ref="AO57:AO58" si="247">AI57+AN57</f>
        <v>58183125</v>
      </c>
      <c r="AP57" s="1042">
        <f t="shared" ref="AP57:AP58" si="248">E57-AO57</f>
        <v>91966875</v>
      </c>
      <c r="AQ57" s="1042">
        <f t="shared" ref="AQ57:AQ58" si="249">(F57/12)*12</f>
        <v>7507500</v>
      </c>
      <c r="AR57" s="1042">
        <f t="shared" si="240"/>
        <v>60060000</v>
      </c>
      <c r="AS57" s="1042">
        <f t="shared" si="241"/>
        <v>90090000</v>
      </c>
      <c r="AT57" s="1042">
        <f t="shared" ref="AT57:AT58" si="250">(F57/12)*9</f>
        <v>5630625</v>
      </c>
      <c r="AU57" s="1042">
        <f t="shared" ref="AU57:AU58" si="251">AR57+AT57</f>
        <v>65690625</v>
      </c>
      <c r="AV57" s="1042">
        <f t="shared" ref="AV57:AV58" si="252">E57-AU57</f>
        <v>84459375</v>
      </c>
      <c r="AW57" s="1042">
        <f t="shared" ref="AW57:AW58" si="253">(F57/12)*12</f>
        <v>7507500</v>
      </c>
      <c r="AX57" s="1042">
        <f>AR57+AW57</f>
        <v>67567500</v>
      </c>
      <c r="AY57" s="1042">
        <f t="shared" ref="AY57:AY58" si="254">E57-AX57</f>
        <v>82582500</v>
      </c>
      <c r="AZ57" s="1051"/>
      <c r="BB57" s="8">
        <f t="shared" ref="BB57:BB58" si="255">E57-AX57-AY57</f>
        <v>0</v>
      </c>
      <c r="BD57" s="187"/>
      <c r="BE57" s="19"/>
      <c r="BF57" s="58"/>
      <c r="BG57" s="19"/>
    </row>
    <row r="58" spans="1:59" ht="14.25" customHeight="1">
      <c r="A58" s="966">
        <f t="shared" si="242"/>
        <v>4</v>
      </c>
      <c r="B58" s="872" t="s">
        <v>1149</v>
      </c>
      <c r="C58" s="238">
        <v>40544</v>
      </c>
      <c r="D58" s="55">
        <v>20</v>
      </c>
      <c r="E58" s="6">
        <f>104895000+84240000+40800000+19950000</f>
        <v>249885000</v>
      </c>
      <c r="F58" s="1041">
        <f t="shared" si="212"/>
        <v>12494250</v>
      </c>
      <c r="G58" s="1041">
        <f t="shared" si="213"/>
        <v>249885000</v>
      </c>
      <c r="H58" s="1042"/>
      <c r="I58" s="1042">
        <f t="shared" si="214"/>
        <v>0</v>
      </c>
      <c r="J58" s="1042">
        <f t="shared" si="215"/>
        <v>249885000</v>
      </c>
      <c r="K58" s="1042"/>
      <c r="L58" s="1042">
        <f t="shared" si="217"/>
        <v>0</v>
      </c>
      <c r="M58" s="1042">
        <f t="shared" si="218"/>
        <v>249885000</v>
      </c>
      <c r="N58" s="1042">
        <f t="shared" si="219"/>
        <v>12494250</v>
      </c>
      <c r="O58" s="1042">
        <f t="shared" si="220"/>
        <v>12494250</v>
      </c>
      <c r="P58" s="1042">
        <f t="shared" si="221"/>
        <v>237390750</v>
      </c>
      <c r="Q58" s="1042">
        <f t="shared" si="222"/>
        <v>12494250</v>
      </c>
      <c r="R58" s="1042">
        <f t="shared" si="223"/>
        <v>24988500</v>
      </c>
      <c r="S58" s="1042">
        <f t="shared" si="224"/>
        <v>224896500</v>
      </c>
      <c r="T58" s="1042">
        <f t="shared" si="225"/>
        <v>12494250</v>
      </c>
      <c r="U58" s="1042">
        <f t="shared" si="226"/>
        <v>37482750</v>
      </c>
      <c r="V58" s="1042">
        <f t="shared" si="227"/>
        <v>212402250</v>
      </c>
      <c r="W58" s="1042">
        <f t="shared" si="228"/>
        <v>12494250</v>
      </c>
      <c r="X58" s="1042">
        <f t="shared" si="229"/>
        <v>49977000</v>
      </c>
      <c r="Y58" s="1042">
        <f t="shared" si="230"/>
        <v>199908000</v>
      </c>
      <c r="Z58" s="7">
        <v>37482750</v>
      </c>
      <c r="AA58" s="7">
        <f t="shared" si="107"/>
        <v>212402250</v>
      </c>
      <c r="AB58" s="1042">
        <f t="shared" si="231"/>
        <v>12494250</v>
      </c>
      <c r="AC58" s="1042">
        <f t="shared" si="243"/>
        <v>62471250</v>
      </c>
      <c r="AD58" s="1042">
        <f t="shared" si="232"/>
        <v>187413750</v>
      </c>
      <c r="AE58" s="1042">
        <f t="shared" si="233"/>
        <v>12494250</v>
      </c>
      <c r="AF58" s="1042">
        <f t="shared" si="234"/>
        <v>74965500</v>
      </c>
      <c r="AG58" s="1042">
        <f t="shared" si="235"/>
        <v>174919500</v>
      </c>
      <c r="AH58" s="1042">
        <f t="shared" si="236"/>
        <v>12494250</v>
      </c>
      <c r="AI58" s="1042">
        <f t="shared" si="237"/>
        <v>87459750</v>
      </c>
      <c r="AJ58" s="1042">
        <f t="shared" si="238"/>
        <v>162425250</v>
      </c>
      <c r="AK58" s="1042">
        <f t="shared" si="244"/>
        <v>1041187.5</v>
      </c>
      <c r="AL58" s="1042">
        <f t="shared" si="245"/>
        <v>88500937.5</v>
      </c>
      <c r="AM58" s="1042">
        <f t="shared" si="246"/>
        <v>161384062.5</v>
      </c>
      <c r="AN58" s="1042">
        <f>(F58/12)*9</f>
        <v>9370687.5</v>
      </c>
      <c r="AO58" s="1042">
        <f t="shared" si="247"/>
        <v>96830437.5</v>
      </c>
      <c r="AP58" s="1042">
        <f t="shared" si="248"/>
        <v>153054562.5</v>
      </c>
      <c r="AQ58" s="1042">
        <f t="shared" si="249"/>
        <v>12494250</v>
      </c>
      <c r="AR58" s="1042">
        <f t="shared" si="240"/>
        <v>99954000</v>
      </c>
      <c r="AS58" s="1042">
        <f t="shared" si="241"/>
        <v>149931000</v>
      </c>
      <c r="AT58" s="1042">
        <f t="shared" si="250"/>
        <v>9370687.5</v>
      </c>
      <c r="AU58" s="1042">
        <f t="shared" si="251"/>
        <v>109324687.5</v>
      </c>
      <c r="AV58" s="1042">
        <f t="shared" si="252"/>
        <v>140560312.5</v>
      </c>
      <c r="AW58" s="1042">
        <f t="shared" si="253"/>
        <v>12494250</v>
      </c>
      <c r="AX58" s="1042">
        <f t="shared" ref="AX58" si="256">AR58+AW58</f>
        <v>112448250</v>
      </c>
      <c r="AY58" s="1042">
        <f t="shared" si="254"/>
        <v>137436750</v>
      </c>
      <c r="AZ58" s="1051"/>
      <c r="BB58" s="8">
        <f t="shared" si="255"/>
        <v>0</v>
      </c>
      <c r="BD58" s="187"/>
      <c r="BE58" s="19"/>
      <c r="BF58" s="58"/>
      <c r="BG58" s="19"/>
    </row>
    <row r="59" spans="1:59" ht="14.25" hidden="1" customHeight="1">
      <c r="A59" s="17">
        <f t="shared" si="242"/>
        <v>5</v>
      </c>
      <c r="B59" s="872" t="s">
        <v>357</v>
      </c>
      <c r="C59" s="876">
        <v>40544</v>
      </c>
      <c r="D59" s="877">
        <v>20</v>
      </c>
      <c r="E59" s="878">
        <f>40800000*0</f>
        <v>0</v>
      </c>
      <c r="F59" s="879">
        <f t="shared" si="212"/>
        <v>0</v>
      </c>
      <c r="G59" s="879">
        <f t="shared" si="213"/>
        <v>0</v>
      </c>
      <c r="H59" s="880">
        <f>((F59/12)*(13-IF(C59="","",MONTH(C59))))*4</f>
        <v>0</v>
      </c>
      <c r="I59" s="880">
        <f t="shared" si="214"/>
        <v>0</v>
      </c>
      <c r="J59" s="880">
        <f t="shared" si="215"/>
        <v>0</v>
      </c>
      <c r="K59" s="880">
        <f t="shared" si="216"/>
        <v>0</v>
      </c>
      <c r="L59" s="880">
        <f t="shared" si="217"/>
        <v>0</v>
      </c>
      <c r="M59" s="880">
        <f t="shared" si="218"/>
        <v>0</v>
      </c>
      <c r="N59" s="880">
        <f t="shared" si="219"/>
        <v>0</v>
      </c>
      <c r="O59" s="880">
        <f t="shared" si="220"/>
        <v>0</v>
      </c>
      <c r="P59" s="880">
        <f t="shared" si="221"/>
        <v>0</v>
      </c>
      <c r="Q59" s="880">
        <f t="shared" si="222"/>
        <v>0</v>
      </c>
      <c r="R59" s="880">
        <f t="shared" si="223"/>
        <v>0</v>
      </c>
      <c r="S59" s="880">
        <f t="shared" si="224"/>
        <v>0</v>
      </c>
      <c r="T59" s="880">
        <f t="shared" si="225"/>
        <v>0</v>
      </c>
      <c r="U59" s="880">
        <f t="shared" si="226"/>
        <v>0</v>
      </c>
      <c r="V59" s="880">
        <f t="shared" si="227"/>
        <v>0</v>
      </c>
      <c r="W59" s="880">
        <f t="shared" si="228"/>
        <v>0</v>
      </c>
      <c r="X59" s="880">
        <f t="shared" si="229"/>
        <v>0</v>
      </c>
      <c r="Y59" s="880">
        <f t="shared" si="230"/>
        <v>0</v>
      </c>
      <c r="Z59" s="880"/>
      <c r="AA59" s="880">
        <f t="shared" si="107"/>
        <v>0</v>
      </c>
      <c r="AB59" s="880">
        <f t="shared" si="231"/>
        <v>0</v>
      </c>
      <c r="AC59" s="880">
        <f t="shared" si="109"/>
        <v>0</v>
      </c>
      <c r="AD59" s="880">
        <f t="shared" si="232"/>
        <v>0</v>
      </c>
      <c r="AE59" s="880">
        <f t="shared" si="233"/>
        <v>0</v>
      </c>
      <c r="AF59" s="880">
        <f t="shared" si="234"/>
        <v>0</v>
      </c>
      <c r="AG59" s="880">
        <f t="shared" si="235"/>
        <v>0</v>
      </c>
      <c r="AH59" s="880">
        <f t="shared" si="236"/>
        <v>0</v>
      </c>
      <c r="AI59" s="880">
        <f t="shared" si="237"/>
        <v>0</v>
      </c>
      <c r="AJ59" s="880">
        <f t="shared" si="238"/>
        <v>0</v>
      </c>
      <c r="AK59" s="880"/>
      <c r="AL59" s="880"/>
      <c r="AM59" s="880"/>
      <c r="AN59" s="880"/>
      <c r="AO59" s="880"/>
      <c r="AP59" s="880"/>
      <c r="AQ59" s="880">
        <f t="shared" si="239"/>
        <v>0</v>
      </c>
      <c r="AR59" s="880">
        <f t="shared" si="240"/>
        <v>0</v>
      </c>
      <c r="AS59" s="880">
        <f t="shared" si="241"/>
        <v>0</v>
      </c>
      <c r="AT59" s="896"/>
      <c r="AU59" s="896"/>
      <c r="AV59" s="896"/>
      <c r="AW59" s="896"/>
      <c r="AX59" s="896"/>
      <c r="AY59" s="896"/>
      <c r="AZ59" s="896"/>
      <c r="BA59" s="9"/>
      <c r="BB59" s="881">
        <f t="shared" si="137"/>
        <v>0</v>
      </c>
      <c r="BD59" s="57"/>
      <c r="BE59" s="19"/>
      <c r="BF59" s="58"/>
      <c r="BG59" s="19"/>
    </row>
    <row r="60" spans="1:59" s="9" customFormat="1" ht="14.25" hidden="1" customHeight="1">
      <c r="A60" s="966">
        <f t="shared" si="242"/>
        <v>6</v>
      </c>
      <c r="B60" s="872" t="s">
        <v>358</v>
      </c>
      <c r="C60" s="876">
        <v>40544</v>
      </c>
      <c r="D60" s="877">
        <v>20</v>
      </c>
      <c r="E60" s="878">
        <f>19950000*0</f>
        <v>0</v>
      </c>
      <c r="F60" s="879">
        <f t="shared" si="212"/>
        <v>0</v>
      </c>
      <c r="G60" s="879">
        <f t="shared" si="213"/>
        <v>0</v>
      </c>
      <c r="H60" s="880">
        <f>((F60/12)*(13-IF(C60="","",MONTH(C60))))*4</f>
        <v>0</v>
      </c>
      <c r="I60" s="880">
        <f t="shared" si="214"/>
        <v>0</v>
      </c>
      <c r="J60" s="880">
        <f t="shared" si="215"/>
        <v>0</v>
      </c>
      <c r="K60" s="880">
        <f t="shared" si="216"/>
        <v>0</v>
      </c>
      <c r="L60" s="880">
        <f t="shared" si="217"/>
        <v>0</v>
      </c>
      <c r="M60" s="880">
        <f t="shared" si="218"/>
        <v>0</v>
      </c>
      <c r="N60" s="880">
        <f t="shared" si="219"/>
        <v>0</v>
      </c>
      <c r="O60" s="880">
        <f t="shared" si="220"/>
        <v>0</v>
      </c>
      <c r="P60" s="880">
        <f t="shared" si="221"/>
        <v>0</v>
      </c>
      <c r="Q60" s="880">
        <f t="shared" si="222"/>
        <v>0</v>
      </c>
      <c r="R60" s="880">
        <f t="shared" si="223"/>
        <v>0</v>
      </c>
      <c r="S60" s="880">
        <f t="shared" si="224"/>
        <v>0</v>
      </c>
      <c r="T60" s="880">
        <f t="shared" si="225"/>
        <v>0</v>
      </c>
      <c r="U60" s="880">
        <f t="shared" si="226"/>
        <v>0</v>
      </c>
      <c r="V60" s="880">
        <f t="shared" si="227"/>
        <v>0</v>
      </c>
      <c r="W60" s="880">
        <f t="shared" si="228"/>
        <v>0</v>
      </c>
      <c r="X60" s="880">
        <f t="shared" si="229"/>
        <v>0</v>
      </c>
      <c r="Y60" s="880">
        <f t="shared" si="230"/>
        <v>0</v>
      </c>
      <c r="Z60" s="880"/>
      <c r="AA60" s="880">
        <f t="shared" si="107"/>
        <v>0</v>
      </c>
      <c r="AB60" s="880">
        <f t="shared" si="231"/>
        <v>0</v>
      </c>
      <c r="AC60" s="880">
        <f t="shared" si="109"/>
        <v>0</v>
      </c>
      <c r="AD60" s="880">
        <f t="shared" si="232"/>
        <v>0</v>
      </c>
      <c r="AE60" s="880">
        <f t="shared" si="233"/>
        <v>0</v>
      </c>
      <c r="AF60" s="880">
        <f t="shared" si="234"/>
        <v>0</v>
      </c>
      <c r="AG60" s="880">
        <f t="shared" si="235"/>
        <v>0</v>
      </c>
      <c r="AH60" s="880">
        <f t="shared" si="236"/>
        <v>0</v>
      </c>
      <c r="AI60" s="880">
        <f t="shared" si="237"/>
        <v>0</v>
      </c>
      <c r="AJ60" s="880">
        <f t="shared" si="238"/>
        <v>0</v>
      </c>
      <c r="AK60" s="880"/>
      <c r="AL60" s="880"/>
      <c r="AM60" s="880"/>
      <c r="AN60" s="880"/>
      <c r="AO60" s="880"/>
      <c r="AP60" s="880"/>
      <c r="AQ60" s="880">
        <f t="shared" si="239"/>
        <v>0</v>
      </c>
      <c r="AR60" s="880">
        <f t="shared" si="240"/>
        <v>0</v>
      </c>
      <c r="AS60" s="880">
        <f t="shared" si="241"/>
        <v>0</v>
      </c>
      <c r="AT60" s="896"/>
      <c r="AU60" s="896"/>
      <c r="AV60" s="896"/>
      <c r="AW60" s="896"/>
      <c r="AX60" s="896"/>
      <c r="AY60" s="896"/>
      <c r="AZ60" s="896"/>
      <c r="BB60" s="881">
        <f t="shared" si="137"/>
        <v>0</v>
      </c>
      <c r="BD60" s="882"/>
      <c r="BE60" s="881"/>
      <c r="BF60" s="883"/>
      <c r="BG60" s="881"/>
    </row>
    <row r="61" spans="1:59" ht="14.25" customHeight="1">
      <c r="A61" s="17">
        <f t="shared" si="242"/>
        <v>7</v>
      </c>
      <c r="B61" s="53" t="s">
        <v>359</v>
      </c>
      <c r="C61" s="238">
        <v>41640</v>
      </c>
      <c r="D61" s="55">
        <v>20</v>
      </c>
      <c r="E61" s="6">
        <v>46762500</v>
      </c>
      <c r="F61" s="1041">
        <f t="shared" si="212"/>
        <v>2338125</v>
      </c>
      <c r="G61" s="1041">
        <f t="shared" si="213"/>
        <v>46762500</v>
      </c>
      <c r="H61" s="1042"/>
      <c r="I61" s="1042">
        <f t="shared" si="214"/>
        <v>0</v>
      </c>
      <c r="J61" s="1042">
        <f t="shared" si="215"/>
        <v>46762500</v>
      </c>
      <c r="K61" s="1042"/>
      <c r="L61" s="1042">
        <f t="shared" si="217"/>
        <v>0</v>
      </c>
      <c r="M61" s="1042">
        <f>E61-L61</f>
        <v>46762500</v>
      </c>
      <c r="N61" s="1042">
        <f t="shared" si="219"/>
        <v>2338125</v>
      </c>
      <c r="O61" s="1042">
        <f t="shared" si="220"/>
        <v>2338125</v>
      </c>
      <c r="P61" s="1042">
        <f t="shared" si="221"/>
        <v>44424375</v>
      </c>
      <c r="Q61" s="1042">
        <f t="shared" si="222"/>
        <v>2338125</v>
      </c>
      <c r="R61" s="1042">
        <f t="shared" si="223"/>
        <v>4676250</v>
      </c>
      <c r="S61" s="1042">
        <f t="shared" si="224"/>
        <v>42086250</v>
      </c>
      <c r="T61" s="1042">
        <f t="shared" si="225"/>
        <v>2338125</v>
      </c>
      <c r="U61" s="1042">
        <f t="shared" si="226"/>
        <v>7014375</v>
      </c>
      <c r="V61" s="1042">
        <f t="shared" si="227"/>
        <v>39748125</v>
      </c>
      <c r="W61" s="1042">
        <f t="shared" si="228"/>
        <v>2338125</v>
      </c>
      <c r="X61" s="1042">
        <f t="shared" si="229"/>
        <v>9352500</v>
      </c>
      <c r="Y61" s="1042">
        <f t="shared" si="230"/>
        <v>37410000</v>
      </c>
      <c r="Z61" s="7">
        <v>7014375</v>
      </c>
      <c r="AA61" s="7">
        <f t="shared" si="107"/>
        <v>39748125</v>
      </c>
      <c r="AB61" s="1042">
        <f t="shared" si="231"/>
        <v>2338125</v>
      </c>
      <c r="AC61" s="1042">
        <f t="shared" ref="AC61" si="257">X61+AB61</f>
        <v>11690625</v>
      </c>
      <c r="AD61" s="1042">
        <f t="shared" si="232"/>
        <v>35071875</v>
      </c>
      <c r="AE61" s="1042">
        <f t="shared" si="233"/>
        <v>2338125</v>
      </c>
      <c r="AF61" s="1042">
        <f t="shared" si="234"/>
        <v>14028750</v>
      </c>
      <c r="AG61" s="1042">
        <f t="shared" si="235"/>
        <v>32733750</v>
      </c>
      <c r="AH61" s="1042">
        <f t="shared" si="236"/>
        <v>2338125</v>
      </c>
      <c r="AI61" s="1042">
        <f t="shared" si="237"/>
        <v>16366875</v>
      </c>
      <c r="AJ61" s="1042">
        <f t="shared" si="238"/>
        <v>30395625</v>
      </c>
      <c r="AK61" s="1042">
        <f t="shared" ref="AK61" si="258">(F61/12)*1</f>
        <v>194843.75</v>
      </c>
      <c r="AL61" s="1042">
        <f t="shared" ref="AL61" si="259">AI61+AK61</f>
        <v>16561718.75</v>
      </c>
      <c r="AM61" s="1042">
        <f t="shared" ref="AM61" si="260">E61-AL61</f>
        <v>30200781.25</v>
      </c>
      <c r="AN61" s="1042">
        <f>(F61/12)*9</f>
        <v>1753593.75</v>
      </c>
      <c r="AO61" s="1042">
        <f t="shared" ref="AO61" si="261">AI61+AN61</f>
        <v>18120468.75</v>
      </c>
      <c r="AP61" s="1042">
        <f t="shared" ref="AP61" si="262">E61-AO61</f>
        <v>28642031.25</v>
      </c>
      <c r="AQ61" s="1042">
        <f t="shared" ref="AQ61" si="263">(F61/12)*12</f>
        <v>2338125</v>
      </c>
      <c r="AR61" s="1042">
        <f t="shared" si="240"/>
        <v>18705000</v>
      </c>
      <c r="AS61" s="1042">
        <f t="shared" si="241"/>
        <v>28057500</v>
      </c>
      <c r="AT61" s="1042">
        <f t="shared" ref="AT61" si="264">(F61/12)*9</f>
        <v>1753593.75</v>
      </c>
      <c r="AU61" s="1042">
        <f t="shared" ref="AU61" si="265">AR61+AT61</f>
        <v>20458593.75</v>
      </c>
      <c r="AV61" s="1042">
        <f t="shared" ref="AV61" si="266">E61-AU61</f>
        <v>26303906.25</v>
      </c>
      <c r="AW61" s="1042">
        <f t="shared" ref="AW61" si="267">(F61/12)*12</f>
        <v>2338125</v>
      </c>
      <c r="AX61" s="1042">
        <f t="shared" ref="AX61" si="268">AR61+AW61</f>
        <v>21043125</v>
      </c>
      <c r="AY61" s="1042">
        <f t="shared" ref="AY61" si="269">E61-AX61</f>
        <v>25719375</v>
      </c>
      <c r="AZ61" s="1051"/>
      <c r="BB61" s="8">
        <f t="shared" ref="BB61:BB62" si="270">E61-AX61-AY61</f>
        <v>0</v>
      </c>
      <c r="BD61" s="187"/>
      <c r="BE61" s="19"/>
      <c r="BF61" s="58"/>
      <c r="BG61" s="19"/>
    </row>
    <row r="62" spans="1:59" s="220" customFormat="1" ht="14.25" customHeight="1">
      <c r="A62" s="190" t="s">
        <v>239</v>
      </c>
      <c r="B62" s="214" t="s">
        <v>360</v>
      </c>
      <c r="C62" s="215"/>
      <c r="D62" s="55"/>
      <c r="E62" s="217"/>
      <c r="F62" s="1045"/>
      <c r="G62" s="1045"/>
      <c r="H62" s="1046"/>
      <c r="I62" s="1046"/>
      <c r="J62" s="1046"/>
      <c r="K62" s="1046"/>
      <c r="L62" s="1046"/>
      <c r="M62" s="1046"/>
      <c r="N62" s="1046"/>
      <c r="O62" s="1046"/>
      <c r="P62" s="1046"/>
      <c r="Q62" s="1046"/>
      <c r="R62" s="1046"/>
      <c r="S62" s="1046"/>
      <c r="T62" s="1046"/>
      <c r="U62" s="1046"/>
      <c r="V62" s="1046"/>
      <c r="W62" s="1046"/>
      <c r="X62" s="1046"/>
      <c r="Y62" s="1046"/>
      <c r="Z62" s="219"/>
      <c r="AA62" s="219"/>
      <c r="AB62" s="1046"/>
      <c r="AC62" s="1046"/>
      <c r="AD62" s="1046"/>
      <c r="AE62" s="1046"/>
      <c r="AF62" s="1046"/>
      <c r="AG62" s="1046"/>
      <c r="AH62" s="1046"/>
      <c r="AI62" s="1046"/>
      <c r="AJ62" s="1046"/>
      <c r="AK62" s="1046"/>
      <c r="AL62" s="1046"/>
      <c r="AM62" s="1046"/>
      <c r="AN62" s="1046"/>
      <c r="AO62" s="1046"/>
      <c r="AP62" s="1046"/>
      <c r="AQ62" s="1046"/>
      <c r="AR62" s="1046"/>
      <c r="AS62" s="1046"/>
      <c r="AT62" s="1046"/>
      <c r="AU62" s="1046"/>
      <c r="AV62" s="1046"/>
      <c r="AW62" s="1046"/>
      <c r="AX62" s="1046"/>
      <c r="AY62" s="1046"/>
      <c r="AZ62" s="1189"/>
      <c r="BB62" s="8">
        <f t="shared" si="270"/>
        <v>0</v>
      </c>
      <c r="BD62" s="229"/>
      <c r="BE62" s="179"/>
      <c r="BF62" s="222"/>
      <c r="BG62" s="179"/>
    </row>
    <row r="63" spans="1:59" s="9" customFormat="1" ht="14.25" hidden="1" customHeight="1">
      <c r="A63" s="17">
        <v>1</v>
      </c>
      <c r="B63" s="875" t="s">
        <v>343</v>
      </c>
      <c r="C63" s="876">
        <v>38353</v>
      </c>
      <c r="D63" s="877">
        <v>20</v>
      </c>
      <c r="E63" s="878">
        <f>14250000*0</f>
        <v>0</v>
      </c>
      <c r="F63" s="879">
        <f t="shared" ref="F63:F70" si="271">E63/D63</f>
        <v>0</v>
      </c>
      <c r="G63" s="879">
        <f t="shared" ref="G63:G68" si="272">E63</f>
        <v>0</v>
      </c>
      <c r="H63" s="880">
        <f>((F63/12)*(13-IF(C63="","",MONTH(C63))))*10</f>
        <v>0</v>
      </c>
      <c r="I63" s="880">
        <f t="shared" ref="I63:I70" si="273">H63</f>
        <v>0</v>
      </c>
      <c r="J63" s="880">
        <f t="shared" ref="J63:J70" si="274">G63-I63</f>
        <v>0</v>
      </c>
      <c r="K63" s="880">
        <f t="shared" ref="K63:K69" si="275">(F63/12)*12</f>
        <v>0</v>
      </c>
      <c r="L63" s="880">
        <f t="shared" ref="L63:L70" si="276">I63+K63</f>
        <v>0</v>
      </c>
      <c r="M63" s="880">
        <f t="shared" ref="M63:M76" si="277">E63-L63</f>
        <v>0</v>
      </c>
      <c r="N63" s="880">
        <f t="shared" ref="N63:N69" si="278">(F63/12)*12</f>
        <v>0</v>
      </c>
      <c r="O63" s="880">
        <f t="shared" ref="O63:O69" si="279">N63+L63</f>
        <v>0</v>
      </c>
      <c r="P63" s="880">
        <f t="shared" si="221"/>
        <v>0</v>
      </c>
      <c r="Q63" s="880">
        <f t="shared" ref="Q63:Q78" si="280">(F63/12)*12</f>
        <v>0</v>
      </c>
      <c r="R63" s="880">
        <f t="shared" ref="R63:R69" si="281">Q63+O63</f>
        <v>0</v>
      </c>
      <c r="S63" s="880">
        <f t="shared" ref="S63:S69" si="282">E63-R63</f>
        <v>0</v>
      </c>
      <c r="T63" s="880">
        <f t="shared" ref="T63:T70" si="283">(F63/12)*12</f>
        <v>0</v>
      </c>
      <c r="U63" s="880">
        <f t="shared" ref="U63:U70" si="284">R63+T63</f>
        <v>0</v>
      </c>
      <c r="V63" s="880">
        <f t="shared" ref="V63:V70" si="285">E63-U63</f>
        <v>0</v>
      </c>
      <c r="W63" s="880">
        <f t="shared" ref="W63:W70" si="286">(F63/12)*12</f>
        <v>0</v>
      </c>
      <c r="X63" s="880">
        <f t="shared" ref="X63:X70" si="287">U63+W63</f>
        <v>0</v>
      </c>
      <c r="Y63" s="880">
        <f t="shared" ref="Y63:Y70" si="288">E63-X63</f>
        <v>0</v>
      </c>
      <c r="Z63" s="880">
        <f>2137500*0</f>
        <v>0</v>
      </c>
      <c r="AA63" s="880">
        <f t="shared" si="107"/>
        <v>0</v>
      </c>
      <c r="AB63" s="880">
        <f t="shared" ref="AB63:AB70" si="289">(F63/12)*12</f>
        <v>0</v>
      </c>
      <c r="AC63" s="880">
        <f t="shared" si="109"/>
        <v>0</v>
      </c>
      <c r="AD63" s="880">
        <f t="shared" ref="AD63:AD70" si="290">E63-AC63</f>
        <v>0</v>
      </c>
      <c r="AE63" s="880">
        <f t="shared" ref="AE63:AE70" si="291">(F63/12)*12</f>
        <v>0</v>
      </c>
      <c r="AF63" s="880">
        <f t="shared" ref="AF63:AF70" si="292">AC63+AE63</f>
        <v>0</v>
      </c>
      <c r="AG63" s="880">
        <f t="shared" ref="AG63:AG70" si="293">E63-AF63</f>
        <v>0</v>
      </c>
      <c r="AH63" s="880">
        <f t="shared" ref="AH63:AH70" si="294">(F63/12)*12</f>
        <v>0</v>
      </c>
      <c r="AI63" s="880">
        <f t="shared" ref="AI63:AI70" si="295">AF63+AH63</f>
        <v>0</v>
      </c>
      <c r="AJ63" s="880">
        <f t="shared" ref="AJ63:AJ70" si="296">E63-AI63</f>
        <v>0</v>
      </c>
      <c r="AK63" s="880"/>
      <c r="AL63" s="880"/>
      <c r="AM63" s="880"/>
      <c r="AN63" s="880"/>
      <c r="AO63" s="880"/>
      <c r="AP63" s="880"/>
      <c r="AQ63" s="880">
        <f t="shared" ref="AQ63:AQ68" si="297">(F63/12)*7</f>
        <v>0</v>
      </c>
      <c r="AR63" s="880">
        <f t="shared" ref="AR63:AR70" si="298">AI63+AQ63</f>
        <v>0</v>
      </c>
      <c r="AS63" s="880">
        <f t="shared" ref="AS63:AS70" si="299">E63-AR63</f>
        <v>0</v>
      </c>
      <c r="AT63" s="896"/>
      <c r="AU63" s="896"/>
      <c r="AV63" s="896"/>
      <c r="AW63" s="896"/>
      <c r="AX63" s="896"/>
      <c r="AY63" s="896"/>
      <c r="AZ63" s="896"/>
      <c r="BB63" s="881">
        <f t="shared" si="137"/>
        <v>0</v>
      </c>
      <c r="BD63" s="882"/>
      <c r="BE63" s="881"/>
      <c r="BF63" s="883"/>
      <c r="BG63" s="881"/>
    </row>
    <row r="64" spans="1:59" ht="14.25" customHeight="1">
      <c r="A64" s="17">
        <f>A63+1</f>
        <v>2</v>
      </c>
      <c r="B64" s="53" t="s">
        <v>361</v>
      </c>
      <c r="C64" s="238">
        <v>40544</v>
      </c>
      <c r="D64" s="55">
        <v>20</v>
      </c>
      <c r="E64" s="6">
        <v>115500000</v>
      </c>
      <c r="F64" s="1041">
        <f t="shared" si="271"/>
        <v>5775000</v>
      </c>
      <c r="G64" s="1041">
        <f t="shared" si="272"/>
        <v>115500000</v>
      </c>
      <c r="H64" s="1042"/>
      <c r="I64" s="1042">
        <f t="shared" si="273"/>
        <v>0</v>
      </c>
      <c r="J64" s="1042">
        <f t="shared" si="274"/>
        <v>115500000</v>
      </c>
      <c r="K64" s="1042"/>
      <c r="L64" s="1042">
        <f t="shared" si="276"/>
        <v>0</v>
      </c>
      <c r="M64" s="1042">
        <f t="shared" si="277"/>
        <v>115500000</v>
      </c>
      <c r="N64" s="1042">
        <f t="shared" si="278"/>
        <v>5775000</v>
      </c>
      <c r="O64" s="1042">
        <f t="shared" si="279"/>
        <v>5775000</v>
      </c>
      <c r="P64" s="1042">
        <f t="shared" si="221"/>
        <v>109725000</v>
      </c>
      <c r="Q64" s="1042">
        <f t="shared" si="280"/>
        <v>5775000</v>
      </c>
      <c r="R64" s="1042">
        <f t="shared" si="281"/>
        <v>11550000</v>
      </c>
      <c r="S64" s="1042">
        <f t="shared" si="282"/>
        <v>103950000</v>
      </c>
      <c r="T64" s="1042">
        <f t="shared" si="283"/>
        <v>5775000</v>
      </c>
      <c r="U64" s="1042">
        <f t="shared" si="284"/>
        <v>17325000</v>
      </c>
      <c r="V64" s="1042">
        <f t="shared" si="285"/>
        <v>98175000</v>
      </c>
      <c r="W64" s="1042">
        <f t="shared" si="286"/>
        <v>5775000</v>
      </c>
      <c r="X64" s="1042">
        <f t="shared" si="287"/>
        <v>23100000</v>
      </c>
      <c r="Y64" s="1042">
        <f t="shared" si="288"/>
        <v>92400000</v>
      </c>
      <c r="Z64" s="7">
        <v>17325000</v>
      </c>
      <c r="AA64" s="7">
        <f t="shared" si="107"/>
        <v>98175000</v>
      </c>
      <c r="AB64" s="1042">
        <f t="shared" si="289"/>
        <v>5775000</v>
      </c>
      <c r="AC64" s="1042">
        <f t="shared" ref="AC64" si="300">X64+AB64</f>
        <v>28875000</v>
      </c>
      <c r="AD64" s="1042">
        <f t="shared" si="290"/>
        <v>86625000</v>
      </c>
      <c r="AE64" s="1042">
        <f t="shared" si="291"/>
        <v>5775000</v>
      </c>
      <c r="AF64" s="1042">
        <f t="shared" si="292"/>
        <v>34650000</v>
      </c>
      <c r="AG64" s="1042">
        <f t="shared" si="293"/>
        <v>80850000</v>
      </c>
      <c r="AH64" s="1042">
        <f t="shared" si="294"/>
        <v>5775000</v>
      </c>
      <c r="AI64" s="1042">
        <f t="shared" si="295"/>
        <v>40425000</v>
      </c>
      <c r="AJ64" s="1042">
        <f t="shared" si="296"/>
        <v>75075000</v>
      </c>
      <c r="AK64" s="1042">
        <f t="shared" ref="AK64" si="301">(F64/12)*1</f>
        <v>481250</v>
      </c>
      <c r="AL64" s="1042">
        <f t="shared" ref="AL64" si="302">AI64+AK64</f>
        <v>40906250</v>
      </c>
      <c r="AM64" s="1042">
        <f t="shared" ref="AM64" si="303">E64-AL64</f>
        <v>74593750</v>
      </c>
      <c r="AN64" s="1042">
        <f>(F64/12)*9</f>
        <v>4331250</v>
      </c>
      <c r="AO64" s="1042">
        <f t="shared" ref="AO64" si="304">AI64+AN64</f>
        <v>44756250</v>
      </c>
      <c r="AP64" s="1042">
        <f t="shared" ref="AP64" si="305">E64-AO64</f>
        <v>70743750</v>
      </c>
      <c r="AQ64" s="1042">
        <f>(F64/12)*12</f>
        <v>5775000</v>
      </c>
      <c r="AR64" s="1042">
        <f t="shared" si="298"/>
        <v>46200000</v>
      </c>
      <c r="AS64" s="1042">
        <f t="shared" si="299"/>
        <v>69300000</v>
      </c>
      <c r="AT64" s="1042">
        <f t="shared" ref="AT64" si="306">(F64/12)*9</f>
        <v>4331250</v>
      </c>
      <c r="AU64" s="1042">
        <f t="shared" ref="AU64" si="307">AR64+AT64</f>
        <v>50531250</v>
      </c>
      <c r="AV64" s="1042">
        <f t="shared" ref="AV64" si="308">E64-AU64</f>
        <v>64968750</v>
      </c>
      <c r="AW64" s="1042">
        <f t="shared" ref="AW64" si="309">(F64/12)*12</f>
        <v>5775000</v>
      </c>
      <c r="AX64" s="1042">
        <f t="shared" ref="AX64" si="310">AR64+AW64</f>
        <v>51975000</v>
      </c>
      <c r="AY64" s="1042">
        <f t="shared" ref="AY64" si="311">E64-AX64</f>
        <v>63525000</v>
      </c>
      <c r="AZ64" s="1051"/>
      <c r="BB64" s="8">
        <f>E64-AX64-AY64</f>
        <v>0</v>
      </c>
      <c r="BD64" s="187"/>
      <c r="BE64" s="19"/>
      <c r="BF64" s="58"/>
      <c r="BG64" s="19"/>
    </row>
    <row r="65" spans="1:59" s="9" customFormat="1" ht="14.25" hidden="1" customHeight="1">
      <c r="A65" s="17">
        <f t="shared" ref="A65:A70" si="312">A64+1</f>
        <v>3</v>
      </c>
      <c r="B65" s="872" t="s">
        <v>356</v>
      </c>
      <c r="C65" s="876">
        <v>40544</v>
      </c>
      <c r="D65" s="877">
        <v>20</v>
      </c>
      <c r="E65" s="878">
        <f>211680000*0</f>
        <v>0</v>
      </c>
      <c r="F65" s="879">
        <f t="shared" si="271"/>
        <v>0</v>
      </c>
      <c r="G65" s="879">
        <f t="shared" si="272"/>
        <v>0</v>
      </c>
      <c r="H65" s="880">
        <f>((F65/12)*(13-IF(C65="","",MONTH(C65))))*4</f>
        <v>0</v>
      </c>
      <c r="I65" s="880">
        <f t="shared" si="273"/>
        <v>0</v>
      </c>
      <c r="J65" s="880">
        <f t="shared" si="274"/>
        <v>0</v>
      </c>
      <c r="K65" s="880">
        <f t="shared" si="275"/>
        <v>0</v>
      </c>
      <c r="L65" s="880">
        <f t="shared" si="276"/>
        <v>0</v>
      </c>
      <c r="M65" s="880">
        <f t="shared" si="277"/>
        <v>0</v>
      </c>
      <c r="N65" s="880">
        <f t="shared" si="278"/>
        <v>0</v>
      </c>
      <c r="O65" s="880">
        <f t="shared" si="279"/>
        <v>0</v>
      </c>
      <c r="P65" s="880">
        <f t="shared" si="221"/>
        <v>0</v>
      </c>
      <c r="Q65" s="880">
        <f t="shared" si="280"/>
        <v>0</v>
      </c>
      <c r="R65" s="880">
        <f t="shared" si="281"/>
        <v>0</v>
      </c>
      <c r="S65" s="880">
        <f t="shared" si="282"/>
        <v>0</v>
      </c>
      <c r="T65" s="880">
        <f t="shared" si="283"/>
        <v>0</v>
      </c>
      <c r="U65" s="880">
        <f t="shared" si="284"/>
        <v>0</v>
      </c>
      <c r="V65" s="880">
        <f t="shared" si="285"/>
        <v>0</v>
      </c>
      <c r="W65" s="880">
        <f t="shared" si="286"/>
        <v>0</v>
      </c>
      <c r="X65" s="880">
        <f t="shared" si="287"/>
        <v>0</v>
      </c>
      <c r="Y65" s="880">
        <f t="shared" si="288"/>
        <v>0</v>
      </c>
      <c r="Z65" s="880">
        <f>31752000*0</f>
        <v>0</v>
      </c>
      <c r="AA65" s="880">
        <f t="shared" si="107"/>
        <v>0</v>
      </c>
      <c r="AB65" s="880">
        <f t="shared" si="289"/>
        <v>0</v>
      </c>
      <c r="AC65" s="880">
        <f t="shared" si="109"/>
        <v>0</v>
      </c>
      <c r="AD65" s="880">
        <f t="shared" si="290"/>
        <v>0</v>
      </c>
      <c r="AE65" s="880">
        <f t="shared" si="291"/>
        <v>0</v>
      </c>
      <c r="AF65" s="880">
        <f t="shared" si="292"/>
        <v>0</v>
      </c>
      <c r="AG65" s="880">
        <f t="shared" si="293"/>
        <v>0</v>
      </c>
      <c r="AH65" s="880">
        <f t="shared" si="294"/>
        <v>0</v>
      </c>
      <c r="AI65" s="880">
        <f t="shared" si="295"/>
        <v>0</v>
      </c>
      <c r="AJ65" s="880">
        <f t="shared" si="296"/>
        <v>0</v>
      </c>
      <c r="AK65" s="880"/>
      <c r="AL65" s="880"/>
      <c r="AM65" s="880"/>
      <c r="AN65" s="880"/>
      <c r="AO65" s="880"/>
      <c r="AP65" s="880"/>
      <c r="AQ65" s="880">
        <f t="shared" si="297"/>
        <v>0</v>
      </c>
      <c r="AR65" s="880">
        <f t="shared" si="298"/>
        <v>0</v>
      </c>
      <c r="AS65" s="880">
        <f t="shared" si="299"/>
        <v>0</v>
      </c>
      <c r="AT65" s="896"/>
      <c r="AU65" s="896"/>
      <c r="AV65" s="896"/>
      <c r="AW65" s="896"/>
      <c r="AX65" s="896"/>
      <c r="AY65" s="896"/>
      <c r="AZ65" s="896"/>
      <c r="BB65" s="881">
        <f t="shared" si="137"/>
        <v>0</v>
      </c>
      <c r="BD65" s="882"/>
      <c r="BE65" s="881"/>
      <c r="BF65" s="883"/>
      <c r="BG65" s="881"/>
    </row>
    <row r="66" spans="1:59" s="9" customFormat="1" ht="14.25" hidden="1" customHeight="1">
      <c r="A66" s="17">
        <f t="shared" si="312"/>
        <v>4</v>
      </c>
      <c r="B66" s="872" t="s">
        <v>362</v>
      </c>
      <c r="C66" s="876">
        <v>40544</v>
      </c>
      <c r="D66" s="877">
        <v>20</v>
      </c>
      <c r="E66" s="878">
        <f>42840000*0</f>
        <v>0</v>
      </c>
      <c r="F66" s="879">
        <f t="shared" si="271"/>
        <v>0</v>
      </c>
      <c r="G66" s="879">
        <f t="shared" si="272"/>
        <v>0</v>
      </c>
      <c r="H66" s="880">
        <f>((F66/12)*(13-IF(C66="","",MONTH(C66))))*4</f>
        <v>0</v>
      </c>
      <c r="I66" s="880">
        <f t="shared" si="273"/>
        <v>0</v>
      </c>
      <c r="J66" s="880">
        <f t="shared" si="274"/>
        <v>0</v>
      </c>
      <c r="K66" s="880">
        <f t="shared" si="275"/>
        <v>0</v>
      </c>
      <c r="L66" s="880">
        <f t="shared" si="276"/>
        <v>0</v>
      </c>
      <c r="M66" s="880">
        <f t="shared" si="277"/>
        <v>0</v>
      </c>
      <c r="N66" s="880">
        <f t="shared" si="278"/>
        <v>0</v>
      </c>
      <c r="O66" s="880">
        <f t="shared" si="279"/>
        <v>0</v>
      </c>
      <c r="P66" s="880">
        <f t="shared" si="221"/>
        <v>0</v>
      </c>
      <c r="Q66" s="880">
        <f t="shared" si="280"/>
        <v>0</v>
      </c>
      <c r="R66" s="880">
        <f t="shared" si="281"/>
        <v>0</v>
      </c>
      <c r="S66" s="880">
        <f t="shared" si="282"/>
        <v>0</v>
      </c>
      <c r="T66" s="880">
        <f t="shared" si="283"/>
        <v>0</v>
      </c>
      <c r="U66" s="880">
        <f t="shared" si="284"/>
        <v>0</v>
      </c>
      <c r="V66" s="880">
        <f t="shared" si="285"/>
        <v>0</v>
      </c>
      <c r="W66" s="880">
        <f t="shared" si="286"/>
        <v>0</v>
      </c>
      <c r="X66" s="880">
        <f t="shared" si="287"/>
        <v>0</v>
      </c>
      <c r="Y66" s="880">
        <f t="shared" si="288"/>
        <v>0</v>
      </c>
      <c r="Z66" s="880">
        <f>6426000*0</f>
        <v>0</v>
      </c>
      <c r="AA66" s="880">
        <f t="shared" si="107"/>
        <v>0</v>
      </c>
      <c r="AB66" s="880">
        <f t="shared" si="289"/>
        <v>0</v>
      </c>
      <c r="AC66" s="880">
        <f t="shared" si="109"/>
        <v>0</v>
      </c>
      <c r="AD66" s="880">
        <f t="shared" si="290"/>
        <v>0</v>
      </c>
      <c r="AE66" s="880">
        <f t="shared" si="291"/>
        <v>0</v>
      </c>
      <c r="AF66" s="880">
        <f t="shared" si="292"/>
        <v>0</v>
      </c>
      <c r="AG66" s="880">
        <f t="shared" si="293"/>
        <v>0</v>
      </c>
      <c r="AH66" s="880">
        <f t="shared" si="294"/>
        <v>0</v>
      </c>
      <c r="AI66" s="880">
        <f t="shared" si="295"/>
        <v>0</v>
      </c>
      <c r="AJ66" s="880">
        <f t="shared" si="296"/>
        <v>0</v>
      </c>
      <c r="AK66" s="880"/>
      <c r="AL66" s="880"/>
      <c r="AM66" s="880"/>
      <c r="AN66" s="880"/>
      <c r="AO66" s="880"/>
      <c r="AP66" s="880"/>
      <c r="AQ66" s="880">
        <f t="shared" si="297"/>
        <v>0</v>
      </c>
      <c r="AR66" s="880">
        <f t="shared" si="298"/>
        <v>0</v>
      </c>
      <c r="AS66" s="880">
        <f t="shared" si="299"/>
        <v>0</v>
      </c>
      <c r="AT66" s="896"/>
      <c r="AU66" s="896"/>
      <c r="AV66" s="896"/>
      <c r="AW66" s="896"/>
      <c r="AX66" s="896"/>
      <c r="AY66" s="896"/>
      <c r="AZ66" s="896"/>
      <c r="BB66" s="881">
        <f t="shared" si="137"/>
        <v>0</v>
      </c>
      <c r="BD66" s="882"/>
      <c r="BE66" s="881"/>
      <c r="BF66" s="883"/>
      <c r="BG66" s="881"/>
    </row>
    <row r="67" spans="1:59" ht="14.25" customHeight="1">
      <c r="A67" s="17">
        <f t="shared" si="312"/>
        <v>5</v>
      </c>
      <c r="B67" s="53" t="s">
        <v>358</v>
      </c>
      <c r="C67" s="238">
        <v>40544</v>
      </c>
      <c r="D67" s="55">
        <v>20</v>
      </c>
      <c r="E67" s="6">
        <v>33060000</v>
      </c>
      <c r="F67" s="1041">
        <f t="shared" si="271"/>
        <v>1653000</v>
      </c>
      <c r="G67" s="1041">
        <f t="shared" si="272"/>
        <v>33060000</v>
      </c>
      <c r="H67" s="1042"/>
      <c r="I67" s="1042">
        <f t="shared" si="273"/>
        <v>0</v>
      </c>
      <c r="J67" s="1042">
        <f t="shared" si="274"/>
        <v>33060000</v>
      </c>
      <c r="K67" s="1042"/>
      <c r="L67" s="1042">
        <f t="shared" si="276"/>
        <v>0</v>
      </c>
      <c r="M67" s="1042">
        <f t="shared" si="277"/>
        <v>33060000</v>
      </c>
      <c r="N67" s="1042">
        <f t="shared" si="278"/>
        <v>1653000</v>
      </c>
      <c r="O67" s="1042">
        <f t="shared" si="279"/>
        <v>1653000</v>
      </c>
      <c r="P67" s="1042">
        <f t="shared" si="221"/>
        <v>31407000</v>
      </c>
      <c r="Q67" s="1042">
        <f t="shared" si="280"/>
        <v>1653000</v>
      </c>
      <c r="R67" s="1042">
        <f t="shared" si="281"/>
        <v>3306000</v>
      </c>
      <c r="S67" s="1042">
        <f t="shared" si="282"/>
        <v>29754000</v>
      </c>
      <c r="T67" s="1042">
        <f t="shared" si="283"/>
        <v>1653000</v>
      </c>
      <c r="U67" s="1042">
        <f t="shared" si="284"/>
        <v>4959000</v>
      </c>
      <c r="V67" s="1042">
        <f t="shared" si="285"/>
        <v>28101000</v>
      </c>
      <c r="W67" s="1042">
        <f t="shared" si="286"/>
        <v>1653000</v>
      </c>
      <c r="X67" s="1042">
        <f t="shared" si="287"/>
        <v>6612000</v>
      </c>
      <c r="Y67" s="1042">
        <f t="shared" si="288"/>
        <v>26448000</v>
      </c>
      <c r="Z67" s="7">
        <v>4959000</v>
      </c>
      <c r="AA67" s="7">
        <f t="shared" si="107"/>
        <v>28101000</v>
      </c>
      <c r="AB67" s="1042">
        <f t="shared" si="289"/>
        <v>1653000</v>
      </c>
      <c r="AC67" s="1042">
        <f t="shared" ref="AC67" si="313">X67+AB67</f>
        <v>8265000</v>
      </c>
      <c r="AD67" s="1042">
        <f t="shared" si="290"/>
        <v>24795000</v>
      </c>
      <c r="AE67" s="1042">
        <f t="shared" si="291"/>
        <v>1653000</v>
      </c>
      <c r="AF67" s="1042">
        <f t="shared" si="292"/>
        <v>9918000</v>
      </c>
      <c r="AG67" s="1042">
        <f t="shared" si="293"/>
        <v>23142000</v>
      </c>
      <c r="AH67" s="1042">
        <f t="shared" si="294"/>
        <v>1653000</v>
      </c>
      <c r="AI67" s="1042">
        <f t="shared" si="295"/>
        <v>11571000</v>
      </c>
      <c r="AJ67" s="1042">
        <f t="shared" si="296"/>
        <v>21489000</v>
      </c>
      <c r="AK67" s="1042">
        <f t="shared" ref="AK67" si="314">(F67/12)*1</f>
        <v>137750</v>
      </c>
      <c r="AL67" s="1042">
        <f t="shared" ref="AL67" si="315">AI67+AK67</f>
        <v>11708750</v>
      </c>
      <c r="AM67" s="1042">
        <f t="shared" ref="AM67" si="316">E67-AL67</f>
        <v>21351250</v>
      </c>
      <c r="AN67" s="1042">
        <f>(F67/12)*9</f>
        <v>1239750</v>
      </c>
      <c r="AO67" s="1042">
        <f t="shared" ref="AO67" si="317">AI67+AN67</f>
        <v>12810750</v>
      </c>
      <c r="AP67" s="1042">
        <f t="shared" ref="AP67" si="318">E67-AO67</f>
        <v>20249250</v>
      </c>
      <c r="AQ67" s="1042">
        <f>(F67/12)*12</f>
        <v>1653000</v>
      </c>
      <c r="AR67" s="1042">
        <f t="shared" si="298"/>
        <v>13224000</v>
      </c>
      <c r="AS67" s="1042">
        <f t="shared" si="299"/>
        <v>19836000</v>
      </c>
      <c r="AT67" s="1042">
        <f t="shared" ref="AT67" si="319">(F67/12)*9</f>
        <v>1239750</v>
      </c>
      <c r="AU67" s="1042">
        <f t="shared" ref="AU67" si="320">AR67+AT67</f>
        <v>14463750</v>
      </c>
      <c r="AV67" s="1042">
        <f t="shared" ref="AV67" si="321">E67-AU67</f>
        <v>18596250</v>
      </c>
      <c r="AW67" s="1042">
        <f t="shared" ref="AW67" si="322">(F67/12)*12</f>
        <v>1653000</v>
      </c>
      <c r="AX67" s="1042">
        <f t="shared" ref="AX67" si="323">AR67+AW67</f>
        <v>14877000</v>
      </c>
      <c r="AY67" s="1042">
        <f t="shared" ref="AY67" si="324">E67-AX67</f>
        <v>18183000</v>
      </c>
      <c r="AZ67" s="1051"/>
      <c r="BB67" s="8">
        <f>E67-AX67-AY67</f>
        <v>0</v>
      </c>
      <c r="BD67" s="187"/>
      <c r="BE67" s="19"/>
      <c r="BF67" s="58"/>
      <c r="BG67" s="19"/>
    </row>
    <row r="68" spans="1:59" s="9" customFormat="1" ht="14.25" hidden="1" customHeight="1">
      <c r="A68" s="17">
        <f t="shared" si="312"/>
        <v>6</v>
      </c>
      <c r="B68" s="872" t="s">
        <v>363</v>
      </c>
      <c r="C68" s="876">
        <v>41640</v>
      </c>
      <c r="D68" s="877">
        <v>20</v>
      </c>
      <c r="E68" s="878">
        <f>64883000*0</f>
        <v>0</v>
      </c>
      <c r="F68" s="879">
        <f t="shared" si="271"/>
        <v>0</v>
      </c>
      <c r="G68" s="879">
        <f t="shared" si="272"/>
        <v>0</v>
      </c>
      <c r="H68" s="880">
        <f>((F68/12)*(13-IF(C68="","",MONTH(C68))))</f>
        <v>0</v>
      </c>
      <c r="I68" s="880">
        <f t="shared" si="273"/>
        <v>0</v>
      </c>
      <c r="J68" s="880">
        <f t="shared" si="274"/>
        <v>0</v>
      </c>
      <c r="K68" s="880">
        <f t="shared" si="275"/>
        <v>0</v>
      </c>
      <c r="L68" s="880">
        <f t="shared" si="276"/>
        <v>0</v>
      </c>
      <c r="M68" s="880">
        <f t="shared" si="277"/>
        <v>0</v>
      </c>
      <c r="N68" s="880">
        <f t="shared" si="278"/>
        <v>0</v>
      </c>
      <c r="O68" s="880">
        <f t="shared" si="279"/>
        <v>0</v>
      </c>
      <c r="P68" s="880">
        <f t="shared" si="221"/>
        <v>0</v>
      </c>
      <c r="Q68" s="880">
        <f t="shared" si="280"/>
        <v>0</v>
      </c>
      <c r="R68" s="880">
        <f t="shared" si="281"/>
        <v>0</v>
      </c>
      <c r="S68" s="880">
        <f t="shared" si="282"/>
        <v>0</v>
      </c>
      <c r="T68" s="880">
        <f t="shared" si="283"/>
        <v>0</v>
      </c>
      <c r="U68" s="880">
        <f t="shared" si="284"/>
        <v>0</v>
      </c>
      <c r="V68" s="880">
        <f t="shared" si="285"/>
        <v>0</v>
      </c>
      <c r="W68" s="880">
        <f t="shared" si="286"/>
        <v>0</v>
      </c>
      <c r="X68" s="880">
        <f t="shared" si="287"/>
        <v>0</v>
      </c>
      <c r="Y68" s="880">
        <f t="shared" si="288"/>
        <v>0</v>
      </c>
      <c r="Z68" s="880">
        <f>9732450*0</f>
        <v>0</v>
      </c>
      <c r="AA68" s="880">
        <f t="shared" si="107"/>
        <v>0</v>
      </c>
      <c r="AB68" s="880">
        <f t="shared" si="289"/>
        <v>0</v>
      </c>
      <c r="AC68" s="880">
        <f t="shared" si="109"/>
        <v>0</v>
      </c>
      <c r="AD68" s="880">
        <f t="shared" si="290"/>
        <v>0</v>
      </c>
      <c r="AE68" s="880">
        <f t="shared" si="291"/>
        <v>0</v>
      </c>
      <c r="AF68" s="880">
        <f t="shared" si="292"/>
        <v>0</v>
      </c>
      <c r="AG68" s="880">
        <f t="shared" si="293"/>
        <v>0</v>
      </c>
      <c r="AH68" s="880">
        <f t="shared" si="294"/>
        <v>0</v>
      </c>
      <c r="AI68" s="880">
        <f t="shared" si="295"/>
        <v>0</v>
      </c>
      <c r="AJ68" s="880">
        <f t="shared" si="296"/>
        <v>0</v>
      </c>
      <c r="AK68" s="880"/>
      <c r="AL68" s="880"/>
      <c r="AM68" s="880"/>
      <c r="AN68" s="880"/>
      <c r="AO68" s="880"/>
      <c r="AP68" s="880"/>
      <c r="AQ68" s="880">
        <f t="shared" si="297"/>
        <v>0</v>
      </c>
      <c r="AR68" s="880">
        <f t="shared" si="298"/>
        <v>0</v>
      </c>
      <c r="AS68" s="880">
        <f t="shared" si="299"/>
        <v>0</v>
      </c>
      <c r="AT68" s="896"/>
      <c r="AU68" s="896"/>
      <c r="AV68" s="896"/>
      <c r="AW68" s="896"/>
      <c r="AX68" s="896"/>
      <c r="AY68" s="896"/>
      <c r="AZ68" s="896"/>
      <c r="BB68" s="881">
        <f t="shared" si="137"/>
        <v>0</v>
      </c>
      <c r="BD68" s="882"/>
      <c r="BE68" s="881"/>
      <c r="BF68" s="883"/>
      <c r="BG68" s="881"/>
    </row>
    <row r="69" spans="1:59" ht="14.25" customHeight="1">
      <c r="A69" s="17">
        <f t="shared" si="312"/>
        <v>7</v>
      </c>
      <c r="B69" s="872" t="s">
        <v>1145</v>
      </c>
      <c r="C69" s="238">
        <v>42005</v>
      </c>
      <c r="D69" s="55">
        <v>20</v>
      </c>
      <c r="E69" s="6">
        <f>6732000+211680000+42840000+64883000</f>
        <v>326135000</v>
      </c>
      <c r="F69" s="1041">
        <f t="shared" si="271"/>
        <v>16306750</v>
      </c>
      <c r="G69" s="1041"/>
      <c r="H69" s="1042"/>
      <c r="I69" s="1042">
        <f t="shared" si="273"/>
        <v>0</v>
      </c>
      <c r="J69" s="1042">
        <f t="shared" si="274"/>
        <v>0</v>
      </c>
      <c r="K69" s="1044">
        <f t="shared" si="275"/>
        <v>16306750</v>
      </c>
      <c r="L69" s="1042">
        <f t="shared" si="276"/>
        <v>16306750</v>
      </c>
      <c r="M69" s="1042">
        <f t="shared" si="277"/>
        <v>309828250</v>
      </c>
      <c r="N69" s="1042">
        <f t="shared" si="278"/>
        <v>16306750</v>
      </c>
      <c r="O69" s="1042">
        <f t="shared" si="279"/>
        <v>32613500</v>
      </c>
      <c r="P69" s="1042">
        <f t="shared" si="221"/>
        <v>293521500</v>
      </c>
      <c r="Q69" s="1042">
        <f t="shared" si="280"/>
        <v>16306750</v>
      </c>
      <c r="R69" s="1042">
        <f t="shared" si="281"/>
        <v>48920250</v>
      </c>
      <c r="S69" s="1042">
        <f t="shared" si="282"/>
        <v>277214750</v>
      </c>
      <c r="T69" s="1042">
        <f t="shared" si="283"/>
        <v>16306750</v>
      </c>
      <c r="U69" s="1042">
        <f t="shared" si="284"/>
        <v>65227000</v>
      </c>
      <c r="V69" s="1042">
        <f t="shared" si="285"/>
        <v>260908000</v>
      </c>
      <c r="W69" s="1042">
        <f t="shared" si="286"/>
        <v>16306750</v>
      </c>
      <c r="X69" s="1042">
        <f t="shared" si="287"/>
        <v>81533750</v>
      </c>
      <c r="Y69" s="1042">
        <f t="shared" si="288"/>
        <v>244601250</v>
      </c>
      <c r="Z69" s="7">
        <f>1346400+31752000+6426000+9732450</f>
        <v>49256850</v>
      </c>
      <c r="AA69" s="7">
        <f t="shared" si="107"/>
        <v>276878150</v>
      </c>
      <c r="AB69" s="1042">
        <f t="shared" si="289"/>
        <v>16306750</v>
      </c>
      <c r="AC69" s="1042">
        <f t="shared" ref="AC69:AC70" si="325">X69+AB69</f>
        <v>97840500</v>
      </c>
      <c r="AD69" s="1042">
        <f t="shared" si="290"/>
        <v>228294500</v>
      </c>
      <c r="AE69" s="1042">
        <f t="shared" si="291"/>
        <v>16306750</v>
      </c>
      <c r="AF69" s="1042">
        <f t="shared" si="292"/>
        <v>114147250</v>
      </c>
      <c r="AG69" s="1042">
        <f t="shared" si="293"/>
        <v>211987750</v>
      </c>
      <c r="AH69" s="1042">
        <f t="shared" si="294"/>
        <v>16306750</v>
      </c>
      <c r="AI69" s="1042">
        <f t="shared" si="295"/>
        <v>130454000</v>
      </c>
      <c r="AJ69" s="1042">
        <f t="shared" si="296"/>
        <v>195681000</v>
      </c>
      <c r="AK69" s="1042">
        <f t="shared" ref="AK69:AK70" si="326">(F69/12)*1</f>
        <v>1358895.8333333333</v>
      </c>
      <c r="AL69" s="1042">
        <f t="shared" ref="AL69:AL70" si="327">AI69+AK69</f>
        <v>131812895.83333333</v>
      </c>
      <c r="AM69" s="1042">
        <f t="shared" ref="AM69:AM70" si="328">E69-AL69</f>
        <v>194322104.16666669</v>
      </c>
      <c r="AN69" s="1042">
        <f>(F69/12)*9</f>
        <v>12230062.5</v>
      </c>
      <c r="AO69" s="1042">
        <f t="shared" ref="AO69:AO70" si="329">AI69+AN69</f>
        <v>142684062.5</v>
      </c>
      <c r="AP69" s="1042">
        <f t="shared" ref="AP69:AP70" si="330">E69-AO69</f>
        <v>183450937.5</v>
      </c>
      <c r="AQ69" s="1042">
        <f>(F69/12)*12</f>
        <v>16306750</v>
      </c>
      <c r="AR69" s="1042">
        <f t="shared" si="298"/>
        <v>146760750</v>
      </c>
      <c r="AS69" s="1042">
        <f t="shared" si="299"/>
        <v>179374250</v>
      </c>
      <c r="AT69" s="1042">
        <f t="shared" ref="AT69:AT70" si="331">(F69/12)*9</f>
        <v>12230062.5</v>
      </c>
      <c r="AU69" s="1042">
        <f t="shared" ref="AU69:AU70" si="332">AR69+AT69</f>
        <v>158990812.5</v>
      </c>
      <c r="AV69" s="1042">
        <f t="shared" ref="AV69:AV70" si="333">E69-AU69</f>
        <v>167144187.5</v>
      </c>
      <c r="AW69" s="1042">
        <f t="shared" ref="AW69" si="334">(F69/12)*12</f>
        <v>16306750</v>
      </c>
      <c r="AX69" s="1042">
        <f t="shared" ref="AX69" si="335">AR69+AW69</f>
        <v>163067500</v>
      </c>
      <c r="AY69" s="1042">
        <f t="shared" ref="AY69" si="336">E69-AX69</f>
        <v>163067500</v>
      </c>
      <c r="AZ69" s="1051"/>
      <c r="BB69" s="8">
        <f t="shared" ref="BB69:BB71" si="337">E69-AX69-AY69</f>
        <v>0</v>
      </c>
      <c r="BD69" s="187"/>
      <c r="BE69" s="19"/>
      <c r="BF69" s="58"/>
      <c r="BG69" s="19"/>
    </row>
    <row r="70" spans="1:59" ht="14.25" customHeight="1">
      <c r="A70" s="17">
        <f t="shared" si="312"/>
        <v>8</v>
      </c>
      <c r="B70" s="948" t="s">
        <v>365</v>
      </c>
      <c r="C70" s="964">
        <v>43101</v>
      </c>
      <c r="D70" s="965">
        <v>10</v>
      </c>
      <c r="E70" s="1043">
        <v>9594000</v>
      </c>
      <c r="F70" s="1041">
        <f t="shared" si="271"/>
        <v>959400</v>
      </c>
      <c r="G70" s="1041"/>
      <c r="H70" s="1042"/>
      <c r="I70" s="1042">
        <f t="shared" si="273"/>
        <v>0</v>
      </c>
      <c r="J70" s="1042">
        <f t="shared" si="274"/>
        <v>0</v>
      </c>
      <c r="K70" s="1042"/>
      <c r="L70" s="1042">
        <f t="shared" si="276"/>
        <v>0</v>
      </c>
      <c r="M70" s="1042"/>
      <c r="N70" s="1042"/>
      <c r="O70" s="1042"/>
      <c r="P70" s="1042"/>
      <c r="Q70" s="1042"/>
      <c r="R70" s="1042"/>
      <c r="S70" s="1042"/>
      <c r="T70" s="1044">
        <f t="shared" si="283"/>
        <v>959400</v>
      </c>
      <c r="U70" s="1042">
        <f t="shared" si="284"/>
        <v>959400</v>
      </c>
      <c r="V70" s="1042">
        <f t="shared" si="285"/>
        <v>8634600</v>
      </c>
      <c r="W70" s="1042">
        <f t="shared" si="286"/>
        <v>959400</v>
      </c>
      <c r="X70" s="1042">
        <f t="shared" si="287"/>
        <v>1918800</v>
      </c>
      <c r="Y70" s="1042">
        <f t="shared" si="288"/>
        <v>7675200</v>
      </c>
      <c r="Z70" s="7">
        <v>279825</v>
      </c>
      <c r="AA70" s="7">
        <f t="shared" si="107"/>
        <v>9314175</v>
      </c>
      <c r="AB70" s="1042">
        <f t="shared" si="289"/>
        <v>959400</v>
      </c>
      <c r="AC70" s="1042">
        <f t="shared" si="325"/>
        <v>2878200</v>
      </c>
      <c r="AD70" s="1042">
        <f t="shared" si="290"/>
        <v>6715800</v>
      </c>
      <c r="AE70" s="1042">
        <f t="shared" si="291"/>
        <v>959400</v>
      </c>
      <c r="AF70" s="1042">
        <f t="shared" si="292"/>
        <v>3837600</v>
      </c>
      <c r="AG70" s="1042">
        <f t="shared" si="293"/>
        <v>5756400</v>
      </c>
      <c r="AH70" s="1042">
        <f t="shared" si="294"/>
        <v>959400</v>
      </c>
      <c r="AI70" s="1042">
        <f t="shared" si="295"/>
        <v>4797000</v>
      </c>
      <c r="AJ70" s="1042">
        <f t="shared" si="296"/>
        <v>4797000</v>
      </c>
      <c r="AK70" s="1042">
        <f t="shared" si="326"/>
        <v>79950</v>
      </c>
      <c r="AL70" s="1042">
        <f t="shared" si="327"/>
        <v>4876950</v>
      </c>
      <c r="AM70" s="1042">
        <f t="shared" si="328"/>
        <v>4717050</v>
      </c>
      <c r="AN70" s="1042">
        <f>(F70/12)*9</f>
        <v>719550</v>
      </c>
      <c r="AO70" s="1042">
        <f t="shared" si="329"/>
        <v>5516550</v>
      </c>
      <c r="AP70" s="1042">
        <f t="shared" si="330"/>
        <v>4077450</v>
      </c>
      <c r="AQ70" s="1042">
        <f>(F70/12)*12</f>
        <v>959400</v>
      </c>
      <c r="AR70" s="1042">
        <f t="shared" si="298"/>
        <v>5756400</v>
      </c>
      <c r="AS70" s="1042">
        <f t="shared" si="299"/>
        <v>3837600</v>
      </c>
      <c r="AT70" s="1042">
        <f t="shared" si="331"/>
        <v>719550</v>
      </c>
      <c r="AU70" s="1042">
        <f t="shared" si="332"/>
        <v>6475950</v>
      </c>
      <c r="AV70" s="1042">
        <f t="shared" si="333"/>
        <v>3118050</v>
      </c>
      <c r="AW70" s="1042">
        <f>(F70/12)*12</f>
        <v>959400</v>
      </c>
      <c r="AX70" s="1042">
        <f>AR70+AW70</f>
        <v>6715800</v>
      </c>
      <c r="AY70" s="1042">
        <f>E70-AX70</f>
        <v>2878200</v>
      </c>
      <c r="AZ70" s="1051"/>
      <c r="BB70" s="8">
        <f t="shared" si="337"/>
        <v>0</v>
      </c>
      <c r="BD70" s="187"/>
      <c r="BE70" s="19"/>
      <c r="BF70" s="58"/>
      <c r="BG70" s="19"/>
    </row>
    <row r="71" spans="1:59" s="220" customFormat="1" ht="14.25" customHeight="1">
      <c r="A71" s="190" t="s">
        <v>240</v>
      </c>
      <c r="B71" s="214" t="s">
        <v>366</v>
      </c>
      <c r="C71" s="215"/>
      <c r="D71" s="55"/>
      <c r="E71" s="217"/>
      <c r="F71" s="1045"/>
      <c r="G71" s="1045"/>
      <c r="H71" s="1046"/>
      <c r="I71" s="1046"/>
      <c r="J71" s="1046"/>
      <c r="K71" s="1046"/>
      <c r="L71" s="1046"/>
      <c r="M71" s="1046"/>
      <c r="N71" s="1046"/>
      <c r="O71" s="1046"/>
      <c r="P71" s="1046"/>
      <c r="Q71" s="1046"/>
      <c r="R71" s="1046"/>
      <c r="S71" s="1046"/>
      <c r="T71" s="1046"/>
      <c r="U71" s="1046"/>
      <c r="V71" s="1046"/>
      <c r="W71" s="1046"/>
      <c r="X71" s="1046"/>
      <c r="Y71" s="1046"/>
      <c r="Z71" s="219"/>
      <c r="AA71" s="219"/>
      <c r="AB71" s="1046"/>
      <c r="AC71" s="1046"/>
      <c r="AD71" s="1046"/>
      <c r="AE71" s="1046"/>
      <c r="AF71" s="1046"/>
      <c r="AG71" s="1046"/>
      <c r="AH71" s="1046"/>
      <c r="AI71" s="1046"/>
      <c r="AJ71" s="1046"/>
      <c r="AK71" s="1046"/>
      <c r="AL71" s="1046"/>
      <c r="AM71" s="1046"/>
      <c r="AN71" s="1042"/>
      <c r="AO71" s="1046"/>
      <c r="AP71" s="1046"/>
      <c r="AQ71" s="1046"/>
      <c r="AR71" s="1046"/>
      <c r="AS71" s="1046"/>
      <c r="AT71" s="1046"/>
      <c r="AU71" s="1046"/>
      <c r="AV71" s="1046"/>
      <c r="AW71" s="1046"/>
      <c r="AX71" s="1046"/>
      <c r="AY71" s="1046"/>
      <c r="AZ71" s="1189"/>
      <c r="BB71" s="8">
        <f t="shared" si="337"/>
        <v>0</v>
      </c>
      <c r="BD71" s="229"/>
      <c r="BE71" s="179"/>
      <c r="BF71" s="222"/>
      <c r="BG71" s="179"/>
    </row>
    <row r="72" spans="1:59" ht="14.25" hidden="1" customHeight="1">
      <c r="A72" s="17">
        <v>1</v>
      </c>
      <c r="B72" s="872" t="s">
        <v>367</v>
      </c>
      <c r="C72" s="876">
        <v>38353</v>
      </c>
      <c r="D72" s="877">
        <v>20</v>
      </c>
      <c r="E72" s="878">
        <f>206050000*0</f>
        <v>0</v>
      </c>
      <c r="F72" s="879">
        <f t="shared" ref="F72:F79" si="338">E72/D72</f>
        <v>0</v>
      </c>
      <c r="G72" s="879">
        <f>E72</f>
        <v>0</v>
      </c>
      <c r="H72" s="880">
        <f>((F72/12)*(13-IF(C72="","",MONTH(C72))))*10</f>
        <v>0</v>
      </c>
      <c r="I72" s="880">
        <f t="shared" ref="I72:I79" si="339">H72</f>
        <v>0</v>
      </c>
      <c r="J72" s="880">
        <f t="shared" ref="J72:J79" si="340">G72-I72</f>
        <v>0</v>
      </c>
      <c r="K72" s="880">
        <f>(F72/12)*12</f>
        <v>0</v>
      </c>
      <c r="L72" s="880">
        <f t="shared" ref="L72:L79" si="341">I72+K72</f>
        <v>0</v>
      </c>
      <c r="M72" s="880">
        <f t="shared" si="277"/>
        <v>0</v>
      </c>
      <c r="N72" s="880">
        <f t="shared" ref="N72:N77" si="342">(F72/12)*12</f>
        <v>0</v>
      </c>
      <c r="O72" s="880">
        <f t="shared" ref="O72:O77" si="343">N72+L72</f>
        <v>0</v>
      </c>
      <c r="P72" s="880">
        <f t="shared" ref="P72:P77" si="344">E72-O72</f>
        <v>0</v>
      </c>
      <c r="Q72" s="880">
        <f t="shared" si="280"/>
        <v>0</v>
      </c>
      <c r="R72" s="880">
        <f t="shared" ref="R72:R78" si="345">Q72+O72</f>
        <v>0</v>
      </c>
      <c r="S72" s="880">
        <f t="shared" ref="S72:S78" si="346">E72-R72</f>
        <v>0</v>
      </c>
      <c r="T72" s="880">
        <f t="shared" ref="T72:T79" si="347">(F72/12)*12</f>
        <v>0</v>
      </c>
      <c r="U72" s="880">
        <f t="shared" ref="U72:U79" si="348">R72+T72</f>
        <v>0</v>
      </c>
      <c r="V72" s="880">
        <f t="shared" ref="V72:V79" si="349">E72-U72</f>
        <v>0</v>
      </c>
      <c r="W72" s="880">
        <f t="shared" ref="W72:W79" si="350">(F72/12)*12</f>
        <v>0</v>
      </c>
      <c r="X72" s="880">
        <f t="shared" ref="X72:X79" si="351">U72+W72</f>
        <v>0</v>
      </c>
      <c r="Y72" s="880">
        <f t="shared" ref="Y72:Y79" si="352">E72-X72</f>
        <v>0</v>
      </c>
      <c r="Z72" s="880">
        <f>30907500*0</f>
        <v>0</v>
      </c>
      <c r="AA72" s="880">
        <f t="shared" si="107"/>
        <v>0</v>
      </c>
      <c r="AB72" s="880">
        <f t="shared" ref="AB72:AB79" si="353">(F72/12)*12</f>
        <v>0</v>
      </c>
      <c r="AC72" s="880">
        <f t="shared" si="109"/>
        <v>0</v>
      </c>
      <c r="AD72" s="880">
        <f t="shared" ref="AD72:AD79" si="354">E72-AC72</f>
        <v>0</v>
      </c>
      <c r="AE72" s="880">
        <f t="shared" ref="AE72:AE79" si="355">(F72/12)*12</f>
        <v>0</v>
      </c>
      <c r="AF72" s="880">
        <f t="shared" ref="AF72:AF79" si="356">AC72+AE72</f>
        <v>0</v>
      </c>
      <c r="AG72" s="880">
        <f t="shared" ref="AG72:AG79" si="357">E72-AF72</f>
        <v>0</v>
      </c>
      <c r="AH72" s="880">
        <f t="shared" ref="AH72:AH79" si="358">(F72/12)*12</f>
        <v>0</v>
      </c>
      <c r="AI72" s="880">
        <f t="shared" ref="AI72:AI79" si="359">AF72+AH72</f>
        <v>0</v>
      </c>
      <c r="AJ72" s="880">
        <f t="shared" ref="AJ72:AJ79" si="360">E72-AI72</f>
        <v>0</v>
      </c>
      <c r="AK72" s="880"/>
      <c r="AL72" s="880"/>
      <c r="AM72" s="880"/>
      <c r="AN72" s="880"/>
      <c r="AO72" s="880"/>
      <c r="AP72" s="880"/>
      <c r="AQ72" s="880">
        <f t="shared" ref="AQ72:AQ77" si="361">(F72/12)*7</f>
        <v>0</v>
      </c>
      <c r="AR72" s="880">
        <f t="shared" ref="AR72:AR79" si="362">AI72+AQ72</f>
        <v>0</v>
      </c>
      <c r="AS72" s="880">
        <f t="shared" ref="AS72:AS79" si="363">E72-AR72</f>
        <v>0</v>
      </c>
      <c r="AT72" s="896"/>
      <c r="AU72" s="896"/>
      <c r="AV72" s="896"/>
      <c r="AW72" s="896"/>
      <c r="AX72" s="896"/>
      <c r="AY72" s="896"/>
      <c r="AZ72" s="896"/>
      <c r="BA72" s="9"/>
      <c r="BB72" s="881">
        <f t="shared" ref="BB72:BB102" si="364">E72-AR72-AS72</f>
        <v>0</v>
      </c>
      <c r="BD72" s="57"/>
      <c r="BE72" s="19"/>
      <c r="BF72" s="58"/>
      <c r="BG72" s="19"/>
    </row>
    <row r="73" spans="1:59" ht="14.25" hidden="1" customHeight="1">
      <c r="A73" s="17">
        <f>A72+1</f>
        <v>2</v>
      </c>
      <c r="B73" s="875" t="s">
        <v>368</v>
      </c>
      <c r="C73" s="876">
        <v>38353</v>
      </c>
      <c r="D73" s="877">
        <v>20</v>
      </c>
      <c r="E73" s="878">
        <f>52640000*0</f>
        <v>0</v>
      </c>
      <c r="F73" s="879">
        <f t="shared" si="338"/>
        <v>0</v>
      </c>
      <c r="G73" s="879">
        <f>E73</f>
        <v>0</v>
      </c>
      <c r="H73" s="880">
        <f>((F73/12)*(13-IF(C73="","",MONTH(C73))))*10</f>
        <v>0</v>
      </c>
      <c r="I73" s="880">
        <f t="shared" si="339"/>
        <v>0</v>
      </c>
      <c r="J73" s="880">
        <f t="shared" si="340"/>
        <v>0</v>
      </c>
      <c r="K73" s="880">
        <f>(F73/12)*12</f>
        <v>0</v>
      </c>
      <c r="L73" s="880">
        <f t="shared" si="341"/>
        <v>0</v>
      </c>
      <c r="M73" s="880">
        <f t="shared" si="277"/>
        <v>0</v>
      </c>
      <c r="N73" s="880">
        <f t="shared" si="342"/>
        <v>0</v>
      </c>
      <c r="O73" s="880">
        <f t="shared" si="343"/>
        <v>0</v>
      </c>
      <c r="P73" s="880">
        <f t="shared" si="344"/>
        <v>0</v>
      </c>
      <c r="Q73" s="880">
        <f t="shared" si="280"/>
        <v>0</v>
      </c>
      <c r="R73" s="880">
        <f t="shared" si="345"/>
        <v>0</v>
      </c>
      <c r="S73" s="880">
        <f t="shared" si="346"/>
        <v>0</v>
      </c>
      <c r="T73" s="880">
        <f t="shared" si="347"/>
        <v>0</v>
      </c>
      <c r="U73" s="880">
        <f t="shared" si="348"/>
        <v>0</v>
      </c>
      <c r="V73" s="880">
        <f t="shared" si="349"/>
        <v>0</v>
      </c>
      <c r="W73" s="880">
        <f t="shared" si="350"/>
        <v>0</v>
      </c>
      <c r="X73" s="880">
        <f t="shared" si="351"/>
        <v>0</v>
      </c>
      <c r="Y73" s="880">
        <f t="shared" si="352"/>
        <v>0</v>
      </c>
      <c r="Z73" s="880">
        <f>7896000*0</f>
        <v>0</v>
      </c>
      <c r="AA73" s="880">
        <f t="shared" si="107"/>
        <v>0</v>
      </c>
      <c r="AB73" s="880">
        <f t="shared" si="353"/>
        <v>0</v>
      </c>
      <c r="AC73" s="880">
        <f t="shared" si="109"/>
        <v>0</v>
      </c>
      <c r="AD73" s="880">
        <f t="shared" si="354"/>
        <v>0</v>
      </c>
      <c r="AE73" s="880">
        <f t="shared" si="355"/>
        <v>0</v>
      </c>
      <c r="AF73" s="880">
        <f t="shared" si="356"/>
        <v>0</v>
      </c>
      <c r="AG73" s="880">
        <f t="shared" si="357"/>
        <v>0</v>
      </c>
      <c r="AH73" s="880">
        <f t="shared" si="358"/>
        <v>0</v>
      </c>
      <c r="AI73" s="880">
        <f t="shared" si="359"/>
        <v>0</v>
      </c>
      <c r="AJ73" s="880">
        <f t="shared" si="360"/>
        <v>0</v>
      </c>
      <c r="AK73" s="880"/>
      <c r="AL73" s="880"/>
      <c r="AM73" s="880"/>
      <c r="AN73" s="880"/>
      <c r="AO73" s="880"/>
      <c r="AP73" s="880"/>
      <c r="AQ73" s="880">
        <f t="shared" si="361"/>
        <v>0</v>
      </c>
      <c r="AR73" s="880">
        <f t="shared" si="362"/>
        <v>0</v>
      </c>
      <c r="AS73" s="880">
        <f t="shared" si="363"/>
        <v>0</v>
      </c>
      <c r="AT73" s="896"/>
      <c r="AU73" s="896"/>
      <c r="AV73" s="896"/>
      <c r="AW73" s="896"/>
      <c r="AX73" s="896"/>
      <c r="AY73" s="896"/>
      <c r="AZ73" s="896"/>
      <c r="BA73" s="9"/>
      <c r="BB73" s="881">
        <f t="shared" si="364"/>
        <v>0</v>
      </c>
      <c r="BD73" s="57"/>
      <c r="BE73" s="19"/>
      <c r="BF73" s="58"/>
      <c r="BG73" s="19"/>
    </row>
    <row r="74" spans="1:59" ht="14.25" customHeight="1">
      <c r="A74" s="17">
        <f t="shared" ref="A74:A79" si="365">A73+1</f>
        <v>3</v>
      </c>
      <c r="B74" s="53" t="s">
        <v>369</v>
      </c>
      <c r="C74" s="238">
        <v>38353</v>
      </c>
      <c r="D74" s="55">
        <v>20</v>
      </c>
      <c r="E74" s="6">
        <v>92740000</v>
      </c>
      <c r="F74" s="1041">
        <f t="shared" si="338"/>
        <v>4637000</v>
      </c>
      <c r="G74" s="1041">
        <f>E74</f>
        <v>92740000</v>
      </c>
      <c r="H74" s="1042"/>
      <c r="I74" s="1042">
        <f t="shared" si="339"/>
        <v>0</v>
      </c>
      <c r="J74" s="1042">
        <f t="shared" si="340"/>
        <v>92740000</v>
      </c>
      <c r="K74" s="1042"/>
      <c r="L74" s="1042">
        <f t="shared" si="341"/>
        <v>0</v>
      </c>
      <c r="M74" s="1042">
        <f t="shared" si="277"/>
        <v>92740000</v>
      </c>
      <c r="N74" s="1042">
        <f t="shared" si="342"/>
        <v>4637000</v>
      </c>
      <c r="O74" s="1042">
        <f t="shared" si="343"/>
        <v>4637000</v>
      </c>
      <c r="P74" s="1042">
        <f t="shared" si="344"/>
        <v>88103000</v>
      </c>
      <c r="Q74" s="1042">
        <f t="shared" si="280"/>
        <v>4637000</v>
      </c>
      <c r="R74" s="1042">
        <f t="shared" si="345"/>
        <v>9274000</v>
      </c>
      <c r="S74" s="1042">
        <f t="shared" si="346"/>
        <v>83466000</v>
      </c>
      <c r="T74" s="1042">
        <f t="shared" si="347"/>
        <v>4637000</v>
      </c>
      <c r="U74" s="1042">
        <f t="shared" si="348"/>
        <v>13911000</v>
      </c>
      <c r="V74" s="1042">
        <f t="shared" si="349"/>
        <v>78829000</v>
      </c>
      <c r="W74" s="1042">
        <f t="shared" si="350"/>
        <v>4637000</v>
      </c>
      <c r="X74" s="1042">
        <f t="shared" si="351"/>
        <v>18548000</v>
      </c>
      <c r="Y74" s="1042">
        <f t="shared" si="352"/>
        <v>74192000</v>
      </c>
      <c r="Z74" s="7">
        <v>13911000</v>
      </c>
      <c r="AA74" s="7">
        <f t="shared" si="107"/>
        <v>78829000</v>
      </c>
      <c r="AB74" s="1042">
        <f t="shared" si="353"/>
        <v>4637000</v>
      </c>
      <c r="AC74" s="1042">
        <f t="shared" ref="AC74" si="366">X74+AB74</f>
        <v>23185000</v>
      </c>
      <c r="AD74" s="1042">
        <f t="shared" si="354"/>
        <v>69555000</v>
      </c>
      <c r="AE74" s="1042">
        <f t="shared" si="355"/>
        <v>4637000</v>
      </c>
      <c r="AF74" s="1042">
        <f t="shared" si="356"/>
        <v>27822000</v>
      </c>
      <c r="AG74" s="1042">
        <f t="shared" si="357"/>
        <v>64918000</v>
      </c>
      <c r="AH74" s="1042">
        <f t="shared" si="358"/>
        <v>4637000</v>
      </c>
      <c r="AI74" s="1042">
        <f t="shared" si="359"/>
        <v>32459000</v>
      </c>
      <c r="AJ74" s="1042">
        <f t="shared" si="360"/>
        <v>60281000</v>
      </c>
      <c r="AK74" s="1042">
        <f t="shared" ref="AK74" si="367">(F74/12)*1</f>
        <v>386416.66666666669</v>
      </c>
      <c r="AL74" s="1042">
        <f t="shared" ref="AL74" si="368">AI74+AK74</f>
        <v>32845416.666666668</v>
      </c>
      <c r="AM74" s="1042">
        <f t="shared" ref="AM74" si="369">E74-AL74</f>
        <v>59894583.333333328</v>
      </c>
      <c r="AN74" s="1042">
        <f>(F74/12)*9</f>
        <v>3477750</v>
      </c>
      <c r="AO74" s="1042">
        <f t="shared" ref="AO74" si="370">AI74+AN74</f>
        <v>35936750</v>
      </c>
      <c r="AP74" s="1042">
        <f t="shared" ref="AP74" si="371">E74-AO74</f>
        <v>56803250</v>
      </c>
      <c r="AQ74" s="1042">
        <f>(F74/12)*12</f>
        <v>4637000</v>
      </c>
      <c r="AR74" s="1042">
        <f t="shared" si="362"/>
        <v>37096000</v>
      </c>
      <c r="AS74" s="1042">
        <f t="shared" si="363"/>
        <v>55644000</v>
      </c>
      <c r="AT74" s="1042">
        <f t="shared" ref="AT74" si="372">(F74/12)*9</f>
        <v>3477750</v>
      </c>
      <c r="AU74" s="1042">
        <f t="shared" ref="AU74" si="373">AR74+AT74</f>
        <v>40573750</v>
      </c>
      <c r="AV74" s="1042">
        <f t="shared" ref="AV74" si="374">E74-AU74</f>
        <v>52166250</v>
      </c>
      <c r="AW74" s="1042">
        <f>(F74/12)*12</f>
        <v>4637000</v>
      </c>
      <c r="AX74" s="1042">
        <f>AR74+AW74</f>
        <v>41733000</v>
      </c>
      <c r="AY74" s="1042">
        <f>E74-AX74</f>
        <v>51007000</v>
      </c>
      <c r="AZ74" s="1051"/>
      <c r="BB74" s="8">
        <f>E74-AX74-AY74</f>
        <v>0</v>
      </c>
      <c r="BD74" s="187"/>
      <c r="BE74" s="19"/>
      <c r="BF74" s="58"/>
      <c r="BG74" s="19"/>
    </row>
    <row r="75" spans="1:59" ht="14.25" hidden="1" customHeight="1">
      <c r="A75" s="17">
        <f t="shared" si="365"/>
        <v>4</v>
      </c>
      <c r="B75" s="913" t="s">
        <v>370</v>
      </c>
      <c r="C75" s="876">
        <v>40544</v>
      </c>
      <c r="D75" s="877">
        <v>20</v>
      </c>
      <c r="E75" s="878">
        <f>7560000*0</f>
        <v>0</v>
      </c>
      <c r="F75" s="879">
        <f t="shared" si="338"/>
        <v>0</v>
      </c>
      <c r="G75" s="879">
        <f>E75</f>
        <v>0</v>
      </c>
      <c r="H75" s="880">
        <f>((F75/12)*(13-IF(C75="","",MONTH(C75))))*4</f>
        <v>0</v>
      </c>
      <c r="I75" s="880">
        <f t="shared" si="339"/>
        <v>0</v>
      </c>
      <c r="J75" s="880">
        <f t="shared" si="340"/>
        <v>0</v>
      </c>
      <c r="K75" s="880">
        <f>(F75/12)*12</f>
        <v>0</v>
      </c>
      <c r="L75" s="880">
        <f t="shared" si="341"/>
        <v>0</v>
      </c>
      <c r="M75" s="880">
        <f t="shared" si="277"/>
        <v>0</v>
      </c>
      <c r="N75" s="880">
        <f t="shared" si="342"/>
        <v>0</v>
      </c>
      <c r="O75" s="880">
        <f t="shared" si="343"/>
        <v>0</v>
      </c>
      <c r="P75" s="880">
        <f t="shared" si="344"/>
        <v>0</v>
      </c>
      <c r="Q75" s="880">
        <f t="shared" si="280"/>
        <v>0</v>
      </c>
      <c r="R75" s="880">
        <f t="shared" si="345"/>
        <v>0</v>
      </c>
      <c r="S75" s="880">
        <f t="shared" si="346"/>
        <v>0</v>
      </c>
      <c r="T75" s="880">
        <f t="shared" si="347"/>
        <v>0</v>
      </c>
      <c r="U75" s="880">
        <f t="shared" si="348"/>
        <v>0</v>
      </c>
      <c r="V75" s="880">
        <f t="shared" si="349"/>
        <v>0</v>
      </c>
      <c r="W75" s="880">
        <f t="shared" si="350"/>
        <v>0</v>
      </c>
      <c r="X75" s="880">
        <f t="shared" si="351"/>
        <v>0</v>
      </c>
      <c r="Y75" s="880">
        <f t="shared" si="352"/>
        <v>0</v>
      </c>
      <c r="Z75" s="880">
        <f>1134000*0</f>
        <v>0</v>
      </c>
      <c r="AA75" s="880">
        <f t="shared" si="107"/>
        <v>0</v>
      </c>
      <c r="AB75" s="880">
        <f t="shared" si="353"/>
        <v>0</v>
      </c>
      <c r="AC75" s="880">
        <f t="shared" si="109"/>
        <v>0</v>
      </c>
      <c r="AD75" s="880">
        <f t="shared" si="354"/>
        <v>0</v>
      </c>
      <c r="AE75" s="880">
        <f t="shared" si="355"/>
        <v>0</v>
      </c>
      <c r="AF75" s="880">
        <f t="shared" si="356"/>
        <v>0</v>
      </c>
      <c r="AG75" s="880">
        <f t="shared" si="357"/>
        <v>0</v>
      </c>
      <c r="AH75" s="880">
        <f t="shared" si="358"/>
        <v>0</v>
      </c>
      <c r="AI75" s="880">
        <f t="shared" si="359"/>
        <v>0</v>
      </c>
      <c r="AJ75" s="880">
        <f t="shared" si="360"/>
        <v>0</v>
      </c>
      <c r="AK75" s="880"/>
      <c r="AL75" s="880"/>
      <c r="AM75" s="880"/>
      <c r="AN75" s="880"/>
      <c r="AO75" s="880"/>
      <c r="AP75" s="880"/>
      <c r="AQ75" s="880">
        <f t="shared" si="361"/>
        <v>0</v>
      </c>
      <c r="AR75" s="880">
        <f t="shared" si="362"/>
        <v>0</v>
      </c>
      <c r="AS75" s="880">
        <f t="shared" si="363"/>
        <v>0</v>
      </c>
      <c r="AT75" s="896"/>
      <c r="AU75" s="896"/>
      <c r="AV75" s="896"/>
      <c r="AW75" s="896"/>
      <c r="AX75" s="896"/>
      <c r="AY75" s="896"/>
      <c r="AZ75" s="896"/>
      <c r="BA75" s="9"/>
      <c r="BB75" s="881">
        <f t="shared" si="364"/>
        <v>0</v>
      </c>
      <c r="BD75" s="57"/>
      <c r="BE75" s="19"/>
      <c r="BF75" s="58"/>
      <c r="BG75" s="19"/>
    </row>
    <row r="76" spans="1:59" ht="14.25" customHeight="1">
      <c r="A76" s="17">
        <f t="shared" si="365"/>
        <v>5</v>
      </c>
      <c r="B76" s="53" t="s">
        <v>350</v>
      </c>
      <c r="C76" s="238">
        <v>40544</v>
      </c>
      <c r="D76" s="55">
        <v>20</v>
      </c>
      <c r="E76" s="6">
        <v>17830000</v>
      </c>
      <c r="F76" s="1041">
        <f t="shared" si="338"/>
        <v>891500</v>
      </c>
      <c r="G76" s="1041">
        <f>E76</f>
        <v>17830000</v>
      </c>
      <c r="H76" s="1042"/>
      <c r="I76" s="1042">
        <f t="shared" si="339"/>
        <v>0</v>
      </c>
      <c r="J76" s="1042">
        <f t="shared" si="340"/>
        <v>17830000</v>
      </c>
      <c r="K76" s="1042"/>
      <c r="L76" s="1042">
        <f t="shared" si="341"/>
        <v>0</v>
      </c>
      <c r="M76" s="1042">
        <f t="shared" si="277"/>
        <v>17830000</v>
      </c>
      <c r="N76" s="1042">
        <f t="shared" si="342"/>
        <v>891500</v>
      </c>
      <c r="O76" s="1042">
        <f t="shared" si="343"/>
        <v>891500</v>
      </c>
      <c r="P76" s="1042">
        <f t="shared" si="344"/>
        <v>16938500</v>
      </c>
      <c r="Q76" s="1042">
        <f t="shared" si="280"/>
        <v>891500</v>
      </c>
      <c r="R76" s="1042">
        <f t="shared" si="345"/>
        <v>1783000</v>
      </c>
      <c r="S76" s="1042">
        <f t="shared" si="346"/>
        <v>16047000</v>
      </c>
      <c r="T76" s="1042">
        <f t="shared" si="347"/>
        <v>891500</v>
      </c>
      <c r="U76" s="1042">
        <f t="shared" si="348"/>
        <v>2674500</v>
      </c>
      <c r="V76" s="1042">
        <f t="shared" si="349"/>
        <v>15155500</v>
      </c>
      <c r="W76" s="1042">
        <f t="shared" si="350"/>
        <v>891500</v>
      </c>
      <c r="X76" s="1042">
        <f t="shared" si="351"/>
        <v>3566000</v>
      </c>
      <c r="Y76" s="1042">
        <f t="shared" si="352"/>
        <v>14264000</v>
      </c>
      <c r="Z76" s="7">
        <v>2674500</v>
      </c>
      <c r="AA76" s="7">
        <f t="shared" si="107"/>
        <v>15155500</v>
      </c>
      <c r="AB76" s="1042">
        <f t="shared" si="353"/>
        <v>891500</v>
      </c>
      <c r="AC76" s="1042">
        <f t="shared" ref="AC76" si="375">X76+AB76</f>
        <v>4457500</v>
      </c>
      <c r="AD76" s="1042">
        <f t="shared" si="354"/>
        <v>13372500</v>
      </c>
      <c r="AE76" s="1042">
        <f t="shared" si="355"/>
        <v>891500</v>
      </c>
      <c r="AF76" s="1042">
        <f t="shared" si="356"/>
        <v>5349000</v>
      </c>
      <c r="AG76" s="1042">
        <f t="shared" si="357"/>
        <v>12481000</v>
      </c>
      <c r="AH76" s="1042">
        <f t="shared" si="358"/>
        <v>891500</v>
      </c>
      <c r="AI76" s="1042">
        <f t="shared" si="359"/>
        <v>6240500</v>
      </c>
      <c r="AJ76" s="1042">
        <f t="shared" si="360"/>
        <v>11589500</v>
      </c>
      <c r="AK76" s="1042">
        <f t="shared" ref="AK76" si="376">(F76/12)*1</f>
        <v>74291.666666666672</v>
      </c>
      <c r="AL76" s="1042">
        <f t="shared" ref="AL76" si="377">AI76+AK76</f>
        <v>6314791.666666667</v>
      </c>
      <c r="AM76" s="1042">
        <f t="shared" ref="AM76" si="378">E76-AL76</f>
        <v>11515208.333333332</v>
      </c>
      <c r="AN76" s="1042">
        <f>(F76/12)*9</f>
        <v>668625</v>
      </c>
      <c r="AO76" s="1042">
        <f t="shared" ref="AO76" si="379">AI76+AN76</f>
        <v>6909125</v>
      </c>
      <c r="AP76" s="1042">
        <f t="shared" ref="AP76" si="380">E76-AO76</f>
        <v>10920875</v>
      </c>
      <c r="AQ76" s="1042">
        <f>(F76/12)*12</f>
        <v>891500</v>
      </c>
      <c r="AR76" s="1042">
        <f t="shared" si="362"/>
        <v>7132000</v>
      </c>
      <c r="AS76" s="1042">
        <f t="shared" si="363"/>
        <v>10698000</v>
      </c>
      <c r="AT76" s="1042">
        <f t="shared" ref="AT76" si="381">(F76/12)*9</f>
        <v>668625</v>
      </c>
      <c r="AU76" s="1042">
        <f t="shared" ref="AU76" si="382">AR76+AT76</f>
        <v>7800625</v>
      </c>
      <c r="AV76" s="1042">
        <f t="shared" ref="AV76" si="383">E76-AU76</f>
        <v>10029375</v>
      </c>
      <c r="AW76" s="1042">
        <f>(F76/12)*12</f>
        <v>891500</v>
      </c>
      <c r="AX76" s="1042">
        <f>AR76+AW76</f>
        <v>8023500</v>
      </c>
      <c r="AY76" s="1042">
        <f>E76-AX76</f>
        <v>9806500</v>
      </c>
      <c r="AZ76" s="1051"/>
      <c r="BB76" s="8">
        <f>E76-AX76-AY76</f>
        <v>0</v>
      </c>
      <c r="BD76" s="187"/>
      <c r="BE76" s="19"/>
      <c r="BF76" s="58"/>
      <c r="BG76" s="19"/>
    </row>
    <row r="77" spans="1:59" ht="14.25" hidden="1" customHeight="1">
      <c r="A77" s="17">
        <f t="shared" si="365"/>
        <v>6</v>
      </c>
      <c r="B77" s="872" t="s">
        <v>371</v>
      </c>
      <c r="C77" s="876">
        <v>42370</v>
      </c>
      <c r="D77" s="877">
        <v>20</v>
      </c>
      <c r="E77" s="878">
        <f>142724293*0</f>
        <v>0</v>
      </c>
      <c r="F77" s="879">
        <f t="shared" si="338"/>
        <v>0</v>
      </c>
      <c r="G77" s="879"/>
      <c r="H77" s="880"/>
      <c r="I77" s="880">
        <f t="shared" si="339"/>
        <v>0</v>
      </c>
      <c r="J77" s="880">
        <f t="shared" si="340"/>
        <v>0</v>
      </c>
      <c r="K77" s="880"/>
      <c r="L77" s="880">
        <f t="shared" si="341"/>
        <v>0</v>
      </c>
      <c r="M77" s="880"/>
      <c r="N77" s="880">
        <f t="shared" si="342"/>
        <v>0</v>
      </c>
      <c r="O77" s="880">
        <f t="shared" si="343"/>
        <v>0</v>
      </c>
      <c r="P77" s="880">
        <f t="shared" si="344"/>
        <v>0</v>
      </c>
      <c r="Q77" s="880">
        <f t="shared" si="280"/>
        <v>0</v>
      </c>
      <c r="R77" s="880">
        <f t="shared" si="345"/>
        <v>0</v>
      </c>
      <c r="S77" s="880">
        <f t="shared" si="346"/>
        <v>0</v>
      </c>
      <c r="T77" s="880">
        <f t="shared" si="347"/>
        <v>0</v>
      </c>
      <c r="U77" s="880">
        <f t="shared" si="348"/>
        <v>0</v>
      </c>
      <c r="V77" s="880">
        <f t="shared" si="349"/>
        <v>0</v>
      </c>
      <c r="W77" s="880">
        <f t="shared" si="350"/>
        <v>0</v>
      </c>
      <c r="X77" s="880">
        <f t="shared" si="351"/>
        <v>0</v>
      </c>
      <c r="Y77" s="880">
        <f t="shared" si="352"/>
        <v>0</v>
      </c>
      <c r="Z77" s="880">
        <f>15461798.4083333*0</f>
        <v>0</v>
      </c>
      <c r="AA77" s="880">
        <f t="shared" si="107"/>
        <v>0</v>
      </c>
      <c r="AB77" s="880">
        <f t="shared" si="353"/>
        <v>0</v>
      </c>
      <c r="AC77" s="880">
        <f t="shared" si="109"/>
        <v>0</v>
      </c>
      <c r="AD77" s="880">
        <f t="shared" si="354"/>
        <v>0</v>
      </c>
      <c r="AE77" s="880">
        <f t="shared" si="355"/>
        <v>0</v>
      </c>
      <c r="AF77" s="880">
        <f t="shared" si="356"/>
        <v>0</v>
      </c>
      <c r="AG77" s="880">
        <f t="shared" si="357"/>
        <v>0</v>
      </c>
      <c r="AH77" s="880">
        <f t="shared" si="358"/>
        <v>0</v>
      </c>
      <c r="AI77" s="880">
        <f t="shared" si="359"/>
        <v>0</v>
      </c>
      <c r="AJ77" s="880">
        <f t="shared" si="360"/>
        <v>0</v>
      </c>
      <c r="AK77" s="880"/>
      <c r="AL77" s="880"/>
      <c r="AM77" s="880"/>
      <c r="AN77" s="880"/>
      <c r="AO77" s="880"/>
      <c r="AP77" s="880"/>
      <c r="AQ77" s="880">
        <f t="shared" si="361"/>
        <v>0</v>
      </c>
      <c r="AR77" s="880">
        <f t="shared" si="362"/>
        <v>0</v>
      </c>
      <c r="AS77" s="880">
        <f t="shared" si="363"/>
        <v>0</v>
      </c>
      <c r="AT77" s="896"/>
      <c r="AU77" s="896"/>
      <c r="AV77" s="896"/>
      <c r="AW77" s="896"/>
      <c r="AX77" s="896"/>
      <c r="AY77" s="896"/>
      <c r="AZ77" s="896"/>
      <c r="BA77" s="9"/>
      <c r="BB77" s="881">
        <f t="shared" si="364"/>
        <v>0</v>
      </c>
      <c r="BD77" s="57"/>
      <c r="BE77" s="19"/>
      <c r="BF77" s="58"/>
      <c r="BG77" s="19"/>
    </row>
    <row r="78" spans="1:59" ht="14.25" customHeight="1">
      <c r="A78" s="17">
        <f t="shared" si="365"/>
        <v>7</v>
      </c>
      <c r="B78" s="872" t="s">
        <v>372</v>
      </c>
      <c r="C78" s="238">
        <v>42736</v>
      </c>
      <c r="D78" s="55">
        <v>20</v>
      </c>
      <c r="E78" s="6">
        <f>590516824.16+206050000+142724293</f>
        <v>939291117.15999997</v>
      </c>
      <c r="F78" s="1041">
        <f t="shared" si="338"/>
        <v>46964555.857999995</v>
      </c>
      <c r="G78" s="1041"/>
      <c r="H78" s="1042"/>
      <c r="I78" s="1042">
        <f t="shared" si="339"/>
        <v>0</v>
      </c>
      <c r="J78" s="1042">
        <f t="shared" si="340"/>
        <v>0</v>
      </c>
      <c r="K78" s="1042"/>
      <c r="L78" s="1042">
        <f t="shared" si="341"/>
        <v>0</v>
      </c>
      <c r="M78" s="1042"/>
      <c r="N78" s="1042"/>
      <c r="O78" s="1042"/>
      <c r="P78" s="1042"/>
      <c r="Q78" s="1044">
        <f t="shared" si="280"/>
        <v>46964555.857999995</v>
      </c>
      <c r="R78" s="1042">
        <f t="shared" si="345"/>
        <v>46964555.857999995</v>
      </c>
      <c r="S78" s="1042">
        <f t="shared" si="346"/>
        <v>892326561.30199993</v>
      </c>
      <c r="T78" s="1042">
        <f t="shared" si="347"/>
        <v>46964555.857999995</v>
      </c>
      <c r="U78" s="1042">
        <f t="shared" si="348"/>
        <v>93929111.715999991</v>
      </c>
      <c r="V78" s="1042">
        <f t="shared" si="349"/>
        <v>845362005.44400001</v>
      </c>
      <c r="W78" s="1042">
        <f t="shared" si="350"/>
        <v>46964555.857999995</v>
      </c>
      <c r="X78" s="1042">
        <f t="shared" si="351"/>
        <v>140893667.574</v>
      </c>
      <c r="Y78" s="1042">
        <f t="shared" si="352"/>
        <v>798397449.58599997</v>
      </c>
      <c r="Z78" s="7">
        <f>51670227.142+30907500+15461798</f>
        <v>98039525.14199999</v>
      </c>
      <c r="AA78" s="7">
        <f t="shared" si="107"/>
        <v>841251592.01800001</v>
      </c>
      <c r="AB78" s="1042">
        <f t="shared" si="353"/>
        <v>46964555.857999995</v>
      </c>
      <c r="AC78" s="1042">
        <f t="shared" ref="AC78:AC79" si="384">X78+AB78</f>
        <v>187858223.43199998</v>
      </c>
      <c r="AD78" s="1042">
        <f t="shared" si="354"/>
        <v>751432893.72799993</v>
      </c>
      <c r="AE78" s="1042">
        <f t="shared" si="355"/>
        <v>46964555.857999995</v>
      </c>
      <c r="AF78" s="1042">
        <f t="shared" si="356"/>
        <v>234822779.28999996</v>
      </c>
      <c r="AG78" s="1042">
        <f t="shared" si="357"/>
        <v>704468337.87</v>
      </c>
      <c r="AH78" s="1042">
        <f t="shared" si="358"/>
        <v>46964555.857999995</v>
      </c>
      <c r="AI78" s="1042">
        <f t="shared" si="359"/>
        <v>281787335.14799994</v>
      </c>
      <c r="AJ78" s="1042">
        <f t="shared" si="360"/>
        <v>657503782.01200008</v>
      </c>
      <c r="AK78" s="1042">
        <f t="shared" ref="AK78:AK79" si="385">(F78/12)*1</f>
        <v>3913712.9881666661</v>
      </c>
      <c r="AL78" s="1042">
        <f t="shared" ref="AL78:AL79" si="386">AI78+AK78</f>
        <v>285701048.13616663</v>
      </c>
      <c r="AM78" s="1042">
        <f t="shared" ref="AM78:AM79" si="387">E78-AL78</f>
        <v>653590069.02383327</v>
      </c>
      <c r="AN78" s="1042">
        <f>(F78/12)*9</f>
        <v>35223416.893499993</v>
      </c>
      <c r="AO78" s="1042">
        <f t="shared" ref="AO78:AO79" si="388">AI78+AN78</f>
        <v>317010752.04149991</v>
      </c>
      <c r="AP78" s="1042">
        <f t="shared" ref="AP78:AP79" si="389">E78-AO78</f>
        <v>622280365.11849999</v>
      </c>
      <c r="AQ78" s="1042">
        <f>(F78/12)*12</f>
        <v>46964555.857999995</v>
      </c>
      <c r="AR78" s="1042">
        <f t="shared" si="362"/>
        <v>328751891.00599992</v>
      </c>
      <c r="AS78" s="1042">
        <f t="shared" si="363"/>
        <v>610539226.15400004</v>
      </c>
      <c r="AT78" s="1042">
        <f t="shared" ref="AT78:AT79" si="390">(F78/12)*9</f>
        <v>35223416.893499993</v>
      </c>
      <c r="AU78" s="1042">
        <f t="shared" ref="AU78:AU79" si="391">AR78+AT78</f>
        <v>363975307.89949989</v>
      </c>
      <c r="AV78" s="1042">
        <f t="shared" ref="AV78:AV79" si="392">E78-AU78</f>
        <v>575315809.26050007</v>
      </c>
      <c r="AW78" s="1042">
        <f t="shared" ref="AW78:AW79" si="393">(F78/12)*12</f>
        <v>46964555.857999995</v>
      </c>
      <c r="AX78" s="1042">
        <f t="shared" ref="AX78:AX79" si="394">AR78+AW78</f>
        <v>375716446.8639999</v>
      </c>
      <c r="AY78" s="1042">
        <f t="shared" ref="AY78:AY79" si="395">E78-AX78</f>
        <v>563574670.296</v>
      </c>
      <c r="AZ78" s="1051"/>
      <c r="BB78" s="8">
        <f t="shared" ref="BB78:BB81" si="396">E78-AX78-AY78</f>
        <v>0</v>
      </c>
      <c r="BD78" s="187"/>
      <c r="BE78" s="19"/>
      <c r="BF78" s="58"/>
      <c r="BG78" s="19"/>
    </row>
    <row r="79" spans="1:59" ht="14.25" customHeight="1">
      <c r="A79" s="17">
        <f t="shared" si="365"/>
        <v>8</v>
      </c>
      <c r="B79" s="913" t="s">
        <v>1146</v>
      </c>
      <c r="C79" s="238">
        <v>43101</v>
      </c>
      <c r="D79" s="55">
        <v>20</v>
      </c>
      <c r="E79" s="6">
        <f>10335000+7560000</f>
        <v>17895000</v>
      </c>
      <c r="F79" s="1041">
        <f t="shared" si="338"/>
        <v>894750</v>
      </c>
      <c r="G79" s="1041"/>
      <c r="H79" s="1042"/>
      <c r="I79" s="1042">
        <f t="shared" si="339"/>
        <v>0</v>
      </c>
      <c r="J79" s="1042">
        <f t="shared" si="340"/>
        <v>0</v>
      </c>
      <c r="K79" s="1042"/>
      <c r="L79" s="1042">
        <f t="shared" si="341"/>
        <v>0</v>
      </c>
      <c r="M79" s="1042"/>
      <c r="N79" s="1042"/>
      <c r="O79" s="1042"/>
      <c r="P79" s="1042"/>
      <c r="Q79" s="1042"/>
      <c r="R79" s="1042"/>
      <c r="S79" s="1042"/>
      <c r="T79" s="1044">
        <f t="shared" si="347"/>
        <v>894750</v>
      </c>
      <c r="U79" s="1042">
        <f t="shared" si="348"/>
        <v>894750</v>
      </c>
      <c r="V79" s="1042">
        <f t="shared" si="349"/>
        <v>17000250</v>
      </c>
      <c r="W79" s="1042">
        <f t="shared" si="350"/>
        <v>894750</v>
      </c>
      <c r="X79" s="1042">
        <f t="shared" si="351"/>
        <v>1789500</v>
      </c>
      <c r="Y79" s="1042">
        <f t="shared" si="352"/>
        <v>16105500</v>
      </c>
      <c r="Z79" s="7">
        <f>129187.5+1134000</f>
        <v>1263187.5</v>
      </c>
      <c r="AA79" s="7">
        <f t="shared" si="107"/>
        <v>16631812.5</v>
      </c>
      <c r="AB79" s="1042">
        <f t="shared" si="353"/>
        <v>894750</v>
      </c>
      <c r="AC79" s="1042">
        <f t="shared" si="384"/>
        <v>2684250</v>
      </c>
      <c r="AD79" s="1042">
        <f t="shared" si="354"/>
        <v>15210750</v>
      </c>
      <c r="AE79" s="1042">
        <f t="shared" si="355"/>
        <v>894750</v>
      </c>
      <c r="AF79" s="1042">
        <f t="shared" si="356"/>
        <v>3579000</v>
      </c>
      <c r="AG79" s="1042">
        <f t="shared" si="357"/>
        <v>14316000</v>
      </c>
      <c r="AH79" s="1042">
        <f t="shared" si="358"/>
        <v>894750</v>
      </c>
      <c r="AI79" s="1042">
        <f t="shared" si="359"/>
        <v>4473750</v>
      </c>
      <c r="AJ79" s="1042">
        <f t="shared" si="360"/>
        <v>13421250</v>
      </c>
      <c r="AK79" s="1042">
        <f t="shared" si="385"/>
        <v>74562.5</v>
      </c>
      <c r="AL79" s="1042">
        <f t="shared" si="386"/>
        <v>4548312.5</v>
      </c>
      <c r="AM79" s="1042">
        <f t="shared" si="387"/>
        <v>13346687.5</v>
      </c>
      <c r="AN79" s="1042">
        <f>(F79/12)*9</f>
        <v>671062.5</v>
      </c>
      <c r="AO79" s="1042">
        <f t="shared" si="388"/>
        <v>5144812.5</v>
      </c>
      <c r="AP79" s="1042">
        <f t="shared" si="389"/>
        <v>12750187.5</v>
      </c>
      <c r="AQ79" s="1042">
        <f>(F79/12)*12</f>
        <v>894750</v>
      </c>
      <c r="AR79" s="1042">
        <f t="shared" si="362"/>
        <v>5368500</v>
      </c>
      <c r="AS79" s="1042">
        <f t="shared" si="363"/>
        <v>12526500</v>
      </c>
      <c r="AT79" s="1042">
        <f t="shared" si="390"/>
        <v>671062.5</v>
      </c>
      <c r="AU79" s="1042">
        <f t="shared" si="391"/>
        <v>6039562.5</v>
      </c>
      <c r="AV79" s="1042">
        <f t="shared" si="392"/>
        <v>11855437.5</v>
      </c>
      <c r="AW79" s="1042">
        <f t="shared" si="393"/>
        <v>894750</v>
      </c>
      <c r="AX79" s="1042">
        <f t="shared" si="394"/>
        <v>6263250</v>
      </c>
      <c r="AY79" s="1042">
        <f t="shared" si="395"/>
        <v>11631750</v>
      </c>
      <c r="AZ79" s="1051"/>
      <c r="BB79" s="8">
        <f t="shared" si="396"/>
        <v>0</v>
      </c>
      <c r="BD79" s="187"/>
      <c r="BE79" s="19"/>
      <c r="BF79" s="58"/>
      <c r="BG79" s="19"/>
    </row>
    <row r="80" spans="1:59" ht="14.25" customHeight="1">
      <c r="A80" s="17"/>
      <c r="B80" s="53"/>
      <c r="C80" s="223"/>
      <c r="D80" s="55"/>
      <c r="E80" s="6"/>
      <c r="F80" s="1041"/>
      <c r="G80" s="1041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042"/>
      <c r="S80" s="1042"/>
      <c r="T80" s="1042"/>
      <c r="U80" s="1042"/>
      <c r="V80" s="1042"/>
      <c r="W80" s="1042"/>
      <c r="X80" s="1042"/>
      <c r="Y80" s="1042"/>
      <c r="Z80" s="7"/>
      <c r="AA80" s="7"/>
      <c r="AB80" s="1042"/>
      <c r="AC80" s="1042">
        <f t="shared" si="109"/>
        <v>0</v>
      </c>
      <c r="AD80" s="1042"/>
      <c r="AE80" s="1042"/>
      <c r="AF80" s="1042"/>
      <c r="AG80" s="1042"/>
      <c r="AH80" s="1042"/>
      <c r="AI80" s="1042"/>
      <c r="AJ80" s="1042"/>
      <c r="AK80" s="1042"/>
      <c r="AL80" s="1042"/>
      <c r="AM80" s="1042"/>
      <c r="AN80" s="1042"/>
      <c r="AO80" s="1042"/>
      <c r="AP80" s="1042"/>
      <c r="AQ80" s="1042"/>
      <c r="AR80" s="1042"/>
      <c r="AS80" s="1042"/>
      <c r="AT80" s="1042"/>
      <c r="AU80" s="1042"/>
      <c r="AV80" s="1042"/>
      <c r="AW80" s="1042"/>
      <c r="AX80" s="1042"/>
      <c r="AY80" s="1042"/>
      <c r="AZ80" s="1051"/>
      <c r="BB80" s="8">
        <f t="shared" si="396"/>
        <v>0</v>
      </c>
      <c r="BD80" s="187"/>
      <c r="BE80" s="19"/>
      <c r="BF80" s="58"/>
      <c r="BG80" s="19"/>
    </row>
    <row r="81" spans="1:59" s="220" customFormat="1" ht="14.25" customHeight="1">
      <c r="A81" s="892">
        <v>3</v>
      </c>
      <c r="B81" s="893" t="s">
        <v>374</v>
      </c>
      <c r="C81" s="894"/>
      <c r="D81" s="887"/>
      <c r="E81" s="1047"/>
      <c r="F81" s="1048"/>
      <c r="G81" s="1048"/>
      <c r="H81" s="1049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895"/>
      <c r="AA81" s="895"/>
      <c r="AB81" s="1049"/>
      <c r="AC81" s="1049">
        <f t="shared" ref="AC81:AC106" si="397">X81+AB81</f>
        <v>0</v>
      </c>
      <c r="AD81" s="1049"/>
      <c r="AE81" s="1049"/>
      <c r="AF81" s="1049"/>
      <c r="AG81" s="1049"/>
      <c r="AH81" s="1049"/>
      <c r="AI81" s="1049"/>
      <c r="AJ81" s="1049"/>
      <c r="AK81" s="1049"/>
      <c r="AL81" s="1049"/>
      <c r="AM81" s="1049"/>
      <c r="AN81" s="1049"/>
      <c r="AO81" s="1049"/>
      <c r="AP81" s="1049"/>
      <c r="AQ81" s="1049"/>
      <c r="AR81" s="1049"/>
      <c r="AS81" s="1049"/>
      <c r="AT81" s="1049"/>
      <c r="AU81" s="1049"/>
      <c r="AV81" s="1049"/>
      <c r="AW81" s="1049"/>
      <c r="AX81" s="1049"/>
      <c r="AY81" s="1049"/>
      <c r="AZ81" s="1189"/>
      <c r="BA81" s="3"/>
      <c r="BB81" s="8">
        <f t="shared" si="396"/>
        <v>0</v>
      </c>
      <c r="BD81" s="229"/>
      <c r="BE81" s="179"/>
      <c r="BF81" s="222"/>
      <c r="BG81" s="179"/>
    </row>
    <row r="82" spans="1:59" ht="14.25" hidden="1" customHeight="1">
      <c r="A82" s="884">
        <v>1</v>
      </c>
      <c r="B82" s="885" t="s">
        <v>375</v>
      </c>
      <c r="C82" s="886">
        <v>40179</v>
      </c>
      <c r="D82" s="887">
        <v>20</v>
      </c>
      <c r="E82" s="888">
        <f>11350000*0</f>
        <v>0</v>
      </c>
      <c r="F82" s="889">
        <f t="shared" ref="F82:F106" si="398">E82/D82</f>
        <v>0</v>
      </c>
      <c r="G82" s="889">
        <f t="shared" ref="G82:G104" si="399">E82</f>
        <v>0</v>
      </c>
      <c r="H82" s="890">
        <f t="shared" ref="H82:H96" si="400">((F82/12)*(13-IF(C82="","",MONTH(C82))))*5</f>
        <v>0</v>
      </c>
      <c r="I82" s="890">
        <f t="shared" ref="I82:I106" si="401">H82</f>
        <v>0</v>
      </c>
      <c r="J82" s="890">
        <f t="shared" ref="J82:J106" si="402">G82-I82</f>
        <v>0</v>
      </c>
      <c r="K82" s="890">
        <f t="shared" ref="K82:K104" si="403">(F82/12)*12</f>
        <v>0</v>
      </c>
      <c r="L82" s="890">
        <f t="shared" ref="L82:L106" si="404">I82+K82</f>
        <v>0</v>
      </c>
      <c r="M82" s="890">
        <f t="shared" ref="M82:M104" si="405">E82-L82</f>
        <v>0</v>
      </c>
      <c r="N82" s="890">
        <f t="shared" ref="N82:N104" si="406">(F82/12)*12</f>
        <v>0</v>
      </c>
      <c r="O82" s="890">
        <f t="shared" ref="O82:O104" si="407">N82+L82</f>
        <v>0</v>
      </c>
      <c r="P82" s="890">
        <f t="shared" ref="P82:P104" si="408">E82-O82</f>
        <v>0</v>
      </c>
      <c r="Q82" s="890">
        <f t="shared" ref="Q82:Q104" si="409">(F82/12)*12</f>
        <v>0</v>
      </c>
      <c r="R82" s="890">
        <f t="shared" ref="R82:R104" si="410">Q82+O82</f>
        <v>0</v>
      </c>
      <c r="S82" s="890">
        <f t="shared" ref="S82:S104" si="411">E82-R82</f>
        <v>0</v>
      </c>
      <c r="T82" s="890">
        <f t="shared" ref="T82:T106" si="412">(F82/12)*12</f>
        <v>0</v>
      </c>
      <c r="U82" s="890">
        <f t="shared" ref="U82:U106" si="413">R82+T82</f>
        <v>0</v>
      </c>
      <c r="V82" s="890">
        <f t="shared" ref="V82:V106" si="414">E82-U82</f>
        <v>0</v>
      </c>
      <c r="W82" s="890">
        <f t="shared" ref="W82:W106" si="415">(F82/12)*12</f>
        <v>0</v>
      </c>
      <c r="X82" s="890">
        <f t="shared" ref="X82:X106" si="416">U82+W82</f>
        <v>0</v>
      </c>
      <c r="Y82" s="890">
        <f t="shared" ref="Y82:Y106" si="417">E82-X82</f>
        <v>0</v>
      </c>
      <c r="Z82" s="890">
        <f>2270000*0</f>
        <v>0</v>
      </c>
      <c r="AA82" s="890">
        <f t="shared" ref="AA82:AA106" si="418">E82-Z82</f>
        <v>0</v>
      </c>
      <c r="AB82" s="890">
        <f t="shared" ref="AB82:AB106" si="419">(F82/12)*12</f>
        <v>0</v>
      </c>
      <c r="AC82" s="890">
        <f t="shared" si="397"/>
        <v>0</v>
      </c>
      <c r="AD82" s="890">
        <f t="shared" ref="AD82:AD106" si="420">E82-AC82</f>
        <v>0</v>
      </c>
      <c r="AE82" s="890">
        <f t="shared" ref="AE82:AE106" si="421">(F82/12)*12</f>
        <v>0</v>
      </c>
      <c r="AF82" s="890">
        <f t="shared" ref="AF82:AF106" si="422">AC82+AE82</f>
        <v>0</v>
      </c>
      <c r="AG82" s="890">
        <f t="shared" ref="AG82:AG106" si="423">E82-AF82</f>
        <v>0</v>
      </c>
      <c r="AH82" s="890">
        <f t="shared" ref="AH82:AH106" si="424">(F82/12)*12</f>
        <v>0</v>
      </c>
      <c r="AI82" s="890">
        <f t="shared" ref="AI82:AI106" si="425">AF82+AH82</f>
        <v>0</v>
      </c>
      <c r="AJ82" s="890">
        <f t="shared" ref="AJ82:AJ106" si="426">E82-AI82</f>
        <v>0</v>
      </c>
      <c r="AK82" s="890"/>
      <c r="AL82" s="890"/>
      <c r="AM82" s="890"/>
      <c r="AN82" s="890"/>
      <c r="AO82" s="890"/>
      <c r="AP82" s="890"/>
      <c r="AQ82" s="890">
        <f t="shared" ref="AQ82:AQ106" si="427">(F82/12)*7</f>
        <v>0</v>
      </c>
      <c r="AR82" s="890">
        <f t="shared" ref="AR82:AR106" si="428">AI82+AQ82</f>
        <v>0</v>
      </c>
      <c r="AS82" s="890">
        <f t="shared" ref="AS82:AS106" si="429">E82-AR82</f>
        <v>0</v>
      </c>
      <c r="AT82" s="1158"/>
      <c r="AU82" s="1158"/>
      <c r="AV82" s="1158"/>
      <c r="AW82" s="1158"/>
      <c r="AX82" s="1158"/>
      <c r="AY82" s="1158"/>
      <c r="AZ82" s="1158"/>
      <c r="BA82" s="891"/>
      <c r="BB82" s="8">
        <f t="shared" si="364"/>
        <v>0</v>
      </c>
      <c r="BD82" s="57"/>
      <c r="BE82" s="19"/>
      <c r="BF82" s="58"/>
      <c r="BG82" s="19"/>
    </row>
    <row r="83" spans="1:59" ht="14.25" hidden="1" customHeight="1">
      <c r="A83" s="884">
        <f>A82+1</f>
        <v>2</v>
      </c>
      <c r="B83" s="885" t="s">
        <v>376</v>
      </c>
      <c r="C83" s="886">
        <v>41640</v>
      </c>
      <c r="D83" s="887">
        <v>20</v>
      </c>
      <c r="E83" s="888">
        <f>276810000*0</f>
        <v>0</v>
      </c>
      <c r="F83" s="889">
        <f t="shared" si="398"/>
        <v>0</v>
      </c>
      <c r="G83" s="889">
        <f t="shared" si="399"/>
        <v>0</v>
      </c>
      <c r="H83" s="890">
        <f t="shared" si="400"/>
        <v>0</v>
      </c>
      <c r="I83" s="890">
        <f t="shared" si="401"/>
        <v>0</v>
      </c>
      <c r="J83" s="890">
        <f t="shared" si="402"/>
        <v>0</v>
      </c>
      <c r="K83" s="890">
        <f t="shared" si="403"/>
        <v>0</v>
      </c>
      <c r="L83" s="890">
        <f t="shared" si="404"/>
        <v>0</v>
      </c>
      <c r="M83" s="890">
        <f t="shared" si="405"/>
        <v>0</v>
      </c>
      <c r="N83" s="890">
        <f t="shared" si="406"/>
        <v>0</v>
      </c>
      <c r="O83" s="890">
        <f t="shared" si="407"/>
        <v>0</v>
      </c>
      <c r="P83" s="890">
        <f t="shared" si="408"/>
        <v>0</v>
      </c>
      <c r="Q83" s="890">
        <f t="shared" si="409"/>
        <v>0</v>
      </c>
      <c r="R83" s="890">
        <f t="shared" si="410"/>
        <v>0</v>
      </c>
      <c r="S83" s="890">
        <f t="shared" si="411"/>
        <v>0</v>
      </c>
      <c r="T83" s="890">
        <f t="shared" si="412"/>
        <v>0</v>
      </c>
      <c r="U83" s="890">
        <f t="shared" si="413"/>
        <v>0</v>
      </c>
      <c r="V83" s="890">
        <f t="shared" si="414"/>
        <v>0</v>
      </c>
      <c r="W83" s="890">
        <f t="shared" si="415"/>
        <v>0</v>
      </c>
      <c r="X83" s="890">
        <f t="shared" si="416"/>
        <v>0</v>
      </c>
      <c r="Y83" s="890">
        <f t="shared" si="417"/>
        <v>0</v>
      </c>
      <c r="Z83" s="890">
        <f>55362000*0</f>
        <v>0</v>
      </c>
      <c r="AA83" s="890">
        <f t="shared" si="418"/>
        <v>0</v>
      </c>
      <c r="AB83" s="890">
        <f t="shared" si="419"/>
        <v>0</v>
      </c>
      <c r="AC83" s="890">
        <f t="shared" si="397"/>
        <v>0</v>
      </c>
      <c r="AD83" s="890">
        <f t="shared" si="420"/>
        <v>0</v>
      </c>
      <c r="AE83" s="890">
        <f t="shared" si="421"/>
        <v>0</v>
      </c>
      <c r="AF83" s="890">
        <f t="shared" si="422"/>
        <v>0</v>
      </c>
      <c r="AG83" s="890">
        <f t="shared" si="423"/>
        <v>0</v>
      </c>
      <c r="AH83" s="890">
        <f t="shared" si="424"/>
        <v>0</v>
      </c>
      <c r="AI83" s="890">
        <f t="shared" si="425"/>
        <v>0</v>
      </c>
      <c r="AJ83" s="890">
        <f t="shared" si="426"/>
        <v>0</v>
      </c>
      <c r="AK83" s="890"/>
      <c r="AL83" s="890"/>
      <c r="AM83" s="890"/>
      <c r="AN83" s="890"/>
      <c r="AO83" s="890"/>
      <c r="AP83" s="890"/>
      <c r="AQ83" s="890">
        <f t="shared" si="427"/>
        <v>0</v>
      </c>
      <c r="AR83" s="890">
        <f t="shared" si="428"/>
        <v>0</v>
      </c>
      <c r="AS83" s="890">
        <f t="shared" si="429"/>
        <v>0</v>
      </c>
      <c r="AT83" s="1158"/>
      <c r="AU83" s="1158"/>
      <c r="AV83" s="1158"/>
      <c r="AW83" s="1158"/>
      <c r="AX83" s="1158"/>
      <c r="AY83" s="1158"/>
      <c r="AZ83" s="1158"/>
      <c r="BA83" s="891"/>
      <c r="BB83" s="8">
        <f t="shared" si="364"/>
        <v>0</v>
      </c>
      <c r="BD83" s="57"/>
      <c r="BE83" s="19"/>
      <c r="BF83" s="58"/>
      <c r="BG83" s="19"/>
    </row>
    <row r="84" spans="1:59" ht="14.25" hidden="1" customHeight="1">
      <c r="A84" s="884">
        <f t="shared" ref="A84:A106" si="430">A83+1</f>
        <v>3</v>
      </c>
      <c r="B84" s="885" t="s">
        <v>377</v>
      </c>
      <c r="C84" s="886">
        <v>40179</v>
      </c>
      <c r="D84" s="887">
        <v>20</v>
      </c>
      <c r="E84" s="888">
        <f>29340000*0</f>
        <v>0</v>
      </c>
      <c r="F84" s="889">
        <f t="shared" si="398"/>
        <v>0</v>
      </c>
      <c r="G84" s="889">
        <f t="shared" si="399"/>
        <v>0</v>
      </c>
      <c r="H84" s="890">
        <f t="shared" si="400"/>
        <v>0</v>
      </c>
      <c r="I84" s="890">
        <f t="shared" si="401"/>
        <v>0</v>
      </c>
      <c r="J84" s="890">
        <f t="shared" si="402"/>
        <v>0</v>
      </c>
      <c r="K84" s="890">
        <f t="shared" si="403"/>
        <v>0</v>
      </c>
      <c r="L84" s="890">
        <f t="shared" si="404"/>
        <v>0</v>
      </c>
      <c r="M84" s="890">
        <f t="shared" si="405"/>
        <v>0</v>
      </c>
      <c r="N84" s="890">
        <f t="shared" si="406"/>
        <v>0</v>
      </c>
      <c r="O84" s="890">
        <f t="shared" si="407"/>
        <v>0</v>
      </c>
      <c r="P84" s="890">
        <f t="shared" si="408"/>
        <v>0</v>
      </c>
      <c r="Q84" s="890">
        <f t="shared" si="409"/>
        <v>0</v>
      </c>
      <c r="R84" s="890">
        <f t="shared" si="410"/>
        <v>0</v>
      </c>
      <c r="S84" s="890">
        <f t="shared" si="411"/>
        <v>0</v>
      </c>
      <c r="T84" s="890">
        <f t="shared" si="412"/>
        <v>0</v>
      </c>
      <c r="U84" s="890">
        <f t="shared" si="413"/>
        <v>0</v>
      </c>
      <c r="V84" s="890">
        <f t="shared" si="414"/>
        <v>0</v>
      </c>
      <c r="W84" s="890">
        <f t="shared" si="415"/>
        <v>0</v>
      </c>
      <c r="X84" s="890">
        <f t="shared" si="416"/>
        <v>0</v>
      </c>
      <c r="Y84" s="890">
        <f t="shared" si="417"/>
        <v>0</v>
      </c>
      <c r="Z84" s="890">
        <f>5868000*0</f>
        <v>0</v>
      </c>
      <c r="AA84" s="890">
        <f t="shared" si="418"/>
        <v>0</v>
      </c>
      <c r="AB84" s="890">
        <f t="shared" si="419"/>
        <v>0</v>
      </c>
      <c r="AC84" s="890">
        <f t="shared" si="397"/>
        <v>0</v>
      </c>
      <c r="AD84" s="890">
        <f t="shared" si="420"/>
        <v>0</v>
      </c>
      <c r="AE84" s="890">
        <f t="shared" si="421"/>
        <v>0</v>
      </c>
      <c r="AF84" s="890">
        <f t="shared" si="422"/>
        <v>0</v>
      </c>
      <c r="AG84" s="890">
        <f t="shared" si="423"/>
        <v>0</v>
      </c>
      <c r="AH84" s="890">
        <f t="shared" si="424"/>
        <v>0</v>
      </c>
      <c r="AI84" s="890">
        <f t="shared" si="425"/>
        <v>0</v>
      </c>
      <c r="AJ84" s="890">
        <f t="shared" si="426"/>
        <v>0</v>
      </c>
      <c r="AK84" s="890"/>
      <c r="AL84" s="890"/>
      <c r="AM84" s="890"/>
      <c r="AN84" s="890"/>
      <c r="AO84" s="890"/>
      <c r="AP84" s="890"/>
      <c r="AQ84" s="890">
        <f t="shared" si="427"/>
        <v>0</v>
      </c>
      <c r="AR84" s="890">
        <f t="shared" si="428"/>
        <v>0</v>
      </c>
      <c r="AS84" s="890">
        <f t="shared" si="429"/>
        <v>0</v>
      </c>
      <c r="AT84" s="1158"/>
      <c r="AU84" s="1158"/>
      <c r="AV84" s="1158"/>
      <c r="AW84" s="1158"/>
      <c r="AX84" s="1158"/>
      <c r="AY84" s="1158"/>
      <c r="AZ84" s="1158"/>
      <c r="BA84" s="891"/>
      <c r="BB84" s="8">
        <f t="shared" si="364"/>
        <v>0</v>
      </c>
      <c r="BD84" s="57"/>
      <c r="BE84" s="19"/>
      <c r="BF84" s="58"/>
      <c r="BG84" s="19"/>
    </row>
    <row r="85" spans="1:59" ht="14.25" hidden="1" customHeight="1">
      <c r="A85" s="884">
        <f t="shared" si="430"/>
        <v>4</v>
      </c>
      <c r="B85" s="885" t="s">
        <v>378</v>
      </c>
      <c r="C85" s="886">
        <v>40179</v>
      </c>
      <c r="D85" s="887">
        <v>20</v>
      </c>
      <c r="E85" s="888">
        <f>171000000*0</f>
        <v>0</v>
      </c>
      <c r="F85" s="889">
        <f t="shared" si="398"/>
        <v>0</v>
      </c>
      <c r="G85" s="889">
        <f t="shared" si="399"/>
        <v>0</v>
      </c>
      <c r="H85" s="890">
        <f t="shared" si="400"/>
        <v>0</v>
      </c>
      <c r="I85" s="890">
        <f t="shared" si="401"/>
        <v>0</v>
      </c>
      <c r="J85" s="890">
        <f t="shared" si="402"/>
        <v>0</v>
      </c>
      <c r="K85" s="890">
        <f t="shared" si="403"/>
        <v>0</v>
      </c>
      <c r="L85" s="890">
        <f t="shared" si="404"/>
        <v>0</v>
      </c>
      <c r="M85" s="890">
        <f t="shared" si="405"/>
        <v>0</v>
      </c>
      <c r="N85" s="890">
        <f t="shared" si="406"/>
        <v>0</v>
      </c>
      <c r="O85" s="890">
        <f t="shared" si="407"/>
        <v>0</v>
      </c>
      <c r="P85" s="890">
        <f t="shared" si="408"/>
        <v>0</v>
      </c>
      <c r="Q85" s="890">
        <f t="shared" si="409"/>
        <v>0</v>
      </c>
      <c r="R85" s="890">
        <f t="shared" si="410"/>
        <v>0</v>
      </c>
      <c r="S85" s="890">
        <f t="shared" si="411"/>
        <v>0</v>
      </c>
      <c r="T85" s="890">
        <f t="shared" si="412"/>
        <v>0</v>
      </c>
      <c r="U85" s="890">
        <f t="shared" si="413"/>
        <v>0</v>
      </c>
      <c r="V85" s="890">
        <f t="shared" si="414"/>
        <v>0</v>
      </c>
      <c r="W85" s="890">
        <f t="shared" si="415"/>
        <v>0</v>
      </c>
      <c r="X85" s="890">
        <f t="shared" si="416"/>
        <v>0</v>
      </c>
      <c r="Y85" s="890">
        <f t="shared" si="417"/>
        <v>0</v>
      </c>
      <c r="Z85" s="890">
        <f>34200000*0</f>
        <v>0</v>
      </c>
      <c r="AA85" s="890">
        <f t="shared" si="418"/>
        <v>0</v>
      </c>
      <c r="AB85" s="890">
        <f t="shared" si="419"/>
        <v>0</v>
      </c>
      <c r="AC85" s="890">
        <f t="shared" si="397"/>
        <v>0</v>
      </c>
      <c r="AD85" s="890">
        <f t="shared" si="420"/>
        <v>0</v>
      </c>
      <c r="AE85" s="890">
        <f t="shared" si="421"/>
        <v>0</v>
      </c>
      <c r="AF85" s="890">
        <f t="shared" si="422"/>
        <v>0</v>
      </c>
      <c r="AG85" s="890">
        <f t="shared" si="423"/>
        <v>0</v>
      </c>
      <c r="AH85" s="890">
        <f t="shared" si="424"/>
        <v>0</v>
      </c>
      <c r="AI85" s="890">
        <f t="shared" si="425"/>
        <v>0</v>
      </c>
      <c r="AJ85" s="890">
        <f t="shared" si="426"/>
        <v>0</v>
      </c>
      <c r="AK85" s="890"/>
      <c r="AL85" s="890"/>
      <c r="AM85" s="890"/>
      <c r="AN85" s="890"/>
      <c r="AO85" s="890"/>
      <c r="AP85" s="890"/>
      <c r="AQ85" s="890">
        <f t="shared" si="427"/>
        <v>0</v>
      </c>
      <c r="AR85" s="890">
        <f t="shared" si="428"/>
        <v>0</v>
      </c>
      <c r="AS85" s="890">
        <f t="shared" si="429"/>
        <v>0</v>
      </c>
      <c r="AT85" s="1158"/>
      <c r="AU85" s="1158"/>
      <c r="AV85" s="1158"/>
      <c r="AW85" s="1158"/>
      <c r="AX85" s="1158"/>
      <c r="AY85" s="1158"/>
      <c r="AZ85" s="1158"/>
      <c r="BA85" s="891"/>
      <c r="BB85" s="8">
        <f t="shared" si="364"/>
        <v>0</v>
      </c>
      <c r="BD85" s="57"/>
      <c r="BE85" s="19"/>
      <c r="BF85" s="58"/>
      <c r="BG85" s="19"/>
    </row>
    <row r="86" spans="1:59" ht="14.25" hidden="1" customHeight="1">
      <c r="A86" s="884">
        <f t="shared" si="430"/>
        <v>5</v>
      </c>
      <c r="B86" s="885" t="s">
        <v>379</v>
      </c>
      <c r="C86" s="886">
        <v>40179</v>
      </c>
      <c r="D86" s="887">
        <v>20</v>
      </c>
      <c r="E86" s="888">
        <f>370800000*0</f>
        <v>0</v>
      </c>
      <c r="F86" s="889">
        <f t="shared" si="398"/>
        <v>0</v>
      </c>
      <c r="G86" s="889">
        <f t="shared" si="399"/>
        <v>0</v>
      </c>
      <c r="H86" s="890">
        <f t="shared" si="400"/>
        <v>0</v>
      </c>
      <c r="I86" s="890">
        <f t="shared" si="401"/>
        <v>0</v>
      </c>
      <c r="J86" s="890">
        <f t="shared" si="402"/>
        <v>0</v>
      </c>
      <c r="K86" s="890">
        <f t="shared" si="403"/>
        <v>0</v>
      </c>
      <c r="L86" s="890">
        <f t="shared" si="404"/>
        <v>0</v>
      </c>
      <c r="M86" s="890">
        <f t="shared" si="405"/>
        <v>0</v>
      </c>
      <c r="N86" s="890">
        <f t="shared" si="406"/>
        <v>0</v>
      </c>
      <c r="O86" s="890">
        <f t="shared" si="407"/>
        <v>0</v>
      </c>
      <c r="P86" s="890">
        <f t="shared" si="408"/>
        <v>0</v>
      </c>
      <c r="Q86" s="890">
        <f t="shared" si="409"/>
        <v>0</v>
      </c>
      <c r="R86" s="890">
        <f t="shared" si="410"/>
        <v>0</v>
      </c>
      <c r="S86" s="890">
        <f t="shared" si="411"/>
        <v>0</v>
      </c>
      <c r="T86" s="890">
        <f t="shared" si="412"/>
        <v>0</v>
      </c>
      <c r="U86" s="890">
        <f t="shared" si="413"/>
        <v>0</v>
      </c>
      <c r="V86" s="890">
        <f t="shared" si="414"/>
        <v>0</v>
      </c>
      <c r="W86" s="890">
        <f t="shared" si="415"/>
        <v>0</v>
      </c>
      <c r="X86" s="890">
        <f t="shared" si="416"/>
        <v>0</v>
      </c>
      <c r="Y86" s="890">
        <f t="shared" si="417"/>
        <v>0</v>
      </c>
      <c r="Z86" s="890">
        <f>74160000*0</f>
        <v>0</v>
      </c>
      <c r="AA86" s="890">
        <f t="shared" si="418"/>
        <v>0</v>
      </c>
      <c r="AB86" s="890">
        <f t="shared" si="419"/>
        <v>0</v>
      </c>
      <c r="AC86" s="890">
        <f t="shared" si="397"/>
        <v>0</v>
      </c>
      <c r="AD86" s="890">
        <f t="shared" si="420"/>
        <v>0</v>
      </c>
      <c r="AE86" s="890">
        <f t="shared" si="421"/>
        <v>0</v>
      </c>
      <c r="AF86" s="890">
        <f t="shared" si="422"/>
        <v>0</v>
      </c>
      <c r="AG86" s="890">
        <f t="shared" si="423"/>
        <v>0</v>
      </c>
      <c r="AH86" s="890">
        <f t="shared" si="424"/>
        <v>0</v>
      </c>
      <c r="AI86" s="890">
        <f t="shared" si="425"/>
        <v>0</v>
      </c>
      <c r="AJ86" s="890">
        <f t="shared" si="426"/>
        <v>0</v>
      </c>
      <c r="AK86" s="890"/>
      <c r="AL86" s="890"/>
      <c r="AM86" s="890"/>
      <c r="AN86" s="890"/>
      <c r="AO86" s="890"/>
      <c r="AP86" s="890"/>
      <c r="AQ86" s="890">
        <f t="shared" si="427"/>
        <v>0</v>
      </c>
      <c r="AR86" s="890">
        <f t="shared" si="428"/>
        <v>0</v>
      </c>
      <c r="AS86" s="890">
        <f t="shared" si="429"/>
        <v>0</v>
      </c>
      <c r="AT86" s="1158"/>
      <c r="AU86" s="1158"/>
      <c r="AV86" s="1158"/>
      <c r="AW86" s="1158"/>
      <c r="AX86" s="1158"/>
      <c r="AY86" s="1158"/>
      <c r="AZ86" s="1158"/>
      <c r="BA86" s="891"/>
      <c r="BB86" s="8">
        <f t="shared" si="364"/>
        <v>0</v>
      </c>
      <c r="BD86" s="57"/>
      <c r="BE86" s="19"/>
      <c r="BF86" s="58"/>
      <c r="BG86" s="19"/>
    </row>
    <row r="87" spans="1:59" ht="14.25" hidden="1" customHeight="1">
      <c r="A87" s="884">
        <f t="shared" si="430"/>
        <v>6</v>
      </c>
      <c r="B87" s="885" t="s">
        <v>350</v>
      </c>
      <c r="C87" s="886">
        <v>40544</v>
      </c>
      <c r="D87" s="887">
        <v>20</v>
      </c>
      <c r="E87" s="888">
        <f>101070000*0</f>
        <v>0</v>
      </c>
      <c r="F87" s="889">
        <f t="shared" si="398"/>
        <v>0</v>
      </c>
      <c r="G87" s="889">
        <f t="shared" si="399"/>
        <v>0</v>
      </c>
      <c r="H87" s="890">
        <f t="shared" si="400"/>
        <v>0</v>
      </c>
      <c r="I87" s="890">
        <f t="shared" si="401"/>
        <v>0</v>
      </c>
      <c r="J87" s="890">
        <f t="shared" si="402"/>
        <v>0</v>
      </c>
      <c r="K87" s="890">
        <f t="shared" si="403"/>
        <v>0</v>
      </c>
      <c r="L87" s="890">
        <f t="shared" si="404"/>
        <v>0</v>
      </c>
      <c r="M87" s="890">
        <f t="shared" si="405"/>
        <v>0</v>
      </c>
      <c r="N87" s="890">
        <f t="shared" si="406"/>
        <v>0</v>
      </c>
      <c r="O87" s="890">
        <f t="shared" si="407"/>
        <v>0</v>
      </c>
      <c r="P87" s="890">
        <f t="shared" si="408"/>
        <v>0</v>
      </c>
      <c r="Q87" s="890">
        <f t="shared" si="409"/>
        <v>0</v>
      </c>
      <c r="R87" s="890">
        <f t="shared" si="410"/>
        <v>0</v>
      </c>
      <c r="S87" s="890">
        <f t="shared" si="411"/>
        <v>0</v>
      </c>
      <c r="T87" s="890">
        <f t="shared" si="412"/>
        <v>0</v>
      </c>
      <c r="U87" s="890">
        <f t="shared" si="413"/>
        <v>0</v>
      </c>
      <c r="V87" s="890">
        <f t="shared" si="414"/>
        <v>0</v>
      </c>
      <c r="W87" s="890">
        <f t="shared" si="415"/>
        <v>0</v>
      </c>
      <c r="X87" s="890">
        <f t="shared" si="416"/>
        <v>0</v>
      </c>
      <c r="Y87" s="890">
        <f t="shared" si="417"/>
        <v>0</v>
      </c>
      <c r="Z87" s="890">
        <f>20214000*0</f>
        <v>0</v>
      </c>
      <c r="AA87" s="890">
        <f t="shared" si="418"/>
        <v>0</v>
      </c>
      <c r="AB87" s="890">
        <f t="shared" si="419"/>
        <v>0</v>
      </c>
      <c r="AC87" s="890">
        <f t="shared" si="397"/>
        <v>0</v>
      </c>
      <c r="AD87" s="890">
        <f t="shared" si="420"/>
        <v>0</v>
      </c>
      <c r="AE87" s="890">
        <f t="shared" si="421"/>
        <v>0</v>
      </c>
      <c r="AF87" s="890">
        <f t="shared" si="422"/>
        <v>0</v>
      </c>
      <c r="AG87" s="890">
        <f t="shared" si="423"/>
        <v>0</v>
      </c>
      <c r="AH87" s="890">
        <f t="shared" si="424"/>
        <v>0</v>
      </c>
      <c r="AI87" s="890">
        <f t="shared" si="425"/>
        <v>0</v>
      </c>
      <c r="AJ87" s="890">
        <f t="shared" si="426"/>
        <v>0</v>
      </c>
      <c r="AK87" s="890"/>
      <c r="AL87" s="890"/>
      <c r="AM87" s="890"/>
      <c r="AN87" s="890"/>
      <c r="AO87" s="890"/>
      <c r="AP87" s="890"/>
      <c r="AQ87" s="890">
        <f t="shared" si="427"/>
        <v>0</v>
      </c>
      <c r="AR87" s="890">
        <f t="shared" si="428"/>
        <v>0</v>
      </c>
      <c r="AS87" s="890">
        <f t="shared" si="429"/>
        <v>0</v>
      </c>
      <c r="AT87" s="1158"/>
      <c r="AU87" s="1158"/>
      <c r="AV87" s="1158"/>
      <c r="AW87" s="1158"/>
      <c r="AX87" s="1158"/>
      <c r="AY87" s="1158"/>
      <c r="AZ87" s="1158"/>
      <c r="BA87" s="891"/>
      <c r="BB87" s="8">
        <f t="shared" si="364"/>
        <v>0</v>
      </c>
      <c r="BD87" s="57"/>
      <c r="BE87" s="19"/>
      <c r="BF87" s="58"/>
      <c r="BG87" s="19"/>
    </row>
    <row r="88" spans="1:59" ht="14.25" hidden="1" customHeight="1">
      <c r="A88" s="884">
        <f t="shared" si="430"/>
        <v>7</v>
      </c>
      <c r="B88" s="885" t="s">
        <v>380</v>
      </c>
      <c r="C88" s="886">
        <v>40179</v>
      </c>
      <c r="D88" s="887">
        <v>20</v>
      </c>
      <c r="E88" s="888">
        <f>33310000*0</f>
        <v>0</v>
      </c>
      <c r="F88" s="889">
        <f t="shared" si="398"/>
        <v>0</v>
      </c>
      <c r="G88" s="889">
        <f t="shared" si="399"/>
        <v>0</v>
      </c>
      <c r="H88" s="890">
        <f t="shared" si="400"/>
        <v>0</v>
      </c>
      <c r="I88" s="890">
        <f t="shared" si="401"/>
        <v>0</v>
      </c>
      <c r="J88" s="890">
        <f t="shared" si="402"/>
        <v>0</v>
      </c>
      <c r="K88" s="890">
        <f t="shared" si="403"/>
        <v>0</v>
      </c>
      <c r="L88" s="890">
        <f t="shared" si="404"/>
        <v>0</v>
      </c>
      <c r="M88" s="890">
        <f t="shared" si="405"/>
        <v>0</v>
      </c>
      <c r="N88" s="890">
        <f t="shared" si="406"/>
        <v>0</v>
      </c>
      <c r="O88" s="890">
        <f t="shared" si="407"/>
        <v>0</v>
      </c>
      <c r="P88" s="890">
        <f t="shared" si="408"/>
        <v>0</v>
      </c>
      <c r="Q88" s="890">
        <f t="shared" si="409"/>
        <v>0</v>
      </c>
      <c r="R88" s="890">
        <f t="shared" si="410"/>
        <v>0</v>
      </c>
      <c r="S88" s="890">
        <f t="shared" si="411"/>
        <v>0</v>
      </c>
      <c r="T88" s="890">
        <f t="shared" si="412"/>
        <v>0</v>
      </c>
      <c r="U88" s="890">
        <f t="shared" si="413"/>
        <v>0</v>
      </c>
      <c r="V88" s="890">
        <f t="shared" si="414"/>
        <v>0</v>
      </c>
      <c r="W88" s="890">
        <f t="shared" si="415"/>
        <v>0</v>
      </c>
      <c r="X88" s="890">
        <f t="shared" si="416"/>
        <v>0</v>
      </c>
      <c r="Y88" s="890">
        <f t="shared" si="417"/>
        <v>0</v>
      </c>
      <c r="Z88" s="890">
        <f>6662000*0</f>
        <v>0</v>
      </c>
      <c r="AA88" s="890">
        <f t="shared" si="418"/>
        <v>0</v>
      </c>
      <c r="AB88" s="890">
        <f t="shared" si="419"/>
        <v>0</v>
      </c>
      <c r="AC88" s="890">
        <f t="shared" si="397"/>
        <v>0</v>
      </c>
      <c r="AD88" s="890">
        <f t="shared" si="420"/>
        <v>0</v>
      </c>
      <c r="AE88" s="890">
        <f t="shared" si="421"/>
        <v>0</v>
      </c>
      <c r="AF88" s="890">
        <f t="shared" si="422"/>
        <v>0</v>
      </c>
      <c r="AG88" s="890">
        <f t="shared" si="423"/>
        <v>0</v>
      </c>
      <c r="AH88" s="890">
        <f t="shared" si="424"/>
        <v>0</v>
      </c>
      <c r="AI88" s="890">
        <f t="shared" si="425"/>
        <v>0</v>
      </c>
      <c r="AJ88" s="890">
        <f t="shared" si="426"/>
        <v>0</v>
      </c>
      <c r="AK88" s="890"/>
      <c r="AL88" s="890"/>
      <c r="AM88" s="890"/>
      <c r="AN88" s="890"/>
      <c r="AO88" s="890"/>
      <c r="AP88" s="890"/>
      <c r="AQ88" s="890">
        <f t="shared" si="427"/>
        <v>0</v>
      </c>
      <c r="AR88" s="890">
        <f t="shared" si="428"/>
        <v>0</v>
      </c>
      <c r="AS88" s="890">
        <f t="shared" si="429"/>
        <v>0</v>
      </c>
      <c r="AT88" s="1158"/>
      <c r="AU88" s="1158"/>
      <c r="AV88" s="1158"/>
      <c r="AW88" s="1158"/>
      <c r="AX88" s="1158"/>
      <c r="AY88" s="1158"/>
      <c r="AZ88" s="1158"/>
      <c r="BA88" s="891"/>
      <c r="BB88" s="8">
        <f t="shared" si="364"/>
        <v>0</v>
      </c>
      <c r="BD88" s="57"/>
      <c r="BE88" s="19"/>
      <c r="BF88" s="58"/>
      <c r="BG88" s="19"/>
    </row>
    <row r="89" spans="1:59" ht="14.25" hidden="1" customHeight="1">
      <c r="A89" s="884">
        <f t="shared" si="430"/>
        <v>8</v>
      </c>
      <c r="B89" s="885" t="s">
        <v>381</v>
      </c>
      <c r="C89" s="886">
        <v>40179</v>
      </c>
      <c r="D89" s="887">
        <v>20</v>
      </c>
      <c r="E89" s="888">
        <f>25900000*0</f>
        <v>0</v>
      </c>
      <c r="F89" s="889">
        <f t="shared" si="398"/>
        <v>0</v>
      </c>
      <c r="G89" s="889">
        <f t="shared" si="399"/>
        <v>0</v>
      </c>
      <c r="H89" s="890">
        <f t="shared" si="400"/>
        <v>0</v>
      </c>
      <c r="I89" s="890">
        <f t="shared" si="401"/>
        <v>0</v>
      </c>
      <c r="J89" s="890">
        <f t="shared" si="402"/>
        <v>0</v>
      </c>
      <c r="K89" s="890">
        <f t="shared" si="403"/>
        <v>0</v>
      </c>
      <c r="L89" s="890">
        <f t="shared" si="404"/>
        <v>0</v>
      </c>
      <c r="M89" s="890">
        <f t="shared" si="405"/>
        <v>0</v>
      </c>
      <c r="N89" s="890">
        <f t="shared" si="406"/>
        <v>0</v>
      </c>
      <c r="O89" s="890">
        <f t="shared" si="407"/>
        <v>0</v>
      </c>
      <c r="P89" s="890">
        <f t="shared" si="408"/>
        <v>0</v>
      </c>
      <c r="Q89" s="890">
        <f t="shared" si="409"/>
        <v>0</v>
      </c>
      <c r="R89" s="890">
        <f t="shared" si="410"/>
        <v>0</v>
      </c>
      <c r="S89" s="890">
        <f t="shared" si="411"/>
        <v>0</v>
      </c>
      <c r="T89" s="890">
        <f t="shared" si="412"/>
        <v>0</v>
      </c>
      <c r="U89" s="890">
        <f t="shared" si="413"/>
        <v>0</v>
      </c>
      <c r="V89" s="890">
        <f t="shared" si="414"/>
        <v>0</v>
      </c>
      <c r="W89" s="890">
        <f t="shared" si="415"/>
        <v>0</v>
      </c>
      <c r="X89" s="890">
        <f t="shared" si="416"/>
        <v>0</v>
      </c>
      <c r="Y89" s="890">
        <f t="shared" si="417"/>
        <v>0</v>
      </c>
      <c r="Z89" s="890">
        <f>5180000*0</f>
        <v>0</v>
      </c>
      <c r="AA89" s="890">
        <f t="shared" si="418"/>
        <v>0</v>
      </c>
      <c r="AB89" s="890">
        <f t="shared" si="419"/>
        <v>0</v>
      </c>
      <c r="AC89" s="890">
        <f t="shared" si="397"/>
        <v>0</v>
      </c>
      <c r="AD89" s="890">
        <f t="shared" si="420"/>
        <v>0</v>
      </c>
      <c r="AE89" s="890">
        <f t="shared" si="421"/>
        <v>0</v>
      </c>
      <c r="AF89" s="890">
        <f t="shared" si="422"/>
        <v>0</v>
      </c>
      <c r="AG89" s="890">
        <f t="shared" si="423"/>
        <v>0</v>
      </c>
      <c r="AH89" s="890">
        <f t="shared" si="424"/>
        <v>0</v>
      </c>
      <c r="AI89" s="890">
        <f t="shared" si="425"/>
        <v>0</v>
      </c>
      <c r="AJ89" s="890">
        <f t="shared" si="426"/>
        <v>0</v>
      </c>
      <c r="AK89" s="890"/>
      <c r="AL89" s="890"/>
      <c r="AM89" s="890"/>
      <c r="AN89" s="890"/>
      <c r="AO89" s="890"/>
      <c r="AP89" s="890"/>
      <c r="AQ89" s="890">
        <f t="shared" si="427"/>
        <v>0</v>
      </c>
      <c r="AR89" s="890">
        <f t="shared" si="428"/>
        <v>0</v>
      </c>
      <c r="AS89" s="890">
        <f t="shared" si="429"/>
        <v>0</v>
      </c>
      <c r="AT89" s="1158"/>
      <c r="AU89" s="1158"/>
      <c r="AV89" s="1158"/>
      <c r="AW89" s="1158"/>
      <c r="AX89" s="1158"/>
      <c r="AY89" s="1158"/>
      <c r="AZ89" s="1158"/>
      <c r="BA89" s="891"/>
      <c r="BB89" s="8">
        <f t="shared" si="364"/>
        <v>0</v>
      </c>
      <c r="BD89" s="57"/>
      <c r="BE89" s="19"/>
      <c r="BF89" s="58"/>
      <c r="BG89" s="19"/>
    </row>
    <row r="90" spans="1:59" ht="14.25" hidden="1" customHeight="1">
      <c r="A90" s="884">
        <f t="shared" si="430"/>
        <v>9</v>
      </c>
      <c r="B90" s="885" t="s">
        <v>382</v>
      </c>
      <c r="C90" s="886">
        <v>41640</v>
      </c>
      <c r="D90" s="887">
        <v>20</v>
      </c>
      <c r="E90" s="888">
        <f>192220000*0</f>
        <v>0</v>
      </c>
      <c r="F90" s="889">
        <f t="shared" si="398"/>
        <v>0</v>
      </c>
      <c r="G90" s="889">
        <f t="shared" si="399"/>
        <v>0</v>
      </c>
      <c r="H90" s="890">
        <f t="shared" si="400"/>
        <v>0</v>
      </c>
      <c r="I90" s="890">
        <f t="shared" si="401"/>
        <v>0</v>
      </c>
      <c r="J90" s="890">
        <f t="shared" si="402"/>
        <v>0</v>
      </c>
      <c r="K90" s="890">
        <f t="shared" si="403"/>
        <v>0</v>
      </c>
      <c r="L90" s="890">
        <f t="shared" si="404"/>
        <v>0</v>
      </c>
      <c r="M90" s="890">
        <f t="shared" si="405"/>
        <v>0</v>
      </c>
      <c r="N90" s="890">
        <f t="shared" si="406"/>
        <v>0</v>
      </c>
      <c r="O90" s="890">
        <f t="shared" si="407"/>
        <v>0</v>
      </c>
      <c r="P90" s="890">
        <f t="shared" si="408"/>
        <v>0</v>
      </c>
      <c r="Q90" s="890">
        <f t="shared" si="409"/>
        <v>0</v>
      </c>
      <c r="R90" s="890">
        <f t="shared" si="410"/>
        <v>0</v>
      </c>
      <c r="S90" s="890">
        <f t="shared" si="411"/>
        <v>0</v>
      </c>
      <c r="T90" s="890">
        <f t="shared" si="412"/>
        <v>0</v>
      </c>
      <c r="U90" s="890">
        <f t="shared" si="413"/>
        <v>0</v>
      </c>
      <c r="V90" s="890">
        <f t="shared" si="414"/>
        <v>0</v>
      </c>
      <c r="W90" s="890">
        <f t="shared" si="415"/>
        <v>0</v>
      </c>
      <c r="X90" s="890">
        <f t="shared" si="416"/>
        <v>0</v>
      </c>
      <c r="Y90" s="890">
        <f t="shared" si="417"/>
        <v>0</v>
      </c>
      <c r="Z90" s="890">
        <f>38444000*0</f>
        <v>0</v>
      </c>
      <c r="AA90" s="890">
        <f t="shared" si="418"/>
        <v>0</v>
      </c>
      <c r="AB90" s="890">
        <f t="shared" si="419"/>
        <v>0</v>
      </c>
      <c r="AC90" s="890">
        <f t="shared" si="397"/>
        <v>0</v>
      </c>
      <c r="AD90" s="890">
        <f t="shared" si="420"/>
        <v>0</v>
      </c>
      <c r="AE90" s="890">
        <f t="shared" si="421"/>
        <v>0</v>
      </c>
      <c r="AF90" s="890">
        <f t="shared" si="422"/>
        <v>0</v>
      </c>
      <c r="AG90" s="890">
        <f t="shared" si="423"/>
        <v>0</v>
      </c>
      <c r="AH90" s="890">
        <f t="shared" si="424"/>
        <v>0</v>
      </c>
      <c r="AI90" s="890">
        <f t="shared" si="425"/>
        <v>0</v>
      </c>
      <c r="AJ90" s="890">
        <f t="shared" si="426"/>
        <v>0</v>
      </c>
      <c r="AK90" s="890"/>
      <c r="AL90" s="890"/>
      <c r="AM90" s="890"/>
      <c r="AN90" s="890"/>
      <c r="AO90" s="890"/>
      <c r="AP90" s="890"/>
      <c r="AQ90" s="890">
        <f t="shared" si="427"/>
        <v>0</v>
      </c>
      <c r="AR90" s="890">
        <f t="shared" si="428"/>
        <v>0</v>
      </c>
      <c r="AS90" s="890">
        <f t="shared" si="429"/>
        <v>0</v>
      </c>
      <c r="AT90" s="1158"/>
      <c r="AU90" s="1158"/>
      <c r="AV90" s="1158"/>
      <c r="AW90" s="1158"/>
      <c r="AX90" s="1158"/>
      <c r="AY90" s="1158"/>
      <c r="AZ90" s="1158"/>
      <c r="BA90" s="891"/>
      <c r="BB90" s="8">
        <f t="shared" si="364"/>
        <v>0</v>
      </c>
      <c r="BD90" s="57"/>
      <c r="BE90" s="19"/>
      <c r="BF90" s="58"/>
      <c r="BG90" s="19"/>
    </row>
    <row r="91" spans="1:59" ht="14.25" hidden="1" customHeight="1">
      <c r="A91" s="884">
        <f t="shared" si="430"/>
        <v>10</v>
      </c>
      <c r="B91" s="885" t="s">
        <v>383</v>
      </c>
      <c r="C91" s="886">
        <v>40179</v>
      </c>
      <c r="D91" s="887">
        <v>20</v>
      </c>
      <c r="E91" s="888">
        <f>691030000*0</f>
        <v>0</v>
      </c>
      <c r="F91" s="889">
        <f t="shared" si="398"/>
        <v>0</v>
      </c>
      <c r="G91" s="889">
        <f t="shared" si="399"/>
        <v>0</v>
      </c>
      <c r="H91" s="890">
        <f t="shared" si="400"/>
        <v>0</v>
      </c>
      <c r="I91" s="890">
        <f t="shared" si="401"/>
        <v>0</v>
      </c>
      <c r="J91" s="890">
        <f t="shared" si="402"/>
        <v>0</v>
      </c>
      <c r="K91" s="890">
        <f t="shared" si="403"/>
        <v>0</v>
      </c>
      <c r="L91" s="890">
        <f t="shared" si="404"/>
        <v>0</v>
      </c>
      <c r="M91" s="890">
        <f t="shared" si="405"/>
        <v>0</v>
      </c>
      <c r="N91" s="890">
        <f t="shared" si="406"/>
        <v>0</v>
      </c>
      <c r="O91" s="890">
        <f t="shared" si="407"/>
        <v>0</v>
      </c>
      <c r="P91" s="890">
        <f t="shared" si="408"/>
        <v>0</v>
      </c>
      <c r="Q91" s="890">
        <f t="shared" si="409"/>
        <v>0</v>
      </c>
      <c r="R91" s="890">
        <f t="shared" si="410"/>
        <v>0</v>
      </c>
      <c r="S91" s="890">
        <f t="shared" si="411"/>
        <v>0</v>
      </c>
      <c r="T91" s="890">
        <f t="shared" si="412"/>
        <v>0</v>
      </c>
      <c r="U91" s="890">
        <f t="shared" si="413"/>
        <v>0</v>
      </c>
      <c r="V91" s="890">
        <f t="shared" si="414"/>
        <v>0</v>
      </c>
      <c r="W91" s="890">
        <f t="shared" si="415"/>
        <v>0</v>
      </c>
      <c r="X91" s="890">
        <f t="shared" si="416"/>
        <v>0</v>
      </c>
      <c r="Y91" s="890">
        <f t="shared" si="417"/>
        <v>0</v>
      </c>
      <c r="Z91" s="890">
        <f>138206000*0</f>
        <v>0</v>
      </c>
      <c r="AA91" s="890">
        <f t="shared" si="418"/>
        <v>0</v>
      </c>
      <c r="AB91" s="890">
        <f t="shared" si="419"/>
        <v>0</v>
      </c>
      <c r="AC91" s="890">
        <f t="shared" si="397"/>
        <v>0</v>
      </c>
      <c r="AD91" s="890">
        <f t="shared" si="420"/>
        <v>0</v>
      </c>
      <c r="AE91" s="890">
        <f t="shared" si="421"/>
        <v>0</v>
      </c>
      <c r="AF91" s="890">
        <f t="shared" si="422"/>
        <v>0</v>
      </c>
      <c r="AG91" s="890">
        <f t="shared" si="423"/>
        <v>0</v>
      </c>
      <c r="AH91" s="890">
        <f t="shared" si="424"/>
        <v>0</v>
      </c>
      <c r="AI91" s="890">
        <f t="shared" si="425"/>
        <v>0</v>
      </c>
      <c r="AJ91" s="890">
        <f t="shared" si="426"/>
        <v>0</v>
      </c>
      <c r="AK91" s="890"/>
      <c r="AL91" s="890"/>
      <c r="AM91" s="890"/>
      <c r="AN91" s="890"/>
      <c r="AO91" s="890"/>
      <c r="AP91" s="890"/>
      <c r="AQ91" s="890">
        <f t="shared" si="427"/>
        <v>0</v>
      </c>
      <c r="AR91" s="890">
        <f t="shared" si="428"/>
        <v>0</v>
      </c>
      <c r="AS91" s="890">
        <f t="shared" si="429"/>
        <v>0</v>
      </c>
      <c r="AT91" s="1158"/>
      <c r="AU91" s="1158"/>
      <c r="AV91" s="1158"/>
      <c r="AW91" s="1158"/>
      <c r="AX91" s="1158"/>
      <c r="AY91" s="1158"/>
      <c r="AZ91" s="1158"/>
      <c r="BA91" s="891"/>
      <c r="BB91" s="8">
        <f t="shared" si="364"/>
        <v>0</v>
      </c>
      <c r="BD91" s="57"/>
      <c r="BE91" s="19"/>
      <c r="BF91" s="58"/>
      <c r="BG91" s="19"/>
    </row>
    <row r="92" spans="1:59" ht="14.25" hidden="1" customHeight="1">
      <c r="A92" s="884">
        <f t="shared" si="430"/>
        <v>11</v>
      </c>
      <c r="B92" s="885" t="s">
        <v>384</v>
      </c>
      <c r="C92" s="886">
        <v>40179</v>
      </c>
      <c r="D92" s="887">
        <v>20</v>
      </c>
      <c r="E92" s="888">
        <f>62480000*0</f>
        <v>0</v>
      </c>
      <c r="F92" s="889">
        <f t="shared" si="398"/>
        <v>0</v>
      </c>
      <c r="G92" s="889">
        <f t="shared" si="399"/>
        <v>0</v>
      </c>
      <c r="H92" s="890">
        <f t="shared" si="400"/>
        <v>0</v>
      </c>
      <c r="I92" s="890">
        <f t="shared" si="401"/>
        <v>0</v>
      </c>
      <c r="J92" s="890">
        <f t="shared" si="402"/>
        <v>0</v>
      </c>
      <c r="K92" s="890">
        <f t="shared" si="403"/>
        <v>0</v>
      </c>
      <c r="L92" s="890">
        <f t="shared" si="404"/>
        <v>0</v>
      </c>
      <c r="M92" s="890">
        <f t="shared" si="405"/>
        <v>0</v>
      </c>
      <c r="N92" s="890">
        <f t="shared" si="406"/>
        <v>0</v>
      </c>
      <c r="O92" s="890">
        <f t="shared" si="407"/>
        <v>0</v>
      </c>
      <c r="P92" s="890">
        <f t="shared" si="408"/>
        <v>0</v>
      </c>
      <c r="Q92" s="890">
        <f t="shared" si="409"/>
        <v>0</v>
      </c>
      <c r="R92" s="890">
        <f t="shared" si="410"/>
        <v>0</v>
      </c>
      <c r="S92" s="890">
        <f t="shared" si="411"/>
        <v>0</v>
      </c>
      <c r="T92" s="890">
        <f t="shared" si="412"/>
        <v>0</v>
      </c>
      <c r="U92" s="890">
        <f t="shared" si="413"/>
        <v>0</v>
      </c>
      <c r="V92" s="890">
        <f t="shared" si="414"/>
        <v>0</v>
      </c>
      <c r="W92" s="890">
        <f t="shared" si="415"/>
        <v>0</v>
      </c>
      <c r="X92" s="890">
        <f t="shared" si="416"/>
        <v>0</v>
      </c>
      <c r="Y92" s="890">
        <f t="shared" si="417"/>
        <v>0</v>
      </c>
      <c r="Z92" s="890">
        <f>12496000*0</f>
        <v>0</v>
      </c>
      <c r="AA92" s="890">
        <f t="shared" si="418"/>
        <v>0</v>
      </c>
      <c r="AB92" s="890">
        <f t="shared" si="419"/>
        <v>0</v>
      </c>
      <c r="AC92" s="890">
        <f t="shared" si="397"/>
        <v>0</v>
      </c>
      <c r="AD92" s="890">
        <f t="shared" si="420"/>
        <v>0</v>
      </c>
      <c r="AE92" s="890">
        <f t="shared" si="421"/>
        <v>0</v>
      </c>
      <c r="AF92" s="890">
        <f t="shared" si="422"/>
        <v>0</v>
      </c>
      <c r="AG92" s="890">
        <f t="shared" si="423"/>
        <v>0</v>
      </c>
      <c r="AH92" s="890">
        <f t="shared" si="424"/>
        <v>0</v>
      </c>
      <c r="AI92" s="890">
        <f t="shared" si="425"/>
        <v>0</v>
      </c>
      <c r="AJ92" s="890">
        <f t="shared" si="426"/>
        <v>0</v>
      </c>
      <c r="AK92" s="890"/>
      <c r="AL92" s="890"/>
      <c r="AM92" s="890"/>
      <c r="AN92" s="890"/>
      <c r="AO92" s="890"/>
      <c r="AP92" s="890"/>
      <c r="AQ92" s="890">
        <f t="shared" si="427"/>
        <v>0</v>
      </c>
      <c r="AR92" s="890">
        <f t="shared" si="428"/>
        <v>0</v>
      </c>
      <c r="AS92" s="890">
        <f t="shared" si="429"/>
        <v>0</v>
      </c>
      <c r="AT92" s="1158"/>
      <c r="AU92" s="1158"/>
      <c r="AV92" s="1158"/>
      <c r="AW92" s="1158"/>
      <c r="AX92" s="1158"/>
      <c r="AY92" s="1158"/>
      <c r="AZ92" s="1158"/>
      <c r="BA92" s="891"/>
      <c r="BB92" s="8">
        <f t="shared" si="364"/>
        <v>0</v>
      </c>
      <c r="BD92" s="57"/>
      <c r="BE92" s="19"/>
      <c r="BF92" s="58"/>
      <c r="BG92" s="19"/>
    </row>
    <row r="93" spans="1:59" ht="14.25" hidden="1" customHeight="1">
      <c r="A93" s="884">
        <f t="shared" si="430"/>
        <v>12</v>
      </c>
      <c r="B93" s="885" t="s">
        <v>385</v>
      </c>
      <c r="C93" s="886">
        <v>40544</v>
      </c>
      <c r="D93" s="887">
        <v>20</v>
      </c>
      <c r="E93" s="888">
        <f>494980000*0</f>
        <v>0</v>
      </c>
      <c r="F93" s="889">
        <f t="shared" si="398"/>
        <v>0</v>
      </c>
      <c r="G93" s="889">
        <f t="shared" si="399"/>
        <v>0</v>
      </c>
      <c r="H93" s="890">
        <f t="shared" si="400"/>
        <v>0</v>
      </c>
      <c r="I93" s="890">
        <f t="shared" si="401"/>
        <v>0</v>
      </c>
      <c r="J93" s="890">
        <f t="shared" si="402"/>
        <v>0</v>
      </c>
      <c r="K93" s="890">
        <f t="shared" si="403"/>
        <v>0</v>
      </c>
      <c r="L93" s="890">
        <f t="shared" si="404"/>
        <v>0</v>
      </c>
      <c r="M93" s="890">
        <f t="shared" si="405"/>
        <v>0</v>
      </c>
      <c r="N93" s="890">
        <f t="shared" si="406"/>
        <v>0</v>
      </c>
      <c r="O93" s="890">
        <f t="shared" si="407"/>
        <v>0</v>
      </c>
      <c r="P93" s="890">
        <f t="shared" si="408"/>
        <v>0</v>
      </c>
      <c r="Q93" s="890">
        <f t="shared" si="409"/>
        <v>0</v>
      </c>
      <c r="R93" s="890">
        <f t="shared" si="410"/>
        <v>0</v>
      </c>
      <c r="S93" s="890">
        <f t="shared" si="411"/>
        <v>0</v>
      </c>
      <c r="T93" s="890">
        <f t="shared" si="412"/>
        <v>0</v>
      </c>
      <c r="U93" s="890">
        <f t="shared" si="413"/>
        <v>0</v>
      </c>
      <c r="V93" s="890">
        <f t="shared" si="414"/>
        <v>0</v>
      </c>
      <c r="W93" s="890">
        <f t="shared" si="415"/>
        <v>0</v>
      </c>
      <c r="X93" s="890">
        <f t="shared" si="416"/>
        <v>0</v>
      </c>
      <c r="Y93" s="890">
        <f t="shared" si="417"/>
        <v>0</v>
      </c>
      <c r="Z93" s="890">
        <f>98996000*0</f>
        <v>0</v>
      </c>
      <c r="AA93" s="890">
        <f t="shared" si="418"/>
        <v>0</v>
      </c>
      <c r="AB93" s="890">
        <f t="shared" si="419"/>
        <v>0</v>
      </c>
      <c r="AC93" s="890">
        <f t="shared" si="397"/>
        <v>0</v>
      </c>
      <c r="AD93" s="890">
        <f t="shared" si="420"/>
        <v>0</v>
      </c>
      <c r="AE93" s="890">
        <f t="shared" si="421"/>
        <v>0</v>
      </c>
      <c r="AF93" s="890">
        <f t="shared" si="422"/>
        <v>0</v>
      </c>
      <c r="AG93" s="890">
        <f t="shared" si="423"/>
        <v>0</v>
      </c>
      <c r="AH93" s="890">
        <f t="shared" si="424"/>
        <v>0</v>
      </c>
      <c r="AI93" s="890">
        <f t="shared" si="425"/>
        <v>0</v>
      </c>
      <c r="AJ93" s="890">
        <f t="shared" si="426"/>
        <v>0</v>
      </c>
      <c r="AK93" s="890"/>
      <c r="AL93" s="890"/>
      <c r="AM93" s="890"/>
      <c r="AN93" s="890"/>
      <c r="AO93" s="890"/>
      <c r="AP93" s="890"/>
      <c r="AQ93" s="890">
        <f t="shared" si="427"/>
        <v>0</v>
      </c>
      <c r="AR93" s="890">
        <f t="shared" si="428"/>
        <v>0</v>
      </c>
      <c r="AS93" s="890">
        <f t="shared" si="429"/>
        <v>0</v>
      </c>
      <c r="AT93" s="1158"/>
      <c r="AU93" s="1158"/>
      <c r="AV93" s="1158"/>
      <c r="AW93" s="1158"/>
      <c r="AX93" s="1158"/>
      <c r="AY93" s="1158"/>
      <c r="AZ93" s="1158"/>
      <c r="BA93" s="891"/>
      <c r="BB93" s="8">
        <f t="shared" si="364"/>
        <v>0</v>
      </c>
      <c r="BD93" s="57"/>
      <c r="BE93" s="19"/>
      <c r="BF93" s="58"/>
      <c r="BG93" s="19"/>
    </row>
    <row r="94" spans="1:59" ht="14.25" hidden="1" customHeight="1">
      <c r="A94" s="884">
        <f t="shared" si="430"/>
        <v>13</v>
      </c>
      <c r="B94" s="885" t="s">
        <v>313</v>
      </c>
      <c r="C94" s="886">
        <v>41640</v>
      </c>
      <c r="D94" s="887">
        <v>20</v>
      </c>
      <c r="E94" s="888">
        <f>82150000*0</f>
        <v>0</v>
      </c>
      <c r="F94" s="889">
        <f t="shared" si="398"/>
        <v>0</v>
      </c>
      <c r="G94" s="889">
        <f t="shared" si="399"/>
        <v>0</v>
      </c>
      <c r="H94" s="890">
        <f t="shared" si="400"/>
        <v>0</v>
      </c>
      <c r="I94" s="890">
        <f t="shared" si="401"/>
        <v>0</v>
      </c>
      <c r="J94" s="890">
        <f t="shared" si="402"/>
        <v>0</v>
      </c>
      <c r="K94" s="890">
        <f t="shared" si="403"/>
        <v>0</v>
      </c>
      <c r="L94" s="890">
        <f t="shared" si="404"/>
        <v>0</v>
      </c>
      <c r="M94" s="890">
        <f t="shared" si="405"/>
        <v>0</v>
      </c>
      <c r="N94" s="890">
        <f t="shared" si="406"/>
        <v>0</v>
      </c>
      <c r="O94" s="890">
        <f t="shared" si="407"/>
        <v>0</v>
      </c>
      <c r="P94" s="890">
        <f t="shared" si="408"/>
        <v>0</v>
      </c>
      <c r="Q94" s="890">
        <f t="shared" si="409"/>
        <v>0</v>
      </c>
      <c r="R94" s="890">
        <f t="shared" si="410"/>
        <v>0</v>
      </c>
      <c r="S94" s="890">
        <f t="shared" si="411"/>
        <v>0</v>
      </c>
      <c r="T94" s="890">
        <f t="shared" si="412"/>
        <v>0</v>
      </c>
      <c r="U94" s="890">
        <f t="shared" si="413"/>
        <v>0</v>
      </c>
      <c r="V94" s="890">
        <f t="shared" si="414"/>
        <v>0</v>
      </c>
      <c r="W94" s="890">
        <f t="shared" si="415"/>
        <v>0</v>
      </c>
      <c r="X94" s="890">
        <f t="shared" si="416"/>
        <v>0</v>
      </c>
      <c r="Y94" s="890">
        <f t="shared" si="417"/>
        <v>0</v>
      </c>
      <c r="Z94" s="890">
        <f>16430000*0</f>
        <v>0</v>
      </c>
      <c r="AA94" s="890">
        <f t="shared" si="418"/>
        <v>0</v>
      </c>
      <c r="AB94" s="890">
        <f t="shared" si="419"/>
        <v>0</v>
      </c>
      <c r="AC94" s="890">
        <f t="shared" si="397"/>
        <v>0</v>
      </c>
      <c r="AD94" s="890">
        <f t="shared" si="420"/>
        <v>0</v>
      </c>
      <c r="AE94" s="890">
        <f t="shared" si="421"/>
        <v>0</v>
      </c>
      <c r="AF94" s="890">
        <f t="shared" si="422"/>
        <v>0</v>
      </c>
      <c r="AG94" s="890">
        <f t="shared" si="423"/>
        <v>0</v>
      </c>
      <c r="AH94" s="890">
        <f t="shared" si="424"/>
        <v>0</v>
      </c>
      <c r="AI94" s="890">
        <f t="shared" si="425"/>
        <v>0</v>
      </c>
      <c r="AJ94" s="890">
        <f t="shared" si="426"/>
        <v>0</v>
      </c>
      <c r="AK94" s="890"/>
      <c r="AL94" s="890"/>
      <c r="AM94" s="890"/>
      <c r="AN94" s="890"/>
      <c r="AO94" s="890"/>
      <c r="AP94" s="890"/>
      <c r="AQ94" s="890">
        <f t="shared" si="427"/>
        <v>0</v>
      </c>
      <c r="AR94" s="890">
        <f t="shared" si="428"/>
        <v>0</v>
      </c>
      <c r="AS94" s="890">
        <f t="shared" si="429"/>
        <v>0</v>
      </c>
      <c r="AT94" s="1158"/>
      <c r="AU94" s="1158"/>
      <c r="AV94" s="1158"/>
      <c r="AW94" s="1158"/>
      <c r="AX94" s="1158"/>
      <c r="AY94" s="1158"/>
      <c r="AZ94" s="1158"/>
      <c r="BA94" s="891"/>
      <c r="BB94" s="8">
        <f t="shared" si="364"/>
        <v>0</v>
      </c>
      <c r="BD94" s="57"/>
      <c r="BE94" s="19"/>
      <c r="BF94" s="58"/>
      <c r="BG94" s="19"/>
    </row>
    <row r="95" spans="1:59" ht="14.25" hidden="1" customHeight="1">
      <c r="A95" s="884">
        <f t="shared" si="430"/>
        <v>14</v>
      </c>
      <c r="B95" s="885" t="s">
        <v>386</v>
      </c>
      <c r="C95" s="886">
        <v>41640</v>
      </c>
      <c r="D95" s="887">
        <v>20</v>
      </c>
      <c r="E95" s="888">
        <f>6340000*0</f>
        <v>0</v>
      </c>
      <c r="F95" s="889">
        <f t="shared" si="398"/>
        <v>0</v>
      </c>
      <c r="G95" s="889">
        <f t="shared" si="399"/>
        <v>0</v>
      </c>
      <c r="H95" s="890">
        <f t="shared" si="400"/>
        <v>0</v>
      </c>
      <c r="I95" s="890">
        <f t="shared" si="401"/>
        <v>0</v>
      </c>
      <c r="J95" s="890">
        <f t="shared" si="402"/>
        <v>0</v>
      </c>
      <c r="K95" s="890">
        <f t="shared" si="403"/>
        <v>0</v>
      </c>
      <c r="L95" s="890">
        <f t="shared" si="404"/>
        <v>0</v>
      </c>
      <c r="M95" s="890">
        <f t="shared" si="405"/>
        <v>0</v>
      </c>
      <c r="N95" s="890">
        <f t="shared" si="406"/>
        <v>0</v>
      </c>
      <c r="O95" s="890">
        <f t="shared" si="407"/>
        <v>0</v>
      </c>
      <c r="P95" s="890">
        <f t="shared" si="408"/>
        <v>0</v>
      </c>
      <c r="Q95" s="890">
        <f t="shared" si="409"/>
        <v>0</v>
      </c>
      <c r="R95" s="890">
        <f t="shared" si="410"/>
        <v>0</v>
      </c>
      <c r="S95" s="890">
        <f t="shared" si="411"/>
        <v>0</v>
      </c>
      <c r="T95" s="890">
        <f t="shared" si="412"/>
        <v>0</v>
      </c>
      <c r="U95" s="890">
        <f t="shared" si="413"/>
        <v>0</v>
      </c>
      <c r="V95" s="890">
        <f t="shared" si="414"/>
        <v>0</v>
      </c>
      <c r="W95" s="890">
        <f t="shared" si="415"/>
        <v>0</v>
      </c>
      <c r="X95" s="890">
        <f t="shared" si="416"/>
        <v>0</v>
      </c>
      <c r="Y95" s="890">
        <f t="shared" si="417"/>
        <v>0</v>
      </c>
      <c r="Z95" s="890">
        <f>1268000*0</f>
        <v>0</v>
      </c>
      <c r="AA95" s="890">
        <f t="shared" si="418"/>
        <v>0</v>
      </c>
      <c r="AB95" s="890">
        <f t="shared" si="419"/>
        <v>0</v>
      </c>
      <c r="AC95" s="890">
        <f t="shared" si="397"/>
        <v>0</v>
      </c>
      <c r="AD95" s="890">
        <f t="shared" si="420"/>
        <v>0</v>
      </c>
      <c r="AE95" s="890">
        <f t="shared" si="421"/>
        <v>0</v>
      </c>
      <c r="AF95" s="890">
        <f t="shared" si="422"/>
        <v>0</v>
      </c>
      <c r="AG95" s="890">
        <f t="shared" si="423"/>
        <v>0</v>
      </c>
      <c r="AH95" s="890">
        <f t="shared" si="424"/>
        <v>0</v>
      </c>
      <c r="AI95" s="890">
        <f t="shared" si="425"/>
        <v>0</v>
      </c>
      <c r="AJ95" s="890">
        <f t="shared" si="426"/>
        <v>0</v>
      </c>
      <c r="AK95" s="890"/>
      <c r="AL95" s="890"/>
      <c r="AM95" s="890"/>
      <c r="AN95" s="890"/>
      <c r="AO95" s="890"/>
      <c r="AP95" s="890"/>
      <c r="AQ95" s="890">
        <f t="shared" si="427"/>
        <v>0</v>
      </c>
      <c r="AR95" s="890">
        <f t="shared" si="428"/>
        <v>0</v>
      </c>
      <c r="AS95" s="890">
        <f t="shared" si="429"/>
        <v>0</v>
      </c>
      <c r="AT95" s="1158"/>
      <c r="AU95" s="1158"/>
      <c r="AV95" s="1158"/>
      <c r="AW95" s="1158"/>
      <c r="AX95" s="1158"/>
      <c r="AY95" s="1158"/>
      <c r="AZ95" s="1158"/>
      <c r="BA95" s="891"/>
      <c r="BB95" s="8">
        <f t="shared" si="364"/>
        <v>0</v>
      </c>
      <c r="BD95" s="57"/>
      <c r="BE95" s="19"/>
      <c r="BF95" s="58"/>
      <c r="BG95" s="19"/>
    </row>
    <row r="96" spans="1:59" ht="14.25" hidden="1" customHeight="1">
      <c r="A96" s="884">
        <f t="shared" si="430"/>
        <v>15</v>
      </c>
      <c r="B96" s="885" t="s">
        <v>387</v>
      </c>
      <c r="C96" s="886">
        <v>40179</v>
      </c>
      <c r="D96" s="887">
        <v>20</v>
      </c>
      <c r="E96" s="888">
        <f>505220000*0</f>
        <v>0</v>
      </c>
      <c r="F96" s="889">
        <f t="shared" si="398"/>
        <v>0</v>
      </c>
      <c r="G96" s="889">
        <f t="shared" si="399"/>
        <v>0</v>
      </c>
      <c r="H96" s="890">
        <f t="shared" si="400"/>
        <v>0</v>
      </c>
      <c r="I96" s="890">
        <f t="shared" si="401"/>
        <v>0</v>
      </c>
      <c r="J96" s="890">
        <f t="shared" si="402"/>
        <v>0</v>
      </c>
      <c r="K96" s="890">
        <f t="shared" si="403"/>
        <v>0</v>
      </c>
      <c r="L96" s="890">
        <f t="shared" si="404"/>
        <v>0</v>
      </c>
      <c r="M96" s="890">
        <f t="shared" si="405"/>
        <v>0</v>
      </c>
      <c r="N96" s="890">
        <f t="shared" si="406"/>
        <v>0</v>
      </c>
      <c r="O96" s="890">
        <f t="shared" si="407"/>
        <v>0</v>
      </c>
      <c r="P96" s="890">
        <f t="shared" si="408"/>
        <v>0</v>
      </c>
      <c r="Q96" s="890">
        <f t="shared" si="409"/>
        <v>0</v>
      </c>
      <c r="R96" s="890">
        <f t="shared" si="410"/>
        <v>0</v>
      </c>
      <c r="S96" s="890">
        <f t="shared" si="411"/>
        <v>0</v>
      </c>
      <c r="T96" s="890">
        <f t="shared" si="412"/>
        <v>0</v>
      </c>
      <c r="U96" s="890">
        <f t="shared" si="413"/>
        <v>0</v>
      </c>
      <c r="V96" s="890">
        <f t="shared" si="414"/>
        <v>0</v>
      </c>
      <c r="W96" s="890">
        <f t="shared" si="415"/>
        <v>0</v>
      </c>
      <c r="X96" s="890">
        <f t="shared" si="416"/>
        <v>0</v>
      </c>
      <c r="Y96" s="890">
        <f t="shared" si="417"/>
        <v>0</v>
      </c>
      <c r="Z96" s="890">
        <f>101044000*0</f>
        <v>0</v>
      </c>
      <c r="AA96" s="890">
        <f t="shared" si="418"/>
        <v>0</v>
      </c>
      <c r="AB96" s="890">
        <f t="shared" si="419"/>
        <v>0</v>
      </c>
      <c r="AC96" s="890">
        <f t="shared" si="397"/>
        <v>0</v>
      </c>
      <c r="AD96" s="890">
        <f t="shared" si="420"/>
        <v>0</v>
      </c>
      <c r="AE96" s="890">
        <f t="shared" si="421"/>
        <v>0</v>
      </c>
      <c r="AF96" s="890">
        <f t="shared" si="422"/>
        <v>0</v>
      </c>
      <c r="AG96" s="890">
        <f t="shared" si="423"/>
        <v>0</v>
      </c>
      <c r="AH96" s="890">
        <f t="shared" si="424"/>
        <v>0</v>
      </c>
      <c r="AI96" s="890">
        <f t="shared" si="425"/>
        <v>0</v>
      </c>
      <c r="AJ96" s="890">
        <f t="shared" si="426"/>
        <v>0</v>
      </c>
      <c r="AK96" s="890"/>
      <c r="AL96" s="890"/>
      <c r="AM96" s="890"/>
      <c r="AN96" s="890"/>
      <c r="AO96" s="890"/>
      <c r="AP96" s="890"/>
      <c r="AQ96" s="890">
        <f t="shared" si="427"/>
        <v>0</v>
      </c>
      <c r="AR96" s="890">
        <f t="shared" si="428"/>
        <v>0</v>
      </c>
      <c r="AS96" s="890">
        <f t="shared" si="429"/>
        <v>0</v>
      </c>
      <c r="AT96" s="1158"/>
      <c r="AU96" s="1158"/>
      <c r="AV96" s="1158"/>
      <c r="AW96" s="1158"/>
      <c r="AX96" s="1158"/>
      <c r="AY96" s="1158"/>
      <c r="AZ96" s="1158"/>
      <c r="BA96" s="891"/>
      <c r="BB96" s="8">
        <f t="shared" si="364"/>
        <v>0</v>
      </c>
      <c r="BD96" s="57"/>
      <c r="BE96" s="19"/>
      <c r="BF96" s="58"/>
      <c r="BG96" s="19"/>
    </row>
    <row r="97" spans="1:59" ht="14.25" hidden="1" customHeight="1">
      <c r="A97" s="884">
        <f t="shared" si="430"/>
        <v>16</v>
      </c>
      <c r="B97" s="885" t="s">
        <v>388</v>
      </c>
      <c r="C97" s="886">
        <v>40179</v>
      </c>
      <c r="D97" s="887">
        <v>20</v>
      </c>
      <c r="E97" s="888">
        <f>144000000*0</f>
        <v>0</v>
      </c>
      <c r="F97" s="889">
        <f t="shared" si="398"/>
        <v>0</v>
      </c>
      <c r="G97" s="889">
        <f t="shared" si="399"/>
        <v>0</v>
      </c>
      <c r="H97" s="890">
        <f>((F97/12)*(13-IF(C97="","",MONTH(C97))))*4</f>
        <v>0</v>
      </c>
      <c r="I97" s="890">
        <f t="shared" si="401"/>
        <v>0</v>
      </c>
      <c r="J97" s="890">
        <f t="shared" si="402"/>
        <v>0</v>
      </c>
      <c r="K97" s="890">
        <f t="shared" si="403"/>
        <v>0</v>
      </c>
      <c r="L97" s="890">
        <f t="shared" si="404"/>
        <v>0</v>
      </c>
      <c r="M97" s="890">
        <f t="shared" si="405"/>
        <v>0</v>
      </c>
      <c r="N97" s="890">
        <f t="shared" si="406"/>
        <v>0</v>
      </c>
      <c r="O97" s="890">
        <f t="shared" si="407"/>
        <v>0</v>
      </c>
      <c r="P97" s="890">
        <f t="shared" si="408"/>
        <v>0</v>
      </c>
      <c r="Q97" s="890">
        <f t="shared" si="409"/>
        <v>0</v>
      </c>
      <c r="R97" s="890">
        <f t="shared" si="410"/>
        <v>0</v>
      </c>
      <c r="S97" s="890">
        <f t="shared" si="411"/>
        <v>0</v>
      </c>
      <c r="T97" s="890">
        <f t="shared" si="412"/>
        <v>0</v>
      </c>
      <c r="U97" s="890">
        <f t="shared" si="413"/>
        <v>0</v>
      </c>
      <c r="V97" s="890">
        <f t="shared" si="414"/>
        <v>0</v>
      </c>
      <c r="W97" s="890">
        <f t="shared" si="415"/>
        <v>0</v>
      </c>
      <c r="X97" s="890">
        <f t="shared" si="416"/>
        <v>0</v>
      </c>
      <c r="Y97" s="890">
        <f t="shared" si="417"/>
        <v>0</v>
      </c>
      <c r="Z97" s="890">
        <f>28800000*0</f>
        <v>0</v>
      </c>
      <c r="AA97" s="890">
        <f t="shared" si="418"/>
        <v>0</v>
      </c>
      <c r="AB97" s="890">
        <f t="shared" si="419"/>
        <v>0</v>
      </c>
      <c r="AC97" s="890">
        <f t="shared" si="397"/>
        <v>0</v>
      </c>
      <c r="AD97" s="890">
        <f t="shared" si="420"/>
        <v>0</v>
      </c>
      <c r="AE97" s="890">
        <f t="shared" si="421"/>
        <v>0</v>
      </c>
      <c r="AF97" s="890">
        <f t="shared" si="422"/>
        <v>0</v>
      </c>
      <c r="AG97" s="890">
        <f t="shared" si="423"/>
        <v>0</v>
      </c>
      <c r="AH97" s="890">
        <f t="shared" si="424"/>
        <v>0</v>
      </c>
      <c r="AI97" s="890">
        <f t="shared" si="425"/>
        <v>0</v>
      </c>
      <c r="AJ97" s="890">
        <f t="shared" si="426"/>
        <v>0</v>
      </c>
      <c r="AK97" s="890"/>
      <c r="AL97" s="890"/>
      <c r="AM97" s="890"/>
      <c r="AN97" s="890"/>
      <c r="AO97" s="890"/>
      <c r="AP97" s="890"/>
      <c r="AQ97" s="890">
        <f t="shared" si="427"/>
        <v>0</v>
      </c>
      <c r="AR97" s="890">
        <f t="shared" si="428"/>
        <v>0</v>
      </c>
      <c r="AS97" s="890">
        <f t="shared" si="429"/>
        <v>0</v>
      </c>
      <c r="AT97" s="1158"/>
      <c r="AU97" s="1158"/>
      <c r="AV97" s="1158"/>
      <c r="AW97" s="1158"/>
      <c r="AX97" s="1158"/>
      <c r="AY97" s="1158"/>
      <c r="AZ97" s="1158"/>
      <c r="BA97" s="891"/>
      <c r="BB97" s="8">
        <f t="shared" si="364"/>
        <v>0</v>
      </c>
      <c r="BD97" s="57"/>
      <c r="BE97" s="19"/>
      <c r="BF97" s="58"/>
      <c r="BG97" s="19"/>
    </row>
    <row r="98" spans="1:59" ht="14.25" hidden="1" customHeight="1">
      <c r="A98" s="884">
        <f t="shared" si="430"/>
        <v>17</v>
      </c>
      <c r="B98" s="885" t="s">
        <v>340</v>
      </c>
      <c r="C98" s="886">
        <v>41640</v>
      </c>
      <c r="D98" s="887">
        <v>20</v>
      </c>
      <c r="E98" s="888">
        <f>79900000*0</f>
        <v>0</v>
      </c>
      <c r="F98" s="889">
        <f t="shared" si="398"/>
        <v>0</v>
      </c>
      <c r="G98" s="889">
        <f t="shared" si="399"/>
        <v>0</v>
      </c>
      <c r="H98" s="890">
        <f>((F98/12)*(13-IF(C98="","",MONTH(C98))))*4</f>
        <v>0</v>
      </c>
      <c r="I98" s="890">
        <f t="shared" si="401"/>
        <v>0</v>
      </c>
      <c r="J98" s="890">
        <f t="shared" si="402"/>
        <v>0</v>
      </c>
      <c r="K98" s="890">
        <f t="shared" si="403"/>
        <v>0</v>
      </c>
      <c r="L98" s="890">
        <f t="shared" si="404"/>
        <v>0</v>
      </c>
      <c r="M98" s="890">
        <f t="shared" si="405"/>
        <v>0</v>
      </c>
      <c r="N98" s="890">
        <f t="shared" si="406"/>
        <v>0</v>
      </c>
      <c r="O98" s="890">
        <f t="shared" si="407"/>
        <v>0</v>
      </c>
      <c r="P98" s="890">
        <f t="shared" si="408"/>
        <v>0</v>
      </c>
      <c r="Q98" s="890">
        <f t="shared" si="409"/>
        <v>0</v>
      </c>
      <c r="R98" s="890">
        <f t="shared" si="410"/>
        <v>0</v>
      </c>
      <c r="S98" s="890">
        <f t="shared" si="411"/>
        <v>0</v>
      </c>
      <c r="T98" s="890">
        <f t="shared" si="412"/>
        <v>0</v>
      </c>
      <c r="U98" s="890">
        <f t="shared" si="413"/>
        <v>0</v>
      </c>
      <c r="V98" s="890">
        <f t="shared" si="414"/>
        <v>0</v>
      </c>
      <c r="W98" s="890">
        <f t="shared" si="415"/>
        <v>0</v>
      </c>
      <c r="X98" s="890">
        <f t="shared" si="416"/>
        <v>0</v>
      </c>
      <c r="Y98" s="890">
        <f t="shared" si="417"/>
        <v>0</v>
      </c>
      <c r="Z98" s="890">
        <f>15980000*0</f>
        <v>0</v>
      </c>
      <c r="AA98" s="890">
        <f t="shared" si="418"/>
        <v>0</v>
      </c>
      <c r="AB98" s="890">
        <f t="shared" si="419"/>
        <v>0</v>
      </c>
      <c r="AC98" s="890">
        <f t="shared" si="397"/>
        <v>0</v>
      </c>
      <c r="AD98" s="890">
        <f t="shared" si="420"/>
        <v>0</v>
      </c>
      <c r="AE98" s="890">
        <f t="shared" si="421"/>
        <v>0</v>
      </c>
      <c r="AF98" s="890">
        <f t="shared" si="422"/>
        <v>0</v>
      </c>
      <c r="AG98" s="890">
        <f t="shared" si="423"/>
        <v>0</v>
      </c>
      <c r="AH98" s="890">
        <f t="shared" si="424"/>
        <v>0</v>
      </c>
      <c r="AI98" s="890">
        <f t="shared" si="425"/>
        <v>0</v>
      </c>
      <c r="AJ98" s="890">
        <f t="shared" si="426"/>
        <v>0</v>
      </c>
      <c r="AK98" s="890"/>
      <c r="AL98" s="890"/>
      <c r="AM98" s="890"/>
      <c r="AN98" s="890"/>
      <c r="AO98" s="890"/>
      <c r="AP98" s="890"/>
      <c r="AQ98" s="890">
        <f t="shared" si="427"/>
        <v>0</v>
      </c>
      <c r="AR98" s="890">
        <f t="shared" si="428"/>
        <v>0</v>
      </c>
      <c r="AS98" s="890">
        <f t="shared" si="429"/>
        <v>0</v>
      </c>
      <c r="AT98" s="1158"/>
      <c r="AU98" s="1158"/>
      <c r="AV98" s="1158"/>
      <c r="AW98" s="1158"/>
      <c r="AX98" s="1158"/>
      <c r="AY98" s="1158"/>
      <c r="AZ98" s="1158"/>
      <c r="BA98" s="891"/>
      <c r="BB98" s="8">
        <f t="shared" si="364"/>
        <v>0</v>
      </c>
      <c r="BD98" s="57"/>
      <c r="BE98" s="19"/>
      <c r="BF98" s="58"/>
      <c r="BG98" s="19"/>
    </row>
    <row r="99" spans="1:59" ht="14.25" hidden="1" customHeight="1">
      <c r="A99" s="884">
        <f t="shared" si="430"/>
        <v>18</v>
      </c>
      <c r="B99" s="885" t="s">
        <v>389</v>
      </c>
      <c r="C99" s="886">
        <v>40179</v>
      </c>
      <c r="D99" s="887">
        <v>20</v>
      </c>
      <c r="E99" s="888">
        <f>514790000*0</f>
        <v>0</v>
      </c>
      <c r="F99" s="889">
        <f t="shared" si="398"/>
        <v>0</v>
      </c>
      <c r="G99" s="889">
        <f t="shared" si="399"/>
        <v>0</v>
      </c>
      <c r="H99" s="890">
        <f>((F99/12)*(13-IF(C99="","",MONTH(C99))))*3</f>
        <v>0</v>
      </c>
      <c r="I99" s="890">
        <f t="shared" si="401"/>
        <v>0</v>
      </c>
      <c r="J99" s="890">
        <f t="shared" si="402"/>
        <v>0</v>
      </c>
      <c r="K99" s="890">
        <f t="shared" si="403"/>
        <v>0</v>
      </c>
      <c r="L99" s="890">
        <f t="shared" si="404"/>
        <v>0</v>
      </c>
      <c r="M99" s="890">
        <f t="shared" si="405"/>
        <v>0</v>
      </c>
      <c r="N99" s="890">
        <f t="shared" si="406"/>
        <v>0</v>
      </c>
      <c r="O99" s="890">
        <f t="shared" si="407"/>
        <v>0</v>
      </c>
      <c r="P99" s="890">
        <f t="shared" si="408"/>
        <v>0</v>
      </c>
      <c r="Q99" s="890">
        <f t="shared" si="409"/>
        <v>0</v>
      </c>
      <c r="R99" s="890">
        <f t="shared" si="410"/>
        <v>0</v>
      </c>
      <c r="S99" s="890">
        <f t="shared" si="411"/>
        <v>0</v>
      </c>
      <c r="T99" s="890">
        <f t="shared" si="412"/>
        <v>0</v>
      </c>
      <c r="U99" s="890">
        <f t="shared" si="413"/>
        <v>0</v>
      </c>
      <c r="V99" s="890">
        <f t="shared" si="414"/>
        <v>0</v>
      </c>
      <c r="W99" s="890">
        <f t="shared" si="415"/>
        <v>0</v>
      </c>
      <c r="X99" s="890">
        <f t="shared" si="416"/>
        <v>0</v>
      </c>
      <c r="Y99" s="890">
        <f t="shared" si="417"/>
        <v>0</v>
      </c>
      <c r="Z99" s="890">
        <f>102958000*0</f>
        <v>0</v>
      </c>
      <c r="AA99" s="890">
        <f t="shared" si="418"/>
        <v>0</v>
      </c>
      <c r="AB99" s="890">
        <f t="shared" si="419"/>
        <v>0</v>
      </c>
      <c r="AC99" s="890">
        <f t="shared" si="397"/>
        <v>0</v>
      </c>
      <c r="AD99" s="890">
        <f t="shared" si="420"/>
        <v>0</v>
      </c>
      <c r="AE99" s="890">
        <f t="shared" si="421"/>
        <v>0</v>
      </c>
      <c r="AF99" s="890">
        <f t="shared" si="422"/>
        <v>0</v>
      </c>
      <c r="AG99" s="890">
        <f t="shared" si="423"/>
        <v>0</v>
      </c>
      <c r="AH99" s="890">
        <f t="shared" si="424"/>
        <v>0</v>
      </c>
      <c r="AI99" s="890">
        <f t="shared" si="425"/>
        <v>0</v>
      </c>
      <c r="AJ99" s="890">
        <f t="shared" si="426"/>
        <v>0</v>
      </c>
      <c r="AK99" s="890"/>
      <c r="AL99" s="890"/>
      <c r="AM99" s="890"/>
      <c r="AN99" s="890"/>
      <c r="AO99" s="890"/>
      <c r="AP99" s="890"/>
      <c r="AQ99" s="890">
        <f t="shared" si="427"/>
        <v>0</v>
      </c>
      <c r="AR99" s="890">
        <f t="shared" si="428"/>
        <v>0</v>
      </c>
      <c r="AS99" s="890">
        <f t="shared" si="429"/>
        <v>0</v>
      </c>
      <c r="AT99" s="1158"/>
      <c r="AU99" s="1158"/>
      <c r="AV99" s="1158"/>
      <c r="AW99" s="1158"/>
      <c r="AX99" s="1158"/>
      <c r="AY99" s="1158"/>
      <c r="AZ99" s="1158"/>
      <c r="BA99" s="891"/>
      <c r="BB99" s="8">
        <f t="shared" si="364"/>
        <v>0</v>
      </c>
      <c r="BD99" s="57"/>
      <c r="BE99" s="19"/>
      <c r="BF99" s="58"/>
      <c r="BG99" s="19"/>
    </row>
    <row r="100" spans="1:59" ht="14.25" hidden="1" customHeight="1">
      <c r="A100" s="884">
        <f t="shared" si="430"/>
        <v>19</v>
      </c>
      <c r="B100" s="885" t="s">
        <v>390</v>
      </c>
      <c r="C100" s="886">
        <v>40179</v>
      </c>
      <c r="D100" s="887">
        <v>20</v>
      </c>
      <c r="E100" s="888">
        <f>156800000*0</f>
        <v>0</v>
      </c>
      <c r="F100" s="889">
        <f t="shared" si="398"/>
        <v>0</v>
      </c>
      <c r="G100" s="889">
        <f t="shared" si="399"/>
        <v>0</v>
      </c>
      <c r="H100" s="890">
        <f>((F100/12)*(13-IF(C100="","",MONTH(C100))))</f>
        <v>0</v>
      </c>
      <c r="I100" s="890">
        <f t="shared" si="401"/>
        <v>0</v>
      </c>
      <c r="J100" s="890">
        <f t="shared" si="402"/>
        <v>0</v>
      </c>
      <c r="K100" s="890">
        <f t="shared" si="403"/>
        <v>0</v>
      </c>
      <c r="L100" s="890">
        <f t="shared" si="404"/>
        <v>0</v>
      </c>
      <c r="M100" s="890">
        <f t="shared" si="405"/>
        <v>0</v>
      </c>
      <c r="N100" s="890">
        <f t="shared" si="406"/>
        <v>0</v>
      </c>
      <c r="O100" s="890">
        <f t="shared" si="407"/>
        <v>0</v>
      </c>
      <c r="P100" s="890">
        <f t="shared" si="408"/>
        <v>0</v>
      </c>
      <c r="Q100" s="890">
        <f t="shared" si="409"/>
        <v>0</v>
      </c>
      <c r="R100" s="890">
        <f t="shared" si="410"/>
        <v>0</v>
      </c>
      <c r="S100" s="890">
        <f t="shared" si="411"/>
        <v>0</v>
      </c>
      <c r="T100" s="890">
        <f t="shared" si="412"/>
        <v>0</v>
      </c>
      <c r="U100" s="890">
        <f t="shared" si="413"/>
        <v>0</v>
      </c>
      <c r="V100" s="890">
        <f t="shared" si="414"/>
        <v>0</v>
      </c>
      <c r="W100" s="890">
        <f t="shared" si="415"/>
        <v>0</v>
      </c>
      <c r="X100" s="890">
        <f t="shared" si="416"/>
        <v>0</v>
      </c>
      <c r="Y100" s="890">
        <f t="shared" si="417"/>
        <v>0</v>
      </c>
      <c r="Z100" s="890">
        <f>31360000*0</f>
        <v>0</v>
      </c>
      <c r="AA100" s="890">
        <f t="shared" si="418"/>
        <v>0</v>
      </c>
      <c r="AB100" s="890">
        <f t="shared" si="419"/>
        <v>0</v>
      </c>
      <c r="AC100" s="890">
        <f t="shared" si="397"/>
        <v>0</v>
      </c>
      <c r="AD100" s="890">
        <f t="shared" si="420"/>
        <v>0</v>
      </c>
      <c r="AE100" s="890">
        <f t="shared" si="421"/>
        <v>0</v>
      </c>
      <c r="AF100" s="890">
        <f t="shared" si="422"/>
        <v>0</v>
      </c>
      <c r="AG100" s="890">
        <f t="shared" si="423"/>
        <v>0</v>
      </c>
      <c r="AH100" s="890">
        <f t="shared" si="424"/>
        <v>0</v>
      </c>
      <c r="AI100" s="890">
        <f t="shared" si="425"/>
        <v>0</v>
      </c>
      <c r="AJ100" s="890">
        <f t="shared" si="426"/>
        <v>0</v>
      </c>
      <c r="AK100" s="890"/>
      <c r="AL100" s="890"/>
      <c r="AM100" s="890"/>
      <c r="AN100" s="890"/>
      <c r="AO100" s="890"/>
      <c r="AP100" s="890"/>
      <c r="AQ100" s="890">
        <f t="shared" si="427"/>
        <v>0</v>
      </c>
      <c r="AR100" s="890">
        <f t="shared" si="428"/>
        <v>0</v>
      </c>
      <c r="AS100" s="890">
        <f t="shared" si="429"/>
        <v>0</v>
      </c>
      <c r="AT100" s="1158"/>
      <c r="AU100" s="1158"/>
      <c r="AV100" s="1158"/>
      <c r="AW100" s="1158"/>
      <c r="AX100" s="1158"/>
      <c r="AY100" s="1158"/>
      <c r="AZ100" s="1158"/>
      <c r="BA100" s="891"/>
      <c r="BB100" s="8">
        <f t="shared" si="364"/>
        <v>0</v>
      </c>
      <c r="BD100" s="57"/>
      <c r="BE100" s="19"/>
      <c r="BF100" s="58"/>
      <c r="BG100" s="19"/>
    </row>
    <row r="101" spans="1:59" ht="14.25" hidden="1" customHeight="1">
      <c r="A101" s="884">
        <f t="shared" si="430"/>
        <v>20</v>
      </c>
      <c r="B101" s="885" t="s">
        <v>391</v>
      </c>
      <c r="C101" s="886">
        <v>40179</v>
      </c>
      <c r="D101" s="887">
        <v>20</v>
      </c>
      <c r="E101" s="888">
        <f>11030000*0</f>
        <v>0</v>
      </c>
      <c r="F101" s="889">
        <f t="shared" si="398"/>
        <v>0</v>
      </c>
      <c r="G101" s="889">
        <f t="shared" si="399"/>
        <v>0</v>
      </c>
      <c r="H101" s="890">
        <f>((F101/12)*(13-IF(C101="","",MONTH(C101))))</f>
        <v>0</v>
      </c>
      <c r="I101" s="890">
        <f t="shared" si="401"/>
        <v>0</v>
      </c>
      <c r="J101" s="890">
        <f t="shared" si="402"/>
        <v>0</v>
      </c>
      <c r="K101" s="890">
        <f t="shared" si="403"/>
        <v>0</v>
      </c>
      <c r="L101" s="890">
        <f t="shared" si="404"/>
        <v>0</v>
      </c>
      <c r="M101" s="890">
        <f t="shared" si="405"/>
        <v>0</v>
      </c>
      <c r="N101" s="890">
        <f t="shared" si="406"/>
        <v>0</v>
      </c>
      <c r="O101" s="890">
        <f t="shared" si="407"/>
        <v>0</v>
      </c>
      <c r="P101" s="890">
        <f t="shared" si="408"/>
        <v>0</v>
      </c>
      <c r="Q101" s="890">
        <f t="shared" si="409"/>
        <v>0</v>
      </c>
      <c r="R101" s="890">
        <f t="shared" si="410"/>
        <v>0</v>
      </c>
      <c r="S101" s="890">
        <f t="shared" si="411"/>
        <v>0</v>
      </c>
      <c r="T101" s="890">
        <f t="shared" si="412"/>
        <v>0</v>
      </c>
      <c r="U101" s="890">
        <f t="shared" si="413"/>
        <v>0</v>
      </c>
      <c r="V101" s="890">
        <f t="shared" si="414"/>
        <v>0</v>
      </c>
      <c r="W101" s="890">
        <f t="shared" si="415"/>
        <v>0</v>
      </c>
      <c r="X101" s="890">
        <f t="shared" si="416"/>
        <v>0</v>
      </c>
      <c r="Y101" s="890">
        <f t="shared" si="417"/>
        <v>0</v>
      </c>
      <c r="Z101" s="890">
        <f>2206000*0</f>
        <v>0</v>
      </c>
      <c r="AA101" s="890">
        <f t="shared" si="418"/>
        <v>0</v>
      </c>
      <c r="AB101" s="890">
        <f t="shared" si="419"/>
        <v>0</v>
      </c>
      <c r="AC101" s="890">
        <f t="shared" si="397"/>
        <v>0</v>
      </c>
      <c r="AD101" s="890">
        <f t="shared" si="420"/>
        <v>0</v>
      </c>
      <c r="AE101" s="890">
        <f t="shared" si="421"/>
        <v>0</v>
      </c>
      <c r="AF101" s="890">
        <f t="shared" si="422"/>
        <v>0</v>
      </c>
      <c r="AG101" s="890">
        <f t="shared" si="423"/>
        <v>0</v>
      </c>
      <c r="AH101" s="890">
        <f t="shared" si="424"/>
        <v>0</v>
      </c>
      <c r="AI101" s="890">
        <f t="shared" si="425"/>
        <v>0</v>
      </c>
      <c r="AJ101" s="890">
        <f t="shared" si="426"/>
        <v>0</v>
      </c>
      <c r="AK101" s="890"/>
      <c r="AL101" s="890"/>
      <c r="AM101" s="890"/>
      <c r="AN101" s="890"/>
      <c r="AO101" s="890"/>
      <c r="AP101" s="890"/>
      <c r="AQ101" s="890">
        <f t="shared" si="427"/>
        <v>0</v>
      </c>
      <c r="AR101" s="890">
        <f t="shared" si="428"/>
        <v>0</v>
      </c>
      <c r="AS101" s="890">
        <f t="shared" si="429"/>
        <v>0</v>
      </c>
      <c r="AT101" s="1158"/>
      <c r="AU101" s="1158"/>
      <c r="AV101" s="1158"/>
      <c r="AW101" s="1158"/>
      <c r="AX101" s="1158"/>
      <c r="AY101" s="1158"/>
      <c r="AZ101" s="1158"/>
      <c r="BA101" s="891"/>
      <c r="BB101" s="8">
        <f t="shared" si="364"/>
        <v>0</v>
      </c>
      <c r="BD101" s="57"/>
      <c r="BE101" s="19"/>
      <c r="BF101" s="58"/>
      <c r="BG101" s="19"/>
    </row>
    <row r="102" spans="1:59" ht="14.25" hidden="1" customHeight="1">
      <c r="A102" s="884">
        <f t="shared" si="430"/>
        <v>21</v>
      </c>
      <c r="B102" s="885" t="s">
        <v>392</v>
      </c>
      <c r="C102" s="886">
        <v>40179</v>
      </c>
      <c r="D102" s="887">
        <v>20</v>
      </c>
      <c r="E102" s="888">
        <f>253070000*0</f>
        <v>0</v>
      </c>
      <c r="F102" s="889">
        <f t="shared" si="398"/>
        <v>0</v>
      </c>
      <c r="G102" s="889">
        <f t="shared" si="399"/>
        <v>0</v>
      </c>
      <c r="H102" s="890">
        <f>((F102/12)*(13-IF(C102="","",MONTH(C102))))</f>
        <v>0</v>
      </c>
      <c r="I102" s="890">
        <f t="shared" si="401"/>
        <v>0</v>
      </c>
      <c r="J102" s="890">
        <f t="shared" si="402"/>
        <v>0</v>
      </c>
      <c r="K102" s="890">
        <f t="shared" si="403"/>
        <v>0</v>
      </c>
      <c r="L102" s="890">
        <f t="shared" si="404"/>
        <v>0</v>
      </c>
      <c r="M102" s="890">
        <f t="shared" si="405"/>
        <v>0</v>
      </c>
      <c r="N102" s="890">
        <f t="shared" si="406"/>
        <v>0</v>
      </c>
      <c r="O102" s="890">
        <f t="shared" si="407"/>
        <v>0</v>
      </c>
      <c r="P102" s="890">
        <f t="shared" si="408"/>
        <v>0</v>
      </c>
      <c r="Q102" s="890">
        <f t="shared" si="409"/>
        <v>0</v>
      </c>
      <c r="R102" s="890">
        <f t="shared" si="410"/>
        <v>0</v>
      </c>
      <c r="S102" s="890">
        <f t="shared" si="411"/>
        <v>0</v>
      </c>
      <c r="T102" s="890">
        <f t="shared" si="412"/>
        <v>0</v>
      </c>
      <c r="U102" s="890">
        <f t="shared" si="413"/>
        <v>0</v>
      </c>
      <c r="V102" s="890">
        <f t="shared" si="414"/>
        <v>0</v>
      </c>
      <c r="W102" s="890">
        <f t="shared" si="415"/>
        <v>0</v>
      </c>
      <c r="X102" s="890">
        <f t="shared" si="416"/>
        <v>0</v>
      </c>
      <c r="Y102" s="890">
        <f t="shared" si="417"/>
        <v>0</v>
      </c>
      <c r="Z102" s="890">
        <f>50614000*0</f>
        <v>0</v>
      </c>
      <c r="AA102" s="890">
        <f t="shared" si="418"/>
        <v>0</v>
      </c>
      <c r="AB102" s="890">
        <f t="shared" si="419"/>
        <v>0</v>
      </c>
      <c r="AC102" s="890">
        <f t="shared" si="397"/>
        <v>0</v>
      </c>
      <c r="AD102" s="890">
        <f t="shared" si="420"/>
        <v>0</v>
      </c>
      <c r="AE102" s="890">
        <f t="shared" si="421"/>
        <v>0</v>
      </c>
      <c r="AF102" s="890">
        <f t="shared" si="422"/>
        <v>0</v>
      </c>
      <c r="AG102" s="890">
        <f t="shared" si="423"/>
        <v>0</v>
      </c>
      <c r="AH102" s="890">
        <f t="shared" si="424"/>
        <v>0</v>
      </c>
      <c r="AI102" s="890">
        <f t="shared" si="425"/>
        <v>0</v>
      </c>
      <c r="AJ102" s="890">
        <f t="shared" si="426"/>
        <v>0</v>
      </c>
      <c r="AK102" s="890"/>
      <c r="AL102" s="890"/>
      <c r="AM102" s="890"/>
      <c r="AN102" s="890"/>
      <c r="AO102" s="890"/>
      <c r="AP102" s="890"/>
      <c r="AQ102" s="890">
        <f t="shared" si="427"/>
        <v>0</v>
      </c>
      <c r="AR102" s="890">
        <f t="shared" si="428"/>
        <v>0</v>
      </c>
      <c r="AS102" s="890">
        <f t="shared" si="429"/>
        <v>0</v>
      </c>
      <c r="AT102" s="1158"/>
      <c r="AU102" s="1158"/>
      <c r="AV102" s="1158"/>
      <c r="AW102" s="1158"/>
      <c r="AX102" s="1158"/>
      <c r="AY102" s="1158"/>
      <c r="AZ102" s="1158"/>
      <c r="BA102" s="891"/>
      <c r="BB102" s="8">
        <f t="shared" si="364"/>
        <v>0</v>
      </c>
      <c r="BD102" s="57"/>
      <c r="BE102" s="19"/>
      <c r="BF102" s="58"/>
      <c r="BG102" s="19"/>
    </row>
    <row r="103" spans="1:59" ht="14.25" hidden="1" customHeight="1">
      <c r="A103" s="884">
        <f t="shared" si="430"/>
        <v>22</v>
      </c>
      <c r="B103" s="885" t="s">
        <v>393</v>
      </c>
      <c r="C103" s="886">
        <v>40179</v>
      </c>
      <c r="D103" s="887">
        <v>20</v>
      </c>
      <c r="E103" s="888">
        <f>148500000*0</f>
        <v>0</v>
      </c>
      <c r="F103" s="889">
        <f t="shared" si="398"/>
        <v>0</v>
      </c>
      <c r="G103" s="889">
        <f t="shared" si="399"/>
        <v>0</v>
      </c>
      <c r="H103" s="890">
        <f>((F103/12)*(13-IF(C103="","",MONTH(C103))))</f>
        <v>0</v>
      </c>
      <c r="I103" s="890">
        <f t="shared" si="401"/>
        <v>0</v>
      </c>
      <c r="J103" s="890">
        <f t="shared" si="402"/>
        <v>0</v>
      </c>
      <c r="K103" s="890">
        <f t="shared" si="403"/>
        <v>0</v>
      </c>
      <c r="L103" s="890">
        <f t="shared" si="404"/>
        <v>0</v>
      </c>
      <c r="M103" s="890">
        <f t="shared" si="405"/>
        <v>0</v>
      </c>
      <c r="N103" s="890">
        <f t="shared" si="406"/>
        <v>0</v>
      </c>
      <c r="O103" s="890">
        <f t="shared" si="407"/>
        <v>0</v>
      </c>
      <c r="P103" s="890">
        <f t="shared" si="408"/>
        <v>0</v>
      </c>
      <c r="Q103" s="890">
        <f t="shared" si="409"/>
        <v>0</v>
      </c>
      <c r="R103" s="890">
        <f t="shared" si="410"/>
        <v>0</v>
      </c>
      <c r="S103" s="890">
        <f t="shared" si="411"/>
        <v>0</v>
      </c>
      <c r="T103" s="890">
        <f t="shared" si="412"/>
        <v>0</v>
      </c>
      <c r="U103" s="890">
        <f t="shared" si="413"/>
        <v>0</v>
      </c>
      <c r="V103" s="890">
        <f t="shared" si="414"/>
        <v>0</v>
      </c>
      <c r="W103" s="890">
        <f t="shared" si="415"/>
        <v>0</v>
      </c>
      <c r="X103" s="890">
        <f t="shared" si="416"/>
        <v>0</v>
      </c>
      <c r="Y103" s="890">
        <f t="shared" si="417"/>
        <v>0</v>
      </c>
      <c r="Z103" s="890">
        <f>29700000*0</f>
        <v>0</v>
      </c>
      <c r="AA103" s="890">
        <f t="shared" si="418"/>
        <v>0</v>
      </c>
      <c r="AB103" s="890">
        <f t="shared" si="419"/>
        <v>0</v>
      </c>
      <c r="AC103" s="890">
        <f t="shared" si="397"/>
        <v>0</v>
      </c>
      <c r="AD103" s="890">
        <f t="shared" si="420"/>
        <v>0</v>
      </c>
      <c r="AE103" s="890">
        <f t="shared" si="421"/>
        <v>0</v>
      </c>
      <c r="AF103" s="890">
        <f t="shared" si="422"/>
        <v>0</v>
      </c>
      <c r="AG103" s="890">
        <f t="shared" si="423"/>
        <v>0</v>
      </c>
      <c r="AH103" s="890">
        <f t="shared" si="424"/>
        <v>0</v>
      </c>
      <c r="AI103" s="890">
        <f t="shared" si="425"/>
        <v>0</v>
      </c>
      <c r="AJ103" s="890">
        <f t="shared" si="426"/>
        <v>0</v>
      </c>
      <c r="AK103" s="890"/>
      <c r="AL103" s="890"/>
      <c r="AM103" s="890"/>
      <c r="AN103" s="890"/>
      <c r="AO103" s="890"/>
      <c r="AP103" s="890"/>
      <c r="AQ103" s="890">
        <f t="shared" si="427"/>
        <v>0</v>
      </c>
      <c r="AR103" s="890">
        <f t="shared" si="428"/>
        <v>0</v>
      </c>
      <c r="AS103" s="890">
        <f t="shared" si="429"/>
        <v>0</v>
      </c>
      <c r="AT103" s="1158"/>
      <c r="AU103" s="1158"/>
      <c r="AV103" s="1158"/>
      <c r="AW103" s="1158"/>
      <c r="AX103" s="1158"/>
      <c r="AY103" s="1158"/>
      <c r="AZ103" s="1158"/>
      <c r="BA103" s="891"/>
      <c r="BB103" s="8">
        <f t="shared" ref="BB103:BB106" si="431">E103-AR103-AS103</f>
        <v>0</v>
      </c>
      <c r="BD103" s="57"/>
      <c r="BE103" s="19"/>
      <c r="BF103" s="58"/>
      <c r="BG103" s="19"/>
    </row>
    <row r="104" spans="1:59" ht="14.25" hidden="1" customHeight="1">
      <c r="A104" s="884">
        <f t="shared" si="430"/>
        <v>23</v>
      </c>
      <c r="B104" s="885" t="s">
        <v>394</v>
      </c>
      <c r="C104" s="886">
        <v>40909</v>
      </c>
      <c r="D104" s="887">
        <v>20</v>
      </c>
      <c r="E104" s="888">
        <f>17850000*0</f>
        <v>0</v>
      </c>
      <c r="F104" s="889">
        <f t="shared" si="398"/>
        <v>0</v>
      </c>
      <c r="G104" s="889">
        <f t="shared" si="399"/>
        <v>0</v>
      </c>
      <c r="H104" s="890">
        <f>((F104/12)*(13-IF(C104="","",MONTH(C104))))</f>
        <v>0</v>
      </c>
      <c r="I104" s="890">
        <f t="shared" si="401"/>
        <v>0</v>
      </c>
      <c r="J104" s="890">
        <f t="shared" si="402"/>
        <v>0</v>
      </c>
      <c r="K104" s="890">
        <f t="shared" si="403"/>
        <v>0</v>
      </c>
      <c r="L104" s="890">
        <f t="shared" si="404"/>
        <v>0</v>
      </c>
      <c r="M104" s="890">
        <f t="shared" si="405"/>
        <v>0</v>
      </c>
      <c r="N104" s="890">
        <f t="shared" si="406"/>
        <v>0</v>
      </c>
      <c r="O104" s="890">
        <f t="shared" si="407"/>
        <v>0</v>
      </c>
      <c r="P104" s="890">
        <f t="shared" si="408"/>
        <v>0</v>
      </c>
      <c r="Q104" s="890">
        <f t="shared" si="409"/>
        <v>0</v>
      </c>
      <c r="R104" s="890">
        <f t="shared" si="410"/>
        <v>0</v>
      </c>
      <c r="S104" s="890">
        <f t="shared" si="411"/>
        <v>0</v>
      </c>
      <c r="T104" s="890">
        <f t="shared" si="412"/>
        <v>0</v>
      </c>
      <c r="U104" s="890">
        <f t="shared" si="413"/>
        <v>0</v>
      </c>
      <c r="V104" s="890">
        <f t="shared" si="414"/>
        <v>0</v>
      </c>
      <c r="W104" s="890">
        <f t="shared" si="415"/>
        <v>0</v>
      </c>
      <c r="X104" s="890">
        <f t="shared" si="416"/>
        <v>0</v>
      </c>
      <c r="Y104" s="890">
        <f t="shared" si="417"/>
        <v>0</v>
      </c>
      <c r="Z104" s="890">
        <f>3570000*0</f>
        <v>0</v>
      </c>
      <c r="AA104" s="890">
        <f t="shared" si="418"/>
        <v>0</v>
      </c>
      <c r="AB104" s="890">
        <f t="shared" si="419"/>
        <v>0</v>
      </c>
      <c r="AC104" s="890">
        <f t="shared" si="397"/>
        <v>0</v>
      </c>
      <c r="AD104" s="890">
        <f t="shared" si="420"/>
        <v>0</v>
      </c>
      <c r="AE104" s="890">
        <f t="shared" si="421"/>
        <v>0</v>
      </c>
      <c r="AF104" s="890">
        <f t="shared" si="422"/>
        <v>0</v>
      </c>
      <c r="AG104" s="890">
        <f t="shared" si="423"/>
        <v>0</v>
      </c>
      <c r="AH104" s="890">
        <f t="shared" si="424"/>
        <v>0</v>
      </c>
      <c r="AI104" s="890">
        <f t="shared" si="425"/>
        <v>0</v>
      </c>
      <c r="AJ104" s="890">
        <f t="shared" si="426"/>
        <v>0</v>
      </c>
      <c r="AK104" s="890"/>
      <c r="AL104" s="890"/>
      <c r="AM104" s="890"/>
      <c r="AN104" s="890"/>
      <c r="AO104" s="890"/>
      <c r="AP104" s="890"/>
      <c r="AQ104" s="890">
        <f t="shared" si="427"/>
        <v>0</v>
      </c>
      <c r="AR104" s="890">
        <f t="shared" si="428"/>
        <v>0</v>
      </c>
      <c r="AS104" s="890">
        <f t="shared" si="429"/>
        <v>0</v>
      </c>
      <c r="AT104" s="1158"/>
      <c r="AU104" s="1158"/>
      <c r="AV104" s="1158"/>
      <c r="AW104" s="1158"/>
      <c r="AX104" s="1158"/>
      <c r="AY104" s="1158"/>
      <c r="AZ104" s="1158"/>
      <c r="BA104" s="891"/>
      <c r="BB104" s="8">
        <f t="shared" si="431"/>
        <v>0</v>
      </c>
      <c r="BD104" s="57"/>
      <c r="BE104" s="19"/>
      <c r="BF104" s="58"/>
      <c r="BG104" s="19"/>
    </row>
    <row r="105" spans="1:59" ht="14.25" hidden="1" customHeight="1">
      <c r="A105" s="884">
        <f t="shared" si="430"/>
        <v>24</v>
      </c>
      <c r="B105" s="885" t="s">
        <v>395</v>
      </c>
      <c r="C105" s="886">
        <v>43101</v>
      </c>
      <c r="D105" s="887">
        <v>20</v>
      </c>
      <c r="E105" s="888">
        <f>8779850*0</f>
        <v>0</v>
      </c>
      <c r="F105" s="889">
        <f t="shared" si="398"/>
        <v>0</v>
      </c>
      <c r="G105" s="889"/>
      <c r="H105" s="890"/>
      <c r="I105" s="890">
        <f t="shared" si="401"/>
        <v>0</v>
      </c>
      <c r="J105" s="890">
        <f t="shared" si="402"/>
        <v>0</v>
      </c>
      <c r="K105" s="890"/>
      <c r="L105" s="890">
        <f t="shared" si="404"/>
        <v>0</v>
      </c>
      <c r="M105" s="890"/>
      <c r="N105" s="890"/>
      <c r="O105" s="890"/>
      <c r="P105" s="890"/>
      <c r="Q105" s="890"/>
      <c r="R105" s="890"/>
      <c r="S105" s="890"/>
      <c r="T105" s="890">
        <f t="shared" si="412"/>
        <v>0</v>
      </c>
      <c r="U105" s="890">
        <f t="shared" si="413"/>
        <v>0</v>
      </c>
      <c r="V105" s="890">
        <f t="shared" si="414"/>
        <v>0</v>
      </c>
      <c r="W105" s="890">
        <f t="shared" si="415"/>
        <v>0</v>
      </c>
      <c r="X105" s="890">
        <f t="shared" si="416"/>
        <v>0</v>
      </c>
      <c r="Y105" s="890">
        <f t="shared" si="417"/>
        <v>0</v>
      </c>
      <c r="Z105" s="890">
        <f>438992.5*0</f>
        <v>0</v>
      </c>
      <c r="AA105" s="890">
        <f t="shared" si="418"/>
        <v>0</v>
      </c>
      <c r="AB105" s="890">
        <f t="shared" si="419"/>
        <v>0</v>
      </c>
      <c r="AC105" s="890">
        <f t="shared" si="397"/>
        <v>0</v>
      </c>
      <c r="AD105" s="890">
        <f t="shared" si="420"/>
        <v>0</v>
      </c>
      <c r="AE105" s="890">
        <f t="shared" si="421"/>
        <v>0</v>
      </c>
      <c r="AF105" s="890">
        <f t="shared" si="422"/>
        <v>0</v>
      </c>
      <c r="AG105" s="890">
        <f t="shared" si="423"/>
        <v>0</v>
      </c>
      <c r="AH105" s="890">
        <f t="shared" si="424"/>
        <v>0</v>
      </c>
      <c r="AI105" s="890">
        <f t="shared" si="425"/>
        <v>0</v>
      </c>
      <c r="AJ105" s="890">
        <f t="shared" si="426"/>
        <v>0</v>
      </c>
      <c r="AK105" s="890"/>
      <c r="AL105" s="890"/>
      <c r="AM105" s="890"/>
      <c r="AN105" s="890"/>
      <c r="AO105" s="890"/>
      <c r="AP105" s="890"/>
      <c r="AQ105" s="890">
        <f t="shared" si="427"/>
        <v>0</v>
      </c>
      <c r="AR105" s="890">
        <f t="shared" si="428"/>
        <v>0</v>
      </c>
      <c r="AS105" s="890">
        <f t="shared" si="429"/>
        <v>0</v>
      </c>
      <c r="AT105" s="1158"/>
      <c r="AU105" s="1158"/>
      <c r="AV105" s="1158"/>
      <c r="AW105" s="1158"/>
      <c r="AX105" s="1158"/>
      <c r="AY105" s="1158"/>
      <c r="AZ105" s="1158"/>
      <c r="BA105" s="891"/>
      <c r="BB105" s="8">
        <f t="shared" si="431"/>
        <v>0</v>
      </c>
      <c r="BD105" s="57"/>
      <c r="BE105" s="19"/>
      <c r="BF105" s="58"/>
      <c r="BG105" s="19"/>
    </row>
    <row r="106" spans="1:59" ht="14.25" hidden="1" customHeight="1">
      <c r="A106" s="884">
        <f t="shared" si="430"/>
        <v>25</v>
      </c>
      <c r="B106" s="885" t="s">
        <v>396</v>
      </c>
      <c r="C106" s="886">
        <v>43101</v>
      </c>
      <c r="D106" s="887">
        <v>20</v>
      </c>
      <c r="E106" s="888">
        <f>10669370*0</f>
        <v>0</v>
      </c>
      <c r="F106" s="889">
        <f t="shared" si="398"/>
        <v>0</v>
      </c>
      <c r="G106" s="889"/>
      <c r="H106" s="890"/>
      <c r="I106" s="890">
        <f t="shared" si="401"/>
        <v>0</v>
      </c>
      <c r="J106" s="890">
        <f t="shared" si="402"/>
        <v>0</v>
      </c>
      <c r="K106" s="890"/>
      <c r="L106" s="890">
        <f t="shared" si="404"/>
        <v>0</v>
      </c>
      <c r="M106" s="890"/>
      <c r="N106" s="890"/>
      <c r="O106" s="890"/>
      <c r="P106" s="890"/>
      <c r="Q106" s="890"/>
      <c r="R106" s="890"/>
      <c r="S106" s="890"/>
      <c r="T106" s="890">
        <f t="shared" si="412"/>
        <v>0</v>
      </c>
      <c r="U106" s="890">
        <f t="shared" si="413"/>
        <v>0</v>
      </c>
      <c r="V106" s="890">
        <f t="shared" si="414"/>
        <v>0</v>
      </c>
      <c r="W106" s="890">
        <f t="shared" si="415"/>
        <v>0</v>
      </c>
      <c r="X106" s="890">
        <f t="shared" si="416"/>
        <v>0</v>
      </c>
      <c r="Y106" s="890">
        <f t="shared" si="417"/>
        <v>0</v>
      </c>
      <c r="Z106" s="890">
        <f>533468.5*0</f>
        <v>0</v>
      </c>
      <c r="AA106" s="890">
        <f t="shared" si="418"/>
        <v>0</v>
      </c>
      <c r="AB106" s="890">
        <f t="shared" si="419"/>
        <v>0</v>
      </c>
      <c r="AC106" s="890">
        <f t="shared" si="397"/>
        <v>0</v>
      </c>
      <c r="AD106" s="890">
        <f t="shared" si="420"/>
        <v>0</v>
      </c>
      <c r="AE106" s="890">
        <f t="shared" si="421"/>
        <v>0</v>
      </c>
      <c r="AF106" s="890">
        <f t="shared" si="422"/>
        <v>0</v>
      </c>
      <c r="AG106" s="890">
        <f t="shared" si="423"/>
        <v>0</v>
      </c>
      <c r="AH106" s="890">
        <f t="shared" si="424"/>
        <v>0</v>
      </c>
      <c r="AI106" s="890">
        <f t="shared" si="425"/>
        <v>0</v>
      </c>
      <c r="AJ106" s="890">
        <f t="shared" si="426"/>
        <v>0</v>
      </c>
      <c r="AK106" s="890"/>
      <c r="AL106" s="890"/>
      <c r="AM106" s="890"/>
      <c r="AN106" s="890"/>
      <c r="AO106" s="890"/>
      <c r="AP106" s="890"/>
      <c r="AQ106" s="890">
        <f t="shared" si="427"/>
        <v>0</v>
      </c>
      <c r="AR106" s="890">
        <f t="shared" si="428"/>
        <v>0</v>
      </c>
      <c r="AS106" s="890">
        <f t="shared" si="429"/>
        <v>0</v>
      </c>
      <c r="AT106" s="1158"/>
      <c r="AU106" s="1158"/>
      <c r="AV106" s="1158"/>
      <c r="AW106" s="1158"/>
      <c r="AX106" s="1158"/>
      <c r="AY106" s="1158"/>
      <c r="AZ106" s="1158"/>
      <c r="BA106" s="891"/>
      <c r="BB106" s="8">
        <f t="shared" si="431"/>
        <v>0</v>
      </c>
      <c r="BD106" s="57"/>
      <c r="BE106" s="19"/>
      <c r="BF106" s="58"/>
      <c r="BG106" s="19"/>
    </row>
    <row r="107" spans="1:59" s="220" customFormat="1" ht="14.25" customHeight="1">
      <c r="A107" s="190"/>
      <c r="B107" s="214"/>
      <c r="C107" s="224"/>
      <c r="D107" s="216"/>
      <c r="E107" s="217"/>
      <c r="F107" s="1045"/>
      <c r="G107" s="1045"/>
      <c r="H107" s="1046"/>
      <c r="I107" s="1046"/>
      <c r="J107" s="1046"/>
      <c r="K107" s="1046"/>
      <c r="L107" s="1046"/>
      <c r="M107" s="1046"/>
      <c r="N107" s="1046"/>
      <c r="O107" s="1046"/>
      <c r="P107" s="1046"/>
      <c r="Q107" s="1046"/>
      <c r="R107" s="1046"/>
      <c r="S107" s="1046"/>
      <c r="T107" s="1046"/>
      <c r="U107" s="1046"/>
      <c r="V107" s="1046"/>
      <c r="W107" s="1046"/>
      <c r="X107" s="1046"/>
      <c r="Y107" s="1046"/>
      <c r="Z107" s="219"/>
      <c r="AA107" s="219"/>
      <c r="AB107" s="1046"/>
      <c r="AC107" s="1046">
        <f t="shared" ref="AC107:AC108" si="432">Z107+AB107</f>
        <v>0</v>
      </c>
      <c r="AD107" s="1046"/>
      <c r="AE107" s="1046"/>
      <c r="AF107" s="1046"/>
      <c r="AG107" s="1046"/>
      <c r="AH107" s="1046"/>
      <c r="AI107" s="1046"/>
      <c r="AJ107" s="1046"/>
      <c r="AK107" s="1046"/>
      <c r="AL107" s="1046"/>
      <c r="AM107" s="1046"/>
      <c r="AN107" s="1046"/>
      <c r="AO107" s="1046"/>
      <c r="AP107" s="1046"/>
      <c r="AQ107" s="1046"/>
      <c r="AR107" s="1046"/>
      <c r="AS107" s="1046"/>
      <c r="AT107" s="1046"/>
      <c r="AU107" s="1046"/>
      <c r="AV107" s="1046"/>
      <c r="AW107" s="1046"/>
      <c r="AX107" s="1046"/>
      <c r="AY107" s="1046"/>
      <c r="AZ107" s="1189"/>
      <c r="BB107" s="8">
        <f t="shared" ref="BB107:BB113" si="433">E107-AX107-AY107</f>
        <v>0</v>
      </c>
      <c r="BD107" s="229"/>
      <c r="BE107" s="179"/>
      <c r="BF107" s="222"/>
      <c r="BG107" s="179"/>
    </row>
    <row r="108" spans="1:59" s="220" customFormat="1" ht="14.25" customHeight="1">
      <c r="A108" s="190">
        <v>4</v>
      </c>
      <c r="B108" s="214" t="s">
        <v>397</v>
      </c>
      <c r="C108" s="224"/>
      <c r="D108" s="216"/>
      <c r="E108" s="217"/>
      <c r="F108" s="1045"/>
      <c r="G108" s="1045"/>
      <c r="H108" s="1046"/>
      <c r="I108" s="1046"/>
      <c r="J108" s="1046"/>
      <c r="K108" s="1046"/>
      <c r="L108" s="1046"/>
      <c r="M108" s="1046"/>
      <c r="N108" s="1046"/>
      <c r="O108" s="1046"/>
      <c r="P108" s="1046"/>
      <c r="Q108" s="1046"/>
      <c r="R108" s="1046"/>
      <c r="S108" s="1046"/>
      <c r="T108" s="1046"/>
      <c r="U108" s="1046"/>
      <c r="V108" s="1046"/>
      <c r="W108" s="1046"/>
      <c r="X108" s="1046"/>
      <c r="Y108" s="1046"/>
      <c r="Z108" s="219"/>
      <c r="AA108" s="219"/>
      <c r="AB108" s="1046"/>
      <c r="AC108" s="1046">
        <f t="shared" si="432"/>
        <v>0</v>
      </c>
      <c r="AD108" s="1046"/>
      <c r="AE108" s="1046"/>
      <c r="AF108" s="1046"/>
      <c r="AG108" s="1046"/>
      <c r="AH108" s="1046"/>
      <c r="AI108" s="1046"/>
      <c r="AJ108" s="1046"/>
      <c r="AK108" s="1046"/>
      <c r="AL108" s="1046"/>
      <c r="AM108" s="1046"/>
      <c r="AN108" s="1042"/>
      <c r="AO108" s="1046"/>
      <c r="AP108" s="1046"/>
      <c r="AQ108" s="1046"/>
      <c r="AR108" s="1046"/>
      <c r="AS108" s="1046"/>
      <c r="AT108" s="1046"/>
      <c r="AU108" s="1046"/>
      <c r="AV108" s="1046"/>
      <c r="AW108" s="1046"/>
      <c r="AX108" s="1046"/>
      <c r="AY108" s="1046"/>
      <c r="AZ108" s="1189"/>
      <c r="BB108" s="8">
        <f t="shared" si="433"/>
        <v>0</v>
      </c>
      <c r="BD108" s="229"/>
      <c r="BE108" s="179"/>
      <c r="BF108" s="222"/>
      <c r="BG108" s="179"/>
    </row>
    <row r="109" spans="1:59" ht="14.25" customHeight="1">
      <c r="A109" s="17">
        <v>1</v>
      </c>
      <c r="B109" s="53" t="s">
        <v>398</v>
      </c>
      <c r="C109" s="225">
        <v>43708</v>
      </c>
      <c r="D109" s="55">
        <v>20</v>
      </c>
      <c r="E109" s="6">
        <v>1039132050</v>
      </c>
      <c r="F109" s="1041">
        <f>E109/D109</f>
        <v>51956602.5</v>
      </c>
      <c r="G109" s="1041"/>
      <c r="H109" s="1042"/>
      <c r="I109" s="1042">
        <f>H109</f>
        <v>0</v>
      </c>
      <c r="J109" s="1042"/>
      <c r="K109" s="1042"/>
      <c r="L109" s="1042">
        <f>I109+K109</f>
        <v>0</v>
      </c>
      <c r="M109" s="1042"/>
      <c r="N109" s="1042"/>
      <c r="O109" s="1042"/>
      <c r="P109" s="1042"/>
      <c r="Q109" s="1042"/>
      <c r="R109" s="1042"/>
      <c r="S109" s="1042"/>
      <c r="T109" s="1042"/>
      <c r="U109" s="1042"/>
      <c r="V109" s="1042"/>
      <c r="W109" s="1044">
        <f>(F109/12)*5</f>
        <v>21648584.375</v>
      </c>
      <c r="X109" s="1042">
        <f>U109+W109</f>
        <v>21648584.375</v>
      </c>
      <c r="Y109" s="1042">
        <f>E109-X109</f>
        <v>1017483465.625</v>
      </c>
      <c r="Z109" s="7">
        <v>17318867.5</v>
      </c>
      <c r="AA109" s="7">
        <f t="shared" ref="AA109" si="434">E109-Z109</f>
        <v>1021813182.5</v>
      </c>
      <c r="AB109" s="1042">
        <f t="shared" ref="AB109" si="435">(F109/12)*12</f>
        <v>51956602.5</v>
      </c>
      <c r="AC109" s="1042">
        <f t="shared" ref="AC109:AC110" si="436">X109+AB109</f>
        <v>73605186.875</v>
      </c>
      <c r="AD109" s="1042">
        <f>E109-AC109</f>
        <v>965526863.125</v>
      </c>
      <c r="AE109" s="1042">
        <f>(F109/12)*12</f>
        <v>51956602.5</v>
      </c>
      <c r="AF109" s="1042">
        <f>AC109+AE109</f>
        <v>125561789.375</v>
      </c>
      <c r="AG109" s="1042">
        <f>E109-AF109</f>
        <v>913570260.625</v>
      </c>
      <c r="AH109" s="1042">
        <f>(F109/12)*12</f>
        <v>51956602.5</v>
      </c>
      <c r="AI109" s="1042">
        <f>AF109+AH109</f>
        <v>177518391.875</v>
      </c>
      <c r="AJ109" s="1042">
        <f>E109-AI109</f>
        <v>861613658.125</v>
      </c>
      <c r="AK109" s="1042">
        <f t="shared" ref="AK109:AK111" si="437">(F109/12)*1</f>
        <v>4329716.875</v>
      </c>
      <c r="AL109" s="1042">
        <f t="shared" ref="AL109:AL111" si="438">AI109+AK109</f>
        <v>181848108.75</v>
      </c>
      <c r="AM109" s="1042">
        <f t="shared" ref="AM109:AM111" si="439">E109-AL109</f>
        <v>857283941.25</v>
      </c>
      <c r="AN109" s="1042">
        <f>(F109/12)*9</f>
        <v>38967451.875</v>
      </c>
      <c r="AO109" s="1042">
        <f t="shared" ref="AO109" si="440">AI109+AN109</f>
        <v>216485843.75</v>
      </c>
      <c r="AP109" s="1042">
        <f t="shared" ref="AP109" si="441">E109-AO109</f>
        <v>822646206.25</v>
      </c>
      <c r="AQ109" s="1042">
        <f>(F109/12)*12</f>
        <v>51956602.5</v>
      </c>
      <c r="AR109" s="1042">
        <f>AI109+AQ109</f>
        <v>229474994.375</v>
      </c>
      <c r="AS109" s="1042">
        <f>E109-AR109</f>
        <v>809657055.625</v>
      </c>
      <c r="AT109" s="1042">
        <f t="shared" ref="AT109" si="442">(F109/12)*9</f>
        <v>38967451.875</v>
      </c>
      <c r="AU109" s="1042">
        <f>AR109+AT109</f>
        <v>268442446.25</v>
      </c>
      <c r="AV109" s="1042">
        <f t="shared" ref="AV109:AV111" si="443">E109-AU109</f>
        <v>770689603.75</v>
      </c>
      <c r="AW109" s="1042">
        <f t="shared" ref="AW109" si="444">(F109/12)*12</f>
        <v>51956602.5</v>
      </c>
      <c r="AX109" s="1042">
        <f t="shared" ref="AX109" si="445">AR109+AW109</f>
        <v>281431596.875</v>
      </c>
      <c r="AY109" s="1042">
        <f t="shared" ref="AY109" si="446">E109-AX109</f>
        <v>757700453.125</v>
      </c>
      <c r="AZ109" s="1051"/>
      <c r="BB109" s="8">
        <f t="shared" si="433"/>
        <v>0</v>
      </c>
      <c r="BD109" s="187"/>
      <c r="BE109" s="19"/>
      <c r="BF109" s="58"/>
      <c r="BG109" s="19"/>
    </row>
    <row r="110" spans="1:59" ht="14.25" customHeight="1">
      <c r="A110" s="17"/>
      <c r="B110" s="53"/>
      <c r="C110" s="226"/>
      <c r="D110" s="55"/>
      <c r="E110" s="6"/>
      <c r="F110" s="1041"/>
      <c r="G110" s="1041"/>
      <c r="H110" s="1042"/>
      <c r="I110" s="1042"/>
      <c r="J110" s="1042"/>
      <c r="K110" s="1042"/>
      <c r="L110" s="1042"/>
      <c r="M110" s="1042"/>
      <c r="N110" s="1042"/>
      <c r="O110" s="1042"/>
      <c r="P110" s="1042"/>
      <c r="Q110" s="1042"/>
      <c r="R110" s="1042"/>
      <c r="S110" s="1042"/>
      <c r="T110" s="1042"/>
      <c r="U110" s="1042"/>
      <c r="V110" s="1042"/>
      <c r="W110" s="1042"/>
      <c r="X110" s="1042"/>
      <c r="Y110" s="1042"/>
      <c r="Z110" s="7"/>
      <c r="AA110" s="7"/>
      <c r="AB110" s="1042"/>
      <c r="AC110" s="1042">
        <f t="shared" si="436"/>
        <v>0</v>
      </c>
      <c r="AD110" s="1042"/>
      <c r="AE110" s="1042"/>
      <c r="AF110" s="1042"/>
      <c r="AG110" s="1042"/>
      <c r="AH110" s="1042"/>
      <c r="AI110" s="1042"/>
      <c r="AJ110" s="1042"/>
      <c r="AK110" s="1042"/>
      <c r="AL110" s="1042"/>
      <c r="AM110" s="1042"/>
      <c r="AN110" s="1042"/>
      <c r="AO110" s="1042"/>
      <c r="AP110" s="1042"/>
      <c r="AQ110" s="1042"/>
      <c r="AR110" s="1042"/>
      <c r="AS110" s="1042"/>
      <c r="AT110" s="1042"/>
      <c r="AU110" s="1042"/>
      <c r="AV110" s="1042"/>
      <c r="AW110" s="1042"/>
      <c r="AX110" s="1042"/>
      <c r="AY110" s="1042"/>
      <c r="AZ110" s="1051"/>
      <c r="BB110" s="8">
        <f t="shared" si="433"/>
        <v>0</v>
      </c>
      <c r="BD110" s="187"/>
      <c r="BE110" s="19"/>
      <c r="BF110" s="58"/>
      <c r="BG110" s="19"/>
    </row>
    <row r="111" spans="1:59" ht="14.25" customHeight="1">
      <c r="A111" s="17"/>
      <c r="B111" s="53" t="s">
        <v>1291</v>
      </c>
      <c r="C111" s="1174">
        <v>44460</v>
      </c>
      <c r="D111" s="1173">
        <v>20</v>
      </c>
      <c r="E111" s="1171">
        <v>913969658.86001599</v>
      </c>
      <c r="F111" s="1175">
        <f>E111/D111</f>
        <v>45698482.943000801</v>
      </c>
      <c r="G111" s="1175"/>
      <c r="H111" s="1172"/>
      <c r="I111" s="1172"/>
      <c r="J111" s="1172"/>
      <c r="K111" s="1172"/>
      <c r="L111" s="1172"/>
      <c r="M111" s="1172"/>
      <c r="N111" s="1172"/>
      <c r="O111" s="1172"/>
      <c r="P111" s="1172"/>
      <c r="Q111" s="1172"/>
      <c r="R111" s="1172"/>
      <c r="S111" s="1172"/>
      <c r="T111" s="1172"/>
      <c r="U111" s="1172"/>
      <c r="V111" s="1172"/>
      <c r="W111" s="1172"/>
      <c r="X111" s="1172"/>
      <c r="Y111" s="1172"/>
      <c r="Z111" s="1172"/>
      <c r="AA111" s="1172"/>
      <c r="AB111" s="1172"/>
      <c r="AC111" s="1172"/>
      <c r="AD111" s="1172"/>
      <c r="AE111" s="1172">
        <f>F111*3/12</f>
        <v>11424620.7357502</v>
      </c>
      <c r="AF111" s="1042">
        <f>AC111+AE111</f>
        <v>11424620.7357502</v>
      </c>
      <c r="AG111" s="1042">
        <f>E111-AF111</f>
        <v>902545038.12426579</v>
      </c>
      <c r="AH111" s="1042">
        <f>(F111/12)*12</f>
        <v>45698482.943000801</v>
      </c>
      <c r="AI111" s="1042">
        <f>AF111+AH111</f>
        <v>57123103.678750999</v>
      </c>
      <c r="AJ111" s="1042">
        <f>E111-AI111</f>
        <v>856846555.181265</v>
      </c>
      <c r="AK111" s="1042">
        <f t="shared" si="437"/>
        <v>3808206.9119167333</v>
      </c>
      <c r="AL111" s="1042">
        <f t="shared" si="438"/>
        <v>60931310.590667732</v>
      </c>
      <c r="AM111" s="1042">
        <f t="shared" si="439"/>
        <v>853038348.26934826</v>
      </c>
      <c r="AN111" s="1042">
        <f>(F111/12)*9</f>
        <v>34273862.207250603</v>
      </c>
      <c r="AO111" s="1042">
        <f t="shared" ref="AO111" si="447">AI111+AN111</f>
        <v>91396965.886001602</v>
      </c>
      <c r="AP111" s="1042">
        <f t="shared" ref="AP111" si="448">E111-AO111</f>
        <v>822572692.9740144</v>
      </c>
      <c r="AQ111" s="1042">
        <f>(F111/12)*12</f>
        <v>45698482.943000801</v>
      </c>
      <c r="AR111" s="1042">
        <f>AI111+AQ111</f>
        <v>102821586.6217518</v>
      </c>
      <c r="AS111" s="1042">
        <f>E111-AR111</f>
        <v>811148072.2382642</v>
      </c>
      <c r="AT111" s="1042">
        <f t="shared" ref="AT111" si="449">(F111/12)*9</f>
        <v>34273862.207250603</v>
      </c>
      <c r="AU111" s="1042">
        <f>AR111+AT111</f>
        <v>137095448.82900241</v>
      </c>
      <c r="AV111" s="1042">
        <f t="shared" si="443"/>
        <v>776874210.03101361</v>
      </c>
      <c r="AW111" s="1042">
        <f t="shared" ref="AW111" si="450">(F111/12)*12</f>
        <v>45698482.943000801</v>
      </c>
      <c r="AX111" s="1042">
        <f t="shared" ref="AX111" si="451">AR111+AW111</f>
        <v>148520069.56475261</v>
      </c>
      <c r="AY111" s="1042">
        <f t="shared" ref="AY111" si="452">E111-AX111</f>
        <v>765449589.29526341</v>
      </c>
      <c r="AZ111" s="1051"/>
      <c r="BA111" s="19"/>
      <c r="BB111" s="8">
        <f t="shared" si="433"/>
        <v>0</v>
      </c>
      <c r="BD111" s="187"/>
      <c r="BE111" s="19"/>
      <c r="BF111" s="58"/>
      <c r="BG111" s="19"/>
    </row>
    <row r="112" spans="1:59" ht="14.25" customHeight="1">
      <c r="A112" s="185"/>
      <c r="B112" s="1010"/>
      <c r="C112" s="1011"/>
      <c r="D112" s="183"/>
      <c r="E112" s="184"/>
      <c r="F112" s="1050"/>
      <c r="G112" s="1050"/>
      <c r="H112" s="1051"/>
      <c r="I112" s="1051"/>
      <c r="J112" s="1051"/>
      <c r="K112" s="1051"/>
      <c r="L112" s="1051"/>
      <c r="M112" s="1051"/>
      <c r="N112" s="1051"/>
      <c r="O112" s="1051"/>
      <c r="P112" s="1051"/>
      <c r="Q112" s="1051"/>
      <c r="R112" s="1051"/>
      <c r="S112" s="1051"/>
      <c r="T112" s="1051"/>
      <c r="U112" s="1051"/>
      <c r="V112" s="1051"/>
      <c r="W112" s="1051"/>
      <c r="X112" s="1051"/>
      <c r="Y112" s="1051"/>
      <c r="Z112" s="182"/>
      <c r="AA112" s="182"/>
      <c r="AB112" s="1051"/>
      <c r="AC112" s="1051"/>
      <c r="AD112" s="1051"/>
      <c r="AE112" s="1051"/>
      <c r="AF112" s="1051"/>
      <c r="AG112" s="1051"/>
      <c r="AH112" s="1051"/>
      <c r="AI112" s="1051"/>
      <c r="AJ112" s="1051"/>
      <c r="AK112" s="1051"/>
      <c r="AL112" s="1051"/>
      <c r="AM112" s="1051"/>
      <c r="AN112" s="1051"/>
      <c r="AO112" s="1051"/>
      <c r="AP112" s="1051"/>
      <c r="AQ112" s="1051"/>
      <c r="AR112" s="1051"/>
      <c r="AS112" s="1051"/>
      <c r="AT112" s="1051"/>
      <c r="AU112" s="1051"/>
      <c r="AV112" s="1051"/>
      <c r="AW112" s="1051"/>
      <c r="AX112" s="1051"/>
      <c r="AY112" s="1051"/>
      <c r="AZ112" s="1051"/>
      <c r="BB112" s="19"/>
      <c r="BD112" s="187"/>
      <c r="BE112" s="19"/>
      <c r="BF112" s="58"/>
      <c r="BG112" s="19"/>
    </row>
    <row r="113" spans="1:59" s="220" customFormat="1" ht="14.25" customHeight="1">
      <c r="A113" s="1017"/>
      <c r="B113" s="1012" t="s">
        <v>1163</v>
      </c>
      <c r="C113" s="1018"/>
      <c r="D113" s="1019"/>
      <c r="E113" s="1052">
        <f t="shared" ref="E113:Y113" si="453">SUM(E33:E111)+E7+E9+E11+E15+E16+E17+E19+E21+E22+E18+E25+E26</f>
        <v>36369736152.100014</v>
      </c>
      <c r="F113" s="1007">
        <f t="shared" si="453"/>
        <v>1818966507.6050007</v>
      </c>
      <c r="G113" s="1007">
        <f t="shared" si="453"/>
        <v>20320017958.989998</v>
      </c>
      <c r="H113" s="1007">
        <f t="shared" si="453"/>
        <v>0</v>
      </c>
      <c r="I113" s="1007">
        <f t="shared" si="453"/>
        <v>0</v>
      </c>
      <c r="J113" s="1007">
        <f t="shared" si="453"/>
        <v>20320017958.989998</v>
      </c>
      <c r="K113" s="1007">
        <f t="shared" si="453"/>
        <v>16306750</v>
      </c>
      <c r="L113" s="1007">
        <f t="shared" si="453"/>
        <v>16306750</v>
      </c>
      <c r="M113" s="1007">
        <f t="shared" si="453"/>
        <v>20629846208.989998</v>
      </c>
      <c r="N113" s="1007">
        <f t="shared" si="453"/>
        <v>1032307647.9495001</v>
      </c>
      <c r="O113" s="1007">
        <f t="shared" si="453"/>
        <v>1048614397.9495001</v>
      </c>
      <c r="P113" s="1007">
        <f t="shared" si="453"/>
        <v>19597538561.040497</v>
      </c>
      <c r="Q113" s="1007">
        <f t="shared" si="453"/>
        <v>1079272203.8074999</v>
      </c>
      <c r="R113" s="1007">
        <f t="shared" si="453"/>
        <v>2127886601.757</v>
      </c>
      <c r="S113" s="1007">
        <f t="shared" si="453"/>
        <v>19457557474.393002</v>
      </c>
      <c r="T113" s="1007">
        <f t="shared" si="453"/>
        <v>1081126353.8074999</v>
      </c>
      <c r="U113" s="1007">
        <f t="shared" si="453"/>
        <v>3209012955.5644999</v>
      </c>
      <c r="V113" s="1007">
        <f t="shared" si="453"/>
        <v>18403920120.585499</v>
      </c>
      <c r="W113" s="1007">
        <f t="shared" si="453"/>
        <v>1185051560.2831249</v>
      </c>
      <c r="X113" s="1007">
        <f t="shared" si="453"/>
        <v>4394064515.8476248</v>
      </c>
      <c r="Y113" s="1007">
        <f t="shared" si="453"/>
        <v>22207278471.132374</v>
      </c>
      <c r="Z113" s="1007"/>
      <c r="AA113" s="1007"/>
      <c r="AB113" s="1007">
        <f t="shared" ref="AB113:AS113" si="454">SUM(AB33:AB111)+AB7+AB9+AB11+AB15+AB16+AB17+AB19+AB21+AB22+AB18+AB25+AB26</f>
        <v>1330546849.349</v>
      </c>
      <c r="AC113" s="1007">
        <f t="shared" si="454"/>
        <v>5724611365.1966248</v>
      </c>
      <c r="AD113" s="1007">
        <f t="shared" si="454"/>
        <v>20876731621.783375</v>
      </c>
      <c r="AE113" s="1007">
        <f t="shared" si="454"/>
        <v>1378864901.3608334</v>
      </c>
      <c r="AF113" s="1007">
        <f t="shared" si="454"/>
        <v>7103476266.5574589</v>
      </c>
      <c r="AG113" s="1007">
        <f t="shared" si="454"/>
        <v>29266259885.542557</v>
      </c>
      <c r="AH113" s="1007">
        <f t="shared" si="454"/>
        <v>1818966507.6050007</v>
      </c>
      <c r="AI113" s="1007">
        <f t="shared" si="454"/>
        <v>8922442774.1624603</v>
      </c>
      <c r="AJ113" s="1007">
        <f t="shared" si="454"/>
        <v>27447293377.937557</v>
      </c>
      <c r="AK113" s="1162">
        <f t="shared" si="454"/>
        <v>151580542.30041674</v>
      </c>
      <c r="AL113" s="1162">
        <f t="shared" si="454"/>
        <v>9074023316.4628754</v>
      </c>
      <c r="AM113" s="1162">
        <f t="shared" si="454"/>
        <v>27295712835.637138</v>
      </c>
      <c r="AN113" s="1186">
        <f t="shared" ref="AN113:AP113" si="455">SUM(AN33:AN111)+AN7+AN9+AN11+AN15+AN16+AN17+AN19+AN21+AN22+AN18+AN25+AN26</f>
        <v>1364224880.7037506</v>
      </c>
      <c r="AO113" s="1186">
        <f t="shared" si="455"/>
        <v>10286667654.866209</v>
      </c>
      <c r="AP113" s="1186">
        <f t="shared" si="455"/>
        <v>26083068497.233803</v>
      </c>
      <c r="AQ113" s="1007">
        <f t="shared" si="454"/>
        <v>1818966507.6050007</v>
      </c>
      <c r="AR113" s="1007">
        <f t="shared" si="454"/>
        <v>10741409281.76746</v>
      </c>
      <c r="AS113" s="1007">
        <f t="shared" si="454"/>
        <v>25628326870.332558</v>
      </c>
      <c r="AT113" s="1007">
        <f t="shared" ref="AT113:AV113" si="456">SUM(AT33:AT111)+AT7+AT9+AT11+AT15+AT16+AT17+AT19+AT21+AT22+AT18+AT25+AT26</f>
        <v>1364224880.7037506</v>
      </c>
      <c r="AU113" s="1007">
        <f t="shared" si="456"/>
        <v>12105634162.47121</v>
      </c>
      <c r="AV113" s="1007">
        <f t="shared" si="456"/>
        <v>24264101989.628807</v>
      </c>
      <c r="AW113" s="1007">
        <f t="shared" ref="AW113:AY113" si="457">SUM(AW33:AW111)+AW7+AW9+AW11+AW15+AW16+AW17+AW19+AW21+AW22+AW18+AW25+AW26</f>
        <v>1818966507.6050007</v>
      </c>
      <c r="AX113" s="1007">
        <f t="shared" si="457"/>
        <v>12560375789.372459</v>
      </c>
      <c r="AY113" s="1007">
        <f t="shared" si="457"/>
        <v>23809360362.727554</v>
      </c>
      <c r="AZ113" s="184"/>
      <c r="BB113" s="8">
        <f t="shared" si="433"/>
        <v>0</v>
      </c>
      <c r="BD113" s="229"/>
      <c r="BE113" s="179"/>
      <c r="BF113" s="222"/>
      <c r="BG113" s="179"/>
    </row>
    <row r="114" spans="1:59" s="220" customFormat="1" ht="14.25" customHeight="1">
      <c r="A114" s="1003"/>
      <c r="B114" s="970" t="s">
        <v>1162</v>
      </c>
      <c r="C114" s="970"/>
      <c r="D114" s="1003"/>
      <c r="E114" s="11">
        <f t="shared" ref="E114:Y114" si="458">E8+E12+E13+E14+E20</f>
        <v>818420000</v>
      </c>
      <c r="F114" s="1020">
        <f t="shared" si="458"/>
        <v>41407000</v>
      </c>
      <c r="G114" s="1020">
        <f t="shared" si="458"/>
        <v>808700000</v>
      </c>
      <c r="H114" s="1020">
        <f t="shared" si="458"/>
        <v>0</v>
      </c>
      <c r="I114" s="1020">
        <f t="shared" si="458"/>
        <v>0</v>
      </c>
      <c r="J114" s="1020">
        <f t="shared" si="458"/>
        <v>808700000</v>
      </c>
      <c r="K114" s="1020">
        <f t="shared" si="458"/>
        <v>0</v>
      </c>
      <c r="L114" s="1020">
        <f t="shared" si="458"/>
        <v>0</v>
      </c>
      <c r="M114" s="1020">
        <f t="shared" si="458"/>
        <v>818420000</v>
      </c>
      <c r="N114" s="1020">
        <f t="shared" si="458"/>
        <v>41407000</v>
      </c>
      <c r="O114" s="1020">
        <f t="shared" si="458"/>
        <v>41407000</v>
      </c>
      <c r="P114" s="1020">
        <f t="shared" si="458"/>
        <v>777013000</v>
      </c>
      <c r="Q114" s="1020">
        <f t="shared" si="458"/>
        <v>41407000</v>
      </c>
      <c r="R114" s="1020">
        <f t="shared" si="458"/>
        <v>82814000</v>
      </c>
      <c r="S114" s="1020">
        <f t="shared" si="458"/>
        <v>735606000</v>
      </c>
      <c r="T114" s="1020">
        <f t="shared" si="458"/>
        <v>41407000</v>
      </c>
      <c r="U114" s="1020">
        <f t="shared" si="458"/>
        <v>124221000</v>
      </c>
      <c r="V114" s="1020">
        <f t="shared" si="458"/>
        <v>694199000</v>
      </c>
      <c r="W114" s="1020">
        <f t="shared" si="458"/>
        <v>41407000</v>
      </c>
      <c r="X114" s="1020">
        <f t="shared" si="458"/>
        <v>165628000</v>
      </c>
      <c r="Y114" s="1020">
        <f t="shared" si="458"/>
        <v>652792000</v>
      </c>
      <c r="Z114" s="1020"/>
      <c r="AA114" s="1020"/>
      <c r="AB114" s="1020">
        <f t="shared" ref="AB114:AV114" si="459">AB8+AB12+AB13+AB14+AB20</f>
        <v>41407000</v>
      </c>
      <c r="AC114" s="1020">
        <f t="shared" si="459"/>
        <v>207035000</v>
      </c>
      <c r="AD114" s="1020">
        <f t="shared" si="459"/>
        <v>611385000</v>
      </c>
      <c r="AE114" s="1020">
        <f t="shared" si="459"/>
        <v>41407000</v>
      </c>
      <c r="AF114" s="1020">
        <f t="shared" si="459"/>
        <v>248442000</v>
      </c>
      <c r="AG114" s="1020">
        <f t="shared" si="459"/>
        <v>569978000</v>
      </c>
      <c r="AH114" s="1020">
        <f t="shared" si="459"/>
        <v>41407000</v>
      </c>
      <c r="AI114" s="1020">
        <f t="shared" si="459"/>
        <v>289849000</v>
      </c>
      <c r="AJ114" s="1020">
        <f t="shared" si="459"/>
        <v>528571000</v>
      </c>
      <c r="AK114" s="1160">
        <f t="shared" si="459"/>
        <v>3450583.333333333</v>
      </c>
      <c r="AL114" s="1160">
        <f t="shared" si="459"/>
        <v>293299583.33333337</v>
      </c>
      <c r="AM114" s="1160">
        <f t="shared" si="459"/>
        <v>525120416.66666663</v>
      </c>
      <c r="AN114" s="1187">
        <f t="shared" ref="AN114:AP114" si="460">AN8+AN12+AN13+AN14+AN20</f>
        <v>31055250</v>
      </c>
      <c r="AO114" s="1187">
        <f t="shared" si="460"/>
        <v>320904250</v>
      </c>
      <c r="AP114" s="1187">
        <f t="shared" si="460"/>
        <v>497515750</v>
      </c>
      <c r="AQ114" s="1020">
        <f t="shared" si="459"/>
        <v>41407000</v>
      </c>
      <c r="AR114" s="1020">
        <f t="shared" si="459"/>
        <v>331256000</v>
      </c>
      <c r="AS114" s="1020">
        <f t="shared" si="459"/>
        <v>487164000</v>
      </c>
      <c r="AT114" s="1160">
        <f t="shared" si="459"/>
        <v>31055250</v>
      </c>
      <c r="AU114" s="1160">
        <f t="shared" si="459"/>
        <v>362311250</v>
      </c>
      <c r="AV114" s="1160">
        <f t="shared" si="459"/>
        <v>456108750</v>
      </c>
      <c r="AW114" s="1160">
        <f t="shared" ref="AW114:AY114" si="461">AW8+AW12+AW13+AW14+AW20</f>
        <v>41407000</v>
      </c>
      <c r="AX114" s="1160">
        <f t="shared" si="461"/>
        <v>372663000</v>
      </c>
      <c r="AY114" s="1160">
        <f t="shared" si="461"/>
        <v>445757000</v>
      </c>
      <c r="AZ114" s="18"/>
    </row>
    <row r="115" spans="1:59" ht="14.25" customHeight="1">
      <c r="A115" s="10"/>
      <c r="B115" s="9"/>
      <c r="C115" s="9"/>
      <c r="D115" s="10"/>
      <c r="E115" s="11">
        <f>SUM(E5:E111)</f>
        <v>37188156152.100021</v>
      </c>
      <c r="F115" s="11">
        <f t="shared" ref="F115:AD115" si="462">SUM(F5:F109)</f>
        <v>1814675024.6620002</v>
      </c>
      <c r="G115" s="11">
        <f t="shared" si="462"/>
        <v>21128717958.989998</v>
      </c>
      <c r="H115" s="11">
        <f t="shared" si="462"/>
        <v>0</v>
      </c>
      <c r="I115" s="11">
        <f t="shared" si="462"/>
        <v>0</v>
      </c>
      <c r="J115" s="11">
        <f t="shared" si="462"/>
        <v>21128717958.989998</v>
      </c>
      <c r="K115" s="11">
        <f t="shared" si="462"/>
        <v>16306750</v>
      </c>
      <c r="L115" s="11">
        <f t="shared" si="462"/>
        <v>16306750</v>
      </c>
      <c r="M115" s="11">
        <f t="shared" si="462"/>
        <v>21448266208.989998</v>
      </c>
      <c r="N115" s="11">
        <f t="shared" si="462"/>
        <v>1073714647.9495</v>
      </c>
      <c r="O115" s="11">
        <f t="shared" si="462"/>
        <v>1090021397.9495001</v>
      </c>
      <c r="P115" s="11">
        <f t="shared" si="462"/>
        <v>20374551561.040501</v>
      </c>
      <c r="Q115" s="11">
        <f t="shared" si="462"/>
        <v>1120679203.8074999</v>
      </c>
      <c r="R115" s="11">
        <f t="shared" si="462"/>
        <v>2210700601.757</v>
      </c>
      <c r="S115" s="11">
        <f t="shared" si="462"/>
        <v>20193163474.392998</v>
      </c>
      <c r="T115" s="11">
        <f t="shared" si="462"/>
        <v>1122533353.8075001</v>
      </c>
      <c r="U115" s="11">
        <f t="shared" si="462"/>
        <v>3333233955.5644999</v>
      </c>
      <c r="V115" s="11">
        <f t="shared" si="462"/>
        <v>19098119120.585499</v>
      </c>
      <c r="W115" s="11">
        <f t="shared" si="462"/>
        <v>1226458560.2831249</v>
      </c>
      <c r="X115" s="11">
        <f t="shared" si="462"/>
        <v>4559692515.8476248</v>
      </c>
      <c r="Y115" s="11">
        <f t="shared" si="462"/>
        <v>22860070471.132374</v>
      </c>
      <c r="Z115" s="11">
        <f t="shared" si="462"/>
        <v>4075913387.7715006</v>
      </c>
      <c r="AA115" s="11">
        <f t="shared" si="462"/>
        <v>23343849599.2085</v>
      </c>
      <c r="AB115" s="11">
        <f t="shared" si="462"/>
        <v>1371953849.349</v>
      </c>
      <c r="AC115" s="11">
        <f t="shared" si="462"/>
        <v>5931646365.1966257</v>
      </c>
      <c r="AD115" s="11">
        <f t="shared" si="462"/>
        <v>21488116621.783375</v>
      </c>
      <c r="AE115" s="11">
        <f>SUM(AE5:AE111)</f>
        <v>1420271901.3608336</v>
      </c>
      <c r="AF115" s="11">
        <f>SUM(AF5:AF109)</f>
        <v>7340493645.8217077</v>
      </c>
      <c r="AG115" s="11">
        <f>SUM(AG5:AG109)</f>
        <v>28933692847.418289</v>
      </c>
      <c r="AH115" s="11">
        <f>SUM(AH5:AH111)</f>
        <v>1860373507.605001</v>
      </c>
      <c r="AI115" s="11">
        <f>SUM(AI5:AI111)</f>
        <v>9212291774.1624603</v>
      </c>
      <c r="AJ115" s="11">
        <f>SUM(AJ5:AJ111)</f>
        <v>27975864377.937561</v>
      </c>
      <c r="AK115" s="1161">
        <f>SUM(AK5:AK111)</f>
        <v>155031125.63375005</v>
      </c>
      <c r="AL115" s="1161">
        <f t="shared" ref="AL115:AM115" si="463">SUM(AL5:AL111)</f>
        <v>9367322899.7962055</v>
      </c>
      <c r="AM115" s="1161">
        <f t="shared" si="463"/>
        <v>27820833252.303818</v>
      </c>
      <c r="AN115" s="1188">
        <f t="shared" ref="AN115:AP115" si="464">SUM(AN5:AN111)</f>
        <v>1395280130.7037506</v>
      </c>
      <c r="AO115" s="1188">
        <f t="shared" si="464"/>
        <v>10607571904.866209</v>
      </c>
      <c r="AP115" s="1188">
        <f t="shared" si="464"/>
        <v>26580584247.233807</v>
      </c>
      <c r="AQ115" s="11">
        <f>SUM(AQ5:AQ111)</f>
        <v>1860373507.605001</v>
      </c>
      <c r="AR115" s="11">
        <f t="shared" ref="AR115:AS115" si="465">SUM(AR5:AR111)</f>
        <v>11072665281.76746</v>
      </c>
      <c r="AS115" s="11">
        <f t="shared" si="465"/>
        <v>26115490870.332558</v>
      </c>
      <c r="AT115" s="1161">
        <f t="shared" ref="AT115:AY115" si="466">SUM(AT5:AT111)</f>
        <v>1395280130.7037506</v>
      </c>
      <c r="AU115" s="1161">
        <f t="shared" si="466"/>
        <v>12467945412.47121</v>
      </c>
      <c r="AV115" s="1161">
        <f t="shared" si="466"/>
        <v>24720210739.628807</v>
      </c>
      <c r="AW115" s="1161">
        <f t="shared" si="466"/>
        <v>1860373507.605001</v>
      </c>
      <c r="AX115" s="1161">
        <f t="shared" si="466"/>
        <v>12933038789.372459</v>
      </c>
      <c r="AY115" s="1161">
        <f t="shared" si="466"/>
        <v>24255117362.727558</v>
      </c>
      <c r="AZ115" s="13"/>
      <c r="BB115" s="8">
        <f t="shared" ref="BB115" si="467">E115-AX115-AY115</f>
        <v>0</v>
      </c>
    </row>
    <row r="116" spans="1:59" ht="14.25" customHeight="1">
      <c r="B116" s="180" t="s">
        <v>1095</v>
      </c>
      <c r="E116" s="13">
        <v>37188156152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</row>
    <row r="117" spans="1:59" ht="14.25" customHeight="1">
      <c r="C117" s="220"/>
      <c r="E117" s="13">
        <f>E115-E116</f>
        <v>0.1000213623046875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</row>
    <row r="118" spans="1:59" ht="14.25" customHeight="1">
      <c r="B118" s="47"/>
      <c r="C118" s="47"/>
      <c r="D118" s="48"/>
      <c r="E118" s="49"/>
      <c r="F118" s="50" t="s">
        <v>29</v>
      </c>
      <c r="G118" s="50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</row>
    <row r="119" spans="1:59" ht="14.25" customHeight="1">
      <c r="B119" s="51" t="s">
        <v>30</v>
      </c>
      <c r="C119" s="47"/>
      <c r="D119" s="48"/>
      <c r="E119" s="49">
        <v>0</v>
      </c>
      <c r="F119" s="50"/>
      <c r="G119" s="50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</row>
    <row r="120" spans="1:59" ht="14.25" customHeight="1">
      <c r="B120" s="51" t="s">
        <v>137</v>
      </c>
      <c r="C120" s="47"/>
      <c r="D120" s="48"/>
      <c r="E120" s="49">
        <f>SUM(G7:G111)</f>
        <v>21128717958.989998</v>
      </c>
      <c r="F120" s="52">
        <f t="shared" ref="F120:F125" si="468">E120-E119</f>
        <v>21128717958.989998</v>
      </c>
      <c r="G120" s="52"/>
      <c r="I120" s="58"/>
      <c r="X120" s="15"/>
      <c r="AC120" s="15"/>
      <c r="AE120" s="18"/>
      <c r="AF120" s="15"/>
    </row>
    <row r="121" spans="1:59" ht="14.25" customHeight="1">
      <c r="B121" s="51" t="s">
        <v>138</v>
      </c>
      <c r="C121" s="47"/>
      <c r="D121" s="48"/>
      <c r="E121" s="49">
        <f>G115+E20+E69</f>
        <v>21464572958.989998</v>
      </c>
      <c r="F121" s="52">
        <f t="shared" si="468"/>
        <v>335855000</v>
      </c>
      <c r="G121" s="52"/>
      <c r="X121" s="15"/>
      <c r="AC121" s="15"/>
      <c r="AE121" s="18"/>
      <c r="AF121" s="15"/>
    </row>
    <row r="122" spans="1:59" ht="14.25" customHeight="1">
      <c r="B122" s="51" t="s">
        <v>139</v>
      </c>
      <c r="C122" s="47"/>
      <c r="D122" s="48"/>
      <c r="E122" s="49">
        <f>E121+E77</f>
        <v>21464572958.989998</v>
      </c>
      <c r="F122" s="52">
        <f t="shared" si="468"/>
        <v>0</v>
      </c>
      <c r="G122" s="52"/>
      <c r="X122" s="15"/>
      <c r="AC122" s="15"/>
      <c r="AE122" s="18"/>
      <c r="AF122" s="15"/>
    </row>
    <row r="123" spans="1:59" ht="14.25" customHeight="1">
      <c r="B123" s="51" t="s">
        <v>140</v>
      </c>
      <c r="C123" s="47"/>
      <c r="D123" s="48"/>
      <c r="E123" s="49">
        <f>E122+E78</f>
        <v>22403864076.149998</v>
      </c>
      <c r="F123" s="52">
        <f t="shared" si="468"/>
        <v>939291117.15999985</v>
      </c>
      <c r="G123" s="52"/>
      <c r="X123" s="15"/>
      <c r="AC123" s="15"/>
      <c r="AE123" s="18"/>
      <c r="AF123" s="15"/>
    </row>
    <row r="124" spans="1:59" ht="14.25" customHeight="1">
      <c r="B124" s="51" t="s">
        <v>141</v>
      </c>
      <c r="C124" s="47"/>
      <c r="D124" s="48"/>
      <c r="E124" s="49">
        <f>E123+E70+E79+E105+E106</f>
        <v>22431353076.149998</v>
      </c>
      <c r="F124" s="52">
        <f t="shared" si="468"/>
        <v>27489000</v>
      </c>
      <c r="G124" s="52"/>
      <c r="X124" s="15"/>
      <c r="AC124" s="15"/>
      <c r="AF124" s="15"/>
    </row>
    <row r="125" spans="1:59" ht="14.25" customHeight="1">
      <c r="B125" s="51" t="s">
        <v>142</v>
      </c>
      <c r="C125" s="47"/>
      <c r="D125" s="48"/>
      <c r="E125" s="49">
        <f>E124+E21+E109</f>
        <v>27419762986.979996</v>
      </c>
      <c r="F125" s="52">
        <f t="shared" si="468"/>
        <v>4988409910.829998</v>
      </c>
      <c r="G125" s="52"/>
      <c r="X125" s="16"/>
      <c r="AC125" s="16"/>
      <c r="AF125" s="16"/>
    </row>
    <row r="126" spans="1:59" ht="14.25" customHeight="1">
      <c r="B126" s="51" t="s">
        <v>143</v>
      </c>
      <c r="C126" s="47"/>
      <c r="D126" s="48"/>
      <c r="E126" s="49">
        <f>E125</f>
        <v>27419762986.979996</v>
      </c>
      <c r="F126" s="52">
        <f>E126-E125</f>
        <v>0</v>
      </c>
      <c r="G126" s="52"/>
    </row>
    <row r="127" spans="1:59" ht="14.25" customHeight="1">
      <c r="B127" s="51" t="s">
        <v>144</v>
      </c>
      <c r="C127" s="47"/>
      <c r="D127" s="48"/>
      <c r="E127" s="49">
        <f>E126+E22+E111</f>
        <v>37188156152.100014</v>
      </c>
      <c r="F127" s="52">
        <f>E127-E126</f>
        <v>9768393165.120018</v>
      </c>
      <c r="G127" s="52"/>
    </row>
    <row r="128" spans="1:59" ht="14.25" customHeight="1">
      <c r="B128" s="51" t="s">
        <v>145</v>
      </c>
      <c r="C128" s="47"/>
      <c r="D128" s="48"/>
      <c r="E128" s="49">
        <f>E127</f>
        <v>37188156152.100014</v>
      </c>
      <c r="F128" s="52">
        <f>E128-E127</f>
        <v>0</v>
      </c>
      <c r="G128" s="52"/>
    </row>
    <row r="129" spans="2:7" ht="14.25" customHeight="1">
      <c r="B129" s="51" t="s">
        <v>1223</v>
      </c>
      <c r="C129" s="47"/>
      <c r="D129" s="48"/>
      <c r="E129" s="49">
        <f>E128</f>
        <v>37188156152.100014</v>
      </c>
      <c r="F129" s="52">
        <f>E129-E128</f>
        <v>0</v>
      </c>
      <c r="G129" s="52"/>
    </row>
    <row r="130" spans="2:7" ht="14.25" customHeight="1">
      <c r="B130" s="51" t="s">
        <v>1308</v>
      </c>
      <c r="C130" s="47"/>
      <c r="D130" s="48"/>
      <c r="E130" s="49">
        <f>E129</f>
        <v>37188156152.100014</v>
      </c>
      <c r="F130" s="52">
        <f>E130-E129</f>
        <v>0</v>
      </c>
      <c r="G130" s="52"/>
    </row>
  </sheetData>
  <autoFilter ref="A3:AS114" xr:uid="{BEC6FAE1-4E8F-49B9-93A7-337D7A576899}">
    <filterColumn colId="4">
      <filters blank="1">
        <filter val="1.039.132.050"/>
        <filter val="109.140.000"/>
        <filter val="115.500.000"/>
        <filter val="128.910.000"/>
        <filter val="131.970.000"/>
        <filter val="150.150.000"/>
        <filter val="17.830.000"/>
        <filter val="17.895.000"/>
        <filter val="175.400.000"/>
        <filter val="185.540.000"/>
        <filter val="194.080.000"/>
        <filter val="203.210.000"/>
        <filter val="23.340.000"/>
        <filter val="249.885.000"/>
        <filter val="262.080.000"/>
        <filter val="3.949.277.861"/>
        <filter val="313.090.000"/>
        <filter val="326.135.000"/>
        <filter val="33.060.000"/>
        <filter val="35.455.766.493"/>
        <filter val="39.450.000"/>
        <filter val="46.762.500"/>
        <filter val="48.450.000"/>
        <filter val="5.564.855.579"/>
        <filter val="50.330.000"/>
        <filter val="51.410.000"/>
        <filter val="553.010.000"/>
        <filter val="607.190.000"/>
        <filter val="64.480.000"/>
        <filter val="66.130.000"/>
        <filter val="73.630.000"/>
        <filter val="742.420.000"/>
        <filter val="753.420.000"/>
        <filter val="8.854.423.506"/>
        <filter val="818.420.000"/>
        <filter val="83.160.000"/>
        <filter val="88.740.000"/>
        <filter val="89.000.000"/>
        <filter val="89.720.000"/>
        <filter val="9.443.284.880"/>
        <filter val="9.594.000"/>
        <filter val="9.720.000"/>
        <filter val="90.770.000"/>
        <filter val="92.740.000"/>
        <filter val="939.291.117"/>
        <filter val="97.760.000"/>
        <filter val="98.820.000"/>
        <filter val="Perolehan"/>
      </filters>
    </filterColumn>
  </autoFilter>
  <sortState xmlns:xlrd2="http://schemas.microsoft.com/office/spreadsheetml/2017/richdata2" ref="B5:E26">
    <sortCondition ref="C5:C26"/>
  </sortState>
  <mergeCells count="16">
    <mergeCell ref="AW3:AW4"/>
    <mergeCell ref="A3:A4"/>
    <mergeCell ref="B3:B4"/>
    <mergeCell ref="Q3:Q4"/>
    <mergeCell ref="T3:T4"/>
    <mergeCell ref="W3:W4"/>
    <mergeCell ref="K3:K4"/>
    <mergeCell ref="H3:H4"/>
    <mergeCell ref="AT3:AT4"/>
    <mergeCell ref="AQ3:AQ4"/>
    <mergeCell ref="AH3:AH4"/>
    <mergeCell ref="AE3:AE4"/>
    <mergeCell ref="N3:N4"/>
    <mergeCell ref="AB3:AB4"/>
    <mergeCell ref="AK3:AK4"/>
    <mergeCell ref="AN3:AN4"/>
  </mergeCells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B1F7-9939-440E-9252-0D704A017CA7}">
  <sheetPr filterMode="1">
    <tabColor theme="5" tint="0.39997558519241921"/>
  </sheetPr>
  <dimension ref="A1:BH55"/>
  <sheetViews>
    <sheetView showGridLines="0" zoomScale="90" zoomScaleNormal="90" workbookViewId="0">
      <pane xSplit="5" ySplit="4" topLeftCell="AR5" activePane="bottomRight" state="frozen"/>
      <selection pane="topRight" activeCell="F1" sqref="F1"/>
      <selection pane="bottomLeft" activeCell="A5" sqref="A5"/>
      <selection pane="bottomRight" activeCell="C12" sqref="C12"/>
    </sheetView>
  </sheetViews>
  <sheetFormatPr defaultColWidth="9.1796875" defaultRowHeight="12.5" customHeight="1" outlineLevelCol="1"/>
  <cols>
    <col min="1" max="1" width="2.81640625" style="12" bestFit="1" customWidth="1"/>
    <col min="2" max="2" width="28.26953125" style="3" customWidth="1"/>
    <col min="3" max="3" width="8.54296875" style="3" customWidth="1"/>
    <col min="4" max="4" width="9.26953125" style="12" bestFit="1" customWidth="1"/>
    <col min="5" max="5" width="11.90625" style="3" bestFit="1" customWidth="1"/>
    <col min="6" max="6" width="9.7265625" style="14" customWidth="1" outlineLevel="1"/>
    <col min="7" max="7" width="17.54296875" style="3" customWidth="1" outlineLevel="1"/>
    <col min="8" max="8" width="17.453125" style="3" customWidth="1" outlineLevel="1"/>
    <col min="9" max="9" width="14.453125" style="3" customWidth="1" outlineLevel="1"/>
    <col min="10" max="10" width="12.7265625" style="3" customWidth="1" outlineLevel="1"/>
    <col min="11" max="11" width="17.453125" style="3" customWidth="1" outlineLevel="1"/>
    <col min="12" max="12" width="14.453125" style="3" customWidth="1" outlineLevel="1"/>
    <col min="13" max="13" width="12.7265625" style="3" customWidth="1" outlineLevel="1"/>
    <col min="14" max="14" width="17.453125" style="3" customWidth="1" outlineLevel="1"/>
    <col min="15" max="15" width="14.453125" style="3" customWidth="1" outlineLevel="1"/>
    <col min="16" max="16" width="12.7265625" style="3" customWidth="1" outlineLevel="1"/>
    <col min="17" max="17" width="17.453125" style="3" customWidth="1" outlineLevel="1"/>
    <col min="18" max="18" width="14.453125" style="3" customWidth="1" outlineLevel="1"/>
    <col min="19" max="19" width="12.7265625" style="3" customWidth="1" outlineLevel="1"/>
    <col min="20" max="20" width="17.453125" style="3" customWidth="1" outlineLevel="1"/>
    <col min="21" max="21" width="14.453125" style="3" customWidth="1" outlineLevel="1"/>
    <col min="22" max="22" width="12.7265625" style="3" customWidth="1" outlineLevel="1"/>
    <col min="23" max="23" width="17.453125" style="3" customWidth="1" outlineLevel="1"/>
    <col min="24" max="24" width="14.453125" style="3" customWidth="1" outlineLevel="1"/>
    <col min="25" max="25" width="12.7265625" style="3" customWidth="1" outlineLevel="1"/>
    <col min="26" max="27" width="12.7265625" style="3" hidden="1" customWidth="1"/>
    <col min="28" max="28" width="17.453125" style="3" bestFit="1" customWidth="1"/>
    <col min="29" max="29" width="14.453125" style="3" bestFit="1" customWidth="1"/>
    <col min="30" max="30" width="12.7265625" style="3" bestFit="1" customWidth="1"/>
    <col min="31" max="31" width="17.453125" style="3" bestFit="1" customWidth="1"/>
    <col min="32" max="32" width="14.453125" style="3" bestFit="1" customWidth="1"/>
    <col min="33" max="33" width="12.7265625" style="3" bestFit="1" customWidth="1"/>
    <col min="34" max="34" width="14.08984375" style="3" customWidth="1"/>
    <col min="35" max="35" width="9.90625" style="3" bestFit="1" customWidth="1"/>
    <col min="36" max="36" width="10.6328125" style="3" bestFit="1" customWidth="1"/>
    <col min="37" max="39" width="10.6328125" style="3" hidden="1" customWidth="1"/>
    <col min="40" max="40" width="13.81640625" style="3" customWidth="1"/>
    <col min="41" max="41" width="12.6328125" style="3" bestFit="1" customWidth="1"/>
    <col min="42" max="42" width="13.1796875" style="3" bestFit="1" customWidth="1"/>
    <col min="43" max="43" width="13.54296875" style="3" customWidth="1"/>
    <col min="44" max="44" width="14.6328125" style="3" bestFit="1" customWidth="1"/>
    <col min="45" max="45" width="15.08984375" style="3" bestFit="1" customWidth="1"/>
    <col min="46" max="51" width="15.08984375" style="3" hidden="1" customWidth="1"/>
    <col min="52" max="55" width="15.08984375" style="3" customWidth="1"/>
    <col min="56" max="56" width="10.6328125" style="3" customWidth="1"/>
    <col min="57" max="57" width="9.90625" style="3" bestFit="1" customWidth="1"/>
    <col min="58" max="58" width="10.6328125" style="3" customWidth="1"/>
    <col min="59" max="59" width="10.453125" style="3" bestFit="1" customWidth="1"/>
    <col min="61" max="16384" width="9.1796875" style="3"/>
  </cols>
  <sheetData>
    <row r="1" spans="1:60" ht="14.25" customHeight="1">
      <c r="A1" s="1320" t="s">
        <v>17</v>
      </c>
      <c r="B1" s="131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672" t="s">
        <v>1072</v>
      </c>
      <c r="H1" s="1318" t="s">
        <v>133</v>
      </c>
      <c r="I1" s="1" t="s">
        <v>6</v>
      </c>
      <c r="J1" s="1" t="s">
        <v>7</v>
      </c>
      <c r="K1" s="1318" t="s">
        <v>127</v>
      </c>
      <c r="L1" s="1" t="s">
        <v>6</v>
      </c>
      <c r="M1" s="1" t="s">
        <v>7</v>
      </c>
      <c r="N1" s="1318" t="s">
        <v>130</v>
      </c>
      <c r="O1" s="1" t="s">
        <v>6</v>
      </c>
      <c r="P1" s="1" t="s">
        <v>7</v>
      </c>
      <c r="Q1" s="1318" t="s">
        <v>26</v>
      </c>
      <c r="R1" s="1" t="s">
        <v>6</v>
      </c>
      <c r="S1" s="1" t="s">
        <v>7</v>
      </c>
      <c r="T1" s="1318" t="s">
        <v>18</v>
      </c>
      <c r="U1" s="1" t="s">
        <v>6</v>
      </c>
      <c r="V1" s="1" t="s">
        <v>7</v>
      </c>
      <c r="W1" s="1318" t="s">
        <v>136</v>
      </c>
      <c r="X1" s="1" t="s">
        <v>6</v>
      </c>
      <c r="Y1" s="1" t="s">
        <v>7</v>
      </c>
      <c r="Z1" s="1035" t="s">
        <v>1165</v>
      </c>
      <c r="AA1" s="1035" t="s">
        <v>1165</v>
      </c>
      <c r="AB1" s="1318" t="s">
        <v>5</v>
      </c>
      <c r="AC1" s="1" t="s">
        <v>6</v>
      </c>
      <c r="AD1" s="1" t="s">
        <v>7</v>
      </c>
      <c r="AE1" s="1318" t="s">
        <v>8</v>
      </c>
      <c r="AF1" s="1" t="s">
        <v>6</v>
      </c>
      <c r="AG1" s="1" t="s">
        <v>7</v>
      </c>
      <c r="AH1" s="1318" t="s">
        <v>23</v>
      </c>
      <c r="AI1" s="1" t="s">
        <v>6</v>
      </c>
      <c r="AJ1" s="1" t="s">
        <v>7</v>
      </c>
      <c r="AK1" s="1321" t="s">
        <v>1284</v>
      </c>
      <c r="AL1" s="1156" t="s">
        <v>6</v>
      </c>
      <c r="AM1" s="1156" t="s">
        <v>7</v>
      </c>
      <c r="AN1" s="1326" t="s">
        <v>1299</v>
      </c>
      <c r="AO1" s="1185" t="s">
        <v>6</v>
      </c>
      <c r="AP1" s="1185" t="s">
        <v>7</v>
      </c>
      <c r="AQ1" s="1318" t="s">
        <v>1219</v>
      </c>
      <c r="AR1" s="1" t="s">
        <v>6</v>
      </c>
      <c r="AS1" s="1" t="s">
        <v>7</v>
      </c>
      <c r="AT1" s="1321" t="s">
        <v>1302</v>
      </c>
      <c r="AU1" s="1156" t="s">
        <v>6</v>
      </c>
      <c r="AV1" s="1156" t="s">
        <v>7</v>
      </c>
      <c r="AW1" s="1326" t="s">
        <v>1295</v>
      </c>
      <c r="AX1" s="1185" t="s">
        <v>6</v>
      </c>
      <c r="AY1" s="1185" t="s">
        <v>7</v>
      </c>
      <c r="AZ1" s="1318" t="s">
        <v>1305</v>
      </c>
      <c r="BA1" s="1" t="s">
        <v>6</v>
      </c>
      <c r="BB1" s="1" t="s">
        <v>7</v>
      </c>
      <c r="BC1" s="870"/>
      <c r="BD1" s="870"/>
      <c r="BF1" s="870"/>
    </row>
    <row r="2" spans="1:60" ht="14.25" customHeight="1">
      <c r="A2" s="1320"/>
      <c r="B2" s="1318"/>
      <c r="C2" s="4" t="s">
        <v>9</v>
      </c>
      <c r="D2" s="4" t="s">
        <v>10</v>
      </c>
      <c r="E2" s="4" t="s">
        <v>9</v>
      </c>
      <c r="F2" s="4" t="s">
        <v>11</v>
      </c>
      <c r="G2" s="673" t="s">
        <v>1071</v>
      </c>
      <c r="H2" s="1318"/>
      <c r="I2" s="1" t="s">
        <v>134</v>
      </c>
      <c r="J2" s="1" t="s">
        <v>135</v>
      </c>
      <c r="K2" s="1318"/>
      <c r="L2" s="1" t="s">
        <v>128</v>
      </c>
      <c r="M2" s="1" t="s">
        <v>129</v>
      </c>
      <c r="N2" s="1318"/>
      <c r="O2" s="1" t="s">
        <v>131</v>
      </c>
      <c r="P2" s="1" t="s">
        <v>132</v>
      </c>
      <c r="Q2" s="1318"/>
      <c r="R2" s="1" t="s">
        <v>27</v>
      </c>
      <c r="S2" s="1" t="s">
        <v>28</v>
      </c>
      <c r="T2" s="1318"/>
      <c r="U2" s="1" t="s">
        <v>19</v>
      </c>
      <c r="V2" s="1" t="s">
        <v>20</v>
      </c>
      <c r="W2" s="1318"/>
      <c r="X2" s="1" t="s">
        <v>21</v>
      </c>
      <c r="Y2" s="1" t="s">
        <v>22</v>
      </c>
      <c r="Z2" s="1035" t="s">
        <v>1166</v>
      </c>
      <c r="AA2" s="1035" t="s">
        <v>1167</v>
      </c>
      <c r="AB2" s="1318"/>
      <c r="AC2" s="1" t="s">
        <v>12</v>
      </c>
      <c r="AD2" s="1" t="s">
        <v>13</v>
      </c>
      <c r="AE2" s="1318"/>
      <c r="AF2" s="1" t="s">
        <v>14</v>
      </c>
      <c r="AG2" s="1" t="s">
        <v>15</v>
      </c>
      <c r="AH2" s="1318"/>
      <c r="AI2" s="1" t="s">
        <v>24</v>
      </c>
      <c r="AJ2" s="1" t="s">
        <v>25</v>
      </c>
      <c r="AK2" s="1321"/>
      <c r="AL2" s="1156" t="s">
        <v>1285</v>
      </c>
      <c r="AM2" s="1156" t="s">
        <v>1286</v>
      </c>
      <c r="AN2" s="1326"/>
      <c r="AO2" s="1185" t="s">
        <v>1300</v>
      </c>
      <c r="AP2" s="1185" t="s">
        <v>1301</v>
      </c>
      <c r="AQ2" s="1318"/>
      <c r="AR2" s="1" t="s">
        <v>1220</v>
      </c>
      <c r="AS2" s="1" t="s">
        <v>1221</v>
      </c>
      <c r="AT2" s="1322"/>
      <c r="AU2" s="1159" t="s">
        <v>1303</v>
      </c>
      <c r="AV2" s="1159" t="s">
        <v>1304</v>
      </c>
      <c r="AW2" s="1324"/>
      <c r="AX2" s="1190" t="s">
        <v>1296</v>
      </c>
      <c r="AY2" s="1190" t="s">
        <v>1297</v>
      </c>
      <c r="AZ2" s="1318"/>
      <c r="BA2" s="1" t="s">
        <v>1306</v>
      </c>
      <c r="BB2" s="1" t="s">
        <v>1307</v>
      </c>
      <c r="BC2" s="870"/>
      <c r="BD2" s="870"/>
      <c r="BE2" s="5" t="s">
        <v>16</v>
      </c>
      <c r="BF2" s="870"/>
    </row>
    <row r="3" spans="1:60" s="220" customFormat="1" ht="14.25" customHeight="1">
      <c r="A3" s="190">
        <v>1</v>
      </c>
      <c r="B3" s="214" t="s">
        <v>399</v>
      </c>
      <c r="C3" s="215"/>
      <c r="D3" s="216"/>
      <c r="E3" s="217"/>
      <c r="F3" s="218"/>
      <c r="G3" s="217"/>
      <c r="H3" s="219"/>
      <c r="I3" s="219"/>
      <c r="J3" s="21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182"/>
      <c r="BD3" s="182"/>
      <c r="BE3" s="8"/>
      <c r="BF3" s="182"/>
      <c r="BG3" s="19"/>
    </row>
    <row r="4" spans="1:60" s="220" customFormat="1" ht="14.25" customHeight="1">
      <c r="A4" s="190"/>
      <c r="B4" s="214" t="s">
        <v>405</v>
      </c>
      <c r="C4" s="215"/>
      <c r="D4" s="216"/>
      <c r="E4" s="217"/>
      <c r="F4" s="20"/>
      <c r="G4" s="217"/>
      <c r="H4" s="7"/>
      <c r="I4" s="7"/>
      <c r="J4" s="7"/>
      <c r="K4" s="219"/>
      <c r="L4" s="219"/>
      <c r="M4" s="219"/>
      <c r="N4" s="219"/>
      <c r="O4" s="219"/>
      <c r="P4" s="219"/>
      <c r="Q4" s="219"/>
      <c r="R4" s="219"/>
      <c r="S4" s="219"/>
      <c r="T4" s="7"/>
      <c r="U4" s="7"/>
      <c r="V4" s="7"/>
      <c r="W4" s="219"/>
      <c r="X4" s="219"/>
      <c r="Y4" s="219"/>
      <c r="Z4" s="219"/>
      <c r="AA4" s="219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182"/>
      <c r="BD4" s="227"/>
      <c r="BE4" s="61"/>
      <c r="BF4" s="227"/>
      <c r="BG4" s="222"/>
    </row>
    <row r="5" spans="1:60" ht="14.25" customHeight="1">
      <c r="A5" s="17">
        <v>1</v>
      </c>
      <c r="B5" s="53" t="s">
        <v>175</v>
      </c>
      <c r="C5" s="238">
        <v>37257</v>
      </c>
      <c r="D5" s="55">
        <v>8</v>
      </c>
      <c r="E5" s="6">
        <v>222800000</v>
      </c>
      <c r="F5" s="1041">
        <f t="shared" ref="F5:F12" si="0">E5/D5</f>
        <v>27850000</v>
      </c>
      <c r="G5" s="6">
        <f>E5</f>
        <v>222800000</v>
      </c>
      <c r="H5" s="1053"/>
      <c r="I5" s="1042">
        <f>H5</f>
        <v>0</v>
      </c>
      <c r="J5" s="1042">
        <f t="shared" ref="J5:J11" si="1">E5-I5</f>
        <v>222800000</v>
      </c>
      <c r="K5" s="1042">
        <v>0</v>
      </c>
      <c r="L5" s="1042">
        <f>I5+K5</f>
        <v>0</v>
      </c>
      <c r="M5" s="1042">
        <f t="shared" ref="M5:M12" si="2">E5-L5</f>
        <v>222800000</v>
      </c>
      <c r="N5" s="1042">
        <f t="shared" ref="N5:N7" si="3">(F5/12)*12</f>
        <v>27850000</v>
      </c>
      <c r="O5" s="1042">
        <f t="shared" ref="O5:O12" si="4">N5+L5</f>
        <v>27850000</v>
      </c>
      <c r="P5" s="1042">
        <f t="shared" ref="P5:P12" si="5">E5-O5</f>
        <v>194950000</v>
      </c>
      <c r="Q5" s="1042">
        <f t="shared" ref="Q5:Q7" si="6">(F5/12)*12</f>
        <v>27850000</v>
      </c>
      <c r="R5" s="1042">
        <f t="shared" ref="R5:R12" si="7">O5+Q5</f>
        <v>55700000</v>
      </c>
      <c r="S5" s="1042">
        <f t="shared" ref="S5:S12" si="8">E5-R5</f>
        <v>167100000</v>
      </c>
      <c r="T5" s="1042">
        <f t="shared" ref="T5:T7" si="9">(F5/12)*12</f>
        <v>27850000</v>
      </c>
      <c r="U5" s="1042">
        <f t="shared" ref="U5:U12" si="10">R5+T5</f>
        <v>83550000</v>
      </c>
      <c r="V5" s="1042">
        <f t="shared" ref="V5:V12" si="11">E5-U5</f>
        <v>139250000</v>
      </c>
      <c r="W5" s="1042">
        <f t="shared" ref="W5:W7" si="12">(F5/12)*12</f>
        <v>27850000</v>
      </c>
      <c r="X5" s="1042">
        <f t="shared" ref="X5:X12" si="13">U5+W5</f>
        <v>111400000</v>
      </c>
      <c r="Y5" s="1042">
        <f t="shared" ref="Y5:Y13" si="14">E5-X5</f>
        <v>111400000</v>
      </c>
      <c r="Z5" s="7">
        <v>111400000</v>
      </c>
      <c r="AA5" s="7">
        <f t="shared" ref="AA5:AA13" si="15">E5-Z5</f>
        <v>111400000</v>
      </c>
      <c r="AB5" s="1042">
        <f t="shared" ref="AB5:AB7" si="16">(F5/12)*12</f>
        <v>27850000</v>
      </c>
      <c r="AC5" s="1042">
        <f>X5+AB5</f>
        <v>139250000</v>
      </c>
      <c r="AD5" s="1042">
        <f t="shared" ref="AD5:AD13" si="17">E5-AC5</f>
        <v>83550000</v>
      </c>
      <c r="AE5" s="1042">
        <f t="shared" ref="AE5:AE7" si="18">(F5/12)*12</f>
        <v>27850000</v>
      </c>
      <c r="AF5" s="1042">
        <f t="shared" ref="AF5:AF13" si="19">AC5+AE5</f>
        <v>167100000</v>
      </c>
      <c r="AG5" s="1042">
        <f t="shared" ref="AG5:AG13" si="20">E5-AF5</f>
        <v>55700000</v>
      </c>
      <c r="AH5" s="1042">
        <f t="shared" ref="AH5:AH7" si="21">(F5/12)*12</f>
        <v>27850000</v>
      </c>
      <c r="AI5" s="1042">
        <f t="shared" ref="AI5:AI13" si="22">AF5+AH5</f>
        <v>194950000</v>
      </c>
      <c r="AJ5" s="1042">
        <f t="shared" ref="AJ5:AJ13" si="23">E5-AI5</f>
        <v>27850000</v>
      </c>
      <c r="AK5" s="1042">
        <f>(F5/12)*1</f>
        <v>2320833.3333333335</v>
      </c>
      <c r="AL5" s="1042">
        <f>AI5+AK5</f>
        <v>197270833.33333334</v>
      </c>
      <c r="AM5" s="1042">
        <f>E5-AL5</f>
        <v>25529166.666666657</v>
      </c>
      <c r="AN5" s="1042">
        <f>(F5/12)*9</f>
        <v>20887500</v>
      </c>
      <c r="AO5" s="1042">
        <f>AI5+AN5</f>
        <v>215837500</v>
      </c>
      <c r="AP5" s="1042">
        <f>E5-AO5</f>
        <v>6962500</v>
      </c>
      <c r="AQ5" s="1042">
        <f>(F5/12)*12</f>
        <v>27850000</v>
      </c>
      <c r="AR5" s="1042">
        <f t="shared" ref="AR5:AR14" si="24">AI5+AQ5</f>
        <v>222800000</v>
      </c>
      <c r="AS5" s="1042">
        <f>E5-AR5</f>
        <v>0</v>
      </c>
      <c r="AT5" s="1042">
        <v>0</v>
      </c>
      <c r="AU5" s="1042">
        <f>AR5+AT5</f>
        <v>222800000</v>
      </c>
      <c r="AV5" s="1042">
        <f>E5-AU5</f>
        <v>0</v>
      </c>
      <c r="AW5" s="1042">
        <v>0</v>
      </c>
      <c r="AX5" s="1042">
        <f>AU5+AW5</f>
        <v>222800000</v>
      </c>
      <c r="AY5" s="1042">
        <f>E5-AX5</f>
        <v>0</v>
      </c>
      <c r="AZ5" s="1042">
        <v>0</v>
      </c>
      <c r="BA5" s="1042">
        <f>AR5+AZ5</f>
        <v>222800000</v>
      </c>
      <c r="BB5" s="1042">
        <f>E5-BA5</f>
        <v>0</v>
      </c>
      <c r="BC5" s="1051"/>
      <c r="BD5" s="182"/>
      <c r="BE5" s="8">
        <f>E5-BA5-BB5</f>
        <v>0</v>
      </c>
      <c r="BF5" s="182"/>
      <c r="BG5" s="58"/>
    </row>
    <row r="6" spans="1:60" ht="14.25" customHeight="1">
      <c r="A6" s="17">
        <f>A5+1</f>
        <v>2</v>
      </c>
      <c r="B6" s="53" t="s">
        <v>175</v>
      </c>
      <c r="C6" s="238">
        <v>38353</v>
      </c>
      <c r="D6" s="55">
        <v>8</v>
      </c>
      <c r="E6" s="6">
        <v>68200000</v>
      </c>
      <c r="F6" s="1041">
        <f t="shared" si="0"/>
        <v>8525000</v>
      </c>
      <c r="G6" s="6">
        <f t="shared" ref="G6:G11" si="25">E6</f>
        <v>68200000</v>
      </c>
      <c r="H6" s="1053"/>
      <c r="I6" s="1042">
        <f>H6</f>
        <v>0</v>
      </c>
      <c r="J6" s="1042">
        <f t="shared" si="1"/>
        <v>68200000</v>
      </c>
      <c r="K6" s="1042">
        <v>0</v>
      </c>
      <c r="L6" s="1042">
        <f>I6+K6</f>
        <v>0</v>
      </c>
      <c r="M6" s="1042">
        <f t="shared" si="2"/>
        <v>68200000</v>
      </c>
      <c r="N6" s="1042">
        <f t="shared" si="3"/>
        <v>8525000</v>
      </c>
      <c r="O6" s="1042">
        <f t="shared" si="4"/>
        <v>8525000</v>
      </c>
      <c r="P6" s="1042">
        <f t="shared" si="5"/>
        <v>59675000</v>
      </c>
      <c r="Q6" s="1042">
        <f t="shared" si="6"/>
        <v>8525000</v>
      </c>
      <c r="R6" s="1042">
        <f t="shared" si="7"/>
        <v>17050000</v>
      </c>
      <c r="S6" s="1042">
        <f t="shared" si="8"/>
        <v>51150000</v>
      </c>
      <c r="T6" s="1042">
        <f t="shared" si="9"/>
        <v>8525000</v>
      </c>
      <c r="U6" s="1042">
        <f t="shared" si="10"/>
        <v>25575000</v>
      </c>
      <c r="V6" s="1042">
        <f t="shared" si="11"/>
        <v>42625000</v>
      </c>
      <c r="W6" s="1042">
        <f t="shared" si="12"/>
        <v>8525000</v>
      </c>
      <c r="X6" s="1042">
        <f t="shared" si="13"/>
        <v>34100000</v>
      </c>
      <c r="Y6" s="1042">
        <f t="shared" si="14"/>
        <v>34100000</v>
      </c>
      <c r="Z6" s="7">
        <v>34100000</v>
      </c>
      <c r="AA6" s="7">
        <f t="shared" si="15"/>
        <v>34100000</v>
      </c>
      <c r="AB6" s="1042">
        <f t="shared" si="16"/>
        <v>8525000</v>
      </c>
      <c r="AC6" s="1042">
        <f t="shared" ref="AC6:AC13" si="26">X6+AB6</f>
        <v>42625000</v>
      </c>
      <c r="AD6" s="1042">
        <f t="shared" si="17"/>
        <v>25575000</v>
      </c>
      <c r="AE6" s="1042">
        <f t="shared" si="18"/>
        <v>8525000</v>
      </c>
      <c r="AF6" s="1042">
        <f t="shared" si="19"/>
        <v>51150000</v>
      </c>
      <c r="AG6" s="1042">
        <f t="shared" si="20"/>
        <v>17050000</v>
      </c>
      <c r="AH6" s="1042">
        <f t="shared" si="21"/>
        <v>8525000</v>
      </c>
      <c r="AI6" s="1042">
        <f t="shared" si="22"/>
        <v>59675000</v>
      </c>
      <c r="AJ6" s="1042">
        <f t="shared" si="23"/>
        <v>8525000</v>
      </c>
      <c r="AK6" s="1042">
        <f t="shared" ref="AK6:AK7" si="27">(F6/12)*1</f>
        <v>710416.66666666663</v>
      </c>
      <c r="AL6" s="1042">
        <f t="shared" ref="AL6:AL7" si="28">AI6+AK6</f>
        <v>60385416.666666664</v>
      </c>
      <c r="AM6" s="1042">
        <f t="shared" ref="AM6:AM7" si="29">E6-AL6</f>
        <v>7814583.3333333358</v>
      </c>
      <c r="AN6" s="1042">
        <f t="shared" ref="AN6:AN7" si="30">(F6/12)*9</f>
        <v>6393750</v>
      </c>
      <c r="AO6" s="1042">
        <f t="shared" ref="AO6:AO7" si="31">AI6+AN6</f>
        <v>66068750</v>
      </c>
      <c r="AP6" s="1042">
        <f t="shared" ref="AP6:AP7" si="32">E6-AO6</f>
        <v>2131250</v>
      </c>
      <c r="AQ6" s="1042">
        <f>(F6/12)*12</f>
        <v>8525000</v>
      </c>
      <c r="AR6" s="1042">
        <f t="shared" si="24"/>
        <v>68200000</v>
      </c>
      <c r="AS6" s="1042">
        <f t="shared" ref="AS6:AS14" si="33">E6-AR6</f>
        <v>0</v>
      </c>
      <c r="AT6" s="1042">
        <v>0</v>
      </c>
      <c r="AU6" s="1042">
        <f t="shared" ref="AU6:AU7" si="34">AR6+AT6</f>
        <v>68200000</v>
      </c>
      <c r="AV6" s="1042">
        <f t="shared" ref="AV6:AV7" si="35">E6-AU6</f>
        <v>0</v>
      </c>
      <c r="AW6" s="1042">
        <v>0</v>
      </c>
      <c r="AX6" s="1042">
        <f t="shared" ref="AX6:AX7" si="36">AU6+AW6</f>
        <v>68200000</v>
      </c>
      <c r="AY6" s="1042">
        <f t="shared" ref="AY6:AY7" si="37">E6-AX6</f>
        <v>0</v>
      </c>
      <c r="AZ6" s="1042">
        <v>0</v>
      </c>
      <c r="BA6" s="1042">
        <f t="shared" ref="BA6:BA7" si="38">AR6+AZ6</f>
        <v>68200000</v>
      </c>
      <c r="BB6" s="1042">
        <f t="shared" ref="BB6:BB7" si="39">E6-BA6</f>
        <v>0</v>
      </c>
      <c r="BC6" s="1051"/>
      <c r="BD6" s="182"/>
      <c r="BE6" s="8">
        <f t="shared" ref="BE6:BE7" si="40">E6-BA6-BB6</f>
        <v>0</v>
      </c>
      <c r="BF6" s="182"/>
      <c r="BG6" s="58"/>
    </row>
    <row r="7" spans="1:60" ht="14.25" customHeight="1">
      <c r="A7" s="17">
        <f t="shared" ref="A7:A13" si="41">A6+1</f>
        <v>3</v>
      </c>
      <c r="B7" s="53" t="s">
        <v>175</v>
      </c>
      <c r="C7" s="238">
        <v>38718</v>
      </c>
      <c r="D7" s="55">
        <v>8</v>
      </c>
      <c r="E7" s="6">
        <v>68500000</v>
      </c>
      <c r="F7" s="1041">
        <f t="shared" si="0"/>
        <v>8562500</v>
      </c>
      <c r="G7" s="6">
        <f t="shared" si="25"/>
        <v>68500000</v>
      </c>
      <c r="H7" s="1053"/>
      <c r="I7" s="1042">
        <f>H7</f>
        <v>0</v>
      </c>
      <c r="J7" s="1042">
        <f t="shared" si="1"/>
        <v>68500000</v>
      </c>
      <c r="K7" s="1042">
        <v>0</v>
      </c>
      <c r="L7" s="1042">
        <f t="shared" ref="L7:L10" si="42">K7+I7</f>
        <v>0</v>
      </c>
      <c r="M7" s="1042">
        <f t="shared" si="2"/>
        <v>68500000</v>
      </c>
      <c r="N7" s="1042">
        <f t="shared" si="3"/>
        <v>8562500</v>
      </c>
      <c r="O7" s="1042">
        <f t="shared" si="4"/>
        <v>8562500</v>
      </c>
      <c r="P7" s="1042">
        <f t="shared" si="5"/>
        <v>59937500</v>
      </c>
      <c r="Q7" s="1042">
        <f t="shared" si="6"/>
        <v>8562500</v>
      </c>
      <c r="R7" s="1042">
        <f t="shared" si="7"/>
        <v>17125000</v>
      </c>
      <c r="S7" s="1042">
        <f t="shared" si="8"/>
        <v>51375000</v>
      </c>
      <c r="T7" s="1042">
        <f t="shared" si="9"/>
        <v>8562500</v>
      </c>
      <c r="U7" s="1042">
        <f t="shared" si="10"/>
        <v>25687500</v>
      </c>
      <c r="V7" s="1042">
        <f t="shared" si="11"/>
        <v>42812500</v>
      </c>
      <c r="W7" s="1042">
        <f t="shared" si="12"/>
        <v>8562500</v>
      </c>
      <c r="X7" s="1042">
        <f t="shared" si="13"/>
        <v>34250000</v>
      </c>
      <c r="Y7" s="1042">
        <f t="shared" si="14"/>
        <v>34250000</v>
      </c>
      <c r="Z7" s="7">
        <v>34250000</v>
      </c>
      <c r="AA7" s="7">
        <f t="shared" si="15"/>
        <v>34250000</v>
      </c>
      <c r="AB7" s="1042">
        <f t="shared" si="16"/>
        <v>8562500</v>
      </c>
      <c r="AC7" s="1042">
        <f t="shared" si="26"/>
        <v>42812500</v>
      </c>
      <c r="AD7" s="1042">
        <f t="shared" si="17"/>
        <v>25687500</v>
      </c>
      <c r="AE7" s="1042">
        <f t="shared" si="18"/>
        <v>8562500</v>
      </c>
      <c r="AF7" s="1042">
        <f t="shared" si="19"/>
        <v>51375000</v>
      </c>
      <c r="AG7" s="1042">
        <f t="shared" si="20"/>
        <v>17125000</v>
      </c>
      <c r="AH7" s="1042">
        <f t="shared" si="21"/>
        <v>8562500</v>
      </c>
      <c r="AI7" s="1042">
        <f t="shared" si="22"/>
        <v>59937500</v>
      </c>
      <c r="AJ7" s="1042">
        <f t="shared" si="23"/>
        <v>8562500</v>
      </c>
      <c r="AK7" s="1042">
        <f t="shared" si="27"/>
        <v>713541.66666666663</v>
      </c>
      <c r="AL7" s="1042">
        <f t="shared" si="28"/>
        <v>60651041.666666664</v>
      </c>
      <c r="AM7" s="1042">
        <f t="shared" si="29"/>
        <v>7848958.3333333358</v>
      </c>
      <c r="AN7" s="1042">
        <f t="shared" si="30"/>
        <v>6421875</v>
      </c>
      <c r="AO7" s="1042">
        <f t="shared" si="31"/>
        <v>66359375</v>
      </c>
      <c r="AP7" s="1042">
        <f t="shared" si="32"/>
        <v>2140625</v>
      </c>
      <c r="AQ7" s="1042">
        <f>(F7/12)*12</f>
        <v>8562500</v>
      </c>
      <c r="AR7" s="1042">
        <f t="shared" si="24"/>
        <v>68500000</v>
      </c>
      <c r="AS7" s="1042">
        <f t="shared" si="33"/>
        <v>0</v>
      </c>
      <c r="AT7" s="1042">
        <v>0</v>
      </c>
      <c r="AU7" s="1042">
        <f t="shared" si="34"/>
        <v>68500000</v>
      </c>
      <c r="AV7" s="1042">
        <f t="shared" si="35"/>
        <v>0</v>
      </c>
      <c r="AW7" s="1042">
        <v>0</v>
      </c>
      <c r="AX7" s="1042">
        <f t="shared" si="36"/>
        <v>68500000</v>
      </c>
      <c r="AY7" s="1042">
        <f t="shared" si="37"/>
        <v>0</v>
      </c>
      <c r="AZ7" s="1042">
        <v>0</v>
      </c>
      <c r="BA7" s="1042">
        <f t="shared" si="38"/>
        <v>68500000</v>
      </c>
      <c r="BB7" s="1042">
        <f t="shared" si="39"/>
        <v>0</v>
      </c>
      <c r="BC7" s="1051"/>
      <c r="BD7" s="182"/>
      <c r="BE7" s="8">
        <f t="shared" si="40"/>
        <v>0</v>
      </c>
      <c r="BF7" s="182"/>
      <c r="BG7" s="58"/>
    </row>
    <row r="8" spans="1:60" s="9" customFormat="1" ht="14.25" hidden="1" customHeight="1">
      <c r="A8" s="874">
        <f t="shared" si="41"/>
        <v>4</v>
      </c>
      <c r="B8" s="875" t="s">
        <v>400</v>
      </c>
      <c r="C8" s="876">
        <v>39814</v>
      </c>
      <c r="D8" s="877">
        <v>8</v>
      </c>
      <c r="E8" s="878">
        <f>9900000*0</f>
        <v>0</v>
      </c>
      <c r="F8" s="879">
        <f t="shared" si="0"/>
        <v>0</v>
      </c>
      <c r="G8" s="878">
        <f t="shared" si="25"/>
        <v>0</v>
      </c>
      <c r="H8" s="880">
        <f>(F8/12)*(13-IF(C8="","",MONTH(C8)))*6</f>
        <v>0</v>
      </c>
      <c r="I8" s="880">
        <f>H8</f>
        <v>0</v>
      </c>
      <c r="J8" s="880">
        <f t="shared" si="1"/>
        <v>0</v>
      </c>
      <c r="K8" s="880">
        <f>(F8/12)*12</f>
        <v>0</v>
      </c>
      <c r="L8" s="880">
        <f t="shared" si="42"/>
        <v>0</v>
      </c>
      <c r="M8" s="880">
        <f t="shared" si="2"/>
        <v>0</v>
      </c>
      <c r="N8" s="880">
        <f>(F8/12)*12</f>
        <v>0</v>
      </c>
      <c r="O8" s="880">
        <f t="shared" si="4"/>
        <v>0</v>
      </c>
      <c r="P8" s="880">
        <f t="shared" si="5"/>
        <v>0</v>
      </c>
      <c r="Q8" s="880">
        <v>0</v>
      </c>
      <c r="R8" s="880">
        <f t="shared" si="7"/>
        <v>0</v>
      </c>
      <c r="S8" s="880">
        <f t="shared" si="8"/>
        <v>0</v>
      </c>
      <c r="T8" s="880">
        <v>0</v>
      </c>
      <c r="U8" s="880">
        <f t="shared" si="10"/>
        <v>0</v>
      </c>
      <c r="V8" s="880">
        <f t="shared" si="11"/>
        <v>0</v>
      </c>
      <c r="W8" s="880">
        <v>0</v>
      </c>
      <c r="X8" s="880">
        <f t="shared" si="13"/>
        <v>0</v>
      </c>
      <c r="Y8" s="880">
        <f t="shared" si="14"/>
        <v>0</v>
      </c>
      <c r="Z8" s="880">
        <f>4950000*0</f>
        <v>0</v>
      </c>
      <c r="AA8" s="880">
        <f t="shared" si="15"/>
        <v>0</v>
      </c>
      <c r="AB8" s="880">
        <f t="shared" ref="AB8:AB11" si="43">(F8/12)*0</f>
        <v>0</v>
      </c>
      <c r="AC8" s="880">
        <f t="shared" si="26"/>
        <v>0</v>
      </c>
      <c r="AD8" s="880">
        <f t="shared" si="17"/>
        <v>0</v>
      </c>
      <c r="AE8" s="880">
        <f t="shared" ref="AE8:AE11" si="44">(F8/12)*12</f>
        <v>0</v>
      </c>
      <c r="AF8" s="880">
        <f t="shared" si="19"/>
        <v>0</v>
      </c>
      <c r="AG8" s="880">
        <f t="shared" si="20"/>
        <v>0</v>
      </c>
      <c r="AH8" s="880">
        <f t="shared" ref="AH8:AH11" si="45">(F8/12)*12</f>
        <v>0</v>
      </c>
      <c r="AI8" s="880">
        <f t="shared" si="22"/>
        <v>0</v>
      </c>
      <c r="AJ8" s="880">
        <f t="shared" si="23"/>
        <v>0</v>
      </c>
      <c r="AK8" s="880"/>
      <c r="AL8" s="880"/>
      <c r="AM8" s="880"/>
      <c r="AN8" s="880"/>
      <c r="AO8" s="880"/>
      <c r="AP8" s="880"/>
      <c r="AQ8" s="880">
        <f t="shared" ref="AQ8:AQ11" si="46">(F8/12)*7</f>
        <v>0</v>
      </c>
      <c r="AR8" s="880">
        <f t="shared" si="24"/>
        <v>0</v>
      </c>
      <c r="AS8" s="880">
        <f t="shared" si="33"/>
        <v>0</v>
      </c>
      <c r="AT8" s="896"/>
      <c r="AU8" s="896"/>
      <c r="AV8" s="896"/>
      <c r="AW8" s="896"/>
      <c r="AX8" s="896"/>
      <c r="AY8" s="896"/>
      <c r="AZ8" s="896"/>
      <c r="BA8" s="896"/>
      <c r="BB8" s="896"/>
      <c r="BC8" s="896"/>
      <c r="BD8" s="898"/>
      <c r="BE8" s="881">
        <f t="shared" ref="BE8:BE21" si="47">E8-AR8-AS8</f>
        <v>0</v>
      </c>
      <c r="BF8" s="896"/>
      <c r="BG8" s="883"/>
      <c r="BH8" s="897"/>
    </row>
    <row r="9" spans="1:60" s="9" customFormat="1" ht="14.25" hidden="1" customHeight="1">
      <c r="A9" s="874">
        <f t="shared" si="41"/>
        <v>5</v>
      </c>
      <c r="B9" s="875" t="s">
        <v>401</v>
      </c>
      <c r="C9" s="876">
        <v>40179</v>
      </c>
      <c r="D9" s="877">
        <v>8</v>
      </c>
      <c r="E9" s="878">
        <f>9600000*0</f>
        <v>0</v>
      </c>
      <c r="F9" s="879">
        <f t="shared" si="0"/>
        <v>0</v>
      </c>
      <c r="G9" s="878">
        <f t="shared" si="25"/>
        <v>0</v>
      </c>
      <c r="H9" s="880">
        <f>(F9/12)*(13-IF(C9="","",MONTH(C9)))*5</f>
        <v>0</v>
      </c>
      <c r="I9" s="880">
        <f>H9</f>
        <v>0</v>
      </c>
      <c r="J9" s="880">
        <f t="shared" si="1"/>
        <v>0</v>
      </c>
      <c r="K9" s="880">
        <f>(F9/12)*12</f>
        <v>0</v>
      </c>
      <c r="L9" s="880">
        <f t="shared" si="42"/>
        <v>0</v>
      </c>
      <c r="M9" s="880">
        <f t="shared" si="2"/>
        <v>0</v>
      </c>
      <c r="N9" s="880">
        <f>(F9/12)*12</f>
        <v>0</v>
      </c>
      <c r="O9" s="880">
        <f t="shared" si="4"/>
        <v>0</v>
      </c>
      <c r="P9" s="880">
        <f t="shared" si="5"/>
        <v>0</v>
      </c>
      <c r="Q9" s="880">
        <f>(F9/12)*12</f>
        <v>0</v>
      </c>
      <c r="R9" s="880">
        <f t="shared" si="7"/>
        <v>0</v>
      </c>
      <c r="S9" s="880">
        <f t="shared" si="8"/>
        <v>0</v>
      </c>
      <c r="T9" s="880">
        <v>0</v>
      </c>
      <c r="U9" s="880">
        <f t="shared" si="10"/>
        <v>0</v>
      </c>
      <c r="V9" s="880">
        <f t="shared" si="11"/>
        <v>0</v>
      </c>
      <c r="W9" s="880">
        <v>0</v>
      </c>
      <c r="X9" s="880">
        <f t="shared" si="13"/>
        <v>0</v>
      </c>
      <c r="Y9" s="880">
        <f t="shared" si="14"/>
        <v>0</v>
      </c>
      <c r="Z9" s="880">
        <f>4800000*0</f>
        <v>0</v>
      </c>
      <c r="AA9" s="880">
        <f t="shared" si="15"/>
        <v>0</v>
      </c>
      <c r="AB9" s="880">
        <f t="shared" si="43"/>
        <v>0</v>
      </c>
      <c r="AC9" s="880">
        <f t="shared" si="26"/>
        <v>0</v>
      </c>
      <c r="AD9" s="880">
        <f t="shared" si="17"/>
        <v>0</v>
      </c>
      <c r="AE9" s="880">
        <f t="shared" si="44"/>
        <v>0</v>
      </c>
      <c r="AF9" s="880">
        <f t="shared" si="19"/>
        <v>0</v>
      </c>
      <c r="AG9" s="880">
        <f t="shared" si="20"/>
        <v>0</v>
      </c>
      <c r="AH9" s="880">
        <f t="shared" si="45"/>
        <v>0</v>
      </c>
      <c r="AI9" s="880">
        <f t="shared" si="22"/>
        <v>0</v>
      </c>
      <c r="AJ9" s="880">
        <f t="shared" si="23"/>
        <v>0</v>
      </c>
      <c r="AK9" s="880"/>
      <c r="AL9" s="880"/>
      <c r="AM9" s="880"/>
      <c r="AN9" s="880"/>
      <c r="AO9" s="880"/>
      <c r="AP9" s="880"/>
      <c r="AQ9" s="880">
        <f t="shared" si="46"/>
        <v>0</v>
      </c>
      <c r="AR9" s="880">
        <f t="shared" si="24"/>
        <v>0</v>
      </c>
      <c r="AS9" s="880">
        <f t="shared" si="33"/>
        <v>0</v>
      </c>
      <c r="AT9" s="896"/>
      <c r="AU9" s="896"/>
      <c r="AV9" s="896"/>
      <c r="AW9" s="896"/>
      <c r="AX9" s="896"/>
      <c r="AY9" s="896"/>
      <c r="AZ9" s="896"/>
      <c r="BA9" s="896"/>
      <c r="BB9" s="896"/>
      <c r="BC9" s="896"/>
      <c r="BD9" s="898"/>
      <c r="BE9" s="881">
        <f t="shared" si="47"/>
        <v>0</v>
      </c>
      <c r="BF9" s="896"/>
      <c r="BG9" s="883"/>
      <c r="BH9" s="897"/>
    </row>
    <row r="10" spans="1:60" s="9" customFormat="1" ht="14.25" hidden="1" customHeight="1">
      <c r="A10" s="874">
        <f t="shared" si="41"/>
        <v>6</v>
      </c>
      <c r="B10" s="875" t="s">
        <v>402</v>
      </c>
      <c r="C10" s="876">
        <v>40544</v>
      </c>
      <c r="D10" s="877">
        <v>8</v>
      </c>
      <c r="E10" s="878">
        <f>4600000*0</f>
        <v>0</v>
      </c>
      <c r="F10" s="879">
        <f t="shared" si="0"/>
        <v>0</v>
      </c>
      <c r="G10" s="878">
        <f t="shared" si="25"/>
        <v>0</v>
      </c>
      <c r="H10" s="880">
        <f>(F10/12)*(13-IF(C10="","",MONTH(C10)))*4</f>
        <v>0</v>
      </c>
      <c r="I10" s="880">
        <f t="shared" ref="I10:I11" si="48">H10</f>
        <v>0</v>
      </c>
      <c r="J10" s="880">
        <f t="shared" si="1"/>
        <v>0</v>
      </c>
      <c r="K10" s="880">
        <f>(F10/12)*12</f>
        <v>0</v>
      </c>
      <c r="L10" s="880">
        <f t="shared" si="42"/>
        <v>0</v>
      </c>
      <c r="M10" s="880">
        <f t="shared" si="2"/>
        <v>0</v>
      </c>
      <c r="N10" s="880">
        <f>(F10/12)*12</f>
        <v>0</v>
      </c>
      <c r="O10" s="880">
        <f t="shared" si="4"/>
        <v>0</v>
      </c>
      <c r="P10" s="880">
        <f t="shared" si="5"/>
        <v>0</v>
      </c>
      <c r="Q10" s="880">
        <f>(F10/12)*12</f>
        <v>0</v>
      </c>
      <c r="R10" s="880">
        <f t="shared" si="7"/>
        <v>0</v>
      </c>
      <c r="S10" s="880">
        <f t="shared" si="8"/>
        <v>0</v>
      </c>
      <c r="T10" s="880">
        <f>(F10/12)*12</f>
        <v>0</v>
      </c>
      <c r="U10" s="880">
        <f t="shared" si="10"/>
        <v>0</v>
      </c>
      <c r="V10" s="880">
        <f t="shared" si="11"/>
        <v>0</v>
      </c>
      <c r="W10" s="880">
        <v>0</v>
      </c>
      <c r="X10" s="880">
        <f t="shared" si="13"/>
        <v>0</v>
      </c>
      <c r="Y10" s="880">
        <f t="shared" si="14"/>
        <v>0</v>
      </c>
      <c r="Z10" s="880">
        <f>2300000*0</f>
        <v>0</v>
      </c>
      <c r="AA10" s="880">
        <f t="shared" si="15"/>
        <v>0</v>
      </c>
      <c r="AB10" s="880">
        <f t="shared" si="43"/>
        <v>0</v>
      </c>
      <c r="AC10" s="880">
        <f t="shared" si="26"/>
        <v>0</v>
      </c>
      <c r="AD10" s="880">
        <f t="shared" si="17"/>
        <v>0</v>
      </c>
      <c r="AE10" s="880">
        <f t="shared" si="44"/>
        <v>0</v>
      </c>
      <c r="AF10" s="880">
        <f t="shared" si="19"/>
        <v>0</v>
      </c>
      <c r="AG10" s="880">
        <f t="shared" si="20"/>
        <v>0</v>
      </c>
      <c r="AH10" s="880">
        <f t="shared" si="45"/>
        <v>0</v>
      </c>
      <c r="AI10" s="880">
        <f t="shared" si="22"/>
        <v>0</v>
      </c>
      <c r="AJ10" s="880">
        <f t="shared" si="23"/>
        <v>0</v>
      </c>
      <c r="AK10" s="880"/>
      <c r="AL10" s="880"/>
      <c r="AM10" s="880"/>
      <c r="AN10" s="880"/>
      <c r="AO10" s="880"/>
      <c r="AP10" s="880"/>
      <c r="AQ10" s="880">
        <f t="shared" si="46"/>
        <v>0</v>
      </c>
      <c r="AR10" s="880">
        <f t="shared" si="24"/>
        <v>0</v>
      </c>
      <c r="AS10" s="880">
        <f t="shared" si="33"/>
        <v>0</v>
      </c>
      <c r="AT10" s="896"/>
      <c r="AU10" s="896"/>
      <c r="AV10" s="896"/>
      <c r="AW10" s="896"/>
      <c r="AX10" s="896"/>
      <c r="AY10" s="896"/>
      <c r="AZ10" s="896"/>
      <c r="BA10" s="896"/>
      <c r="BB10" s="896"/>
      <c r="BC10" s="896"/>
      <c r="BD10" s="898"/>
      <c r="BE10" s="881">
        <f t="shared" si="47"/>
        <v>0</v>
      </c>
      <c r="BF10" s="896"/>
      <c r="BG10" s="883"/>
      <c r="BH10" s="897"/>
    </row>
    <row r="11" spans="1:60" s="9" customFormat="1" ht="14.25" hidden="1" customHeight="1">
      <c r="A11" s="874">
        <f t="shared" si="41"/>
        <v>7</v>
      </c>
      <c r="B11" s="875" t="s">
        <v>403</v>
      </c>
      <c r="C11" s="876">
        <v>40544</v>
      </c>
      <c r="D11" s="877">
        <v>8</v>
      </c>
      <c r="E11" s="878">
        <f>7300000*0</f>
        <v>0</v>
      </c>
      <c r="F11" s="879">
        <f t="shared" si="0"/>
        <v>0</v>
      </c>
      <c r="G11" s="878">
        <f t="shared" si="25"/>
        <v>0</v>
      </c>
      <c r="H11" s="880">
        <f>(F11/12)*(13-IF(C11="","",MONTH(C11)))*4</f>
        <v>0</v>
      </c>
      <c r="I11" s="880">
        <f t="shared" si="48"/>
        <v>0</v>
      </c>
      <c r="J11" s="880">
        <f t="shared" si="1"/>
        <v>0</v>
      </c>
      <c r="K11" s="880">
        <f>(F11/12)*12</f>
        <v>0</v>
      </c>
      <c r="L11" s="880">
        <f>K11+I11</f>
        <v>0</v>
      </c>
      <c r="M11" s="880">
        <f t="shared" si="2"/>
        <v>0</v>
      </c>
      <c r="N11" s="880">
        <f>(F11/12)*12</f>
        <v>0</v>
      </c>
      <c r="O11" s="880">
        <f t="shared" si="4"/>
        <v>0</v>
      </c>
      <c r="P11" s="880">
        <f t="shared" si="5"/>
        <v>0</v>
      </c>
      <c r="Q11" s="880">
        <f>(F11/12)*12</f>
        <v>0</v>
      </c>
      <c r="R11" s="880">
        <f t="shared" si="7"/>
        <v>0</v>
      </c>
      <c r="S11" s="880">
        <f t="shared" si="8"/>
        <v>0</v>
      </c>
      <c r="T11" s="880">
        <f>(F11/12)*12</f>
        <v>0</v>
      </c>
      <c r="U11" s="880">
        <f t="shared" si="10"/>
        <v>0</v>
      </c>
      <c r="V11" s="880">
        <f t="shared" si="11"/>
        <v>0</v>
      </c>
      <c r="W11" s="880">
        <v>0</v>
      </c>
      <c r="X11" s="880">
        <f t="shared" si="13"/>
        <v>0</v>
      </c>
      <c r="Y11" s="880">
        <f t="shared" si="14"/>
        <v>0</v>
      </c>
      <c r="Z11" s="880">
        <f>3650000*0</f>
        <v>0</v>
      </c>
      <c r="AA11" s="880">
        <f t="shared" si="15"/>
        <v>0</v>
      </c>
      <c r="AB11" s="880">
        <f t="shared" si="43"/>
        <v>0</v>
      </c>
      <c r="AC11" s="880">
        <f t="shared" si="26"/>
        <v>0</v>
      </c>
      <c r="AD11" s="880">
        <f t="shared" si="17"/>
        <v>0</v>
      </c>
      <c r="AE11" s="880">
        <f t="shared" si="44"/>
        <v>0</v>
      </c>
      <c r="AF11" s="880">
        <f t="shared" si="19"/>
        <v>0</v>
      </c>
      <c r="AG11" s="880">
        <f t="shared" si="20"/>
        <v>0</v>
      </c>
      <c r="AH11" s="880">
        <f t="shared" si="45"/>
        <v>0</v>
      </c>
      <c r="AI11" s="880">
        <f t="shared" si="22"/>
        <v>0</v>
      </c>
      <c r="AJ11" s="880">
        <f t="shared" si="23"/>
        <v>0</v>
      </c>
      <c r="AK11" s="880"/>
      <c r="AL11" s="880"/>
      <c r="AM11" s="880"/>
      <c r="AN11" s="880"/>
      <c r="AO11" s="880"/>
      <c r="AP11" s="880"/>
      <c r="AQ11" s="880">
        <f t="shared" si="46"/>
        <v>0</v>
      </c>
      <c r="AR11" s="880">
        <f t="shared" si="24"/>
        <v>0</v>
      </c>
      <c r="AS11" s="880">
        <f t="shared" si="33"/>
        <v>0</v>
      </c>
      <c r="AT11" s="896"/>
      <c r="AU11" s="896"/>
      <c r="AV11" s="896"/>
      <c r="AW11" s="896"/>
      <c r="AX11" s="896"/>
      <c r="AY11" s="896"/>
      <c r="AZ11" s="896"/>
      <c r="BA11" s="896"/>
      <c r="BB11" s="896"/>
      <c r="BC11" s="896"/>
      <c r="BD11" s="898"/>
      <c r="BE11" s="881">
        <f t="shared" si="47"/>
        <v>0</v>
      </c>
      <c r="BF11" s="896"/>
      <c r="BG11" s="883"/>
      <c r="BH11" s="897"/>
    </row>
    <row r="12" spans="1:60" ht="14.25" customHeight="1">
      <c r="A12" s="17">
        <f t="shared" si="41"/>
        <v>8</v>
      </c>
      <c r="B12" s="53" t="s">
        <v>404</v>
      </c>
      <c r="C12" s="228">
        <v>42005</v>
      </c>
      <c r="D12" s="55">
        <v>8</v>
      </c>
      <c r="E12" s="6">
        <v>17000000</v>
      </c>
      <c r="F12" s="1041">
        <f t="shared" si="0"/>
        <v>2125000</v>
      </c>
      <c r="G12" s="6"/>
      <c r="H12" s="1042"/>
      <c r="I12" s="1042"/>
      <c r="J12" s="1042"/>
      <c r="K12" s="1053">
        <f>(F12/12)*12</f>
        <v>2125000</v>
      </c>
      <c r="L12" s="1042">
        <f>K12+I12</f>
        <v>2125000</v>
      </c>
      <c r="M12" s="1042">
        <f t="shared" si="2"/>
        <v>14875000</v>
      </c>
      <c r="N12" s="1042">
        <f>(F12/12)*12</f>
        <v>2125000</v>
      </c>
      <c r="O12" s="1042">
        <f t="shared" si="4"/>
        <v>4250000</v>
      </c>
      <c r="P12" s="1042">
        <f t="shared" si="5"/>
        <v>12750000</v>
      </c>
      <c r="Q12" s="1042">
        <f>(F12/12)*12</f>
        <v>2125000</v>
      </c>
      <c r="R12" s="1042">
        <f t="shared" si="7"/>
        <v>6375000</v>
      </c>
      <c r="S12" s="1042">
        <f t="shared" si="8"/>
        <v>10625000</v>
      </c>
      <c r="T12" s="1042">
        <f>(F12/12)*12</f>
        <v>2125000</v>
      </c>
      <c r="U12" s="1042">
        <f t="shared" si="10"/>
        <v>8500000</v>
      </c>
      <c r="V12" s="1042">
        <f t="shared" si="11"/>
        <v>8500000</v>
      </c>
      <c r="W12" s="1042">
        <f>(F12/12)*12</f>
        <v>2125000</v>
      </c>
      <c r="X12" s="1042">
        <f t="shared" si="13"/>
        <v>10625000</v>
      </c>
      <c r="Y12" s="1042">
        <f t="shared" si="14"/>
        <v>6375000</v>
      </c>
      <c r="Z12" s="7">
        <v>9208333.333333334</v>
      </c>
      <c r="AA12" s="7">
        <f t="shared" si="15"/>
        <v>7791666.666666666</v>
      </c>
      <c r="AB12" s="1042">
        <f>(F12/12)*12</f>
        <v>2125000</v>
      </c>
      <c r="AC12" s="1042">
        <f t="shared" si="26"/>
        <v>12750000</v>
      </c>
      <c r="AD12" s="1042">
        <f t="shared" si="17"/>
        <v>4250000</v>
      </c>
      <c r="AE12" s="1042">
        <f>(F12/12)*12</f>
        <v>2125000</v>
      </c>
      <c r="AF12" s="1042">
        <f t="shared" si="19"/>
        <v>14875000</v>
      </c>
      <c r="AG12" s="1042">
        <f t="shared" si="20"/>
        <v>2125000</v>
      </c>
      <c r="AH12" s="1042">
        <f>(F12/12)*12</f>
        <v>2125000</v>
      </c>
      <c r="AI12" s="1042">
        <f t="shared" si="22"/>
        <v>17000000</v>
      </c>
      <c r="AJ12" s="1042">
        <f t="shared" si="23"/>
        <v>0</v>
      </c>
      <c r="AK12" s="1042">
        <v>0</v>
      </c>
      <c r="AL12" s="1042">
        <f t="shared" ref="AL12" si="49">AI12+AK12</f>
        <v>17000000</v>
      </c>
      <c r="AM12" s="1042">
        <f t="shared" ref="AM12" si="50">E12-AL12</f>
        <v>0</v>
      </c>
      <c r="AN12" s="1042"/>
      <c r="AO12" s="1042">
        <f t="shared" ref="AO12:AO13" si="51">AI12+AN12</f>
        <v>17000000</v>
      </c>
      <c r="AP12" s="1042">
        <f t="shared" ref="AP12:AP13" si="52">E12-AO12</f>
        <v>0</v>
      </c>
      <c r="AQ12" s="1042">
        <f>(F12/12)*0</f>
        <v>0</v>
      </c>
      <c r="AR12" s="1042">
        <f t="shared" si="24"/>
        <v>17000000</v>
      </c>
      <c r="AS12" s="1042">
        <f t="shared" si="33"/>
        <v>0</v>
      </c>
      <c r="AT12" s="1042">
        <v>0</v>
      </c>
      <c r="AU12" s="1042">
        <f>AR12+AT12</f>
        <v>17000000</v>
      </c>
      <c r="AV12" s="1042">
        <f>E12-AU12</f>
        <v>0</v>
      </c>
      <c r="AW12" s="1042">
        <v>0</v>
      </c>
      <c r="AX12" s="1042">
        <f t="shared" ref="AX12:AX13" si="53">AU12+AW12</f>
        <v>17000000</v>
      </c>
      <c r="AY12" s="1042">
        <f t="shared" ref="AY12:AY13" si="54">E12-AX12</f>
        <v>0</v>
      </c>
      <c r="AZ12" s="1042">
        <v>0</v>
      </c>
      <c r="BA12" s="1042">
        <f>AR12+AZ12</f>
        <v>17000000</v>
      </c>
      <c r="BB12" s="1042">
        <f>E12-BA12</f>
        <v>0</v>
      </c>
      <c r="BC12" s="1051"/>
      <c r="BD12" s="182"/>
      <c r="BE12" s="8">
        <f t="shared" ref="BE12:BE15" si="55">E12-BA12-BB12</f>
        <v>0</v>
      </c>
      <c r="BF12" s="182"/>
      <c r="BG12" s="58"/>
    </row>
    <row r="13" spans="1:60" ht="14.25" customHeight="1">
      <c r="A13" s="17">
        <f t="shared" si="41"/>
        <v>9</v>
      </c>
      <c r="B13" s="53" t="s">
        <v>404</v>
      </c>
      <c r="C13" s="228">
        <v>43678</v>
      </c>
      <c r="D13" s="55">
        <v>8</v>
      </c>
      <c r="E13" s="6">
        <v>24696000</v>
      </c>
      <c r="F13" s="1041">
        <f>E13/D13</f>
        <v>3087000</v>
      </c>
      <c r="G13" s="6"/>
      <c r="H13" s="1042"/>
      <c r="I13" s="1042"/>
      <c r="J13" s="1042"/>
      <c r="K13" s="1042"/>
      <c r="L13" s="1042"/>
      <c r="M13" s="1042"/>
      <c r="N13" s="1042"/>
      <c r="O13" s="1042"/>
      <c r="P13" s="1042"/>
      <c r="Q13" s="1042"/>
      <c r="R13" s="1042"/>
      <c r="S13" s="1042"/>
      <c r="T13" s="1042"/>
      <c r="U13" s="1042"/>
      <c r="V13" s="1042"/>
      <c r="W13" s="1053">
        <f>(F13/12)*5</f>
        <v>1286250</v>
      </c>
      <c r="X13" s="1042">
        <f t="shared" ref="X13" si="56">U13+W13</f>
        <v>1286250</v>
      </c>
      <c r="Y13" s="1042">
        <f t="shared" si="14"/>
        <v>23409750</v>
      </c>
      <c r="Z13" s="7">
        <v>1286250</v>
      </c>
      <c r="AA13" s="7">
        <f t="shared" si="15"/>
        <v>23409750</v>
      </c>
      <c r="AB13" s="1042">
        <f>(F13/12)*12</f>
        <v>3087000</v>
      </c>
      <c r="AC13" s="1042">
        <f t="shared" si="26"/>
        <v>4373250</v>
      </c>
      <c r="AD13" s="1042">
        <f t="shared" si="17"/>
        <v>20322750</v>
      </c>
      <c r="AE13" s="1042">
        <f>(F13/12)*12</f>
        <v>3087000</v>
      </c>
      <c r="AF13" s="1042">
        <f t="shared" si="19"/>
        <v>7460250</v>
      </c>
      <c r="AG13" s="1042">
        <f t="shared" si="20"/>
        <v>17235750</v>
      </c>
      <c r="AH13" s="1042">
        <f>(F13/12)*12</f>
        <v>3087000</v>
      </c>
      <c r="AI13" s="1042">
        <f t="shared" si="22"/>
        <v>10547250</v>
      </c>
      <c r="AJ13" s="1042">
        <f t="shared" si="23"/>
        <v>14148750</v>
      </c>
      <c r="AK13" s="1042">
        <f t="shared" ref="AK13" si="57">(F13/12)*1</f>
        <v>257250</v>
      </c>
      <c r="AL13" s="1042">
        <f t="shared" ref="AL13" si="58">AI13+AK13</f>
        <v>10804500</v>
      </c>
      <c r="AM13" s="1042">
        <f t="shared" ref="AM13" si="59">E13-AL13</f>
        <v>13891500</v>
      </c>
      <c r="AN13" s="1042">
        <f>(F13/12)*9</f>
        <v>2315250</v>
      </c>
      <c r="AO13" s="1042">
        <f t="shared" si="51"/>
        <v>12862500</v>
      </c>
      <c r="AP13" s="1042">
        <f t="shared" si="52"/>
        <v>11833500</v>
      </c>
      <c r="AQ13" s="1042">
        <f>(F13/12)*12</f>
        <v>3087000</v>
      </c>
      <c r="AR13" s="1042">
        <f t="shared" si="24"/>
        <v>13634250</v>
      </c>
      <c r="AS13" s="1042">
        <f t="shared" si="33"/>
        <v>11061750</v>
      </c>
      <c r="AT13" s="1042">
        <f>(F13/12)*9</f>
        <v>2315250</v>
      </c>
      <c r="AU13" s="1042">
        <f>AR13+AT13</f>
        <v>15949500</v>
      </c>
      <c r="AV13" s="1042">
        <f>E13-AU13</f>
        <v>8746500</v>
      </c>
      <c r="AW13" s="1042">
        <f>(F13/12)*2</f>
        <v>514500</v>
      </c>
      <c r="AX13" s="1042">
        <f t="shared" si="53"/>
        <v>16464000</v>
      </c>
      <c r="AY13" s="1042">
        <f t="shared" si="54"/>
        <v>8232000</v>
      </c>
      <c r="AZ13" s="1042">
        <f>(F13/12)*12</f>
        <v>3087000</v>
      </c>
      <c r="BA13" s="1042">
        <f>AR13+AZ13</f>
        <v>16721250</v>
      </c>
      <c r="BB13" s="1042">
        <f>E13-BA13</f>
        <v>7974750</v>
      </c>
      <c r="BC13" s="1051"/>
      <c r="BD13" s="182"/>
      <c r="BE13" s="8">
        <f t="shared" si="55"/>
        <v>0</v>
      </c>
      <c r="BF13" s="182"/>
      <c r="BG13" s="58"/>
    </row>
    <row r="14" spans="1:60" ht="14.25" customHeight="1">
      <c r="A14" s="17"/>
      <c r="B14" s="53"/>
      <c r="C14" s="228"/>
      <c r="D14" s="55"/>
      <c r="E14" s="6"/>
      <c r="F14" s="1041"/>
      <c r="G14" s="6"/>
      <c r="H14" s="1042"/>
      <c r="I14" s="1042"/>
      <c r="J14" s="1042"/>
      <c r="K14" s="1042"/>
      <c r="L14" s="1042"/>
      <c r="M14" s="1042"/>
      <c r="N14" s="1042"/>
      <c r="O14" s="1042"/>
      <c r="P14" s="1042"/>
      <c r="Q14" s="1042"/>
      <c r="R14" s="1042"/>
      <c r="S14" s="1042"/>
      <c r="T14" s="1042"/>
      <c r="U14" s="1042"/>
      <c r="V14" s="1042"/>
      <c r="W14" s="1042"/>
      <c r="X14" s="1042"/>
      <c r="Y14" s="1042"/>
      <c r="Z14" s="7"/>
      <c r="AA14" s="7"/>
      <c r="AB14" s="1042"/>
      <c r="AC14" s="1042"/>
      <c r="AD14" s="1042"/>
      <c r="AE14" s="1042"/>
      <c r="AF14" s="1042"/>
      <c r="AG14" s="1042"/>
      <c r="AH14" s="1042"/>
      <c r="AI14" s="1042"/>
      <c r="AJ14" s="1042"/>
      <c r="AK14" s="1042"/>
      <c r="AL14" s="1042"/>
      <c r="AM14" s="1042"/>
      <c r="AN14" s="1042"/>
      <c r="AO14" s="1042"/>
      <c r="AP14" s="1042"/>
      <c r="AQ14" s="1118">
        <f>(F14/12)*12</f>
        <v>0</v>
      </c>
      <c r="AR14" s="1042">
        <f t="shared" si="24"/>
        <v>0</v>
      </c>
      <c r="AS14" s="1042">
        <f t="shared" si="33"/>
        <v>0</v>
      </c>
      <c r="AT14" s="1042"/>
      <c r="AU14" s="1042"/>
      <c r="AV14" s="1042"/>
      <c r="AW14" s="1042"/>
      <c r="AX14" s="1042"/>
      <c r="AY14" s="1042"/>
      <c r="AZ14" s="1042"/>
      <c r="BA14" s="1042"/>
      <c r="BB14" s="1042"/>
      <c r="BC14" s="1051"/>
      <c r="BD14" s="182"/>
      <c r="BE14" s="8">
        <f t="shared" si="55"/>
        <v>0</v>
      </c>
      <c r="BF14" s="182"/>
      <c r="BG14" s="58"/>
    </row>
    <row r="15" spans="1:60" s="220" customFormat="1" ht="14.25" customHeight="1">
      <c r="A15" s="190">
        <v>2</v>
      </c>
      <c r="B15" s="214" t="s">
        <v>919</v>
      </c>
      <c r="C15" s="264"/>
      <c r="D15" s="216"/>
      <c r="E15" s="217"/>
      <c r="F15" s="1045"/>
      <c r="G15" s="217"/>
      <c r="H15" s="1046"/>
      <c r="I15" s="1046"/>
      <c r="J15" s="1046"/>
      <c r="K15" s="1046"/>
      <c r="L15" s="1046"/>
      <c r="M15" s="1046"/>
      <c r="N15" s="1046"/>
      <c r="O15" s="1046"/>
      <c r="P15" s="1046"/>
      <c r="Q15" s="1046"/>
      <c r="R15" s="1046"/>
      <c r="S15" s="1046"/>
      <c r="T15" s="1046"/>
      <c r="U15" s="1046"/>
      <c r="V15" s="1046"/>
      <c r="W15" s="1046"/>
      <c r="X15" s="1046"/>
      <c r="Y15" s="1046"/>
      <c r="Z15" s="219"/>
      <c r="AA15" s="219"/>
      <c r="AB15" s="1046"/>
      <c r="AC15" s="1046"/>
      <c r="AD15" s="1046"/>
      <c r="AE15" s="1046"/>
      <c r="AF15" s="1046"/>
      <c r="AG15" s="1046"/>
      <c r="AH15" s="1046"/>
      <c r="AI15" s="1046"/>
      <c r="AJ15" s="1046"/>
      <c r="AK15" s="1046"/>
      <c r="AL15" s="1046"/>
      <c r="AM15" s="1046"/>
      <c r="AN15" s="1046"/>
      <c r="AO15" s="1046"/>
      <c r="AP15" s="1046"/>
      <c r="AQ15" s="1046"/>
      <c r="AR15" s="1046"/>
      <c r="AS15" s="1046"/>
      <c r="AT15" s="1046"/>
      <c r="AU15" s="1046"/>
      <c r="AV15" s="1046"/>
      <c r="AW15" s="1046"/>
      <c r="AX15" s="1046"/>
      <c r="AY15" s="1046"/>
      <c r="AZ15" s="1046"/>
      <c r="BA15" s="1046"/>
      <c r="BB15" s="1046"/>
      <c r="BC15" s="1189"/>
      <c r="BD15" s="227"/>
      <c r="BE15" s="8">
        <f t="shared" si="55"/>
        <v>0</v>
      </c>
      <c r="BF15" s="227"/>
      <c r="BG15" s="222"/>
    </row>
    <row r="16" spans="1:60" ht="14.25" hidden="1" customHeight="1">
      <c r="A16" s="17">
        <v>1</v>
      </c>
      <c r="B16" s="872" t="s">
        <v>211</v>
      </c>
      <c r="C16" s="876">
        <v>40909</v>
      </c>
      <c r="D16" s="877">
        <v>8</v>
      </c>
      <c r="E16" s="878">
        <f>9200000*0</f>
        <v>0</v>
      </c>
      <c r="F16" s="879">
        <f t="shared" ref="F16:F23" si="60">E16/D16</f>
        <v>0</v>
      </c>
      <c r="G16" s="878">
        <f t="shared" ref="G16:G21" si="61">E16</f>
        <v>0</v>
      </c>
      <c r="H16" s="880">
        <f>(F16/12)*(13-IF(C16="","",MONTH(C16)))*3</f>
        <v>0</v>
      </c>
      <c r="I16" s="880">
        <f>H16</f>
        <v>0</v>
      </c>
      <c r="J16" s="880">
        <f t="shared" ref="J16:J21" si="62">E16-I16</f>
        <v>0</v>
      </c>
      <c r="K16" s="880">
        <f t="shared" ref="K16:K21" si="63">(F16/12)*12</f>
        <v>0</v>
      </c>
      <c r="L16" s="880">
        <f t="shared" ref="L16:L21" si="64">K16+I16</f>
        <v>0</v>
      </c>
      <c r="M16" s="880">
        <f t="shared" ref="M16:M21" si="65">E16-L16</f>
        <v>0</v>
      </c>
      <c r="N16" s="880">
        <f t="shared" ref="N16:N21" si="66">(F16/12)*12</f>
        <v>0</v>
      </c>
      <c r="O16" s="880">
        <f t="shared" ref="O16:O21" si="67">N16+L16</f>
        <v>0</v>
      </c>
      <c r="P16" s="880">
        <f t="shared" ref="P16:P21" si="68">E16-O16</f>
        <v>0</v>
      </c>
      <c r="Q16" s="880">
        <f t="shared" ref="Q16:Q21" si="69">(F16/12)*12</f>
        <v>0</v>
      </c>
      <c r="R16" s="880">
        <f t="shared" ref="R16:R21" si="70">O16+Q16</f>
        <v>0</v>
      </c>
      <c r="S16" s="880">
        <f t="shared" ref="S16:S21" si="71">E16-R16</f>
        <v>0</v>
      </c>
      <c r="T16" s="880">
        <f t="shared" ref="T16:T21" si="72">(F16/12)*12</f>
        <v>0</v>
      </c>
      <c r="U16" s="880">
        <f t="shared" ref="U16:U21" si="73">R16+T16</f>
        <v>0</v>
      </c>
      <c r="V16" s="880">
        <f t="shared" ref="V16:V21" si="74">E16-U16</f>
        <v>0</v>
      </c>
      <c r="W16" s="880">
        <f t="shared" ref="W16:W21" si="75">(F16/12)*12</f>
        <v>0</v>
      </c>
      <c r="X16" s="880">
        <f t="shared" ref="X16:X21" si="76">U16+W16</f>
        <v>0</v>
      </c>
      <c r="Y16" s="880">
        <f t="shared" ref="Y16:Y21" si="77">E16-X16</f>
        <v>0</v>
      </c>
      <c r="Z16" s="880">
        <f>3450000*0</f>
        <v>0</v>
      </c>
      <c r="AA16" s="880">
        <f t="shared" ref="AA16:AA21" si="78">E16-Z16</f>
        <v>0</v>
      </c>
      <c r="AB16" s="880">
        <f t="shared" ref="AB16:AB21" si="79">(F16/12)*12</f>
        <v>0</v>
      </c>
      <c r="AC16" s="880">
        <f t="shared" ref="AC16:AC23" si="80">X16+AB16</f>
        <v>0</v>
      </c>
      <c r="AD16" s="880">
        <f t="shared" ref="AD16:AD22" si="81">E16-AC16</f>
        <v>0</v>
      </c>
      <c r="AE16" s="880">
        <f t="shared" ref="AE16:AE23" si="82">(F16/12)*12</f>
        <v>0</v>
      </c>
      <c r="AF16" s="880">
        <f t="shared" ref="AF16:AF22" si="83">AC16+AE16</f>
        <v>0</v>
      </c>
      <c r="AG16" s="880">
        <f t="shared" ref="AG16:AG23" si="84">E16-AF16</f>
        <v>0</v>
      </c>
      <c r="AH16" s="880">
        <f t="shared" ref="AH16:AH21" si="85">(F16/12)*12</f>
        <v>0</v>
      </c>
      <c r="AI16" s="880">
        <f t="shared" ref="AI16:AI22" si="86">AF16+AH16</f>
        <v>0</v>
      </c>
      <c r="AJ16" s="880">
        <f t="shared" ref="AJ16:AJ23" si="87">E16-AI16</f>
        <v>0</v>
      </c>
      <c r="AK16" s="880"/>
      <c r="AL16" s="880"/>
      <c r="AM16" s="880"/>
      <c r="AN16" s="880"/>
      <c r="AO16" s="880"/>
      <c r="AP16" s="880"/>
      <c r="AQ16" s="880">
        <f t="shared" ref="AQ16:AQ23" si="88">(F16/12)*7</f>
        <v>0</v>
      </c>
      <c r="AR16" s="880">
        <f t="shared" ref="AR16:AR22" si="89">AI16+AQ16</f>
        <v>0</v>
      </c>
      <c r="AS16" s="880">
        <f t="shared" ref="AS16:AS23" si="90">E16-AR16</f>
        <v>0</v>
      </c>
      <c r="AT16" s="896"/>
      <c r="AU16" s="896"/>
      <c r="AV16" s="896"/>
      <c r="AW16" s="896"/>
      <c r="AX16" s="896"/>
      <c r="AY16" s="896"/>
      <c r="AZ16" s="896"/>
      <c r="BA16" s="896"/>
      <c r="BB16" s="896"/>
      <c r="BC16" s="896"/>
      <c r="BD16" s="898"/>
      <c r="BE16" s="881">
        <f t="shared" si="47"/>
        <v>0</v>
      </c>
      <c r="BF16" s="182"/>
      <c r="BG16" s="58"/>
    </row>
    <row r="17" spans="1:59" ht="14.25" hidden="1" customHeight="1">
      <c r="A17" s="17">
        <f t="shared" ref="A17:A23" si="91">A16+1</f>
        <v>2</v>
      </c>
      <c r="B17" s="872" t="s">
        <v>211</v>
      </c>
      <c r="C17" s="876">
        <v>41640</v>
      </c>
      <c r="D17" s="877">
        <v>8</v>
      </c>
      <c r="E17" s="878">
        <f>10800000*0</f>
        <v>0</v>
      </c>
      <c r="F17" s="879">
        <f t="shared" si="60"/>
        <v>0</v>
      </c>
      <c r="G17" s="878">
        <f t="shared" si="61"/>
        <v>0</v>
      </c>
      <c r="H17" s="880">
        <f>(F17/12)*(13-IF(C17="","",MONTH(C17)))</f>
        <v>0</v>
      </c>
      <c r="I17" s="880">
        <f t="shared" ref="I17:I18" si="92">H17</f>
        <v>0</v>
      </c>
      <c r="J17" s="880">
        <f t="shared" si="62"/>
        <v>0</v>
      </c>
      <c r="K17" s="880">
        <f t="shared" si="63"/>
        <v>0</v>
      </c>
      <c r="L17" s="880">
        <f t="shared" si="64"/>
        <v>0</v>
      </c>
      <c r="M17" s="880">
        <f t="shared" si="65"/>
        <v>0</v>
      </c>
      <c r="N17" s="880">
        <f t="shared" si="66"/>
        <v>0</v>
      </c>
      <c r="O17" s="880">
        <f t="shared" si="67"/>
        <v>0</v>
      </c>
      <c r="P17" s="880">
        <f t="shared" si="68"/>
        <v>0</v>
      </c>
      <c r="Q17" s="880">
        <f t="shared" si="69"/>
        <v>0</v>
      </c>
      <c r="R17" s="880">
        <f t="shared" si="70"/>
        <v>0</v>
      </c>
      <c r="S17" s="880">
        <f t="shared" si="71"/>
        <v>0</v>
      </c>
      <c r="T17" s="880">
        <f t="shared" si="72"/>
        <v>0</v>
      </c>
      <c r="U17" s="880">
        <f t="shared" si="73"/>
        <v>0</v>
      </c>
      <c r="V17" s="880">
        <f t="shared" si="74"/>
        <v>0</v>
      </c>
      <c r="W17" s="880">
        <f t="shared" si="75"/>
        <v>0</v>
      </c>
      <c r="X17" s="880">
        <f t="shared" si="76"/>
        <v>0</v>
      </c>
      <c r="Y17" s="880">
        <f t="shared" si="77"/>
        <v>0</v>
      </c>
      <c r="Z17" s="880">
        <f>4050000*0</f>
        <v>0</v>
      </c>
      <c r="AA17" s="880">
        <f t="shared" si="78"/>
        <v>0</v>
      </c>
      <c r="AB17" s="880">
        <f t="shared" si="79"/>
        <v>0</v>
      </c>
      <c r="AC17" s="880">
        <f t="shared" si="80"/>
        <v>0</v>
      </c>
      <c r="AD17" s="880">
        <f t="shared" si="81"/>
        <v>0</v>
      </c>
      <c r="AE17" s="880">
        <f t="shared" si="82"/>
        <v>0</v>
      </c>
      <c r="AF17" s="880">
        <f t="shared" si="83"/>
        <v>0</v>
      </c>
      <c r="AG17" s="880">
        <f t="shared" si="84"/>
        <v>0</v>
      </c>
      <c r="AH17" s="880">
        <f t="shared" si="85"/>
        <v>0</v>
      </c>
      <c r="AI17" s="880">
        <f t="shared" si="86"/>
        <v>0</v>
      </c>
      <c r="AJ17" s="880">
        <f t="shared" si="87"/>
        <v>0</v>
      </c>
      <c r="AK17" s="880"/>
      <c r="AL17" s="880"/>
      <c r="AM17" s="880"/>
      <c r="AN17" s="880"/>
      <c r="AO17" s="880"/>
      <c r="AP17" s="880"/>
      <c r="AQ17" s="880">
        <f t="shared" si="88"/>
        <v>0</v>
      </c>
      <c r="AR17" s="880">
        <f t="shared" si="89"/>
        <v>0</v>
      </c>
      <c r="AS17" s="880">
        <f t="shared" si="90"/>
        <v>0</v>
      </c>
      <c r="AT17" s="896"/>
      <c r="AU17" s="896"/>
      <c r="AV17" s="896"/>
      <c r="AW17" s="896"/>
      <c r="AX17" s="896"/>
      <c r="AY17" s="896"/>
      <c r="AZ17" s="896"/>
      <c r="BA17" s="896"/>
      <c r="BB17" s="896"/>
      <c r="BC17" s="896"/>
      <c r="BD17" s="898"/>
      <c r="BE17" s="881">
        <f t="shared" si="47"/>
        <v>0</v>
      </c>
      <c r="BF17" s="182"/>
      <c r="BG17" s="58"/>
    </row>
    <row r="18" spans="1:59" ht="14.25" hidden="1" customHeight="1">
      <c r="A18" s="17">
        <f t="shared" si="91"/>
        <v>3</v>
      </c>
      <c r="B18" s="872" t="s">
        <v>211</v>
      </c>
      <c r="C18" s="876">
        <v>41640</v>
      </c>
      <c r="D18" s="877">
        <v>8</v>
      </c>
      <c r="E18" s="878">
        <f>2400000*0</f>
        <v>0</v>
      </c>
      <c r="F18" s="879">
        <f t="shared" si="60"/>
        <v>0</v>
      </c>
      <c r="G18" s="878">
        <f t="shared" si="61"/>
        <v>0</v>
      </c>
      <c r="H18" s="880">
        <f>(F18/12)*(13-IF(C18="","",MONTH(C18)))</f>
        <v>0</v>
      </c>
      <c r="I18" s="880">
        <f t="shared" si="92"/>
        <v>0</v>
      </c>
      <c r="J18" s="880">
        <f t="shared" si="62"/>
        <v>0</v>
      </c>
      <c r="K18" s="880">
        <f t="shared" si="63"/>
        <v>0</v>
      </c>
      <c r="L18" s="880">
        <f t="shared" si="64"/>
        <v>0</v>
      </c>
      <c r="M18" s="880">
        <f t="shared" si="65"/>
        <v>0</v>
      </c>
      <c r="N18" s="880">
        <f t="shared" si="66"/>
        <v>0</v>
      </c>
      <c r="O18" s="880">
        <f t="shared" si="67"/>
        <v>0</v>
      </c>
      <c r="P18" s="880">
        <f t="shared" si="68"/>
        <v>0</v>
      </c>
      <c r="Q18" s="880">
        <f t="shared" si="69"/>
        <v>0</v>
      </c>
      <c r="R18" s="880">
        <f t="shared" si="70"/>
        <v>0</v>
      </c>
      <c r="S18" s="880">
        <f t="shared" si="71"/>
        <v>0</v>
      </c>
      <c r="T18" s="880">
        <f t="shared" si="72"/>
        <v>0</v>
      </c>
      <c r="U18" s="880">
        <f t="shared" si="73"/>
        <v>0</v>
      </c>
      <c r="V18" s="880">
        <f t="shared" si="74"/>
        <v>0</v>
      </c>
      <c r="W18" s="880">
        <f t="shared" si="75"/>
        <v>0</v>
      </c>
      <c r="X18" s="880">
        <f t="shared" si="76"/>
        <v>0</v>
      </c>
      <c r="Y18" s="880">
        <f t="shared" si="77"/>
        <v>0</v>
      </c>
      <c r="Z18" s="880">
        <f>900000*0</f>
        <v>0</v>
      </c>
      <c r="AA18" s="880">
        <f t="shared" si="78"/>
        <v>0</v>
      </c>
      <c r="AB18" s="880">
        <f t="shared" si="79"/>
        <v>0</v>
      </c>
      <c r="AC18" s="880">
        <f t="shared" si="80"/>
        <v>0</v>
      </c>
      <c r="AD18" s="880">
        <f t="shared" si="81"/>
        <v>0</v>
      </c>
      <c r="AE18" s="880">
        <f t="shared" si="82"/>
        <v>0</v>
      </c>
      <c r="AF18" s="880">
        <f t="shared" si="83"/>
        <v>0</v>
      </c>
      <c r="AG18" s="880">
        <f t="shared" si="84"/>
        <v>0</v>
      </c>
      <c r="AH18" s="880">
        <f t="shared" si="85"/>
        <v>0</v>
      </c>
      <c r="AI18" s="880">
        <f t="shared" si="86"/>
        <v>0</v>
      </c>
      <c r="AJ18" s="880">
        <f t="shared" si="87"/>
        <v>0</v>
      </c>
      <c r="AK18" s="880"/>
      <c r="AL18" s="880"/>
      <c r="AM18" s="880"/>
      <c r="AN18" s="880"/>
      <c r="AO18" s="880"/>
      <c r="AP18" s="880"/>
      <c r="AQ18" s="880">
        <f t="shared" si="88"/>
        <v>0</v>
      </c>
      <c r="AR18" s="880">
        <f t="shared" si="89"/>
        <v>0</v>
      </c>
      <c r="AS18" s="880">
        <f t="shared" si="90"/>
        <v>0</v>
      </c>
      <c r="AT18" s="896"/>
      <c r="AU18" s="896"/>
      <c r="AV18" s="896"/>
      <c r="AW18" s="896"/>
      <c r="AX18" s="896"/>
      <c r="AY18" s="896"/>
      <c r="AZ18" s="896"/>
      <c r="BA18" s="896"/>
      <c r="BB18" s="896"/>
      <c r="BC18" s="896"/>
      <c r="BD18" s="898"/>
      <c r="BE18" s="881">
        <f t="shared" si="47"/>
        <v>0</v>
      </c>
      <c r="BF18" s="182"/>
      <c r="BG18" s="58"/>
    </row>
    <row r="19" spans="1:59" ht="14.25" hidden="1" customHeight="1">
      <c r="A19" s="17">
        <f t="shared" si="91"/>
        <v>4</v>
      </c>
      <c r="B19" s="872" t="s">
        <v>920</v>
      </c>
      <c r="C19" s="876">
        <v>40909</v>
      </c>
      <c r="D19" s="877">
        <v>8</v>
      </c>
      <c r="E19" s="878">
        <f>1800000*0</f>
        <v>0</v>
      </c>
      <c r="F19" s="879">
        <f t="shared" si="60"/>
        <v>0</v>
      </c>
      <c r="G19" s="878">
        <f t="shared" si="61"/>
        <v>0</v>
      </c>
      <c r="H19" s="880">
        <f>(F19/12)*(13-IF(C19="","",MONTH(C19)))*3</f>
        <v>0</v>
      </c>
      <c r="I19" s="880">
        <f>H19</f>
        <v>0</v>
      </c>
      <c r="J19" s="880">
        <f t="shared" si="62"/>
        <v>0</v>
      </c>
      <c r="K19" s="880">
        <f t="shared" si="63"/>
        <v>0</v>
      </c>
      <c r="L19" s="880">
        <f t="shared" si="64"/>
        <v>0</v>
      </c>
      <c r="M19" s="880">
        <f t="shared" si="65"/>
        <v>0</v>
      </c>
      <c r="N19" s="880">
        <f t="shared" si="66"/>
        <v>0</v>
      </c>
      <c r="O19" s="880">
        <f t="shared" si="67"/>
        <v>0</v>
      </c>
      <c r="P19" s="880">
        <f t="shared" si="68"/>
        <v>0</v>
      </c>
      <c r="Q19" s="880">
        <f t="shared" si="69"/>
        <v>0</v>
      </c>
      <c r="R19" s="880">
        <f t="shared" si="70"/>
        <v>0</v>
      </c>
      <c r="S19" s="880">
        <f t="shared" si="71"/>
        <v>0</v>
      </c>
      <c r="T19" s="880">
        <f t="shared" si="72"/>
        <v>0</v>
      </c>
      <c r="U19" s="880">
        <f t="shared" si="73"/>
        <v>0</v>
      </c>
      <c r="V19" s="880">
        <f t="shared" si="74"/>
        <v>0</v>
      </c>
      <c r="W19" s="880">
        <f t="shared" si="75"/>
        <v>0</v>
      </c>
      <c r="X19" s="880">
        <f t="shared" si="76"/>
        <v>0</v>
      </c>
      <c r="Y19" s="880">
        <f t="shared" si="77"/>
        <v>0</v>
      </c>
      <c r="Z19" s="880">
        <f>675000*0</f>
        <v>0</v>
      </c>
      <c r="AA19" s="880">
        <f t="shared" si="78"/>
        <v>0</v>
      </c>
      <c r="AB19" s="880">
        <f t="shared" si="79"/>
        <v>0</v>
      </c>
      <c r="AC19" s="880">
        <f t="shared" si="80"/>
        <v>0</v>
      </c>
      <c r="AD19" s="880">
        <f t="shared" si="81"/>
        <v>0</v>
      </c>
      <c r="AE19" s="880">
        <f t="shared" si="82"/>
        <v>0</v>
      </c>
      <c r="AF19" s="880">
        <f t="shared" si="83"/>
        <v>0</v>
      </c>
      <c r="AG19" s="880">
        <f t="shared" si="84"/>
        <v>0</v>
      </c>
      <c r="AH19" s="880">
        <f t="shared" si="85"/>
        <v>0</v>
      </c>
      <c r="AI19" s="880">
        <f t="shared" si="86"/>
        <v>0</v>
      </c>
      <c r="AJ19" s="880">
        <f t="shared" si="87"/>
        <v>0</v>
      </c>
      <c r="AK19" s="880"/>
      <c r="AL19" s="880"/>
      <c r="AM19" s="880"/>
      <c r="AN19" s="880"/>
      <c r="AO19" s="880"/>
      <c r="AP19" s="880"/>
      <c r="AQ19" s="880">
        <f t="shared" si="88"/>
        <v>0</v>
      </c>
      <c r="AR19" s="880">
        <f t="shared" si="89"/>
        <v>0</v>
      </c>
      <c r="AS19" s="880">
        <f t="shared" si="90"/>
        <v>0</v>
      </c>
      <c r="AT19" s="896"/>
      <c r="AU19" s="896"/>
      <c r="AV19" s="896"/>
      <c r="AW19" s="896"/>
      <c r="AX19" s="896"/>
      <c r="AY19" s="896"/>
      <c r="AZ19" s="896"/>
      <c r="BA19" s="896"/>
      <c r="BB19" s="896"/>
      <c r="BC19" s="896"/>
      <c r="BD19" s="898"/>
      <c r="BE19" s="881">
        <f t="shared" si="47"/>
        <v>0</v>
      </c>
      <c r="BF19" s="182"/>
      <c r="BG19" s="58"/>
    </row>
    <row r="20" spans="1:59" ht="14.25" hidden="1" customHeight="1">
      <c r="A20" s="17">
        <f t="shared" si="91"/>
        <v>5</v>
      </c>
      <c r="B20" s="872" t="s">
        <v>211</v>
      </c>
      <c r="C20" s="876">
        <v>41640</v>
      </c>
      <c r="D20" s="877">
        <v>8</v>
      </c>
      <c r="E20" s="878">
        <f>6300000*0</f>
        <v>0</v>
      </c>
      <c r="F20" s="879">
        <f t="shared" si="60"/>
        <v>0</v>
      </c>
      <c r="G20" s="878">
        <f t="shared" si="61"/>
        <v>0</v>
      </c>
      <c r="H20" s="880">
        <f>(F20/12)*(13-IF(C20="","",MONTH(C20)))</f>
        <v>0</v>
      </c>
      <c r="I20" s="880">
        <f t="shared" ref="I20:I21" si="93">H20</f>
        <v>0</v>
      </c>
      <c r="J20" s="880">
        <f t="shared" si="62"/>
        <v>0</v>
      </c>
      <c r="K20" s="880">
        <f t="shared" si="63"/>
        <v>0</v>
      </c>
      <c r="L20" s="880">
        <f t="shared" si="64"/>
        <v>0</v>
      </c>
      <c r="M20" s="880">
        <f t="shared" si="65"/>
        <v>0</v>
      </c>
      <c r="N20" s="880">
        <f t="shared" si="66"/>
        <v>0</v>
      </c>
      <c r="O20" s="880">
        <f t="shared" si="67"/>
        <v>0</v>
      </c>
      <c r="P20" s="880">
        <f t="shared" si="68"/>
        <v>0</v>
      </c>
      <c r="Q20" s="880">
        <f t="shared" si="69"/>
        <v>0</v>
      </c>
      <c r="R20" s="880">
        <f t="shared" si="70"/>
        <v>0</v>
      </c>
      <c r="S20" s="880">
        <f t="shared" si="71"/>
        <v>0</v>
      </c>
      <c r="T20" s="880">
        <f t="shared" si="72"/>
        <v>0</v>
      </c>
      <c r="U20" s="880">
        <f t="shared" si="73"/>
        <v>0</v>
      </c>
      <c r="V20" s="880">
        <f t="shared" si="74"/>
        <v>0</v>
      </c>
      <c r="W20" s="880">
        <f t="shared" si="75"/>
        <v>0</v>
      </c>
      <c r="X20" s="880">
        <f t="shared" si="76"/>
        <v>0</v>
      </c>
      <c r="Y20" s="880">
        <f t="shared" si="77"/>
        <v>0</v>
      </c>
      <c r="Z20" s="880">
        <f>2362500*0</f>
        <v>0</v>
      </c>
      <c r="AA20" s="880">
        <f t="shared" si="78"/>
        <v>0</v>
      </c>
      <c r="AB20" s="880">
        <f t="shared" si="79"/>
        <v>0</v>
      </c>
      <c r="AC20" s="880">
        <f t="shared" si="80"/>
        <v>0</v>
      </c>
      <c r="AD20" s="880">
        <f t="shared" si="81"/>
        <v>0</v>
      </c>
      <c r="AE20" s="880">
        <f t="shared" si="82"/>
        <v>0</v>
      </c>
      <c r="AF20" s="880">
        <f t="shared" si="83"/>
        <v>0</v>
      </c>
      <c r="AG20" s="880">
        <f t="shared" si="84"/>
        <v>0</v>
      </c>
      <c r="AH20" s="880">
        <f t="shared" si="85"/>
        <v>0</v>
      </c>
      <c r="AI20" s="880">
        <f t="shared" si="86"/>
        <v>0</v>
      </c>
      <c r="AJ20" s="880">
        <f t="shared" si="87"/>
        <v>0</v>
      </c>
      <c r="AK20" s="880"/>
      <c r="AL20" s="880"/>
      <c r="AM20" s="880"/>
      <c r="AN20" s="880"/>
      <c r="AO20" s="880"/>
      <c r="AP20" s="880"/>
      <c r="AQ20" s="880">
        <f t="shared" si="88"/>
        <v>0</v>
      </c>
      <c r="AR20" s="880">
        <f t="shared" si="89"/>
        <v>0</v>
      </c>
      <c r="AS20" s="880">
        <f t="shared" si="90"/>
        <v>0</v>
      </c>
      <c r="AT20" s="896"/>
      <c r="AU20" s="896"/>
      <c r="AV20" s="896"/>
      <c r="AW20" s="896"/>
      <c r="AX20" s="896"/>
      <c r="AY20" s="896"/>
      <c r="AZ20" s="896"/>
      <c r="BA20" s="896"/>
      <c r="BB20" s="896"/>
      <c r="BC20" s="896"/>
      <c r="BD20" s="898"/>
      <c r="BE20" s="881">
        <f t="shared" si="47"/>
        <v>0</v>
      </c>
      <c r="BF20" s="182"/>
      <c r="BG20" s="58"/>
    </row>
    <row r="21" spans="1:59" ht="14.25" hidden="1" customHeight="1">
      <c r="A21" s="17">
        <f t="shared" si="91"/>
        <v>6</v>
      </c>
      <c r="B21" s="872" t="s">
        <v>211</v>
      </c>
      <c r="C21" s="876">
        <v>41640</v>
      </c>
      <c r="D21" s="877">
        <v>8</v>
      </c>
      <c r="E21" s="878">
        <f>2700000*0</f>
        <v>0</v>
      </c>
      <c r="F21" s="879">
        <f t="shared" si="60"/>
        <v>0</v>
      </c>
      <c r="G21" s="878">
        <f t="shared" si="61"/>
        <v>0</v>
      </c>
      <c r="H21" s="880">
        <f>(F21/12)*(13-IF(C21="","",MONTH(C21)))</f>
        <v>0</v>
      </c>
      <c r="I21" s="880">
        <f t="shared" si="93"/>
        <v>0</v>
      </c>
      <c r="J21" s="880">
        <f t="shared" si="62"/>
        <v>0</v>
      </c>
      <c r="K21" s="880">
        <f t="shared" si="63"/>
        <v>0</v>
      </c>
      <c r="L21" s="880">
        <f t="shared" si="64"/>
        <v>0</v>
      </c>
      <c r="M21" s="880">
        <f t="shared" si="65"/>
        <v>0</v>
      </c>
      <c r="N21" s="880">
        <f t="shared" si="66"/>
        <v>0</v>
      </c>
      <c r="O21" s="880">
        <f t="shared" si="67"/>
        <v>0</v>
      </c>
      <c r="P21" s="880">
        <f t="shared" si="68"/>
        <v>0</v>
      </c>
      <c r="Q21" s="880">
        <f t="shared" si="69"/>
        <v>0</v>
      </c>
      <c r="R21" s="880">
        <f t="shared" si="70"/>
        <v>0</v>
      </c>
      <c r="S21" s="880">
        <f t="shared" si="71"/>
        <v>0</v>
      </c>
      <c r="T21" s="880">
        <f t="shared" si="72"/>
        <v>0</v>
      </c>
      <c r="U21" s="880">
        <f t="shared" si="73"/>
        <v>0</v>
      </c>
      <c r="V21" s="880">
        <f t="shared" si="74"/>
        <v>0</v>
      </c>
      <c r="W21" s="880">
        <f t="shared" si="75"/>
        <v>0</v>
      </c>
      <c r="X21" s="880">
        <f t="shared" si="76"/>
        <v>0</v>
      </c>
      <c r="Y21" s="880">
        <f t="shared" si="77"/>
        <v>0</v>
      </c>
      <c r="Z21" s="880">
        <f>1012500*0</f>
        <v>0</v>
      </c>
      <c r="AA21" s="880">
        <f t="shared" si="78"/>
        <v>0</v>
      </c>
      <c r="AB21" s="880">
        <f t="shared" si="79"/>
        <v>0</v>
      </c>
      <c r="AC21" s="880">
        <f t="shared" si="80"/>
        <v>0</v>
      </c>
      <c r="AD21" s="880">
        <f t="shared" si="81"/>
        <v>0</v>
      </c>
      <c r="AE21" s="880">
        <f t="shared" si="82"/>
        <v>0</v>
      </c>
      <c r="AF21" s="880">
        <f t="shared" si="83"/>
        <v>0</v>
      </c>
      <c r="AG21" s="880">
        <f t="shared" si="84"/>
        <v>0</v>
      </c>
      <c r="AH21" s="880">
        <f t="shared" si="85"/>
        <v>0</v>
      </c>
      <c r="AI21" s="880">
        <f t="shared" si="86"/>
        <v>0</v>
      </c>
      <c r="AJ21" s="880">
        <f t="shared" si="87"/>
        <v>0</v>
      </c>
      <c r="AK21" s="880"/>
      <c r="AL21" s="880"/>
      <c r="AM21" s="880"/>
      <c r="AN21" s="880"/>
      <c r="AO21" s="880"/>
      <c r="AP21" s="880"/>
      <c r="AQ21" s="880">
        <f t="shared" si="88"/>
        <v>0</v>
      </c>
      <c r="AR21" s="880">
        <f t="shared" si="89"/>
        <v>0</v>
      </c>
      <c r="AS21" s="880">
        <f t="shared" si="90"/>
        <v>0</v>
      </c>
      <c r="AT21" s="896"/>
      <c r="AU21" s="896"/>
      <c r="AV21" s="896"/>
      <c r="AW21" s="896"/>
      <c r="AX21" s="896"/>
      <c r="AY21" s="896"/>
      <c r="AZ21" s="896"/>
      <c r="BA21" s="896"/>
      <c r="BB21" s="896"/>
      <c r="BC21" s="896"/>
      <c r="BD21" s="898"/>
      <c r="BE21" s="881">
        <f t="shared" si="47"/>
        <v>0</v>
      </c>
      <c r="BF21" s="182"/>
      <c r="BG21" s="58"/>
    </row>
    <row r="22" spans="1:59" ht="14.25" customHeight="1">
      <c r="A22" s="17">
        <f t="shared" si="91"/>
        <v>7</v>
      </c>
      <c r="B22" s="872" t="s">
        <v>406</v>
      </c>
      <c r="C22" s="238">
        <v>43831</v>
      </c>
      <c r="D22" s="55">
        <v>8</v>
      </c>
      <c r="E22" s="6">
        <f>9528500+9200000+10800000+2400000+1800000+6300000+2700000+1135000</f>
        <v>43863500</v>
      </c>
      <c r="F22" s="1041">
        <f t="shared" si="60"/>
        <v>5482937.5</v>
      </c>
      <c r="G22" s="6"/>
      <c r="H22" s="1042"/>
      <c r="I22" s="1042"/>
      <c r="J22" s="1042"/>
      <c r="K22" s="1042"/>
      <c r="L22" s="1042"/>
      <c r="M22" s="1042"/>
      <c r="N22" s="1042"/>
      <c r="O22" s="1042"/>
      <c r="P22" s="1042"/>
      <c r="Q22" s="1042"/>
      <c r="R22" s="1042"/>
      <c r="S22" s="1042"/>
      <c r="T22" s="1042"/>
      <c r="U22" s="1042"/>
      <c r="V22" s="1042"/>
      <c r="W22" s="1042"/>
      <c r="X22" s="1042"/>
      <c r="Y22" s="1042"/>
      <c r="Z22" s="7"/>
      <c r="AA22" s="7"/>
      <c r="AB22" s="1053">
        <f>(F22/12)*12</f>
        <v>5482937.5</v>
      </c>
      <c r="AC22" s="1042">
        <f t="shared" si="80"/>
        <v>5482937.5</v>
      </c>
      <c r="AD22" s="1042">
        <f t="shared" si="81"/>
        <v>38380562.5</v>
      </c>
      <c r="AE22" s="1042">
        <f t="shared" si="82"/>
        <v>5482937.5</v>
      </c>
      <c r="AF22" s="1042">
        <f t="shared" si="83"/>
        <v>10965875</v>
      </c>
      <c r="AG22" s="1042">
        <f t="shared" si="84"/>
        <v>32897625</v>
      </c>
      <c r="AH22" s="1042">
        <f>(F22/12)*12</f>
        <v>5482937.5</v>
      </c>
      <c r="AI22" s="1042">
        <f t="shared" si="86"/>
        <v>16448812.5</v>
      </c>
      <c r="AJ22" s="1042">
        <f t="shared" si="87"/>
        <v>27414687.5</v>
      </c>
      <c r="AK22" s="1042">
        <f>(F22/12)*1</f>
        <v>456911.45833333331</v>
      </c>
      <c r="AL22" s="1042">
        <f>AI22+AK22</f>
        <v>16905723.958333332</v>
      </c>
      <c r="AM22" s="1042">
        <f>E22-AL22</f>
        <v>26957776.041666668</v>
      </c>
      <c r="AN22" s="1042">
        <f>(F22/12)*9</f>
        <v>4112203.125</v>
      </c>
      <c r="AO22" s="1042">
        <f t="shared" ref="AO22" si="94">AI22+AN22</f>
        <v>20561015.625</v>
      </c>
      <c r="AP22" s="1042">
        <f t="shared" ref="AP22" si="95">E22-AO22</f>
        <v>23302484.375</v>
      </c>
      <c r="AQ22" s="1042">
        <f>(F22/12)*12</f>
        <v>5482937.5</v>
      </c>
      <c r="AR22" s="1042">
        <f t="shared" si="89"/>
        <v>21931750</v>
      </c>
      <c r="AS22" s="1042">
        <f t="shared" si="90"/>
        <v>21931750</v>
      </c>
      <c r="AT22" s="1042">
        <f>(F22/12)*9</f>
        <v>4112203.125</v>
      </c>
      <c r="AU22" s="1042">
        <f>AR22+AT22</f>
        <v>26043953.125</v>
      </c>
      <c r="AV22" s="1042">
        <f>E22-AU22</f>
        <v>17819546.875</v>
      </c>
      <c r="AW22" s="1042">
        <f>(F22/12)*2</f>
        <v>913822.91666666663</v>
      </c>
      <c r="AX22" s="1042">
        <f>AU22+AW22</f>
        <v>26957776.041666668</v>
      </c>
      <c r="AY22" s="1042">
        <f>E22-AX22</f>
        <v>16905723.958333332</v>
      </c>
      <c r="AZ22" s="1042">
        <f>(F22/12)*12</f>
        <v>5482937.5</v>
      </c>
      <c r="BA22" s="1042">
        <f>AR22+AZ22</f>
        <v>27414687.5</v>
      </c>
      <c r="BB22" s="1042">
        <f>E22-BA22</f>
        <v>16448812.5</v>
      </c>
      <c r="BC22" s="1051"/>
      <c r="BD22" s="182"/>
      <c r="BE22" s="8">
        <f>E22-BA22-BB22</f>
        <v>0</v>
      </c>
      <c r="BF22" s="182"/>
      <c r="BG22" s="58"/>
    </row>
    <row r="23" spans="1:59" ht="14.25" hidden="1" customHeight="1">
      <c r="A23" s="1021">
        <f t="shared" si="91"/>
        <v>8</v>
      </c>
      <c r="B23" s="872" t="s">
        <v>406</v>
      </c>
      <c r="C23" s="238">
        <v>44197</v>
      </c>
      <c r="D23" s="55">
        <v>8</v>
      </c>
      <c r="E23" s="6">
        <f>1135000*0</f>
        <v>0</v>
      </c>
      <c r="F23" s="20">
        <f t="shared" si="60"/>
        <v>0</v>
      </c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>
        <f t="shared" si="80"/>
        <v>0</v>
      </c>
      <c r="AD23" s="7"/>
      <c r="AE23" s="7">
        <f t="shared" si="82"/>
        <v>0</v>
      </c>
      <c r="AF23" s="7">
        <f t="shared" ref="AF23" si="96">AC23+AE23</f>
        <v>0</v>
      </c>
      <c r="AG23" s="7">
        <f t="shared" si="84"/>
        <v>0</v>
      </c>
      <c r="AH23" s="7">
        <f>(F23/12)*12</f>
        <v>0</v>
      </c>
      <c r="AI23" s="7">
        <f t="shared" ref="AI23" si="97">AF23+AH23</f>
        <v>0</v>
      </c>
      <c r="AJ23" s="7">
        <f t="shared" si="87"/>
        <v>0</v>
      </c>
      <c r="AK23" s="7"/>
      <c r="AL23" s="7"/>
      <c r="AM23" s="7"/>
      <c r="AN23" s="7"/>
      <c r="AO23" s="7"/>
      <c r="AP23" s="7"/>
      <c r="AQ23" s="7">
        <f t="shared" si="88"/>
        <v>0</v>
      </c>
      <c r="AR23" s="7">
        <f t="shared" ref="AR23" si="98">AI23+AQ23</f>
        <v>0</v>
      </c>
      <c r="AS23" s="7">
        <f t="shared" si="90"/>
        <v>0</v>
      </c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9"/>
      <c r="BF23" s="182"/>
      <c r="BG23" s="58"/>
    </row>
    <row r="24" spans="1:59" s="220" customFormat="1" ht="14.25" customHeight="1">
      <c r="A24" s="190">
        <v>3</v>
      </c>
      <c r="B24" s="214" t="s">
        <v>921</v>
      </c>
      <c r="C24" s="215"/>
      <c r="D24" s="216"/>
      <c r="E24" s="217"/>
      <c r="F24" s="1045"/>
      <c r="G24" s="217"/>
      <c r="H24" s="1046"/>
      <c r="I24" s="1046"/>
      <c r="J24" s="1046"/>
      <c r="K24" s="1046"/>
      <c r="L24" s="1046"/>
      <c r="M24" s="1046"/>
      <c r="N24" s="1046"/>
      <c r="O24" s="1046"/>
      <c r="P24" s="1046"/>
      <c r="Q24" s="1046"/>
      <c r="R24" s="1046"/>
      <c r="S24" s="1046"/>
      <c r="T24" s="1046"/>
      <c r="U24" s="1046"/>
      <c r="V24" s="1046"/>
      <c r="W24" s="1046"/>
      <c r="X24" s="1046"/>
      <c r="Y24" s="1046"/>
      <c r="Z24" s="219"/>
      <c r="AA24" s="219"/>
      <c r="AB24" s="1046"/>
      <c r="AC24" s="1046"/>
      <c r="AD24" s="1046"/>
      <c r="AE24" s="1046"/>
      <c r="AF24" s="1046"/>
      <c r="AG24" s="1046"/>
      <c r="AH24" s="1046"/>
      <c r="AI24" s="1046"/>
      <c r="AJ24" s="1046"/>
      <c r="AK24" s="1046"/>
      <c r="AL24" s="1046"/>
      <c r="AM24" s="1046"/>
      <c r="AN24" s="1046"/>
      <c r="AO24" s="1046"/>
      <c r="AP24" s="1046"/>
      <c r="AQ24" s="1046"/>
      <c r="AR24" s="1046"/>
      <c r="AS24" s="1046"/>
      <c r="AT24" s="1046"/>
      <c r="AU24" s="1046"/>
      <c r="AV24" s="1046"/>
      <c r="AW24" s="1046"/>
      <c r="AX24" s="1046"/>
      <c r="AY24" s="1046"/>
      <c r="AZ24" s="1046"/>
      <c r="BA24" s="1046"/>
      <c r="BB24" s="1046"/>
      <c r="BC24" s="1189"/>
      <c r="BD24" s="227"/>
      <c r="BE24" s="8">
        <f>E24-BA24-BB24</f>
        <v>0</v>
      </c>
      <c r="BF24" s="227"/>
      <c r="BG24" s="222"/>
    </row>
    <row r="25" spans="1:59" ht="14.25" hidden="1" customHeight="1">
      <c r="A25" s="884">
        <v>1</v>
      </c>
      <c r="B25" s="885" t="s">
        <v>211</v>
      </c>
      <c r="C25" s="886">
        <v>40179</v>
      </c>
      <c r="D25" s="887">
        <v>8</v>
      </c>
      <c r="E25" s="888">
        <f>47970401.6525034*0</f>
        <v>0</v>
      </c>
      <c r="F25" s="889">
        <f t="shared" ref="F25:F37" si="99">E25/D25</f>
        <v>0</v>
      </c>
      <c r="G25" s="888">
        <f t="shared" ref="G25:G33" si="100">E25</f>
        <v>0</v>
      </c>
      <c r="H25" s="890">
        <f>(F25/12)*(13-IF(C25="","",MONTH(C25)))*5</f>
        <v>0</v>
      </c>
      <c r="I25" s="890">
        <f t="shared" ref="I25:I29" si="101">H25</f>
        <v>0</v>
      </c>
      <c r="J25" s="890">
        <f t="shared" ref="J25:J33" si="102">E25-I25</f>
        <v>0</v>
      </c>
      <c r="K25" s="890">
        <f t="shared" ref="K25:K33" si="103">(F25/12)*12</f>
        <v>0</v>
      </c>
      <c r="L25" s="890">
        <f t="shared" ref="L25:L33" si="104">K25+I25</f>
        <v>0</v>
      </c>
      <c r="M25" s="890">
        <f t="shared" ref="M25:M33" si="105">E25-L25</f>
        <v>0</v>
      </c>
      <c r="N25" s="890">
        <f t="shared" ref="N25:N34" si="106">(F25/12)*12</f>
        <v>0</v>
      </c>
      <c r="O25" s="890">
        <f t="shared" ref="O25:O33" si="107">N25+L25</f>
        <v>0</v>
      </c>
      <c r="P25" s="890">
        <f t="shared" ref="P25:P34" si="108">E25-O25</f>
        <v>0</v>
      </c>
      <c r="Q25" s="890">
        <f t="shared" ref="Q25:Q34" si="109">(F25/12)*12</f>
        <v>0</v>
      </c>
      <c r="R25" s="890">
        <f t="shared" ref="R25:R34" si="110">O25+Q25</f>
        <v>0</v>
      </c>
      <c r="S25" s="890">
        <f t="shared" ref="S25:S34" si="111">E25-R25</f>
        <v>0</v>
      </c>
      <c r="T25" s="890">
        <v>0</v>
      </c>
      <c r="U25" s="890">
        <f t="shared" ref="U25:U34" si="112">R25+T25</f>
        <v>0</v>
      </c>
      <c r="V25" s="890">
        <f t="shared" ref="V25:V34" si="113">E25-U25</f>
        <v>0</v>
      </c>
      <c r="W25" s="890">
        <v>0</v>
      </c>
      <c r="X25" s="890">
        <f t="shared" ref="X25:X34" si="114">U25+W25</f>
        <v>0</v>
      </c>
      <c r="Y25" s="890">
        <f t="shared" ref="Y25:Y34" si="115">E25-X25</f>
        <v>0</v>
      </c>
      <c r="Z25" s="890">
        <f>23985200.8262517*0</f>
        <v>0</v>
      </c>
      <c r="AA25" s="890">
        <f>E25-Z25</f>
        <v>0</v>
      </c>
      <c r="AB25" s="890">
        <f t="shared" ref="AB25:AB34" si="116">(F25/12)*12</f>
        <v>0</v>
      </c>
      <c r="AC25" s="890">
        <f t="shared" ref="AC25:AC36" si="117">X25+AB25</f>
        <v>0</v>
      </c>
      <c r="AD25" s="890">
        <f t="shared" ref="AD25:AD36" si="118">E25-AC25</f>
        <v>0</v>
      </c>
      <c r="AE25" s="890">
        <f t="shared" ref="AE25:AE36" si="119">(F25/12)*12</f>
        <v>0</v>
      </c>
      <c r="AF25" s="890">
        <f t="shared" ref="AF25:AF36" si="120">AC25+AE25</f>
        <v>0</v>
      </c>
      <c r="AG25" s="890">
        <f t="shared" ref="AG25:AG37" si="121">E25-AF25</f>
        <v>0</v>
      </c>
      <c r="AH25" s="890">
        <f t="shared" ref="AH25:AH37" si="122">(F25/12)*12</f>
        <v>0</v>
      </c>
      <c r="AI25" s="890">
        <f t="shared" ref="AI25:AI36" si="123">AF25+AH25</f>
        <v>0</v>
      </c>
      <c r="AJ25" s="890">
        <f t="shared" ref="AJ25:AJ37" si="124">E25-AI25</f>
        <v>0</v>
      </c>
      <c r="AK25" s="890"/>
      <c r="AL25" s="890"/>
      <c r="AM25" s="890"/>
      <c r="AN25" s="890"/>
      <c r="AO25" s="890"/>
      <c r="AP25" s="890"/>
      <c r="AQ25" s="890">
        <f t="shared" ref="AQ25:AQ37" si="125">(F25/12)*7</f>
        <v>0</v>
      </c>
      <c r="AR25" s="890">
        <f t="shared" ref="AR25:AR36" si="126">AI25+AQ25</f>
        <v>0</v>
      </c>
      <c r="AS25" s="890">
        <f t="shared" ref="AS25:AS37" si="127">E25-AR25</f>
        <v>0</v>
      </c>
      <c r="AT25" s="1158"/>
      <c r="AU25" s="1158"/>
      <c r="AV25" s="1158"/>
      <c r="AW25" s="1158"/>
      <c r="AX25" s="1158"/>
      <c r="AY25" s="1158"/>
      <c r="AZ25" s="1158"/>
      <c r="BA25" s="1158"/>
      <c r="BB25" s="1158"/>
      <c r="BC25" s="1158"/>
      <c r="BD25" s="182"/>
      <c r="BE25" s="19">
        <f t="shared" ref="BE25:BE36" si="128">E25-AR25-AS25</f>
        <v>0</v>
      </c>
      <c r="BF25" s="182"/>
      <c r="BG25" s="58"/>
    </row>
    <row r="26" spans="1:59" ht="14.25" hidden="1" customHeight="1">
      <c r="A26" s="884">
        <f>A25+1</f>
        <v>2</v>
      </c>
      <c r="B26" s="885" t="s">
        <v>408</v>
      </c>
      <c r="C26" s="886">
        <v>40179</v>
      </c>
      <c r="D26" s="887">
        <v>8</v>
      </c>
      <c r="E26" s="888">
        <f>4551689.90819688*0</f>
        <v>0</v>
      </c>
      <c r="F26" s="889">
        <f t="shared" si="99"/>
        <v>0</v>
      </c>
      <c r="G26" s="888">
        <f t="shared" si="100"/>
        <v>0</v>
      </c>
      <c r="H26" s="890">
        <f>(F26/12)*(13-IF(C26="","",MONTH(C26)))*5</f>
        <v>0</v>
      </c>
      <c r="I26" s="890">
        <f t="shared" si="101"/>
        <v>0</v>
      </c>
      <c r="J26" s="890">
        <f t="shared" si="102"/>
        <v>0</v>
      </c>
      <c r="K26" s="890">
        <f t="shared" si="103"/>
        <v>0</v>
      </c>
      <c r="L26" s="890">
        <f t="shared" si="104"/>
        <v>0</v>
      </c>
      <c r="M26" s="890">
        <f t="shared" si="105"/>
        <v>0</v>
      </c>
      <c r="N26" s="890">
        <f t="shared" si="106"/>
        <v>0</v>
      </c>
      <c r="O26" s="890">
        <f t="shared" si="107"/>
        <v>0</v>
      </c>
      <c r="P26" s="890">
        <f t="shared" si="108"/>
        <v>0</v>
      </c>
      <c r="Q26" s="890">
        <f t="shared" si="109"/>
        <v>0</v>
      </c>
      <c r="R26" s="890">
        <f t="shared" si="110"/>
        <v>0</v>
      </c>
      <c r="S26" s="890">
        <f t="shared" si="111"/>
        <v>0</v>
      </c>
      <c r="T26" s="890">
        <v>0</v>
      </c>
      <c r="U26" s="890">
        <f t="shared" si="112"/>
        <v>0</v>
      </c>
      <c r="V26" s="890">
        <f t="shared" si="113"/>
        <v>0</v>
      </c>
      <c r="W26" s="890">
        <v>0</v>
      </c>
      <c r="X26" s="890">
        <f t="shared" si="114"/>
        <v>0</v>
      </c>
      <c r="Y26" s="890">
        <f t="shared" si="115"/>
        <v>0</v>
      </c>
      <c r="Z26" s="890">
        <f>2275844.95409844*0</f>
        <v>0</v>
      </c>
      <c r="AA26" s="890">
        <f t="shared" ref="AA26:AA34" si="129">E26-Z26</f>
        <v>0</v>
      </c>
      <c r="AB26" s="890">
        <f t="shared" si="116"/>
        <v>0</v>
      </c>
      <c r="AC26" s="890">
        <f t="shared" si="117"/>
        <v>0</v>
      </c>
      <c r="AD26" s="890">
        <f t="shared" si="118"/>
        <v>0</v>
      </c>
      <c r="AE26" s="890">
        <f t="shared" si="119"/>
        <v>0</v>
      </c>
      <c r="AF26" s="890">
        <f t="shared" si="120"/>
        <v>0</v>
      </c>
      <c r="AG26" s="890">
        <f t="shared" si="121"/>
        <v>0</v>
      </c>
      <c r="AH26" s="890">
        <f t="shared" si="122"/>
        <v>0</v>
      </c>
      <c r="AI26" s="890">
        <f t="shared" si="123"/>
        <v>0</v>
      </c>
      <c r="AJ26" s="890">
        <f t="shared" si="124"/>
        <v>0</v>
      </c>
      <c r="AK26" s="890"/>
      <c r="AL26" s="890"/>
      <c r="AM26" s="890"/>
      <c r="AN26" s="890"/>
      <c r="AO26" s="890"/>
      <c r="AP26" s="890"/>
      <c r="AQ26" s="890">
        <f t="shared" si="125"/>
        <v>0</v>
      </c>
      <c r="AR26" s="890">
        <f t="shared" si="126"/>
        <v>0</v>
      </c>
      <c r="AS26" s="890">
        <f t="shared" si="127"/>
        <v>0</v>
      </c>
      <c r="AT26" s="1158"/>
      <c r="AU26" s="1158"/>
      <c r="AV26" s="1158"/>
      <c r="AW26" s="1158"/>
      <c r="AX26" s="1158"/>
      <c r="AY26" s="1158"/>
      <c r="AZ26" s="1158"/>
      <c r="BA26" s="1158"/>
      <c r="BB26" s="1158"/>
      <c r="BC26" s="1158"/>
      <c r="BD26" s="182"/>
      <c r="BE26" s="19">
        <f t="shared" si="128"/>
        <v>0</v>
      </c>
      <c r="BF26" s="182"/>
      <c r="BG26" s="58"/>
    </row>
    <row r="27" spans="1:59" ht="14.25" hidden="1" customHeight="1">
      <c r="A27" s="884">
        <f t="shared" ref="A27:A37" si="130">A26+1</f>
        <v>3</v>
      </c>
      <c r="B27" s="885" t="s">
        <v>409</v>
      </c>
      <c r="C27" s="886">
        <v>40179</v>
      </c>
      <c r="D27" s="887">
        <v>8</v>
      </c>
      <c r="E27" s="888">
        <f>630420.437895762*0</f>
        <v>0</v>
      </c>
      <c r="F27" s="889">
        <f t="shared" si="99"/>
        <v>0</v>
      </c>
      <c r="G27" s="888">
        <f t="shared" si="100"/>
        <v>0</v>
      </c>
      <c r="H27" s="890">
        <f>(F27/12)*(13-IF(C27="","",MONTH(C27)))*5</f>
        <v>0</v>
      </c>
      <c r="I27" s="890">
        <f t="shared" si="101"/>
        <v>0</v>
      </c>
      <c r="J27" s="890">
        <f t="shared" si="102"/>
        <v>0</v>
      </c>
      <c r="K27" s="890">
        <f t="shared" si="103"/>
        <v>0</v>
      </c>
      <c r="L27" s="890">
        <f t="shared" si="104"/>
        <v>0</v>
      </c>
      <c r="M27" s="890">
        <f t="shared" si="105"/>
        <v>0</v>
      </c>
      <c r="N27" s="890">
        <f t="shared" si="106"/>
        <v>0</v>
      </c>
      <c r="O27" s="890">
        <f t="shared" si="107"/>
        <v>0</v>
      </c>
      <c r="P27" s="890">
        <f t="shared" si="108"/>
        <v>0</v>
      </c>
      <c r="Q27" s="890">
        <f t="shared" si="109"/>
        <v>0</v>
      </c>
      <c r="R27" s="890">
        <f t="shared" si="110"/>
        <v>0</v>
      </c>
      <c r="S27" s="890">
        <f t="shared" si="111"/>
        <v>0</v>
      </c>
      <c r="T27" s="890">
        <v>0</v>
      </c>
      <c r="U27" s="890">
        <f t="shared" si="112"/>
        <v>0</v>
      </c>
      <c r="V27" s="890">
        <f t="shared" si="113"/>
        <v>0</v>
      </c>
      <c r="W27" s="890">
        <v>0</v>
      </c>
      <c r="X27" s="890">
        <f t="shared" si="114"/>
        <v>0</v>
      </c>
      <c r="Y27" s="890">
        <f t="shared" si="115"/>
        <v>0</v>
      </c>
      <c r="Z27" s="890">
        <f>315210.218947881*0</f>
        <v>0</v>
      </c>
      <c r="AA27" s="890">
        <f t="shared" si="129"/>
        <v>0</v>
      </c>
      <c r="AB27" s="890">
        <f t="shared" si="116"/>
        <v>0</v>
      </c>
      <c r="AC27" s="890">
        <f t="shared" si="117"/>
        <v>0</v>
      </c>
      <c r="AD27" s="890">
        <f t="shared" si="118"/>
        <v>0</v>
      </c>
      <c r="AE27" s="890">
        <f t="shared" si="119"/>
        <v>0</v>
      </c>
      <c r="AF27" s="890">
        <f t="shared" si="120"/>
        <v>0</v>
      </c>
      <c r="AG27" s="890">
        <f t="shared" si="121"/>
        <v>0</v>
      </c>
      <c r="AH27" s="890">
        <f t="shared" si="122"/>
        <v>0</v>
      </c>
      <c r="AI27" s="890">
        <f t="shared" si="123"/>
        <v>0</v>
      </c>
      <c r="AJ27" s="890">
        <f t="shared" si="124"/>
        <v>0</v>
      </c>
      <c r="AK27" s="890"/>
      <c r="AL27" s="890"/>
      <c r="AM27" s="890"/>
      <c r="AN27" s="890"/>
      <c r="AO27" s="890"/>
      <c r="AP27" s="890"/>
      <c r="AQ27" s="890">
        <f t="shared" si="125"/>
        <v>0</v>
      </c>
      <c r="AR27" s="890">
        <f t="shared" si="126"/>
        <v>0</v>
      </c>
      <c r="AS27" s="890">
        <f t="shared" si="127"/>
        <v>0</v>
      </c>
      <c r="AT27" s="1158"/>
      <c r="AU27" s="1158"/>
      <c r="AV27" s="1158"/>
      <c r="AW27" s="1158"/>
      <c r="AX27" s="1158"/>
      <c r="AY27" s="1158"/>
      <c r="AZ27" s="1158"/>
      <c r="BA27" s="1158"/>
      <c r="BB27" s="1158"/>
      <c r="BC27" s="1158"/>
      <c r="BD27" s="182"/>
      <c r="BE27" s="19">
        <f t="shared" si="128"/>
        <v>0</v>
      </c>
      <c r="BF27" s="182"/>
      <c r="BG27" s="58"/>
    </row>
    <row r="28" spans="1:59" ht="14.25" hidden="1" customHeight="1">
      <c r="A28" s="884">
        <f t="shared" si="130"/>
        <v>4</v>
      </c>
      <c r="B28" s="885" t="s">
        <v>410</v>
      </c>
      <c r="C28" s="886">
        <v>40179</v>
      </c>
      <c r="D28" s="887">
        <v>8</v>
      </c>
      <c r="E28" s="888">
        <f>608681.802106253*0</f>
        <v>0</v>
      </c>
      <c r="F28" s="889">
        <f t="shared" si="99"/>
        <v>0</v>
      </c>
      <c r="G28" s="888">
        <f t="shared" si="100"/>
        <v>0</v>
      </c>
      <c r="H28" s="890">
        <f>(F28/12)*(13-IF(C28="","",MONTH(C28)))*5</f>
        <v>0</v>
      </c>
      <c r="I28" s="890">
        <f t="shared" si="101"/>
        <v>0</v>
      </c>
      <c r="J28" s="890">
        <f t="shared" si="102"/>
        <v>0</v>
      </c>
      <c r="K28" s="890">
        <f t="shared" si="103"/>
        <v>0</v>
      </c>
      <c r="L28" s="890">
        <f t="shared" si="104"/>
        <v>0</v>
      </c>
      <c r="M28" s="890">
        <f t="shared" si="105"/>
        <v>0</v>
      </c>
      <c r="N28" s="890">
        <f t="shared" si="106"/>
        <v>0</v>
      </c>
      <c r="O28" s="890">
        <f t="shared" si="107"/>
        <v>0</v>
      </c>
      <c r="P28" s="890">
        <f t="shared" si="108"/>
        <v>0</v>
      </c>
      <c r="Q28" s="890">
        <f t="shared" si="109"/>
        <v>0</v>
      </c>
      <c r="R28" s="890">
        <f t="shared" si="110"/>
        <v>0</v>
      </c>
      <c r="S28" s="890">
        <f t="shared" si="111"/>
        <v>0</v>
      </c>
      <c r="T28" s="890">
        <v>0</v>
      </c>
      <c r="U28" s="890">
        <f t="shared" si="112"/>
        <v>0</v>
      </c>
      <c r="V28" s="890">
        <f t="shared" si="113"/>
        <v>0</v>
      </c>
      <c r="W28" s="890">
        <v>0</v>
      </c>
      <c r="X28" s="890">
        <f t="shared" si="114"/>
        <v>0</v>
      </c>
      <c r="Y28" s="890">
        <f t="shared" si="115"/>
        <v>0</v>
      </c>
      <c r="Z28" s="890">
        <f>304340.901053127*0</f>
        <v>0</v>
      </c>
      <c r="AA28" s="890">
        <f t="shared" si="129"/>
        <v>0</v>
      </c>
      <c r="AB28" s="890">
        <f t="shared" si="116"/>
        <v>0</v>
      </c>
      <c r="AC28" s="890">
        <f t="shared" si="117"/>
        <v>0</v>
      </c>
      <c r="AD28" s="890">
        <f t="shared" si="118"/>
        <v>0</v>
      </c>
      <c r="AE28" s="890">
        <f t="shared" si="119"/>
        <v>0</v>
      </c>
      <c r="AF28" s="890">
        <f t="shared" si="120"/>
        <v>0</v>
      </c>
      <c r="AG28" s="890">
        <f t="shared" si="121"/>
        <v>0</v>
      </c>
      <c r="AH28" s="890">
        <f t="shared" si="122"/>
        <v>0</v>
      </c>
      <c r="AI28" s="890">
        <f t="shared" si="123"/>
        <v>0</v>
      </c>
      <c r="AJ28" s="890">
        <f t="shared" si="124"/>
        <v>0</v>
      </c>
      <c r="AK28" s="890"/>
      <c r="AL28" s="890"/>
      <c r="AM28" s="890"/>
      <c r="AN28" s="890"/>
      <c r="AO28" s="890"/>
      <c r="AP28" s="890"/>
      <c r="AQ28" s="890">
        <f t="shared" si="125"/>
        <v>0</v>
      </c>
      <c r="AR28" s="890">
        <f t="shared" si="126"/>
        <v>0</v>
      </c>
      <c r="AS28" s="890">
        <f t="shared" si="127"/>
        <v>0</v>
      </c>
      <c r="AT28" s="1158"/>
      <c r="AU28" s="1158"/>
      <c r="AV28" s="1158"/>
      <c r="AW28" s="1158"/>
      <c r="AX28" s="1158"/>
      <c r="AY28" s="1158"/>
      <c r="AZ28" s="1158"/>
      <c r="BA28" s="1158"/>
      <c r="BB28" s="1158"/>
      <c r="BC28" s="1158"/>
      <c r="BD28" s="182"/>
      <c r="BE28" s="19">
        <f t="shared" si="128"/>
        <v>0</v>
      </c>
      <c r="BF28" s="182"/>
      <c r="BG28" s="58"/>
    </row>
    <row r="29" spans="1:59" ht="14.25" hidden="1" customHeight="1">
      <c r="A29" s="884">
        <f t="shared" si="130"/>
        <v>5</v>
      </c>
      <c r="B29" s="885" t="s">
        <v>411</v>
      </c>
      <c r="C29" s="886">
        <v>40544</v>
      </c>
      <c r="D29" s="887">
        <v>8</v>
      </c>
      <c r="E29" s="888">
        <f>986236.512459794*0</f>
        <v>0</v>
      </c>
      <c r="F29" s="889">
        <f t="shared" si="99"/>
        <v>0</v>
      </c>
      <c r="G29" s="888">
        <f t="shared" si="100"/>
        <v>0</v>
      </c>
      <c r="H29" s="890">
        <f>(F29/12)*(13-IF(C29="","",MONTH(C29)))*4</f>
        <v>0</v>
      </c>
      <c r="I29" s="890">
        <f t="shared" si="101"/>
        <v>0</v>
      </c>
      <c r="J29" s="890">
        <f t="shared" si="102"/>
        <v>0</v>
      </c>
      <c r="K29" s="890">
        <f t="shared" si="103"/>
        <v>0</v>
      </c>
      <c r="L29" s="890">
        <f t="shared" si="104"/>
        <v>0</v>
      </c>
      <c r="M29" s="890">
        <f t="shared" si="105"/>
        <v>0</v>
      </c>
      <c r="N29" s="890">
        <f t="shared" si="106"/>
        <v>0</v>
      </c>
      <c r="O29" s="890">
        <f t="shared" si="107"/>
        <v>0</v>
      </c>
      <c r="P29" s="890">
        <f t="shared" si="108"/>
        <v>0</v>
      </c>
      <c r="Q29" s="890">
        <f t="shared" si="109"/>
        <v>0</v>
      </c>
      <c r="R29" s="890">
        <f t="shared" si="110"/>
        <v>0</v>
      </c>
      <c r="S29" s="890">
        <f t="shared" si="111"/>
        <v>0</v>
      </c>
      <c r="T29" s="890">
        <f t="shared" ref="T29:T34" si="131">(F29/12)*12</f>
        <v>0</v>
      </c>
      <c r="U29" s="890">
        <f t="shared" si="112"/>
        <v>0</v>
      </c>
      <c r="V29" s="890">
        <f t="shared" si="113"/>
        <v>0</v>
      </c>
      <c r="W29" s="890">
        <v>0</v>
      </c>
      <c r="X29" s="890">
        <f t="shared" si="114"/>
        <v>0</v>
      </c>
      <c r="Y29" s="890">
        <f t="shared" si="115"/>
        <v>0</v>
      </c>
      <c r="Z29" s="890">
        <f>493118.256229897*0</f>
        <v>0</v>
      </c>
      <c r="AA29" s="890">
        <f t="shared" si="129"/>
        <v>0</v>
      </c>
      <c r="AB29" s="890">
        <f t="shared" si="116"/>
        <v>0</v>
      </c>
      <c r="AC29" s="890">
        <f t="shared" si="117"/>
        <v>0</v>
      </c>
      <c r="AD29" s="890">
        <f t="shared" si="118"/>
        <v>0</v>
      </c>
      <c r="AE29" s="890">
        <f t="shared" si="119"/>
        <v>0</v>
      </c>
      <c r="AF29" s="890">
        <f t="shared" si="120"/>
        <v>0</v>
      </c>
      <c r="AG29" s="890">
        <f t="shared" si="121"/>
        <v>0</v>
      </c>
      <c r="AH29" s="890">
        <f t="shared" si="122"/>
        <v>0</v>
      </c>
      <c r="AI29" s="890">
        <f t="shared" si="123"/>
        <v>0</v>
      </c>
      <c r="AJ29" s="890">
        <f t="shared" si="124"/>
        <v>0</v>
      </c>
      <c r="AK29" s="890"/>
      <c r="AL29" s="890"/>
      <c r="AM29" s="890"/>
      <c r="AN29" s="890"/>
      <c r="AO29" s="890"/>
      <c r="AP29" s="890"/>
      <c r="AQ29" s="890">
        <f t="shared" si="125"/>
        <v>0</v>
      </c>
      <c r="AR29" s="890">
        <f t="shared" si="126"/>
        <v>0</v>
      </c>
      <c r="AS29" s="890">
        <f t="shared" si="127"/>
        <v>0</v>
      </c>
      <c r="AT29" s="1158"/>
      <c r="AU29" s="1158"/>
      <c r="AV29" s="1158"/>
      <c r="AW29" s="1158"/>
      <c r="AX29" s="1158"/>
      <c r="AY29" s="1158"/>
      <c r="AZ29" s="1158"/>
      <c r="BA29" s="1158"/>
      <c r="BB29" s="1158"/>
      <c r="BC29" s="1158"/>
      <c r="BD29" s="182"/>
      <c r="BE29" s="19">
        <f t="shared" si="128"/>
        <v>0</v>
      </c>
      <c r="BF29" s="182"/>
      <c r="BG29" s="58"/>
    </row>
    <row r="30" spans="1:59" ht="14.25" hidden="1" customHeight="1">
      <c r="A30" s="884">
        <f t="shared" si="130"/>
        <v>6</v>
      </c>
      <c r="B30" s="885" t="s">
        <v>412</v>
      </c>
      <c r="C30" s="886">
        <v>40909</v>
      </c>
      <c r="D30" s="887">
        <v>8</v>
      </c>
      <c r="E30" s="888">
        <f>2524636.8039354*0</f>
        <v>0</v>
      </c>
      <c r="F30" s="889">
        <f t="shared" si="99"/>
        <v>0</v>
      </c>
      <c r="G30" s="888">
        <f t="shared" si="100"/>
        <v>0</v>
      </c>
      <c r="H30" s="890">
        <f>(F30/12)*(13-IF(C30="","",MONTH(C30)))*3</f>
        <v>0</v>
      </c>
      <c r="I30" s="890">
        <f>H30</f>
        <v>0</v>
      </c>
      <c r="J30" s="890">
        <f t="shared" si="102"/>
        <v>0</v>
      </c>
      <c r="K30" s="890">
        <f t="shared" si="103"/>
        <v>0</v>
      </c>
      <c r="L30" s="890">
        <f t="shared" si="104"/>
        <v>0</v>
      </c>
      <c r="M30" s="890">
        <f t="shared" si="105"/>
        <v>0</v>
      </c>
      <c r="N30" s="890">
        <f t="shared" si="106"/>
        <v>0</v>
      </c>
      <c r="O30" s="890">
        <f t="shared" si="107"/>
        <v>0</v>
      </c>
      <c r="P30" s="890">
        <f t="shared" si="108"/>
        <v>0</v>
      </c>
      <c r="Q30" s="890">
        <f t="shared" si="109"/>
        <v>0</v>
      </c>
      <c r="R30" s="890">
        <f t="shared" si="110"/>
        <v>0</v>
      </c>
      <c r="S30" s="890">
        <f t="shared" si="111"/>
        <v>0</v>
      </c>
      <c r="T30" s="890">
        <f t="shared" si="131"/>
        <v>0</v>
      </c>
      <c r="U30" s="890">
        <f t="shared" si="112"/>
        <v>0</v>
      </c>
      <c r="V30" s="890">
        <f t="shared" si="113"/>
        <v>0</v>
      </c>
      <c r="W30" s="890">
        <f>(F30/12)*12</f>
        <v>0</v>
      </c>
      <c r="X30" s="890">
        <f t="shared" si="114"/>
        <v>0</v>
      </c>
      <c r="Y30" s="890">
        <f t="shared" si="115"/>
        <v>0</v>
      </c>
      <c r="Z30" s="890">
        <f>1262318.4019677*0</f>
        <v>0</v>
      </c>
      <c r="AA30" s="890">
        <f t="shared" si="129"/>
        <v>0</v>
      </c>
      <c r="AB30" s="890">
        <f t="shared" si="116"/>
        <v>0</v>
      </c>
      <c r="AC30" s="890">
        <f t="shared" si="117"/>
        <v>0</v>
      </c>
      <c r="AD30" s="890">
        <f t="shared" si="118"/>
        <v>0</v>
      </c>
      <c r="AE30" s="890">
        <f t="shared" si="119"/>
        <v>0</v>
      </c>
      <c r="AF30" s="890">
        <f t="shared" si="120"/>
        <v>0</v>
      </c>
      <c r="AG30" s="890">
        <f t="shared" si="121"/>
        <v>0</v>
      </c>
      <c r="AH30" s="890">
        <f t="shared" si="122"/>
        <v>0</v>
      </c>
      <c r="AI30" s="890">
        <f t="shared" si="123"/>
        <v>0</v>
      </c>
      <c r="AJ30" s="890">
        <f t="shared" si="124"/>
        <v>0</v>
      </c>
      <c r="AK30" s="890"/>
      <c r="AL30" s="890"/>
      <c r="AM30" s="890"/>
      <c r="AN30" s="890"/>
      <c r="AO30" s="890"/>
      <c r="AP30" s="890"/>
      <c r="AQ30" s="890">
        <f t="shared" si="125"/>
        <v>0</v>
      </c>
      <c r="AR30" s="890">
        <f t="shared" si="126"/>
        <v>0</v>
      </c>
      <c r="AS30" s="890">
        <f t="shared" si="127"/>
        <v>0</v>
      </c>
      <c r="AT30" s="1158"/>
      <c r="AU30" s="1158"/>
      <c r="AV30" s="1158"/>
      <c r="AW30" s="1158"/>
      <c r="AX30" s="1158"/>
      <c r="AY30" s="1158"/>
      <c r="AZ30" s="1158"/>
      <c r="BA30" s="1158"/>
      <c r="BB30" s="1158"/>
      <c r="BC30" s="1158"/>
      <c r="BD30" s="182"/>
      <c r="BE30" s="19">
        <f t="shared" si="128"/>
        <v>0</v>
      </c>
      <c r="BF30" s="182"/>
      <c r="BG30" s="58"/>
    </row>
    <row r="31" spans="1:59" ht="14.25" hidden="1" customHeight="1">
      <c r="A31" s="884">
        <f t="shared" si="130"/>
        <v>7</v>
      </c>
      <c r="B31" s="885" t="s">
        <v>413</v>
      </c>
      <c r="C31" s="886">
        <v>41275</v>
      </c>
      <c r="D31" s="887">
        <v>8</v>
      </c>
      <c r="E31" s="888">
        <f>304028.027066965*0</f>
        <v>0</v>
      </c>
      <c r="F31" s="889">
        <f t="shared" si="99"/>
        <v>0</v>
      </c>
      <c r="G31" s="888">
        <f t="shared" si="100"/>
        <v>0</v>
      </c>
      <c r="H31" s="890">
        <f>(F31/12)*(13-IF(C31="","",MONTH(C31)))*2</f>
        <v>0</v>
      </c>
      <c r="I31" s="890">
        <f t="shared" ref="I31:I33" si="132">H31</f>
        <v>0</v>
      </c>
      <c r="J31" s="890">
        <f t="shared" si="102"/>
        <v>0</v>
      </c>
      <c r="K31" s="890">
        <f t="shared" si="103"/>
        <v>0</v>
      </c>
      <c r="L31" s="890">
        <f t="shared" si="104"/>
        <v>0</v>
      </c>
      <c r="M31" s="890">
        <f t="shared" si="105"/>
        <v>0</v>
      </c>
      <c r="N31" s="890">
        <f t="shared" si="106"/>
        <v>0</v>
      </c>
      <c r="O31" s="890">
        <f t="shared" si="107"/>
        <v>0</v>
      </c>
      <c r="P31" s="890">
        <f t="shared" si="108"/>
        <v>0</v>
      </c>
      <c r="Q31" s="890">
        <f t="shared" si="109"/>
        <v>0</v>
      </c>
      <c r="R31" s="890">
        <f t="shared" si="110"/>
        <v>0</v>
      </c>
      <c r="S31" s="890">
        <f t="shared" si="111"/>
        <v>0</v>
      </c>
      <c r="T31" s="890">
        <f t="shared" si="131"/>
        <v>0</v>
      </c>
      <c r="U31" s="890">
        <f t="shared" si="112"/>
        <v>0</v>
      </c>
      <c r="V31" s="890">
        <f t="shared" si="113"/>
        <v>0</v>
      </c>
      <c r="W31" s="890">
        <f>(F31/12)*12</f>
        <v>0</v>
      </c>
      <c r="X31" s="890">
        <f t="shared" si="114"/>
        <v>0</v>
      </c>
      <c r="Y31" s="890">
        <f t="shared" si="115"/>
        <v>0</v>
      </c>
      <c r="Z31" s="890">
        <f>152014.013533483*0</f>
        <v>0</v>
      </c>
      <c r="AA31" s="890">
        <f t="shared" si="129"/>
        <v>0</v>
      </c>
      <c r="AB31" s="890">
        <f t="shared" si="116"/>
        <v>0</v>
      </c>
      <c r="AC31" s="890">
        <f t="shared" si="117"/>
        <v>0</v>
      </c>
      <c r="AD31" s="890">
        <f t="shared" si="118"/>
        <v>0</v>
      </c>
      <c r="AE31" s="890">
        <f t="shared" si="119"/>
        <v>0</v>
      </c>
      <c r="AF31" s="890">
        <f t="shared" si="120"/>
        <v>0</v>
      </c>
      <c r="AG31" s="890">
        <f t="shared" si="121"/>
        <v>0</v>
      </c>
      <c r="AH31" s="890">
        <f t="shared" si="122"/>
        <v>0</v>
      </c>
      <c r="AI31" s="890">
        <f t="shared" si="123"/>
        <v>0</v>
      </c>
      <c r="AJ31" s="890">
        <f t="shared" si="124"/>
        <v>0</v>
      </c>
      <c r="AK31" s="890"/>
      <c r="AL31" s="890"/>
      <c r="AM31" s="890"/>
      <c r="AN31" s="890"/>
      <c r="AO31" s="890"/>
      <c r="AP31" s="890"/>
      <c r="AQ31" s="890">
        <f t="shared" si="125"/>
        <v>0</v>
      </c>
      <c r="AR31" s="890">
        <f t="shared" si="126"/>
        <v>0</v>
      </c>
      <c r="AS31" s="890">
        <f t="shared" si="127"/>
        <v>0</v>
      </c>
      <c r="AT31" s="1158"/>
      <c r="AU31" s="1158"/>
      <c r="AV31" s="1158"/>
      <c r="AW31" s="1158"/>
      <c r="AX31" s="1158"/>
      <c r="AY31" s="1158"/>
      <c r="AZ31" s="1158"/>
      <c r="BA31" s="1158"/>
      <c r="BB31" s="1158"/>
      <c r="BC31" s="1158"/>
      <c r="BD31" s="182"/>
      <c r="BE31" s="19">
        <f t="shared" si="128"/>
        <v>0</v>
      </c>
      <c r="BF31" s="182"/>
      <c r="BG31" s="58"/>
    </row>
    <row r="32" spans="1:59" ht="14.25" hidden="1" customHeight="1">
      <c r="A32" s="884">
        <f t="shared" si="130"/>
        <v>8</v>
      </c>
      <c r="B32" s="885" t="s">
        <v>413</v>
      </c>
      <c r="C32" s="886">
        <v>41275</v>
      </c>
      <c r="D32" s="887">
        <v>8</v>
      </c>
      <c r="E32" s="888">
        <f>962755.41904539*0</f>
        <v>0</v>
      </c>
      <c r="F32" s="889">
        <f t="shared" si="99"/>
        <v>0</v>
      </c>
      <c r="G32" s="888">
        <f t="shared" si="100"/>
        <v>0</v>
      </c>
      <c r="H32" s="890">
        <f>(F32/12)*(13-IF(C32="","",MONTH(C32)))*2</f>
        <v>0</v>
      </c>
      <c r="I32" s="890">
        <f t="shared" si="132"/>
        <v>0</v>
      </c>
      <c r="J32" s="890">
        <f t="shared" si="102"/>
        <v>0</v>
      </c>
      <c r="K32" s="890">
        <f t="shared" si="103"/>
        <v>0</v>
      </c>
      <c r="L32" s="890">
        <f t="shared" si="104"/>
        <v>0</v>
      </c>
      <c r="M32" s="890">
        <f t="shared" si="105"/>
        <v>0</v>
      </c>
      <c r="N32" s="890">
        <f t="shared" si="106"/>
        <v>0</v>
      </c>
      <c r="O32" s="890">
        <f t="shared" si="107"/>
        <v>0</v>
      </c>
      <c r="P32" s="890">
        <f t="shared" si="108"/>
        <v>0</v>
      </c>
      <c r="Q32" s="890">
        <f t="shared" si="109"/>
        <v>0</v>
      </c>
      <c r="R32" s="890">
        <f t="shared" si="110"/>
        <v>0</v>
      </c>
      <c r="S32" s="890">
        <f t="shared" si="111"/>
        <v>0</v>
      </c>
      <c r="T32" s="890">
        <f t="shared" si="131"/>
        <v>0</v>
      </c>
      <c r="U32" s="890">
        <f t="shared" si="112"/>
        <v>0</v>
      </c>
      <c r="V32" s="890">
        <f t="shared" si="113"/>
        <v>0</v>
      </c>
      <c r="W32" s="890">
        <f>(F32/12)*12</f>
        <v>0</v>
      </c>
      <c r="X32" s="890">
        <f t="shared" si="114"/>
        <v>0</v>
      </c>
      <c r="Y32" s="890">
        <f t="shared" si="115"/>
        <v>0</v>
      </c>
      <c r="Z32" s="890">
        <f>481377.709522695*0</f>
        <v>0</v>
      </c>
      <c r="AA32" s="890">
        <f t="shared" si="129"/>
        <v>0</v>
      </c>
      <c r="AB32" s="890">
        <f t="shared" si="116"/>
        <v>0</v>
      </c>
      <c r="AC32" s="890">
        <f t="shared" si="117"/>
        <v>0</v>
      </c>
      <c r="AD32" s="890">
        <f t="shared" si="118"/>
        <v>0</v>
      </c>
      <c r="AE32" s="890">
        <f t="shared" si="119"/>
        <v>0</v>
      </c>
      <c r="AF32" s="890">
        <f t="shared" si="120"/>
        <v>0</v>
      </c>
      <c r="AG32" s="890">
        <f t="shared" si="121"/>
        <v>0</v>
      </c>
      <c r="AH32" s="890">
        <f t="shared" si="122"/>
        <v>0</v>
      </c>
      <c r="AI32" s="890">
        <f t="shared" si="123"/>
        <v>0</v>
      </c>
      <c r="AJ32" s="890">
        <f t="shared" si="124"/>
        <v>0</v>
      </c>
      <c r="AK32" s="890"/>
      <c r="AL32" s="890"/>
      <c r="AM32" s="890"/>
      <c r="AN32" s="890"/>
      <c r="AO32" s="890"/>
      <c r="AP32" s="890"/>
      <c r="AQ32" s="890">
        <f t="shared" si="125"/>
        <v>0</v>
      </c>
      <c r="AR32" s="890">
        <f t="shared" si="126"/>
        <v>0</v>
      </c>
      <c r="AS32" s="890">
        <f t="shared" si="127"/>
        <v>0</v>
      </c>
      <c r="AT32" s="1158"/>
      <c r="AU32" s="1158"/>
      <c r="AV32" s="1158"/>
      <c r="AW32" s="1158"/>
      <c r="AX32" s="1158"/>
      <c r="AY32" s="1158"/>
      <c r="AZ32" s="1158"/>
      <c r="BA32" s="1158"/>
      <c r="BB32" s="1158"/>
      <c r="BC32" s="1158"/>
      <c r="BD32" s="182"/>
      <c r="BE32" s="19">
        <f t="shared" si="128"/>
        <v>0</v>
      </c>
      <c r="BF32" s="182"/>
      <c r="BG32" s="58"/>
    </row>
    <row r="33" spans="1:59" ht="14.25" hidden="1" customHeight="1">
      <c r="A33" s="884">
        <f t="shared" si="130"/>
        <v>9</v>
      </c>
      <c r="B33" s="885" t="s">
        <v>414</v>
      </c>
      <c r="C33" s="886">
        <v>41275</v>
      </c>
      <c r="D33" s="887">
        <v>8</v>
      </c>
      <c r="E33" s="888">
        <f>970457.462397754*0</f>
        <v>0</v>
      </c>
      <c r="F33" s="889">
        <f t="shared" si="99"/>
        <v>0</v>
      </c>
      <c r="G33" s="888">
        <f t="shared" si="100"/>
        <v>0</v>
      </c>
      <c r="H33" s="890">
        <f>(F33/12)*(13-IF(C33="","",MONTH(C33)))*2</f>
        <v>0</v>
      </c>
      <c r="I33" s="890">
        <f t="shared" si="132"/>
        <v>0</v>
      </c>
      <c r="J33" s="890">
        <f t="shared" si="102"/>
        <v>0</v>
      </c>
      <c r="K33" s="890">
        <f t="shared" si="103"/>
        <v>0</v>
      </c>
      <c r="L33" s="890">
        <f t="shared" si="104"/>
        <v>0</v>
      </c>
      <c r="M33" s="890">
        <f t="shared" si="105"/>
        <v>0</v>
      </c>
      <c r="N33" s="890">
        <f t="shared" si="106"/>
        <v>0</v>
      </c>
      <c r="O33" s="890">
        <f t="shared" si="107"/>
        <v>0</v>
      </c>
      <c r="P33" s="890">
        <f t="shared" si="108"/>
        <v>0</v>
      </c>
      <c r="Q33" s="890">
        <f t="shared" si="109"/>
        <v>0</v>
      </c>
      <c r="R33" s="890">
        <f t="shared" si="110"/>
        <v>0</v>
      </c>
      <c r="S33" s="890">
        <f t="shared" si="111"/>
        <v>0</v>
      </c>
      <c r="T33" s="890">
        <f t="shared" si="131"/>
        <v>0</v>
      </c>
      <c r="U33" s="890">
        <f t="shared" si="112"/>
        <v>0</v>
      </c>
      <c r="V33" s="890">
        <f t="shared" si="113"/>
        <v>0</v>
      </c>
      <c r="W33" s="890">
        <f>(F33/12)*12</f>
        <v>0</v>
      </c>
      <c r="X33" s="890">
        <f t="shared" si="114"/>
        <v>0</v>
      </c>
      <c r="Y33" s="890">
        <f t="shared" si="115"/>
        <v>0</v>
      </c>
      <c r="Z33" s="890">
        <f>485228.731198877*0</f>
        <v>0</v>
      </c>
      <c r="AA33" s="890">
        <f t="shared" si="129"/>
        <v>0</v>
      </c>
      <c r="AB33" s="890">
        <f t="shared" si="116"/>
        <v>0</v>
      </c>
      <c r="AC33" s="890">
        <f t="shared" si="117"/>
        <v>0</v>
      </c>
      <c r="AD33" s="890">
        <f t="shared" si="118"/>
        <v>0</v>
      </c>
      <c r="AE33" s="890">
        <f t="shared" si="119"/>
        <v>0</v>
      </c>
      <c r="AF33" s="890">
        <f t="shared" si="120"/>
        <v>0</v>
      </c>
      <c r="AG33" s="890">
        <f t="shared" si="121"/>
        <v>0</v>
      </c>
      <c r="AH33" s="890">
        <f t="shared" si="122"/>
        <v>0</v>
      </c>
      <c r="AI33" s="890">
        <f t="shared" si="123"/>
        <v>0</v>
      </c>
      <c r="AJ33" s="890">
        <f t="shared" si="124"/>
        <v>0</v>
      </c>
      <c r="AK33" s="890"/>
      <c r="AL33" s="890"/>
      <c r="AM33" s="890"/>
      <c r="AN33" s="890"/>
      <c r="AO33" s="890"/>
      <c r="AP33" s="890"/>
      <c r="AQ33" s="890">
        <f t="shared" si="125"/>
        <v>0</v>
      </c>
      <c r="AR33" s="890">
        <f t="shared" si="126"/>
        <v>0</v>
      </c>
      <c r="AS33" s="890">
        <f t="shared" si="127"/>
        <v>0</v>
      </c>
      <c r="AT33" s="1158"/>
      <c r="AU33" s="1158"/>
      <c r="AV33" s="1158"/>
      <c r="AW33" s="1158"/>
      <c r="AX33" s="1158"/>
      <c r="AY33" s="1158"/>
      <c r="AZ33" s="1158"/>
      <c r="BA33" s="1158"/>
      <c r="BB33" s="1158"/>
      <c r="BC33" s="1158"/>
      <c r="BD33" s="182"/>
      <c r="BE33" s="19">
        <f t="shared" si="128"/>
        <v>0</v>
      </c>
      <c r="BF33" s="182"/>
      <c r="BG33" s="58"/>
    </row>
    <row r="34" spans="1:59" ht="14.25" hidden="1" customHeight="1">
      <c r="A34" s="884">
        <f t="shared" si="130"/>
        <v>10</v>
      </c>
      <c r="B34" s="885" t="s">
        <v>211</v>
      </c>
      <c r="C34" s="886">
        <v>42370</v>
      </c>
      <c r="D34" s="887">
        <v>8</v>
      </c>
      <c r="E34" s="888">
        <f>6500000*0</f>
        <v>0</v>
      </c>
      <c r="F34" s="889">
        <f t="shared" si="99"/>
        <v>0</v>
      </c>
      <c r="G34" s="888"/>
      <c r="H34" s="890"/>
      <c r="I34" s="890"/>
      <c r="J34" s="890"/>
      <c r="K34" s="890"/>
      <c r="L34" s="890"/>
      <c r="M34" s="890"/>
      <c r="N34" s="890">
        <f t="shared" si="106"/>
        <v>0</v>
      </c>
      <c r="O34" s="890">
        <f t="shared" ref="O34" si="133">N34+L34</f>
        <v>0</v>
      </c>
      <c r="P34" s="890">
        <f t="shared" si="108"/>
        <v>0</v>
      </c>
      <c r="Q34" s="890">
        <f t="shared" si="109"/>
        <v>0</v>
      </c>
      <c r="R34" s="890">
        <f t="shared" si="110"/>
        <v>0</v>
      </c>
      <c r="S34" s="890">
        <f t="shared" si="111"/>
        <v>0</v>
      </c>
      <c r="T34" s="890">
        <f t="shared" si="131"/>
        <v>0</v>
      </c>
      <c r="U34" s="890">
        <f t="shared" si="112"/>
        <v>0</v>
      </c>
      <c r="V34" s="890">
        <f t="shared" si="113"/>
        <v>0</v>
      </c>
      <c r="W34" s="890">
        <f>(F34/12)*12</f>
        <v>0</v>
      </c>
      <c r="X34" s="890">
        <f t="shared" si="114"/>
        <v>0</v>
      </c>
      <c r="Y34" s="890">
        <f t="shared" si="115"/>
        <v>0</v>
      </c>
      <c r="Z34" s="890">
        <f>2843750*0</f>
        <v>0</v>
      </c>
      <c r="AA34" s="890">
        <f t="shared" si="129"/>
        <v>0</v>
      </c>
      <c r="AB34" s="890">
        <f t="shared" si="116"/>
        <v>0</v>
      </c>
      <c r="AC34" s="890">
        <f t="shared" si="117"/>
        <v>0</v>
      </c>
      <c r="AD34" s="890">
        <f t="shared" si="118"/>
        <v>0</v>
      </c>
      <c r="AE34" s="890">
        <f t="shared" si="119"/>
        <v>0</v>
      </c>
      <c r="AF34" s="890">
        <f t="shared" si="120"/>
        <v>0</v>
      </c>
      <c r="AG34" s="890">
        <f t="shared" si="121"/>
        <v>0</v>
      </c>
      <c r="AH34" s="890">
        <f t="shared" si="122"/>
        <v>0</v>
      </c>
      <c r="AI34" s="890">
        <f t="shared" si="123"/>
        <v>0</v>
      </c>
      <c r="AJ34" s="890">
        <f t="shared" si="124"/>
        <v>0</v>
      </c>
      <c r="AK34" s="890"/>
      <c r="AL34" s="890"/>
      <c r="AM34" s="890"/>
      <c r="AN34" s="890"/>
      <c r="AO34" s="890"/>
      <c r="AP34" s="890"/>
      <c r="AQ34" s="890">
        <f t="shared" si="125"/>
        <v>0</v>
      </c>
      <c r="AR34" s="890">
        <f t="shared" si="126"/>
        <v>0</v>
      </c>
      <c r="AS34" s="890">
        <f t="shared" si="127"/>
        <v>0</v>
      </c>
      <c r="AT34" s="1158"/>
      <c r="AU34" s="1158"/>
      <c r="AV34" s="1158"/>
      <c r="AW34" s="1158"/>
      <c r="AX34" s="1158"/>
      <c r="AY34" s="1158"/>
      <c r="AZ34" s="1158"/>
      <c r="BA34" s="1158"/>
      <c r="BB34" s="1158"/>
      <c r="BC34" s="1158"/>
      <c r="BD34" s="182"/>
      <c r="BE34" s="19">
        <f t="shared" si="128"/>
        <v>0</v>
      </c>
      <c r="BF34" s="182"/>
      <c r="BG34" s="58"/>
    </row>
    <row r="35" spans="1:59" ht="14.25" hidden="1" customHeight="1">
      <c r="A35" s="884">
        <f t="shared" si="130"/>
        <v>11</v>
      </c>
      <c r="B35" s="885" t="s">
        <v>415</v>
      </c>
      <c r="C35" s="899">
        <v>43831</v>
      </c>
      <c r="D35" s="887">
        <v>8</v>
      </c>
      <c r="E35" s="888">
        <f>1544000*0</f>
        <v>0</v>
      </c>
      <c r="F35" s="889">
        <f t="shared" si="99"/>
        <v>0</v>
      </c>
      <c r="G35" s="888"/>
      <c r="H35" s="890"/>
      <c r="I35" s="890"/>
      <c r="J35" s="890"/>
      <c r="K35" s="890"/>
      <c r="L35" s="890"/>
      <c r="M35" s="890"/>
      <c r="N35" s="890"/>
      <c r="O35" s="890"/>
      <c r="P35" s="890"/>
      <c r="Q35" s="890"/>
      <c r="R35" s="890"/>
      <c r="S35" s="890"/>
      <c r="T35" s="890"/>
      <c r="U35" s="890"/>
      <c r="V35" s="890"/>
      <c r="W35" s="890"/>
      <c r="X35" s="890"/>
      <c r="Y35" s="890"/>
      <c r="Z35" s="890"/>
      <c r="AA35" s="890"/>
      <c r="AB35" s="890">
        <f>(F35/12)*12</f>
        <v>0</v>
      </c>
      <c r="AC35" s="890">
        <f t="shared" si="117"/>
        <v>0</v>
      </c>
      <c r="AD35" s="890">
        <f t="shared" si="118"/>
        <v>0</v>
      </c>
      <c r="AE35" s="890">
        <f t="shared" si="119"/>
        <v>0</v>
      </c>
      <c r="AF35" s="890">
        <f t="shared" si="120"/>
        <v>0</v>
      </c>
      <c r="AG35" s="890">
        <f t="shared" si="121"/>
        <v>0</v>
      </c>
      <c r="AH35" s="890">
        <f t="shared" si="122"/>
        <v>0</v>
      </c>
      <c r="AI35" s="890">
        <f t="shared" si="123"/>
        <v>0</v>
      </c>
      <c r="AJ35" s="890">
        <f t="shared" si="124"/>
        <v>0</v>
      </c>
      <c r="AK35" s="890"/>
      <c r="AL35" s="890"/>
      <c r="AM35" s="890"/>
      <c r="AN35" s="890"/>
      <c r="AO35" s="890"/>
      <c r="AP35" s="890"/>
      <c r="AQ35" s="890">
        <f t="shared" si="125"/>
        <v>0</v>
      </c>
      <c r="AR35" s="890">
        <f t="shared" si="126"/>
        <v>0</v>
      </c>
      <c r="AS35" s="890">
        <f t="shared" si="127"/>
        <v>0</v>
      </c>
      <c r="AT35" s="1158"/>
      <c r="AU35" s="1158"/>
      <c r="AV35" s="1158"/>
      <c r="AW35" s="1158"/>
      <c r="AX35" s="1158"/>
      <c r="AY35" s="1158"/>
      <c r="AZ35" s="1158"/>
      <c r="BA35" s="1158"/>
      <c r="BB35" s="1158"/>
      <c r="BC35" s="1158"/>
      <c r="BD35" s="182"/>
      <c r="BE35" s="19">
        <f t="shared" si="128"/>
        <v>0</v>
      </c>
      <c r="BF35" s="182"/>
      <c r="BG35" s="58"/>
    </row>
    <row r="36" spans="1:59" ht="14.25" hidden="1" customHeight="1">
      <c r="A36" s="884">
        <f t="shared" si="130"/>
        <v>12</v>
      </c>
      <c r="B36" s="885" t="s">
        <v>406</v>
      </c>
      <c r="C36" s="899">
        <v>43831</v>
      </c>
      <c r="D36" s="887">
        <v>8</v>
      </c>
      <c r="E36" s="888">
        <f>81594500*0</f>
        <v>0</v>
      </c>
      <c r="F36" s="889">
        <f t="shared" si="99"/>
        <v>0</v>
      </c>
      <c r="G36" s="888"/>
      <c r="H36" s="890"/>
      <c r="I36" s="890"/>
      <c r="J36" s="890"/>
      <c r="K36" s="890"/>
      <c r="L36" s="890"/>
      <c r="M36" s="890"/>
      <c r="N36" s="890"/>
      <c r="O36" s="890"/>
      <c r="P36" s="890"/>
      <c r="Q36" s="890"/>
      <c r="R36" s="890"/>
      <c r="S36" s="890"/>
      <c r="T36" s="890"/>
      <c r="U36" s="890"/>
      <c r="V36" s="890"/>
      <c r="W36" s="890"/>
      <c r="X36" s="890"/>
      <c r="Y36" s="890"/>
      <c r="Z36" s="890"/>
      <c r="AA36" s="890"/>
      <c r="AB36" s="890">
        <f>(F36/12)*12</f>
        <v>0</v>
      </c>
      <c r="AC36" s="890">
        <f t="shared" si="117"/>
        <v>0</v>
      </c>
      <c r="AD36" s="890">
        <f t="shared" si="118"/>
        <v>0</v>
      </c>
      <c r="AE36" s="890">
        <f t="shared" si="119"/>
        <v>0</v>
      </c>
      <c r="AF36" s="890">
        <f t="shared" si="120"/>
        <v>0</v>
      </c>
      <c r="AG36" s="890">
        <f t="shared" si="121"/>
        <v>0</v>
      </c>
      <c r="AH36" s="890">
        <f t="shared" si="122"/>
        <v>0</v>
      </c>
      <c r="AI36" s="890">
        <f t="shared" si="123"/>
        <v>0</v>
      </c>
      <c r="AJ36" s="890">
        <f t="shared" si="124"/>
        <v>0</v>
      </c>
      <c r="AK36" s="890"/>
      <c r="AL36" s="890"/>
      <c r="AM36" s="890"/>
      <c r="AN36" s="890"/>
      <c r="AO36" s="890"/>
      <c r="AP36" s="890"/>
      <c r="AQ36" s="890">
        <f t="shared" si="125"/>
        <v>0</v>
      </c>
      <c r="AR36" s="890">
        <f t="shared" si="126"/>
        <v>0</v>
      </c>
      <c r="AS36" s="890">
        <f t="shared" si="127"/>
        <v>0</v>
      </c>
      <c r="AT36" s="1158"/>
      <c r="AU36" s="1158"/>
      <c r="AV36" s="1158"/>
      <c r="AW36" s="1158"/>
      <c r="AX36" s="1158"/>
      <c r="AY36" s="1158"/>
      <c r="AZ36" s="1158"/>
      <c r="BA36" s="1158"/>
      <c r="BB36" s="1158"/>
      <c r="BC36" s="1158"/>
      <c r="BD36" s="182"/>
      <c r="BE36" s="19">
        <f t="shared" si="128"/>
        <v>0</v>
      </c>
      <c r="BF36" s="182"/>
      <c r="BG36" s="58"/>
    </row>
    <row r="37" spans="1:59" ht="14.25" hidden="1" customHeight="1">
      <c r="A37" s="884">
        <f t="shared" si="130"/>
        <v>13</v>
      </c>
      <c r="B37" s="885" t="s">
        <v>406</v>
      </c>
      <c r="C37" s="899">
        <v>44197</v>
      </c>
      <c r="D37" s="887">
        <v>8</v>
      </c>
      <c r="E37" s="888">
        <f>387178457*0</f>
        <v>0</v>
      </c>
      <c r="F37" s="889">
        <f t="shared" si="99"/>
        <v>0</v>
      </c>
      <c r="G37" s="888"/>
      <c r="H37" s="890"/>
      <c r="I37" s="890"/>
      <c r="J37" s="890"/>
      <c r="K37" s="890"/>
      <c r="L37" s="890"/>
      <c r="M37" s="890"/>
      <c r="N37" s="890"/>
      <c r="O37" s="890"/>
      <c r="P37" s="890"/>
      <c r="Q37" s="890"/>
      <c r="R37" s="890"/>
      <c r="S37" s="890"/>
      <c r="T37" s="890"/>
      <c r="U37" s="890"/>
      <c r="V37" s="890"/>
      <c r="W37" s="890"/>
      <c r="X37" s="890"/>
      <c r="Y37" s="890"/>
      <c r="Z37" s="890"/>
      <c r="AA37" s="890"/>
      <c r="AB37" s="890"/>
      <c r="AC37" s="890"/>
      <c r="AD37" s="890"/>
      <c r="AE37" s="890">
        <f>(F37/12)*12</f>
        <v>0</v>
      </c>
      <c r="AF37" s="890">
        <f t="shared" ref="AF37" si="134">AC37+AE37</f>
        <v>0</v>
      </c>
      <c r="AG37" s="890">
        <f t="shared" si="121"/>
        <v>0</v>
      </c>
      <c r="AH37" s="890">
        <f t="shared" si="122"/>
        <v>0</v>
      </c>
      <c r="AI37" s="890">
        <f t="shared" ref="AI37" si="135">AF37+AH37</f>
        <v>0</v>
      </c>
      <c r="AJ37" s="890">
        <f t="shared" si="124"/>
        <v>0</v>
      </c>
      <c r="AK37" s="890"/>
      <c r="AL37" s="890"/>
      <c r="AM37" s="890"/>
      <c r="AN37" s="890"/>
      <c r="AO37" s="890"/>
      <c r="AP37" s="890"/>
      <c r="AQ37" s="890">
        <f t="shared" si="125"/>
        <v>0</v>
      </c>
      <c r="AR37" s="890">
        <f t="shared" ref="AR37" si="136">AI37+AQ37</f>
        <v>0</v>
      </c>
      <c r="AS37" s="890">
        <f t="shared" si="127"/>
        <v>0</v>
      </c>
      <c r="AT37" s="1158"/>
      <c r="AU37" s="1158"/>
      <c r="AV37" s="1158"/>
      <c r="AW37" s="1158"/>
      <c r="AX37" s="1158"/>
      <c r="AY37" s="1158"/>
      <c r="AZ37" s="1158"/>
      <c r="BA37" s="1158"/>
      <c r="BB37" s="1158"/>
      <c r="BC37" s="1158"/>
      <c r="BD37" s="182"/>
      <c r="BE37" s="19"/>
      <c r="BF37" s="182"/>
      <c r="BG37" s="58"/>
    </row>
    <row r="38" spans="1:59" ht="14.25" customHeight="1">
      <c r="A38" s="17"/>
      <c r="B38" s="56"/>
      <c r="C38" s="54"/>
      <c r="D38" s="55"/>
      <c r="E38" s="6"/>
      <c r="F38" s="1041"/>
      <c r="G38" s="6"/>
      <c r="H38" s="1042"/>
      <c r="I38" s="1042"/>
      <c r="J38" s="1042"/>
      <c r="K38" s="1042"/>
      <c r="L38" s="1042"/>
      <c r="M38" s="1042"/>
      <c r="N38" s="1042"/>
      <c r="O38" s="1042"/>
      <c r="P38" s="1042"/>
      <c r="Q38" s="1042"/>
      <c r="R38" s="1042"/>
      <c r="S38" s="1042"/>
      <c r="T38" s="1042"/>
      <c r="U38" s="1042"/>
      <c r="V38" s="1042"/>
      <c r="W38" s="1042"/>
      <c r="X38" s="1042"/>
      <c r="Y38" s="1042"/>
      <c r="Z38" s="7"/>
      <c r="AA38" s="7"/>
      <c r="AB38" s="1042"/>
      <c r="AC38" s="1042"/>
      <c r="AD38" s="1042"/>
      <c r="AE38" s="1042"/>
      <c r="AF38" s="1042"/>
      <c r="AG38" s="1042"/>
      <c r="AH38" s="1042"/>
      <c r="AI38" s="1042"/>
      <c r="AJ38" s="1042"/>
      <c r="AK38" s="1042"/>
      <c r="AL38" s="1042"/>
      <c r="AM38" s="1042"/>
      <c r="AN38" s="1042"/>
      <c r="AO38" s="1042"/>
      <c r="AP38" s="1042"/>
      <c r="AQ38" s="1042"/>
      <c r="AR38" s="1042"/>
      <c r="AS38" s="1042"/>
      <c r="AT38" s="1042"/>
      <c r="AU38" s="1042"/>
      <c r="AV38" s="1042"/>
      <c r="AW38" s="1042"/>
      <c r="AX38" s="1042"/>
      <c r="AY38" s="1042"/>
      <c r="AZ38" s="1042"/>
      <c r="BA38" s="1042"/>
      <c r="BB38" s="1042"/>
      <c r="BC38" s="1051"/>
      <c r="BD38" s="182"/>
      <c r="BE38" s="8">
        <f>E38-BA38-BB38</f>
        <v>0</v>
      </c>
      <c r="BF38" s="182"/>
      <c r="BG38" s="19"/>
    </row>
    <row r="39" spans="1:59" ht="14.5">
      <c r="E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G39" s="58"/>
    </row>
    <row r="40" spans="1:59" ht="14.25" customHeight="1">
      <c r="A40" s="10"/>
      <c r="B40" s="9"/>
      <c r="C40" s="9"/>
      <c r="D40" s="10"/>
      <c r="E40" s="11">
        <f>SUM(E3:E38)</f>
        <v>445059500</v>
      </c>
      <c r="F40" s="11">
        <f>SUM(F3:F38)</f>
        <v>55632437.5</v>
      </c>
      <c r="G40" s="11">
        <f>SUM(G3:G38)</f>
        <v>359500000</v>
      </c>
      <c r="H40" s="11">
        <f t="shared" ref="H40:BB40" si="137">SUM(H3:H38)</f>
        <v>0</v>
      </c>
      <c r="I40" s="11">
        <f t="shared" si="137"/>
        <v>0</v>
      </c>
      <c r="J40" s="11">
        <f t="shared" si="137"/>
        <v>359500000</v>
      </c>
      <c r="K40" s="11">
        <f t="shared" si="137"/>
        <v>2125000</v>
      </c>
      <c r="L40" s="11">
        <f t="shared" si="137"/>
        <v>2125000</v>
      </c>
      <c r="M40" s="11">
        <f t="shared" si="137"/>
        <v>374375000</v>
      </c>
      <c r="N40" s="11">
        <f t="shared" si="137"/>
        <v>47062500</v>
      </c>
      <c r="O40" s="11">
        <f t="shared" si="137"/>
        <v>49187500</v>
      </c>
      <c r="P40" s="11">
        <f t="shared" si="137"/>
        <v>327312500</v>
      </c>
      <c r="Q40" s="11">
        <f t="shared" si="137"/>
        <v>47062500</v>
      </c>
      <c r="R40" s="11">
        <f t="shared" si="137"/>
        <v>96250000</v>
      </c>
      <c r="S40" s="11">
        <f t="shared" si="137"/>
        <v>280250000</v>
      </c>
      <c r="T40" s="11">
        <f t="shared" si="137"/>
        <v>47062500</v>
      </c>
      <c r="U40" s="11">
        <f t="shared" si="137"/>
        <v>143312500</v>
      </c>
      <c r="V40" s="11">
        <f t="shared" si="137"/>
        <v>233187500</v>
      </c>
      <c r="W40" s="11">
        <f t="shared" si="137"/>
        <v>48348750</v>
      </c>
      <c r="X40" s="11">
        <f t="shared" si="137"/>
        <v>191661250</v>
      </c>
      <c r="Y40" s="11">
        <f t="shared" si="137"/>
        <v>209534750</v>
      </c>
      <c r="Z40" s="11">
        <f t="shared" si="137"/>
        <v>190244583.33333334</v>
      </c>
      <c r="AA40" s="11">
        <f t="shared" si="137"/>
        <v>210951416.66666666</v>
      </c>
      <c r="AB40" s="11">
        <f t="shared" si="137"/>
        <v>55632437.5</v>
      </c>
      <c r="AC40" s="11">
        <f t="shared" si="137"/>
        <v>247293687.5</v>
      </c>
      <c r="AD40" s="11">
        <f t="shared" si="137"/>
        <v>197765812.5</v>
      </c>
      <c r="AE40" s="11">
        <f t="shared" si="137"/>
        <v>55632437.5</v>
      </c>
      <c r="AF40" s="11">
        <f t="shared" si="137"/>
        <v>302926125</v>
      </c>
      <c r="AG40" s="11">
        <f t="shared" si="137"/>
        <v>142133375</v>
      </c>
      <c r="AH40" s="11">
        <f t="shared" si="137"/>
        <v>55632437.5</v>
      </c>
      <c r="AI40" s="11">
        <f t="shared" si="137"/>
        <v>358558562.5</v>
      </c>
      <c r="AJ40" s="11">
        <f t="shared" si="137"/>
        <v>86500937.5</v>
      </c>
      <c r="AK40" s="1161">
        <f t="shared" si="137"/>
        <v>4458953.125</v>
      </c>
      <c r="AL40" s="1161">
        <f t="shared" si="137"/>
        <v>363017515.625</v>
      </c>
      <c r="AM40" s="1161">
        <f t="shared" si="137"/>
        <v>82041984.375</v>
      </c>
      <c r="AN40" s="1188">
        <f t="shared" si="137"/>
        <v>40130578.125</v>
      </c>
      <c r="AO40" s="1188">
        <f t="shared" si="137"/>
        <v>398689140.625</v>
      </c>
      <c r="AP40" s="1188">
        <f t="shared" si="137"/>
        <v>46370359.375</v>
      </c>
      <c r="AQ40" s="11">
        <f>SUM(AQ3:AQ38)</f>
        <v>53507437.5</v>
      </c>
      <c r="AR40" s="11">
        <f t="shared" si="137"/>
        <v>412066000</v>
      </c>
      <c r="AS40" s="11">
        <f t="shared" si="137"/>
        <v>32993500</v>
      </c>
      <c r="AT40" s="1161">
        <f t="shared" si="137"/>
        <v>6427453.125</v>
      </c>
      <c r="AU40" s="1161">
        <f t="shared" si="137"/>
        <v>418493453.125</v>
      </c>
      <c r="AV40" s="1161">
        <f t="shared" si="137"/>
        <v>26566046.875</v>
      </c>
      <c r="AW40" s="1188">
        <f t="shared" si="137"/>
        <v>1428322.9166666665</v>
      </c>
      <c r="AX40" s="1188">
        <f t="shared" si="137"/>
        <v>419921776.04166669</v>
      </c>
      <c r="AY40" s="1188">
        <f t="shared" si="137"/>
        <v>25137723.958333332</v>
      </c>
      <c r="AZ40" s="1204">
        <f t="shared" si="137"/>
        <v>8569937.5</v>
      </c>
      <c r="BA40" s="1204">
        <f t="shared" si="137"/>
        <v>420635937.5</v>
      </c>
      <c r="BB40" s="1204">
        <f t="shared" si="137"/>
        <v>24423562.5</v>
      </c>
      <c r="BC40" s="13"/>
      <c r="BD40" s="13"/>
      <c r="BE40" s="8">
        <f>E40-BA40-BB40</f>
        <v>0</v>
      </c>
      <c r="BF40" s="13"/>
      <c r="BG40" s="179"/>
    </row>
    <row r="41" spans="1:59" ht="14.25" customHeight="1">
      <c r="B41" s="180" t="s">
        <v>16</v>
      </c>
      <c r="E41" s="13">
        <v>445059500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F41" s="13"/>
      <c r="BG41" s="19"/>
    </row>
    <row r="42" spans="1:59" ht="14.25" customHeight="1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F42" s="13"/>
      <c r="BG42" s="19"/>
    </row>
    <row r="43" spans="1:59" ht="14.25" customHeight="1">
      <c r="B43" s="47"/>
      <c r="C43" s="47"/>
      <c r="D43" s="48"/>
      <c r="E43" s="49"/>
      <c r="F43" s="50" t="s">
        <v>29</v>
      </c>
      <c r="G43" s="49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F43" s="13"/>
    </row>
    <row r="44" spans="1:59" ht="14.25" customHeight="1">
      <c r="B44" s="51" t="s">
        <v>30</v>
      </c>
      <c r="C44" s="47"/>
      <c r="D44" s="48"/>
      <c r="E44" s="49">
        <v>0</v>
      </c>
      <c r="F44" s="50"/>
      <c r="G44" s="49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F44" s="13"/>
    </row>
    <row r="45" spans="1:59" ht="14.25" customHeight="1">
      <c r="B45" s="51" t="s">
        <v>177</v>
      </c>
      <c r="C45" s="47"/>
      <c r="D45" s="48"/>
      <c r="E45" s="49">
        <f>SUM(G5:G36)</f>
        <v>359500000</v>
      </c>
      <c r="F45" s="52">
        <f t="shared" ref="F45:F54" si="138">E45-E44</f>
        <v>359500000</v>
      </c>
      <c r="G45" s="49"/>
      <c r="I45" s="58"/>
      <c r="X45" s="15"/>
      <c r="AC45" s="15"/>
      <c r="AE45" s="18"/>
      <c r="AF45" s="15"/>
    </row>
    <row r="46" spans="1:59" ht="14.25" customHeight="1">
      <c r="B46" s="51" t="s">
        <v>178</v>
      </c>
      <c r="C46" s="47"/>
      <c r="D46" s="48"/>
      <c r="E46" s="49">
        <f>E45+E12</f>
        <v>376500000</v>
      </c>
      <c r="F46" s="52">
        <f t="shared" si="138"/>
        <v>17000000</v>
      </c>
      <c r="G46" s="49"/>
      <c r="X46" s="15"/>
      <c r="AC46" s="15"/>
      <c r="AE46" s="18"/>
      <c r="AF46" s="15"/>
    </row>
    <row r="47" spans="1:59" ht="14.25" customHeight="1">
      <c r="B47" s="51" t="s">
        <v>179</v>
      </c>
      <c r="C47" s="47"/>
      <c r="D47" s="48"/>
      <c r="E47" s="49">
        <f>E46+E34</f>
        <v>376500000</v>
      </c>
      <c r="F47" s="52">
        <f t="shared" si="138"/>
        <v>0</v>
      </c>
      <c r="G47" s="49"/>
      <c r="X47" s="15"/>
      <c r="AC47" s="15"/>
      <c r="AE47" s="18"/>
      <c r="AF47" s="15"/>
    </row>
    <row r="48" spans="1:59" ht="14.25" customHeight="1">
      <c r="B48" s="51" t="s">
        <v>180</v>
      </c>
      <c r="C48" s="47"/>
      <c r="D48" s="48"/>
      <c r="E48" s="49">
        <f>E47</f>
        <v>376500000</v>
      </c>
      <c r="F48" s="52">
        <f t="shared" si="138"/>
        <v>0</v>
      </c>
      <c r="G48" s="49"/>
      <c r="X48" s="15"/>
      <c r="AC48" s="15"/>
      <c r="AE48" s="18"/>
      <c r="AF48" s="15"/>
    </row>
    <row r="49" spans="2:32" ht="14.25" customHeight="1">
      <c r="B49" s="51" t="s">
        <v>181</v>
      </c>
      <c r="C49" s="47"/>
      <c r="D49" s="48"/>
      <c r="E49" s="49">
        <f>E48</f>
        <v>376500000</v>
      </c>
      <c r="F49" s="52">
        <f t="shared" si="138"/>
        <v>0</v>
      </c>
      <c r="G49" s="49"/>
      <c r="X49" s="15"/>
      <c r="AC49" s="15"/>
      <c r="AF49" s="15"/>
    </row>
    <row r="50" spans="2:32" ht="14.25" customHeight="1">
      <c r="B50" s="51" t="s">
        <v>182</v>
      </c>
      <c r="C50" s="47"/>
      <c r="D50" s="48"/>
      <c r="E50" s="49">
        <f>E49+E13</f>
        <v>401196000</v>
      </c>
      <c r="F50" s="52">
        <f t="shared" si="138"/>
        <v>24696000</v>
      </c>
      <c r="G50" s="49"/>
      <c r="X50" s="16"/>
      <c r="AC50" s="16"/>
      <c r="AF50" s="16"/>
    </row>
    <row r="51" spans="2:32" ht="14.25" customHeight="1">
      <c r="B51" s="51" t="s">
        <v>183</v>
      </c>
      <c r="C51" s="47"/>
      <c r="D51" s="48"/>
      <c r="E51" s="49">
        <f>E50+E36+E35+E22</f>
        <v>445059500</v>
      </c>
      <c r="F51" s="52">
        <f t="shared" si="138"/>
        <v>43863500</v>
      </c>
      <c r="G51" s="49"/>
    </row>
    <row r="52" spans="2:32" ht="14.25" customHeight="1">
      <c r="B52" s="51" t="s">
        <v>184</v>
      </c>
      <c r="C52" s="47"/>
      <c r="D52" s="48"/>
      <c r="E52" s="49">
        <f>E51+E37+E23</f>
        <v>445059500</v>
      </c>
      <c r="F52" s="52">
        <f t="shared" si="138"/>
        <v>0</v>
      </c>
      <c r="G52" s="49"/>
    </row>
    <row r="53" spans="2:32" ht="14.25" customHeight="1">
      <c r="B53" s="51" t="s">
        <v>185</v>
      </c>
      <c r="C53" s="47"/>
      <c r="D53" s="48"/>
      <c r="E53" s="49">
        <f>E52</f>
        <v>445059500</v>
      </c>
      <c r="F53" s="52">
        <f t="shared" si="138"/>
        <v>0</v>
      </c>
      <c r="G53" s="49"/>
    </row>
    <row r="54" spans="2:32" ht="12.5" customHeight="1">
      <c r="B54" s="51" t="s">
        <v>1224</v>
      </c>
      <c r="C54" s="47"/>
      <c r="D54" s="48"/>
      <c r="E54" s="49">
        <f>E53+E14</f>
        <v>445059500</v>
      </c>
      <c r="F54" s="52">
        <f t="shared" si="138"/>
        <v>0</v>
      </c>
      <c r="G54" s="49"/>
    </row>
    <row r="55" spans="2:32" ht="12.5" customHeight="1">
      <c r="B55" s="51" t="s">
        <v>1309</v>
      </c>
      <c r="C55" s="47"/>
      <c r="D55" s="48"/>
      <c r="E55" s="49">
        <f>E54+E15</f>
        <v>445059500</v>
      </c>
    </row>
  </sheetData>
  <autoFilter ref="A1:AS39" xr:uid="{8E38B1F7-9939-440E-9252-0D704A017CA7}">
    <filterColumn colId="4">
      <filters blank="1">
        <filter val="17.000.000"/>
        <filter val="222.800.000"/>
        <filter val="24.696.000"/>
        <filter val="43.863.500"/>
        <filter val="68.200.000"/>
        <filter val="68.500.000"/>
        <filter val="Perolehan"/>
      </filters>
    </filterColumn>
  </autoFilter>
  <mergeCells count="17">
    <mergeCell ref="A1:A2"/>
    <mergeCell ref="B1:B2"/>
    <mergeCell ref="H1:H2"/>
    <mergeCell ref="K1:K2"/>
    <mergeCell ref="N1:N2"/>
    <mergeCell ref="AN1:AN2"/>
    <mergeCell ref="AZ1:AZ2"/>
    <mergeCell ref="AW1:AW2"/>
    <mergeCell ref="AT1:AT2"/>
    <mergeCell ref="Q1:Q2"/>
    <mergeCell ref="AQ1:AQ2"/>
    <mergeCell ref="T1:T2"/>
    <mergeCell ref="W1:W2"/>
    <mergeCell ref="AB1:AB2"/>
    <mergeCell ref="AE1:AE2"/>
    <mergeCell ref="AH1:AH2"/>
    <mergeCell ref="AK1:AK2"/>
  </mergeCells>
  <pageMargins left="0.7" right="0.7" top="0.75" bottom="0.75" header="0.3" footer="0.3"/>
  <pageSetup paperSize="9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C4A-EFC3-4613-A497-A77514C4B09E}">
  <sheetPr filterMode="1">
    <tabColor theme="5" tint="0.39997558519241921"/>
  </sheetPr>
  <dimension ref="A1:BI44"/>
  <sheetViews>
    <sheetView showGridLines="0" zoomScaleNormal="100" workbookViewId="0">
      <pane xSplit="6" ySplit="2" topLeftCell="BA3" activePane="bottomRight" state="frozen"/>
      <selection pane="topRight" activeCell="G1" sqref="G1"/>
      <selection pane="bottomLeft" activeCell="A3" sqref="A3"/>
      <selection pane="bottomRight" activeCell="BB1" sqref="BB1"/>
    </sheetView>
  </sheetViews>
  <sheetFormatPr defaultColWidth="9.1796875" defaultRowHeight="13" customHeight="1" outlineLevelCol="1"/>
  <cols>
    <col min="1" max="1" width="2.81640625" style="12" bestFit="1" customWidth="1"/>
    <col min="2" max="2" width="25.8164062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5" style="3" hidden="1" customWidth="1" outlineLevel="1"/>
    <col min="8" max="8" width="17.453125" style="3" hidden="1" customWidth="1" outlineLevel="1"/>
    <col min="9" max="9" width="14.453125" style="3" hidden="1" customWidth="1" outlineLevel="1"/>
    <col min="10" max="10" width="12.7265625" style="3" hidden="1" customWidth="1" outlineLevel="1"/>
    <col min="11" max="11" width="17.453125" style="3" hidden="1" customWidth="1" outlineLevel="1"/>
    <col min="12" max="12" width="14.453125" style="3" hidden="1" customWidth="1" outlineLevel="1"/>
    <col min="13" max="13" width="12.7265625" style="3" hidden="1" customWidth="1" outlineLevel="1"/>
    <col min="14" max="14" width="17.453125" style="3" hidden="1" customWidth="1" outlineLevel="1"/>
    <col min="15" max="15" width="14.453125" style="3" hidden="1" customWidth="1" outlineLevel="1"/>
    <col min="16" max="16" width="12.7265625" style="3" hidden="1" customWidth="1" outlineLevel="1"/>
    <col min="17" max="17" width="17.453125" style="3" hidden="1" customWidth="1" outlineLevel="1"/>
    <col min="18" max="18" width="14.453125" style="3" hidden="1" customWidth="1" outlineLevel="1"/>
    <col min="19" max="19" width="12.7265625" style="3" hidden="1" customWidth="1" outlineLevel="1"/>
    <col min="20" max="20" width="17.453125" style="3" hidden="1" customWidth="1" outlineLevel="1"/>
    <col min="21" max="21" width="14.453125" style="3" hidden="1" customWidth="1" outlineLevel="1"/>
    <col min="22" max="22" width="12.7265625" style="3" hidden="1" customWidth="1" outlineLevel="1"/>
    <col min="23" max="23" width="17.453125" style="3" hidden="1" customWidth="1" outlineLevel="1"/>
    <col min="24" max="24" width="14.453125" style="3" hidden="1" customWidth="1" outlineLevel="1"/>
    <col min="25" max="25" width="12.7265625" style="3" hidden="1" customWidth="1" outlineLevel="1"/>
    <col min="26" max="26" width="12.7265625" style="3" hidden="1" customWidth="1" collapsed="1"/>
    <col min="27" max="27" width="12.7265625" style="3" hidden="1" customWidth="1"/>
    <col min="28" max="28" width="17.453125" style="3" bestFit="1" customWidth="1"/>
    <col min="29" max="29" width="14.453125" style="3" bestFit="1" customWidth="1"/>
    <col min="30" max="30" width="12.7265625" style="3" bestFit="1" customWidth="1"/>
    <col min="31" max="31" width="17.453125" style="3" bestFit="1" customWidth="1"/>
    <col min="32" max="32" width="14.453125" style="3" bestFit="1" customWidth="1"/>
    <col min="33" max="33" width="12.7265625" style="3" bestFit="1" customWidth="1"/>
    <col min="34" max="34" width="13.453125" style="3" customWidth="1"/>
    <col min="35" max="35" width="11.81640625" style="3" bestFit="1" customWidth="1"/>
    <col min="36" max="36" width="10.6328125" style="3" bestFit="1" customWidth="1"/>
    <col min="37" max="40" width="10.6328125" style="3" hidden="1" customWidth="1"/>
    <col min="41" max="41" width="11.81640625" style="3" hidden="1" customWidth="1"/>
    <col min="42" max="42" width="12.36328125" style="3" hidden="1" customWidth="1"/>
    <col min="43" max="43" width="10.6328125" style="3" customWidth="1"/>
    <col min="44" max="44" width="12.90625" style="3" bestFit="1" customWidth="1"/>
    <col min="45" max="45" width="12.7265625" style="3" bestFit="1" customWidth="1"/>
    <col min="46" max="51" width="12.7265625" style="3" hidden="1" customWidth="1"/>
    <col min="52" max="54" width="12.7265625" style="3" customWidth="1"/>
    <col min="55" max="55" width="9.1796875" style="3"/>
    <col min="56" max="56" width="9.90625" style="3" bestFit="1" customWidth="1"/>
    <col min="57" max="57" width="9.1796875" style="3"/>
    <col min="58" max="58" width="11.453125" style="3" bestFit="1" customWidth="1"/>
    <col min="59" max="59" width="9.90625" style="3" bestFit="1" customWidth="1"/>
    <col min="60" max="60" width="9.1796875" style="3"/>
    <col min="61" max="61" width="9.90625" style="3" bestFit="1" customWidth="1"/>
    <col min="62" max="16384" width="9.1796875" style="3"/>
  </cols>
  <sheetData>
    <row r="1" spans="1:61" ht="14.25" customHeight="1">
      <c r="A1" s="1320" t="s">
        <v>17</v>
      </c>
      <c r="B1" s="131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672" t="s">
        <v>1072</v>
      </c>
      <c r="H1" s="1318" t="s">
        <v>133</v>
      </c>
      <c r="I1" s="1" t="s">
        <v>6</v>
      </c>
      <c r="J1" s="1" t="s">
        <v>7</v>
      </c>
      <c r="K1" s="1318" t="s">
        <v>127</v>
      </c>
      <c r="L1" s="1" t="s">
        <v>6</v>
      </c>
      <c r="M1" s="1" t="s">
        <v>7</v>
      </c>
      <c r="N1" s="1318" t="s">
        <v>130</v>
      </c>
      <c r="O1" s="1" t="s">
        <v>6</v>
      </c>
      <c r="P1" s="1" t="s">
        <v>7</v>
      </c>
      <c r="Q1" s="1318" t="s">
        <v>26</v>
      </c>
      <c r="R1" s="1" t="s">
        <v>6</v>
      </c>
      <c r="S1" s="1" t="s">
        <v>7</v>
      </c>
      <c r="T1" s="1318" t="s">
        <v>18</v>
      </c>
      <c r="U1" s="1" t="s">
        <v>6</v>
      </c>
      <c r="V1" s="1" t="s">
        <v>7</v>
      </c>
      <c r="W1" s="1318" t="s">
        <v>136</v>
      </c>
      <c r="X1" s="1" t="s">
        <v>6</v>
      </c>
      <c r="Y1" s="1" t="s">
        <v>7</v>
      </c>
      <c r="Z1" s="1035" t="s">
        <v>1165</v>
      </c>
      <c r="AA1" s="1035" t="s">
        <v>1165</v>
      </c>
      <c r="AB1" s="1318" t="s">
        <v>5</v>
      </c>
      <c r="AC1" s="1" t="s">
        <v>6</v>
      </c>
      <c r="AD1" s="1" t="s">
        <v>7</v>
      </c>
      <c r="AE1" s="1318" t="s">
        <v>8</v>
      </c>
      <c r="AF1" s="1" t="s">
        <v>6</v>
      </c>
      <c r="AG1" s="1" t="s">
        <v>7</v>
      </c>
      <c r="AH1" s="1318" t="s">
        <v>23</v>
      </c>
      <c r="AI1" s="1" t="s">
        <v>6</v>
      </c>
      <c r="AJ1" s="1" t="s">
        <v>7</v>
      </c>
      <c r="AK1" s="1321" t="s">
        <v>1284</v>
      </c>
      <c r="AL1" s="1156" t="s">
        <v>6</v>
      </c>
      <c r="AM1" s="1156" t="s">
        <v>7</v>
      </c>
      <c r="AN1" s="1326" t="s">
        <v>1299</v>
      </c>
      <c r="AO1" s="1185" t="s">
        <v>6</v>
      </c>
      <c r="AP1" s="1185" t="s">
        <v>7</v>
      </c>
      <c r="AQ1" s="1318" t="s">
        <v>1219</v>
      </c>
      <c r="AR1" s="1" t="s">
        <v>6</v>
      </c>
      <c r="AS1" s="1" t="s">
        <v>7</v>
      </c>
      <c r="AT1" s="1321" t="s">
        <v>1302</v>
      </c>
      <c r="AU1" s="1156" t="s">
        <v>6</v>
      </c>
      <c r="AV1" s="1156" t="s">
        <v>7</v>
      </c>
      <c r="AW1" s="1326" t="s">
        <v>1295</v>
      </c>
      <c r="AX1" s="1185" t="s">
        <v>6</v>
      </c>
      <c r="AY1" s="1185" t="s">
        <v>7</v>
      </c>
      <c r="AZ1" s="1318" t="s">
        <v>1305</v>
      </c>
      <c r="BA1" s="1" t="s">
        <v>6</v>
      </c>
      <c r="BB1" s="1" t="s">
        <v>7</v>
      </c>
    </row>
    <row r="2" spans="1:61" ht="14.25" customHeight="1">
      <c r="A2" s="1320"/>
      <c r="B2" s="1318"/>
      <c r="C2" s="4" t="s">
        <v>9</v>
      </c>
      <c r="D2" s="4" t="s">
        <v>10</v>
      </c>
      <c r="E2" s="4" t="s">
        <v>9</v>
      </c>
      <c r="F2" s="4" t="s">
        <v>11</v>
      </c>
      <c r="G2" s="673" t="s">
        <v>1071</v>
      </c>
      <c r="H2" s="1318"/>
      <c r="I2" s="1" t="s">
        <v>134</v>
      </c>
      <c r="J2" s="1" t="s">
        <v>135</v>
      </c>
      <c r="K2" s="1318"/>
      <c r="L2" s="1" t="s">
        <v>128</v>
      </c>
      <c r="M2" s="1" t="s">
        <v>129</v>
      </c>
      <c r="N2" s="1318"/>
      <c r="O2" s="1" t="s">
        <v>131</v>
      </c>
      <c r="P2" s="1" t="s">
        <v>132</v>
      </c>
      <c r="Q2" s="1318"/>
      <c r="R2" s="1" t="s">
        <v>27</v>
      </c>
      <c r="S2" s="1" t="s">
        <v>28</v>
      </c>
      <c r="T2" s="1318"/>
      <c r="U2" s="1" t="s">
        <v>19</v>
      </c>
      <c r="V2" s="1" t="s">
        <v>20</v>
      </c>
      <c r="W2" s="1318"/>
      <c r="X2" s="1" t="s">
        <v>21</v>
      </c>
      <c r="Y2" s="1" t="s">
        <v>22</v>
      </c>
      <c r="Z2" s="1035" t="s">
        <v>1166</v>
      </c>
      <c r="AA2" s="1035" t="s">
        <v>1167</v>
      </c>
      <c r="AB2" s="1318"/>
      <c r="AC2" s="1" t="s">
        <v>12</v>
      </c>
      <c r="AD2" s="1" t="s">
        <v>13</v>
      </c>
      <c r="AE2" s="1318"/>
      <c r="AF2" s="1" t="s">
        <v>14</v>
      </c>
      <c r="AG2" s="1" t="s">
        <v>15</v>
      </c>
      <c r="AH2" s="1318"/>
      <c r="AI2" s="1" t="s">
        <v>24</v>
      </c>
      <c r="AJ2" s="1" t="s">
        <v>25</v>
      </c>
      <c r="AK2" s="1321"/>
      <c r="AL2" s="1156" t="s">
        <v>1285</v>
      </c>
      <c r="AM2" s="1156" t="s">
        <v>1286</v>
      </c>
      <c r="AN2" s="1326"/>
      <c r="AO2" s="1185" t="s">
        <v>1300</v>
      </c>
      <c r="AP2" s="1185" t="s">
        <v>1301</v>
      </c>
      <c r="AQ2" s="1318"/>
      <c r="AR2" s="1" t="s">
        <v>1220</v>
      </c>
      <c r="AS2" s="1" t="s">
        <v>1221</v>
      </c>
      <c r="AT2" s="1322"/>
      <c r="AU2" s="1159" t="s">
        <v>1303</v>
      </c>
      <c r="AV2" s="1159" t="s">
        <v>1304</v>
      </c>
      <c r="AW2" s="1324"/>
      <c r="AX2" s="1190" t="s">
        <v>1296</v>
      </c>
      <c r="AY2" s="1190" t="s">
        <v>1297</v>
      </c>
      <c r="AZ2" s="1318"/>
      <c r="BA2" s="1" t="s">
        <v>1306</v>
      </c>
      <c r="BB2" s="1" t="s">
        <v>1307</v>
      </c>
      <c r="BD2" s="5" t="s">
        <v>16</v>
      </c>
    </row>
    <row r="3" spans="1:61" s="220" customFormat="1" ht="14.25" customHeight="1">
      <c r="A3" s="190">
        <v>1</v>
      </c>
      <c r="B3" s="230" t="s">
        <v>416</v>
      </c>
      <c r="C3" s="215"/>
      <c r="D3" s="216"/>
      <c r="E3" s="217"/>
      <c r="F3" s="218"/>
      <c r="G3" s="217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D3" s="61"/>
      <c r="BF3" s="221"/>
      <c r="BG3" s="179">
        <f>AJ3-BF3</f>
        <v>0</v>
      </c>
      <c r="BH3" s="222">
        <f>F3/12</f>
        <v>0</v>
      </c>
      <c r="BI3" s="179">
        <f>BG3-BH3</f>
        <v>0</v>
      </c>
    </row>
    <row r="4" spans="1:61" s="220" customFormat="1" ht="14.25" customHeight="1">
      <c r="A4" s="190"/>
      <c r="B4" s="230" t="s">
        <v>417</v>
      </c>
      <c r="C4" s="215"/>
      <c r="D4" s="216"/>
      <c r="E4" s="217"/>
      <c r="F4" s="218"/>
      <c r="G4" s="217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D4" s="61"/>
      <c r="BF4" s="221"/>
      <c r="BG4" s="179"/>
      <c r="BH4" s="222"/>
      <c r="BI4" s="179"/>
    </row>
    <row r="5" spans="1:61" ht="14.25" hidden="1" customHeight="1">
      <c r="A5" s="17">
        <v>1</v>
      </c>
      <c r="B5" s="902" t="s">
        <v>418</v>
      </c>
      <c r="C5" s="903">
        <v>40179</v>
      </c>
      <c r="D5" s="877">
        <v>4</v>
      </c>
      <c r="E5" s="878">
        <f>261140000*0</f>
        <v>0</v>
      </c>
      <c r="F5" s="879">
        <f>E5/D5</f>
        <v>0</v>
      </c>
      <c r="G5" s="878">
        <f>E5</f>
        <v>0</v>
      </c>
      <c r="H5" s="880">
        <f>(F5/12)*(13-IF(C5="","",MONTH(C5)))*4</f>
        <v>0</v>
      </c>
      <c r="I5" s="880">
        <f>H5</f>
        <v>0</v>
      </c>
      <c r="J5" s="880">
        <f>E5-I5</f>
        <v>0</v>
      </c>
      <c r="K5" s="880">
        <v>0</v>
      </c>
      <c r="L5" s="880">
        <f>I5+K5</f>
        <v>0</v>
      </c>
      <c r="M5" s="880">
        <f>E5-L5</f>
        <v>0</v>
      </c>
      <c r="N5" s="880">
        <v>0</v>
      </c>
      <c r="O5" s="880">
        <f>L5+N5</f>
        <v>0</v>
      </c>
      <c r="P5" s="880">
        <f>E5-O5</f>
        <v>0</v>
      </c>
      <c r="Q5" s="880">
        <v>0</v>
      </c>
      <c r="R5" s="880">
        <f t="shared" ref="R5:R7" si="0">O5+Q5</f>
        <v>0</v>
      </c>
      <c r="S5" s="880">
        <f>E5-R5</f>
        <v>0</v>
      </c>
      <c r="T5" s="880">
        <v>0</v>
      </c>
      <c r="U5" s="880">
        <f>R5+T5</f>
        <v>0</v>
      </c>
      <c r="V5" s="880">
        <f>E5-U5</f>
        <v>0</v>
      </c>
      <c r="W5" s="880">
        <v>0</v>
      </c>
      <c r="X5" s="880">
        <f t="shared" ref="X5:X8" si="1">U5+W5</f>
        <v>0</v>
      </c>
      <c r="Y5" s="880">
        <f>E5-X5</f>
        <v>0</v>
      </c>
      <c r="Z5" s="880">
        <f>261140000*0</f>
        <v>0</v>
      </c>
      <c r="AA5" s="880">
        <f>E5-Z5</f>
        <v>0</v>
      </c>
      <c r="AB5" s="880">
        <f t="shared" ref="AB5:AB7" si="2">(F5/12)*12</f>
        <v>0</v>
      </c>
      <c r="AC5" s="880">
        <f>X5+AB5</f>
        <v>0</v>
      </c>
      <c r="AD5" s="880">
        <f>E5-AC5</f>
        <v>0</v>
      </c>
      <c r="AE5" s="880">
        <f t="shared" ref="AE5:AE7" si="3">(F5/12)*12</f>
        <v>0</v>
      </c>
      <c r="AF5" s="880">
        <f t="shared" ref="AF5:AF8" si="4">AC5+AE5</f>
        <v>0</v>
      </c>
      <c r="AG5" s="880">
        <f>E5-AF5</f>
        <v>0</v>
      </c>
      <c r="AH5" s="880">
        <f t="shared" ref="AH5:AH7" si="5">(F5/12)*12</f>
        <v>0</v>
      </c>
      <c r="AI5" s="880">
        <f t="shared" ref="AI5:AI7" si="6">AF5+AH5</f>
        <v>0</v>
      </c>
      <c r="AJ5" s="880">
        <f>E5-AI5</f>
        <v>0</v>
      </c>
      <c r="AK5" s="880"/>
      <c r="AL5" s="880"/>
      <c r="AM5" s="880"/>
      <c r="AN5" s="880"/>
      <c r="AO5" s="880"/>
      <c r="AP5" s="880"/>
      <c r="AQ5" s="880">
        <v>0</v>
      </c>
      <c r="AR5" s="880">
        <f>AI5+AQ5</f>
        <v>0</v>
      </c>
      <c r="AS5" s="880">
        <f>E5-AR5</f>
        <v>0</v>
      </c>
      <c r="AT5" s="896"/>
      <c r="AU5" s="896"/>
      <c r="AV5" s="896"/>
      <c r="AW5" s="896"/>
      <c r="AX5" s="896"/>
      <c r="AY5" s="896"/>
      <c r="AZ5" s="896"/>
      <c r="BA5" s="896"/>
      <c r="BB5" s="896"/>
      <c r="BD5" s="8">
        <f t="shared" ref="BD5:BD27" si="7">E5-AR5-AS5</f>
        <v>0</v>
      </c>
      <c r="BF5" s="57"/>
      <c r="BG5" s="19"/>
      <c r="BH5" s="58"/>
      <c r="BI5" s="19"/>
    </row>
    <row r="6" spans="1:61" ht="14.25" customHeight="1">
      <c r="A6" s="1021">
        <f>A5+1</f>
        <v>2</v>
      </c>
      <c r="B6" s="902" t="s">
        <v>419</v>
      </c>
      <c r="C6" s="671">
        <v>40544</v>
      </c>
      <c r="D6" s="55">
        <v>8</v>
      </c>
      <c r="E6" s="6">
        <f>312013000+261140000</f>
        <v>573153000</v>
      </c>
      <c r="F6" s="1041">
        <f>E6/D6</f>
        <v>71644125</v>
      </c>
      <c r="G6" s="6">
        <f t="shared" ref="G6:G7" si="8">E6</f>
        <v>573153000</v>
      </c>
      <c r="H6" s="1053"/>
      <c r="I6" s="1042">
        <f>H6</f>
        <v>0</v>
      </c>
      <c r="J6" s="1042">
        <f>E6-I6</f>
        <v>573153000</v>
      </c>
      <c r="K6" s="1042"/>
      <c r="L6" s="1042">
        <f t="shared" ref="L6:L7" si="9">I6+K6</f>
        <v>0</v>
      </c>
      <c r="M6" s="1042">
        <f>E6-L6</f>
        <v>573153000</v>
      </c>
      <c r="N6" s="1042">
        <f>(F6/12)*12</f>
        <v>71644125</v>
      </c>
      <c r="O6" s="1042">
        <f t="shared" ref="O6:O7" si="10">L6+N6</f>
        <v>71644125</v>
      </c>
      <c r="P6" s="1042">
        <f>E6-O6</f>
        <v>501508875</v>
      </c>
      <c r="Q6" s="1042">
        <f>(F6/12)*12</f>
        <v>71644125</v>
      </c>
      <c r="R6" s="1042">
        <f t="shared" si="0"/>
        <v>143288250</v>
      </c>
      <c r="S6" s="1042">
        <f>E6-R6</f>
        <v>429864750</v>
      </c>
      <c r="T6" s="1042">
        <f>(F6/12)*12</f>
        <v>71644125</v>
      </c>
      <c r="U6" s="1042">
        <f t="shared" ref="U6:U7" si="11">R6+T6</f>
        <v>214932375</v>
      </c>
      <c r="V6" s="1042">
        <f>E6-U6</f>
        <v>358220625</v>
      </c>
      <c r="W6" s="1042">
        <f>(F6/12)*12</f>
        <v>71644125</v>
      </c>
      <c r="X6" s="1042">
        <f t="shared" si="1"/>
        <v>286576500</v>
      </c>
      <c r="Y6" s="1042">
        <f>E6-X6</f>
        <v>286576500</v>
      </c>
      <c r="Z6" s="7">
        <f>312013000+261140000</f>
        <v>573153000</v>
      </c>
      <c r="AA6" s="7">
        <f>E6-Z6</f>
        <v>0</v>
      </c>
      <c r="AB6" s="1042">
        <f t="shared" si="2"/>
        <v>71644125</v>
      </c>
      <c r="AC6" s="1042">
        <f t="shared" ref="AC6:AC8" si="12">X6+AB6</f>
        <v>358220625</v>
      </c>
      <c r="AD6" s="1042">
        <f>E6-AC6</f>
        <v>214932375</v>
      </c>
      <c r="AE6" s="1042">
        <f>(F6/12)*12</f>
        <v>71644125</v>
      </c>
      <c r="AF6" s="1042">
        <f t="shared" si="4"/>
        <v>429864750</v>
      </c>
      <c r="AG6" s="1042">
        <f>E6-AF6</f>
        <v>143288250</v>
      </c>
      <c r="AH6" s="1042">
        <f>(F6/12)*12</f>
        <v>71644125</v>
      </c>
      <c r="AI6" s="1042">
        <f>AF6+AH6</f>
        <v>501508875</v>
      </c>
      <c r="AJ6" s="1042">
        <f>E6-AI6</f>
        <v>71644125</v>
      </c>
      <c r="AK6" s="1042">
        <f>(F6/12)*1</f>
        <v>5970343.75</v>
      </c>
      <c r="AL6" s="1042">
        <f>AI6+AK6</f>
        <v>507479218.75</v>
      </c>
      <c r="AM6" s="1042">
        <f>E6-AL6</f>
        <v>65673781.25</v>
      </c>
      <c r="AN6" s="1042">
        <f>(F6/12)*9</f>
        <v>53733093.75</v>
      </c>
      <c r="AO6" s="1042">
        <f>AI6+AN6</f>
        <v>555241968.75</v>
      </c>
      <c r="AP6" s="1042">
        <f>E6-AO6</f>
        <v>17911031.25</v>
      </c>
      <c r="AQ6" s="1042">
        <f>(F6/12)*12</f>
        <v>71644125</v>
      </c>
      <c r="AR6" s="1042">
        <f t="shared" ref="AR6:AR8" si="13">AI6+AQ6</f>
        <v>573153000</v>
      </c>
      <c r="AS6" s="1042">
        <f>E6-AR6</f>
        <v>0</v>
      </c>
      <c r="AT6" s="1042">
        <v>0</v>
      </c>
      <c r="AU6" s="1042">
        <f>AR6+AT6</f>
        <v>573153000</v>
      </c>
      <c r="AV6" s="1042">
        <f>E6-AU6</f>
        <v>0</v>
      </c>
      <c r="AW6" s="1042">
        <v>0</v>
      </c>
      <c r="AX6" s="1042">
        <f>AU6+AW6</f>
        <v>573153000</v>
      </c>
      <c r="AY6" s="1042">
        <f>E6-AX6</f>
        <v>0</v>
      </c>
      <c r="AZ6" s="1042">
        <f>(F6/12)*0</f>
        <v>0</v>
      </c>
      <c r="BA6" s="1042">
        <f>AR6+AZ6</f>
        <v>573153000</v>
      </c>
      <c r="BB6" s="1042">
        <f>E6-BA6</f>
        <v>0</v>
      </c>
      <c r="BD6" s="8">
        <f>E6-BA6-BB6</f>
        <v>0</v>
      </c>
      <c r="BF6" s="57"/>
      <c r="BG6" s="19"/>
      <c r="BH6" s="58"/>
      <c r="BI6" s="19"/>
    </row>
    <row r="7" spans="1:61" ht="14.25" hidden="1" customHeight="1">
      <c r="A7" s="17">
        <f>A6+1</f>
        <v>3</v>
      </c>
      <c r="B7" s="904" t="s">
        <v>420</v>
      </c>
      <c r="C7" s="903">
        <v>40544</v>
      </c>
      <c r="D7" s="877">
        <v>4</v>
      </c>
      <c r="E7" s="878">
        <f>215914000*0</f>
        <v>0</v>
      </c>
      <c r="F7" s="879">
        <f>E7/D7</f>
        <v>0</v>
      </c>
      <c r="G7" s="878">
        <f t="shared" si="8"/>
        <v>0</v>
      </c>
      <c r="H7" s="880">
        <f>(F7/12)*(13-IF(C7="","",MONTH(C7)))*4</f>
        <v>0</v>
      </c>
      <c r="I7" s="880">
        <f>H7</f>
        <v>0</v>
      </c>
      <c r="J7" s="880">
        <f>E7-I7</f>
        <v>0</v>
      </c>
      <c r="K7" s="880">
        <v>0</v>
      </c>
      <c r="L7" s="880">
        <f t="shared" si="9"/>
        <v>0</v>
      </c>
      <c r="M7" s="880">
        <f>E7-L7</f>
        <v>0</v>
      </c>
      <c r="N7" s="880">
        <v>0</v>
      </c>
      <c r="O7" s="880">
        <f t="shared" si="10"/>
        <v>0</v>
      </c>
      <c r="P7" s="880">
        <f>E7-O7</f>
        <v>0</v>
      </c>
      <c r="Q7" s="880">
        <v>0</v>
      </c>
      <c r="R7" s="880">
        <f t="shared" si="0"/>
        <v>0</v>
      </c>
      <c r="S7" s="880">
        <f>E7-R7</f>
        <v>0</v>
      </c>
      <c r="T7" s="880">
        <v>0</v>
      </c>
      <c r="U7" s="880">
        <f t="shared" si="11"/>
        <v>0</v>
      </c>
      <c r="V7" s="880">
        <f>E7-U7</f>
        <v>0</v>
      </c>
      <c r="W7" s="880">
        <v>0</v>
      </c>
      <c r="X7" s="880">
        <f t="shared" si="1"/>
        <v>0</v>
      </c>
      <c r="Y7" s="880">
        <f>E7-X7</f>
        <v>0</v>
      </c>
      <c r="Z7" s="880">
        <f>215914000*0</f>
        <v>0</v>
      </c>
      <c r="AA7" s="880">
        <f>E7-Z7</f>
        <v>0</v>
      </c>
      <c r="AB7" s="880">
        <f t="shared" si="2"/>
        <v>0</v>
      </c>
      <c r="AC7" s="880">
        <f t="shared" si="12"/>
        <v>0</v>
      </c>
      <c r="AD7" s="880">
        <f>E7-AC7</f>
        <v>0</v>
      </c>
      <c r="AE7" s="880">
        <f t="shared" si="3"/>
        <v>0</v>
      </c>
      <c r="AF7" s="880">
        <f t="shared" si="4"/>
        <v>0</v>
      </c>
      <c r="AG7" s="880">
        <f>E7-AF7</f>
        <v>0</v>
      </c>
      <c r="AH7" s="880">
        <f t="shared" si="5"/>
        <v>0</v>
      </c>
      <c r="AI7" s="880">
        <f t="shared" si="6"/>
        <v>0</v>
      </c>
      <c r="AJ7" s="880">
        <f>E7-AI7</f>
        <v>0</v>
      </c>
      <c r="AK7" s="880"/>
      <c r="AL7" s="880"/>
      <c r="AM7" s="880"/>
      <c r="AN7" s="880"/>
      <c r="AO7" s="880"/>
      <c r="AP7" s="880"/>
      <c r="AQ7" s="880">
        <v>0</v>
      </c>
      <c r="AR7" s="880">
        <f t="shared" si="13"/>
        <v>0</v>
      </c>
      <c r="AS7" s="880">
        <f>E7-AR7</f>
        <v>0</v>
      </c>
      <c r="AT7" s="896"/>
      <c r="AU7" s="896"/>
      <c r="AV7" s="896"/>
      <c r="AW7" s="896"/>
      <c r="AX7" s="896"/>
      <c r="AY7" s="896"/>
      <c r="AZ7" s="896"/>
      <c r="BA7" s="896"/>
      <c r="BB7" s="896"/>
      <c r="BD7" s="8">
        <f t="shared" si="7"/>
        <v>0</v>
      </c>
      <c r="BF7" s="57"/>
      <c r="BG7" s="19"/>
      <c r="BH7" s="58"/>
      <c r="BI7" s="19"/>
    </row>
    <row r="8" spans="1:61" ht="14.25" customHeight="1">
      <c r="A8" s="17">
        <f>A7+1</f>
        <v>4</v>
      </c>
      <c r="B8" s="904" t="s">
        <v>421</v>
      </c>
      <c r="C8" s="671">
        <v>43466</v>
      </c>
      <c r="D8" s="55">
        <v>4</v>
      </c>
      <c r="E8" s="6">
        <f>181518750+215914000</f>
        <v>397432750</v>
      </c>
      <c r="F8" s="1041">
        <f>E8/D8</f>
        <v>99358187.5</v>
      </c>
      <c r="G8" s="6"/>
      <c r="H8" s="1042"/>
      <c r="I8" s="1042"/>
      <c r="J8" s="1042"/>
      <c r="K8" s="1042"/>
      <c r="L8" s="1042"/>
      <c r="M8" s="1042"/>
      <c r="N8" s="1042"/>
      <c r="O8" s="1042"/>
      <c r="P8" s="1042"/>
      <c r="Q8" s="1042"/>
      <c r="R8" s="1042"/>
      <c r="S8" s="1042"/>
      <c r="T8" s="1042"/>
      <c r="U8" s="1042"/>
      <c r="V8" s="1042"/>
      <c r="W8" s="1053">
        <f>(F8/12)*12</f>
        <v>99358187.5</v>
      </c>
      <c r="X8" s="1042">
        <f t="shared" si="1"/>
        <v>99358187.5</v>
      </c>
      <c r="Y8" s="1042">
        <f>E8-X8</f>
        <v>298074562.5</v>
      </c>
      <c r="Z8" s="7">
        <f>19028941.7708333+215914000</f>
        <v>234942941.77083331</v>
      </c>
      <c r="AA8" s="7">
        <f>E8-Z8</f>
        <v>162489808.22916669</v>
      </c>
      <c r="AB8" s="1042">
        <f>(F8/12)*12</f>
        <v>99358187.5</v>
      </c>
      <c r="AC8" s="1042">
        <f t="shared" si="12"/>
        <v>198716375</v>
      </c>
      <c r="AD8" s="1042">
        <f>E8-AC8</f>
        <v>198716375</v>
      </c>
      <c r="AE8" s="1042">
        <f>(F8/12)*12</f>
        <v>99358187.5</v>
      </c>
      <c r="AF8" s="1042">
        <f t="shared" si="4"/>
        <v>298074562.5</v>
      </c>
      <c r="AG8" s="1042">
        <f>E8-AF8</f>
        <v>99358187.5</v>
      </c>
      <c r="AH8" s="1042">
        <f>(F8/12)*12</f>
        <v>99358187.5</v>
      </c>
      <c r="AI8" s="1042">
        <f>AF8+AH8</f>
        <v>397432750</v>
      </c>
      <c r="AJ8" s="1042">
        <f>E8-AI8</f>
        <v>0</v>
      </c>
      <c r="AK8" s="1042">
        <v>0</v>
      </c>
      <c r="AL8" s="1042">
        <f>AI8+AK8</f>
        <v>397432750</v>
      </c>
      <c r="AM8" s="1042">
        <f>E8-AL8</f>
        <v>0</v>
      </c>
      <c r="AN8" s="1042">
        <f>0</f>
        <v>0</v>
      </c>
      <c r="AO8" s="1042">
        <f>AL8+AN8</f>
        <v>397432750</v>
      </c>
      <c r="AP8" s="1042">
        <f>E8-AO8</f>
        <v>0</v>
      </c>
      <c r="AQ8" s="1042">
        <v>0</v>
      </c>
      <c r="AR8" s="1042">
        <f t="shared" si="13"/>
        <v>397432750</v>
      </c>
      <c r="AS8" s="1042">
        <f>E8-AR8</f>
        <v>0</v>
      </c>
      <c r="AT8" s="1042">
        <v>0</v>
      </c>
      <c r="AU8" s="1042">
        <f>AR8+AT8</f>
        <v>397432750</v>
      </c>
      <c r="AV8" s="1042">
        <f>E8-AU8</f>
        <v>0</v>
      </c>
      <c r="AW8" s="1042">
        <v>0</v>
      </c>
      <c r="AX8" s="1042">
        <f>AU8+AW8</f>
        <v>397432750</v>
      </c>
      <c r="AY8" s="1042">
        <f>E8-AX8</f>
        <v>0</v>
      </c>
      <c r="AZ8" s="1042">
        <f>(F8/12)*0</f>
        <v>0</v>
      </c>
      <c r="BA8" s="1042">
        <f>AR8+AZ8</f>
        <v>397432750</v>
      </c>
      <c r="BB8" s="1042">
        <f>E8-BA8</f>
        <v>0</v>
      </c>
      <c r="BD8" s="8">
        <f t="shared" ref="BD8:BD12" si="14">E8-BA8-BB8</f>
        <v>0</v>
      </c>
      <c r="BF8" s="57"/>
      <c r="BG8" s="19"/>
      <c r="BH8" s="58"/>
      <c r="BI8" s="19"/>
    </row>
    <row r="9" spans="1:61" s="220" customFormat="1" ht="14.25" customHeight="1">
      <c r="A9" s="190">
        <v>2</v>
      </c>
      <c r="B9" s="230" t="s">
        <v>423</v>
      </c>
      <c r="C9" s="215"/>
      <c r="D9" s="216"/>
      <c r="E9" s="217"/>
      <c r="F9" s="1045"/>
      <c r="G9" s="217"/>
      <c r="H9" s="1046"/>
      <c r="I9" s="1046"/>
      <c r="J9" s="1046"/>
      <c r="K9" s="1046"/>
      <c r="L9" s="1046"/>
      <c r="M9" s="1046"/>
      <c r="N9" s="1046"/>
      <c r="O9" s="1046"/>
      <c r="P9" s="1046"/>
      <c r="Q9" s="1046"/>
      <c r="R9" s="1046"/>
      <c r="S9" s="1046"/>
      <c r="T9" s="1046"/>
      <c r="U9" s="1046"/>
      <c r="V9" s="1046"/>
      <c r="W9" s="1046"/>
      <c r="X9" s="1046"/>
      <c r="Y9" s="1046"/>
      <c r="Z9" s="219"/>
      <c r="AA9" s="219"/>
      <c r="AB9" s="1046"/>
      <c r="AC9" s="1046"/>
      <c r="AD9" s="1046"/>
      <c r="AE9" s="1046"/>
      <c r="AF9" s="1046"/>
      <c r="AG9" s="1046"/>
      <c r="AH9" s="1046"/>
      <c r="AI9" s="1046"/>
      <c r="AJ9" s="1046"/>
      <c r="AK9" s="1046"/>
      <c r="AL9" s="1046"/>
      <c r="AM9" s="1046"/>
      <c r="AN9" s="1046"/>
      <c r="AO9" s="1046"/>
      <c r="AP9" s="1046"/>
      <c r="AQ9" s="1046"/>
      <c r="AR9" s="1046"/>
      <c r="AS9" s="1046"/>
      <c r="AT9" s="1046"/>
      <c r="AU9" s="1046"/>
      <c r="AV9" s="1046"/>
      <c r="AW9" s="1046"/>
      <c r="AX9" s="1046"/>
      <c r="AY9" s="1046"/>
      <c r="AZ9" s="1046"/>
      <c r="BA9" s="1046"/>
      <c r="BB9" s="1046"/>
      <c r="BD9" s="8">
        <f t="shared" si="14"/>
        <v>0</v>
      </c>
      <c r="BF9" s="221"/>
      <c r="BG9" s="179"/>
      <c r="BH9" s="222"/>
      <c r="BI9" s="179"/>
    </row>
    <row r="10" spans="1:61" ht="14.25" customHeight="1">
      <c r="A10" s="17">
        <v>1</v>
      </c>
      <c r="B10" s="56" t="s">
        <v>424</v>
      </c>
      <c r="C10" s="671">
        <v>38353</v>
      </c>
      <c r="D10" s="55">
        <v>4</v>
      </c>
      <c r="E10" s="6">
        <v>117276000</v>
      </c>
      <c r="F10" s="1041">
        <f t="shared" ref="F10:F16" si="15">E10/D10</f>
        <v>29319000</v>
      </c>
      <c r="G10" s="6">
        <f t="shared" ref="G10:G11" si="16">E10</f>
        <v>117276000</v>
      </c>
      <c r="H10" s="1053"/>
      <c r="I10" s="1042">
        <f t="shared" ref="I10:I11" si="17">H10</f>
        <v>0</v>
      </c>
      <c r="J10" s="1042">
        <f>E10-I10</f>
        <v>117276000</v>
      </c>
      <c r="K10" s="1042">
        <v>0</v>
      </c>
      <c r="L10" s="1042">
        <f t="shared" ref="L10:L11" si="18">I10+K10</f>
        <v>0</v>
      </c>
      <c r="M10" s="1042">
        <f>E10-L10</f>
        <v>117276000</v>
      </c>
      <c r="N10" s="1042">
        <f>(F10/12)*12</f>
        <v>29319000</v>
      </c>
      <c r="O10" s="1042">
        <f t="shared" ref="O10:O11" si="19">L10+N10</f>
        <v>29319000</v>
      </c>
      <c r="P10" s="1042">
        <f>E10-O10</f>
        <v>87957000</v>
      </c>
      <c r="Q10" s="1042">
        <f>(F10/12)*12</f>
        <v>29319000</v>
      </c>
      <c r="R10" s="1042">
        <f t="shared" ref="R10:R11" si="20">O10+Q10</f>
        <v>58638000</v>
      </c>
      <c r="S10" s="1042">
        <f>E10-R10</f>
        <v>58638000</v>
      </c>
      <c r="T10" s="1042">
        <f>(F10/12)*12</f>
        <v>29319000</v>
      </c>
      <c r="U10" s="1042">
        <f>R10+T10</f>
        <v>87957000</v>
      </c>
      <c r="V10" s="1042">
        <f t="shared" ref="V10:V16" si="21">E10-U10</f>
        <v>29319000</v>
      </c>
      <c r="W10" s="1042">
        <f t="shared" ref="W10:W12" si="22">(F10/12)*12</f>
        <v>29319000</v>
      </c>
      <c r="X10" s="1042">
        <f>U10+W10</f>
        <v>117276000</v>
      </c>
      <c r="Y10" s="1042">
        <f>E10-X10</f>
        <v>0</v>
      </c>
      <c r="Z10" s="7">
        <v>87957000</v>
      </c>
      <c r="AA10" s="7">
        <f t="shared" ref="AA10:AA16" si="23">E10-Z10</f>
        <v>29319000</v>
      </c>
      <c r="AB10" s="1042">
        <f>(F10/12)*0</f>
        <v>0</v>
      </c>
      <c r="AC10" s="1042">
        <f t="shared" ref="AC10:AC16" si="24">X10+AB10</f>
        <v>117276000</v>
      </c>
      <c r="AD10" s="1042">
        <f t="shared" ref="AD10:AD16" si="25">E10-AC10</f>
        <v>0</v>
      </c>
      <c r="AE10" s="1042">
        <f>(F10/12)*0</f>
        <v>0</v>
      </c>
      <c r="AF10" s="1042">
        <f t="shared" ref="AF10:AF16" si="26">AC10+AE10</f>
        <v>117276000</v>
      </c>
      <c r="AG10" s="1042">
        <f t="shared" ref="AG10:AG16" si="27">E10-AF10</f>
        <v>0</v>
      </c>
      <c r="AH10" s="1042">
        <f>(F10/12)*0</f>
        <v>0</v>
      </c>
      <c r="AI10" s="1042">
        <f t="shared" ref="AI10:AI16" si="28">AF10+AH10</f>
        <v>117276000</v>
      </c>
      <c r="AJ10" s="1042">
        <f t="shared" ref="AJ10:AJ16" si="29">E10-AI10</f>
        <v>0</v>
      </c>
      <c r="AK10" s="1042">
        <v>0</v>
      </c>
      <c r="AL10" s="1042">
        <f t="shared" ref="AL10:AL12" si="30">AI10+AK10</f>
        <v>117276000</v>
      </c>
      <c r="AM10" s="1042">
        <f t="shared" ref="AM10:AM12" si="31">E10-AL10</f>
        <v>0</v>
      </c>
      <c r="AN10" s="1042">
        <f>0</f>
        <v>0</v>
      </c>
      <c r="AO10" s="1042">
        <f t="shared" ref="AO10:AO12" si="32">AL10+AN10</f>
        <v>117276000</v>
      </c>
      <c r="AP10" s="1042">
        <f t="shared" ref="AP10:AP12" si="33">E10-AO10</f>
        <v>0</v>
      </c>
      <c r="AQ10" s="1042">
        <v>0</v>
      </c>
      <c r="AR10" s="1042">
        <f t="shared" ref="AR10:AR16" si="34">AI10+AQ10</f>
        <v>117276000</v>
      </c>
      <c r="AS10" s="1042">
        <f t="shared" ref="AS10:AS16" si="35">E10-AR10</f>
        <v>0</v>
      </c>
      <c r="AT10" s="1042">
        <v>0</v>
      </c>
      <c r="AU10" s="1042">
        <f t="shared" ref="AU10:AU12" si="36">AR10+AT10</f>
        <v>117276000</v>
      </c>
      <c r="AV10" s="1042">
        <f t="shared" ref="AV10:AV12" si="37">E10-AU10</f>
        <v>0</v>
      </c>
      <c r="AW10" s="1042">
        <v>0</v>
      </c>
      <c r="AX10" s="1042">
        <f>AU10+AW10</f>
        <v>117276000</v>
      </c>
      <c r="AY10" s="1042">
        <f>E10-AX10</f>
        <v>0</v>
      </c>
      <c r="AZ10" s="1042">
        <f>(F10/12)*0</f>
        <v>0</v>
      </c>
      <c r="BA10" s="1042">
        <f>AR10+AZ10</f>
        <v>117276000</v>
      </c>
      <c r="BB10" s="1042">
        <f>E10-BA10</f>
        <v>0</v>
      </c>
      <c r="BD10" s="8">
        <f t="shared" si="14"/>
        <v>0</v>
      </c>
      <c r="BF10" s="57"/>
      <c r="BG10" s="19"/>
      <c r="BH10" s="58"/>
      <c r="BI10" s="19"/>
    </row>
    <row r="11" spans="1:61" ht="14.25" customHeight="1">
      <c r="A11" s="1021">
        <f t="shared" ref="A11:A16" si="38">A10+1</f>
        <v>2</v>
      </c>
      <c r="B11" s="56" t="s">
        <v>425</v>
      </c>
      <c r="C11" s="671">
        <v>38353</v>
      </c>
      <c r="D11" s="1072">
        <v>16</v>
      </c>
      <c r="E11" s="6">
        <v>4909530000</v>
      </c>
      <c r="F11" s="1041">
        <f t="shared" si="15"/>
        <v>306845625</v>
      </c>
      <c r="G11" s="6">
        <f t="shared" si="16"/>
        <v>4909530000</v>
      </c>
      <c r="H11" s="1053"/>
      <c r="I11" s="1042">
        <f t="shared" si="17"/>
        <v>0</v>
      </c>
      <c r="J11" s="1042">
        <f>E11-I11</f>
        <v>4909530000</v>
      </c>
      <c r="K11" s="1042"/>
      <c r="L11" s="1042">
        <f t="shared" si="18"/>
        <v>0</v>
      </c>
      <c r="M11" s="1042">
        <f>E11-L11</f>
        <v>4909530000</v>
      </c>
      <c r="N11" s="1042">
        <f>(F11/12)*12</f>
        <v>306845625</v>
      </c>
      <c r="O11" s="1042">
        <f t="shared" si="19"/>
        <v>306845625</v>
      </c>
      <c r="P11" s="1042">
        <f>E11-O11</f>
        <v>4602684375</v>
      </c>
      <c r="Q11" s="1042">
        <f>(F11/12)*12</f>
        <v>306845625</v>
      </c>
      <c r="R11" s="1042">
        <f t="shared" si="20"/>
        <v>613691250</v>
      </c>
      <c r="S11" s="1042">
        <f>E11-R11</f>
        <v>4295838750</v>
      </c>
      <c r="T11" s="1042">
        <f>(F11/12)*12</f>
        <v>306845625</v>
      </c>
      <c r="U11" s="1042">
        <f>R11+T11</f>
        <v>920536875</v>
      </c>
      <c r="V11" s="1042">
        <f t="shared" si="21"/>
        <v>3988993125</v>
      </c>
      <c r="W11" s="1042">
        <f t="shared" si="22"/>
        <v>306845625</v>
      </c>
      <c r="X11" s="1042">
        <f t="shared" ref="X11:X16" si="39">U11+W11</f>
        <v>1227382500</v>
      </c>
      <c r="Y11" s="1042">
        <f t="shared" ref="Y11:Y16" si="40">E11-X11</f>
        <v>3682147500</v>
      </c>
      <c r="Z11" s="7">
        <v>3682147500</v>
      </c>
      <c r="AA11" s="7">
        <f t="shared" si="23"/>
        <v>1227382500</v>
      </c>
      <c r="AB11" s="1042">
        <f t="shared" ref="AB11" si="41">(F11/12)*12</f>
        <v>306845625</v>
      </c>
      <c r="AC11" s="1042">
        <f t="shared" si="24"/>
        <v>1534228125</v>
      </c>
      <c r="AD11" s="1042">
        <f t="shared" si="25"/>
        <v>3375301875</v>
      </c>
      <c r="AE11" s="1042">
        <f t="shared" ref="AE11" si="42">(F11/12)*12</f>
        <v>306845625</v>
      </c>
      <c r="AF11" s="1042">
        <f t="shared" si="26"/>
        <v>1841073750</v>
      </c>
      <c r="AG11" s="1042">
        <f t="shared" si="27"/>
        <v>3068456250</v>
      </c>
      <c r="AH11" s="1042">
        <f>(F11/12)*12</f>
        <v>306845625</v>
      </c>
      <c r="AI11" s="1042">
        <f t="shared" si="28"/>
        <v>2147919375</v>
      </c>
      <c r="AJ11" s="1042">
        <f t="shared" si="29"/>
        <v>2761610625</v>
      </c>
      <c r="AK11" s="1042">
        <f t="shared" ref="AK11" si="43">(F11/12)*1</f>
        <v>25570468.75</v>
      </c>
      <c r="AL11" s="1042">
        <f t="shared" si="30"/>
        <v>2173489843.75</v>
      </c>
      <c r="AM11" s="1042">
        <f t="shared" si="31"/>
        <v>2736040156.25</v>
      </c>
      <c r="AN11" s="1042">
        <f>(F11/12)*9</f>
        <v>230134218.75</v>
      </c>
      <c r="AO11" s="1042">
        <f>AI11+AN11</f>
        <v>2378053593.75</v>
      </c>
      <c r="AP11" s="1042">
        <f>E11-AO11</f>
        <v>2531476406.25</v>
      </c>
      <c r="AQ11" s="1042">
        <f>(F11/12)*12</f>
        <v>306845625</v>
      </c>
      <c r="AR11" s="1042">
        <f t="shared" si="34"/>
        <v>2454765000</v>
      </c>
      <c r="AS11" s="1042">
        <f t="shared" si="35"/>
        <v>2454765000</v>
      </c>
      <c r="AT11" s="1042">
        <f>(F11/12)*9</f>
        <v>230134218.75</v>
      </c>
      <c r="AU11" s="1042">
        <f t="shared" si="36"/>
        <v>2684899218.75</v>
      </c>
      <c r="AV11" s="1042">
        <f t="shared" si="37"/>
        <v>2224630781.25</v>
      </c>
      <c r="AW11" s="1042">
        <f>(F11/12)*2</f>
        <v>51140937.5</v>
      </c>
      <c r="AX11" s="1042">
        <f>AU11+AW11</f>
        <v>2736040156.25</v>
      </c>
      <c r="AY11" s="1042">
        <f>E11-AX11</f>
        <v>2173489843.75</v>
      </c>
      <c r="AZ11" s="1042">
        <f>(F11/12)*12</f>
        <v>306845625</v>
      </c>
      <c r="BA11" s="1042">
        <f>AR11+AZ11</f>
        <v>2761610625</v>
      </c>
      <c r="BB11" s="1042">
        <f>E11-BA11</f>
        <v>2147919375</v>
      </c>
      <c r="BD11" s="8">
        <f t="shared" si="14"/>
        <v>0</v>
      </c>
      <c r="BF11" s="57"/>
      <c r="BG11" s="19"/>
      <c r="BH11" s="58"/>
      <c r="BI11" s="19"/>
    </row>
    <row r="12" spans="1:61" ht="14.25" customHeight="1">
      <c r="A12" s="17">
        <f t="shared" si="38"/>
        <v>3</v>
      </c>
      <c r="B12" s="56" t="s">
        <v>418</v>
      </c>
      <c r="C12" s="671">
        <v>41640</v>
      </c>
      <c r="D12" s="55">
        <v>4</v>
      </c>
      <c r="E12" s="6">
        <v>125361500</v>
      </c>
      <c r="F12" s="1041">
        <f t="shared" si="15"/>
        <v>31340375</v>
      </c>
      <c r="G12" s="6">
        <f>E12</f>
        <v>125361500</v>
      </c>
      <c r="H12" s="1053"/>
      <c r="I12" s="1042">
        <f>H12</f>
        <v>0</v>
      </c>
      <c r="J12" s="1042">
        <f>E12-I12</f>
        <v>125361500</v>
      </c>
      <c r="K12" s="1042"/>
      <c r="L12" s="1042">
        <f>I12+K12</f>
        <v>0</v>
      </c>
      <c r="M12" s="1042">
        <f>E12-L12</f>
        <v>125361500</v>
      </c>
      <c r="N12" s="1042">
        <f>(F12/12)*12</f>
        <v>31340375</v>
      </c>
      <c r="O12" s="1042">
        <f>L12+N12</f>
        <v>31340375</v>
      </c>
      <c r="P12" s="1042">
        <f>E12-O12</f>
        <v>94021125</v>
      </c>
      <c r="Q12" s="1042">
        <f>(F12/12)*12</f>
        <v>31340375</v>
      </c>
      <c r="R12" s="1042">
        <f>O12+Q12</f>
        <v>62680750</v>
      </c>
      <c r="S12" s="1042">
        <f>E12-R12</f>
        <v>62680750</v>
      </c>
      <c r="T12" s="1042">
        <f>(F12/12)*12</f>
        <v>31340375</v>
      </c>
      <c r="U12" s="1042">
        <f>R12+T12</f>
        <v>94021125</v>
      </c>
      <c r="V12" s="1042">
        <f t="shared" si="21"/>
        <v>31340375</v>
      </c>
      <c r="W12" s="1042">
        <f t="shared" si="22"/>
        <v>31340375</v>
      </c>
      <c r="X12" s="1042">
        <f>U12+W12</f>
        <v>125361500</v>
      </c>
      <c r="Y12" s="1042">
        <f>E12-X12</f>
        <v>0</v>
      </c>
      <c r="Z12" s="7">
        <v>94021125.00000003</v>
      </c>
      <c r="AA12" s="7">
        <f t="shared" si="23"/>
        <v>31340374.99999997</v>
      </c>
      <c r="AB12" s="1042">
        <f>(F12/12)*0</f>
        <v>0</v>
      </c>
      <c r="AC12" s="1042">
        <f t="shared" si="24"/>
        <v>125361500</v>
      </c>
      <c r="AD12" s="1042">
        <f t="shared" si="25"/>
        <v>0</v>
      </c>
      <c r="AE12" s="1042">
        <f>(F12/12)*0</f>
        <v>0</v>
      </c>
      <c r="AF12" s="1042">
        <f>AC12+AE12</f>
        <v>125361500</v>
      </c>
      <c r="AG12" s="1042">
        <f t="shared" si="27"/>
        <v>0</v>
      </c>
      <c r="AH12" s="1042">
        <f>(F12/12)*0</f>
        <v>0</v>
      </c>
      <c r="AI12" s="1042">
        <f>AF12+AH12</f>
        <v>125361500</v>
      </c>
      <c r="AJ12" s="1042">
        <f t="shared" si="29"/>
        <v>0</v>
      </c>
      <c r="AK12" s="1042">
        <v>0</v>
      </c>
      <c r="AL12" s="1042">
        <f t="shared" si="30"/>
        <v>125361500</v>
      </c>
      <c r="AM12" s="1042">
        <f t="shared" si="31"/>
        <v>0</v>
      </c>
      <c r="AN12" s="1042">
        <f>0</f>
        <v>0</v>
      </c>
      <c r="AO12" s="1042">
        <f t="shared" si="32"/>
        <v>125361500</v>
      </c>
      <c r="AP12" s="1042">
        <f t="shared" si="33"/>
        <v>0</v>
      </c>
      <c r="AQ12" s="1042">
        <f>(F12/12)*0</f>
        <v>0</v>
      </c>
      <c r="AR12" s="1042">
        <f>AI12+AQ12</f>
        <v>125361500</v>
      </c>
      <c r="AS12" s="1042">
        <f t="shared" si="35"/>
        <v>0</v>
      </c>
      <c r="AT12" s="1042">
        <v>0</v>
      </c>
      <c r="AU12" s="1042">
        <f t="shared" si="36"/>
        <v>125361500</v>
      </c>
      <c r="AV12" s="1042">
        <f t="shared" si="37"/>
        <v>0</v>
      </c>
      <c r="AW12" s="1042">
        <v>0</v>
      </c>
      <c r="AX12" s="1042">
        <f>AU12+AW12</f>
        <v>125361500</v>
      </c>
      <c r="AY12" s="1042">
        <f>E12-AX12</f>
        <v>0</v>
      </c>
      <c r="AZ12" s="1042">
        <f>(F12/12)*0</f>
        <v>0</v>
      </c>
      <c r="BA12" s="1042">
        <f>AR12+AZ12</f>
        <v>125361500</v>
      </c>
      <c r="BB12" s="1042">
        <f>E12-BA12</f>
        <v>0</v>
      </c>
      <c r="BD12" s="8">
        <f t="shared" si="14"/>
        <v>0</v>
      </c>
      <c r="BF12" s="57"/>
      <c r="BG12" s="19"/>
      <c r="BH12" s="58"/>
      <c r="BI12" s="19"/>
    </row>
    <row r="13" spans="1:61" ht="14.25" hidden="1" customHeight="1">
      <c r="A13" s="874">
        <f t="shared" si="38"/>
        <v>4</v>
      </c>
      <c r="B13" s="905" t="s">
        <v>426</v>
      </c>
      <c r="C13" s="903">
        <v>42005</v>
      </c>
      <c r="D13" s="877">
        <v>4</v>
      </c>
      <c r="E13" s="878">
        <f>8590909*0</f>
        <v>0</v>
      </c>
      <c r="F13" s="879">
        <f t="shared" si="15"/>
        <v>0</v>
      </c>
      <c r="G13" s="878"/>
      <c r="H13" s="880"/>
      <c r="I13" s="880"/>
      <c r="J13" s="880"/>
      <c r="K13" s="880">
        <f>(F13/12)*(13-IF(C13="","",MONTH(C13)))</f>
        <v>0</v>
      </c>
      <c r="L13" s="880">
        <f>K13</f>
        <v>0</v>
      </c>
      <c r="M13" s="880">
        <f>E13-L13</f>
        <v>0</v>
      </c>
      <c r="N13" s="880">
        <f>(F13/12)*12</f>
        <v>0</v>
      </c>
      <c r="O13" s="880">
        <f>L13+N13</f>
        <v>0</v>
      </c>
      <c r="P13" s="880">
        <f>E13-O13</f>
        <v>0</v>
      </c>
      <c r="Q13" s="880">
        <f>(F13/12)*12</f>
        <v>0</v>
      </c>
      <c r="R13" s="880">
        <f>O13+Q13</f>
        <v>0</v>
      </c>
      <c r="S13" s="880">
        <f>E13-R13</f>
        <v>0</v>
      </c>
      <c r="T13" s="880">
        <f>(F13/12)*12</f>
        <v>0</v>
      </c>
      <c r="U13" s="880">
        <f t="shared" ref="U13:U14" si="44">R13+T13</f>
        <v>0</v>
      </c>
      <c r="V13" s="880">
        <f t="shared" si="21"/>
        <v>0</v>
      </c>
      <c r="W13" s="880">
        <v>0</v>
      </c>
      <c r="X13" s="880">
        <f t="shared" si="39"/>
        <v>0</v>
      </c>
      <c r="Y13" s="880">
        <f t="shared" si="40"/>
        <v>0</v>
      </c>
      <c r="Z13" s="880">
        <f>6445056.75*0</f>
        <v>0</v>
      </c>
      <c r="AA13" s="880">
        <f t="shared" si="23"/>
        <v>0</v>
      </c>
      <c r="AB13" s="59">
        <f>(F13/12)*12</f>
        <v>0</v>
      </c>
      <c r="AC13" s="880">
        <f t="shared" si="24"/>
        <v>0</v>
      </c>
      <c r="AD13" s="880">
        <f t="shared" si="25"/>
        <v>0</v>
      </c>
      <c r="AE13" s="880">
        <f>(F13/12)*0</f>
        <v>0</v>
      </c>
      <c r="AF13" s="880">
        <f t="shared" si="26"/>
        <v>0</v>
      </c>
      <c r="AG13" s="880">
        <f t="shared" si="27"/>
        <v>0</v>
      </c>
      <c r="AH13" s="880">
        <f>(F13/12)*0</f>
        <v>0</v>
      </c>
      <c r="AI13" s="880">
        <f t="shared" si="28"/>
        <v>0</v>
      </c>
      <c r="AJ13" s="880">
        <f t="shared" si="29"/>
        <v>0</v>
      </c>
      <c r="AK13" s="880"/>
      <c r="AL13" s="880"/>
      <c r="AM13" s="880"/>
      <c r="AN13" s="880"/>
      <c r="AO13" s="880"/>
      <c r="AP13" s="880"/>
      <c r="AQ13" s="880">
        <v>0</v>
      </c>
      <c r="AR13" s="880">
        <f t="shared" si="34"/>
        <v>0</v>
      </c>
      <c r="AS13" s="880">
        <f t="shared" si="35"/>
        <v>0</v>
      </c>
      <c r="AT13" s="896"/>
      <c r="AU13" s="896"/>
      <c r="AV13" s="896"/>
      <c r="AW13" s="896"/>
      <c r="AX13" s="896"/>
      <c r="AY13" s="896"/>
      <c r="AZ13" s="896"/>
      <c r="BA13" s="896"/>
      <c r="BB13" s="896"/>
      <c r="BD13" s="8">
        <f t="shared" si="7"/>
        <v>0</v>
      </c>
      <c r="BF13" s="57"/>
      <c r="BG13" s="19"/>
      <c r="BH13" s="58"/>
      <c r="BI13" s="19"/>
    </row>
    <row r="14" spans="1:61" ht="14.25" hidden="1" customHeight="1">
      <c r="A14" s="874">
        <f t="shared" si="38"/>
        <v>5</v>
      </c>
      <c r="B14" s="905" t="s">
        <v>427</v>
      </c>
      <c r="C14" s="903">
        <v>42370</v>
      </c>
      <c r="D14" s="877">
        <v>4</v>
      </c>
      <c r="E14" s="878">
        <f>27595946*0</f>
        <v>0</v>
      </c>
      <c r="F14" s="879">
        <f t="shared" si="15"/>
        <v>0</v>
      </c>
      <c r="G14" s="878"/>
      <c r="H14" s="880"/>
      <c r="I14" s="880"/>
      <c r="J14" s="880"/>
      <c r="K14" s="880"/>
      <c r="L14" s="880"/>
      <c r="M14" s="880"/>
      <c r="N14" s="880">
        <f>(F14/12)*12</f>
        <v>0</v>
      </c>
      <c r="O14" s="880">
        <f t="shared" ref="O14" si="45">L14+N14</f>
        <v>0</v>
      </c>
      <c r="P14" s="880">
        <f>E14-O14</f>
        <v>0</v>
      </c>
      <c r="Q14" s="880">
        <f>(F14/12)*12</f>
        <v>0</v>
      </c>
      <c r="R14" s="880">
        <f t="shared" ref="R14" si="46">O14+Q14</f>
        <v>0</v>
      </c>
      <c r="S14" s="880">
        <f>E14-R14</f>
        <v>0</v>
      </c>
      <c r="T14" s="880">
        <f>(F14/12)*12</f>
        <v>0</v>
      </c>
      <c r="U14" s="880">
        <f t="shared" si="44"/>
        <v>0</v>
      </c>
      <c r="V14" s="880">
        <f t="shared" si="21"/>
        <v>0</v>
      </c>
      <c r="W14" s="880">
        <f>(F14/12)*12</f>
        <v>0</v>
      </c>
      <c r="X14" s="880">
        <f t="shared" si="39"/>
        <v>0</v>
      </c>
      <c r="Y14" s="880">
        <f t="shared" si="40"/>
        <v>0</v>
      </c>
      <c r="Z14" s="880">
        <f>16097635.1666667*0</f>
        <v>0</v>
      </c>
      <c r="AA14" s="880">
        <f t="shared" si="23"/>
        <v>0</v>
      </c>
      <c r="AB14" s="880">
        <f t="shared" ref="AB14:AB16" si="47">(F14/12)*12</f>
        <v>0</v>
      </c>
      <c r="AC14" s="880">
        <f t="shared" si="24"/>
        <v>0</v>
      </c>
      <c r="AD14" s="880">
        <f t="shared" si="25"/>
        <v>0</v>
      </c>
      <c r="AE14" s="880">
        <f>(F14/12)*0</f>
        <v>0</v>
      </c>
      <c r="AF14" s="880">
        <f t="shared" si="26"/>
        <v>0</v>
      </c>
      <c r="AG14" s="880">
        <f t="shared" si="27"/>
        <v>0</v>
      </c>
      <c r="AH14" s="880">
        <f>(F14/12)*8</f>
        <v>0</v>
      </c>
      <c r="AI14" s="880">
        <f t="shared" si="28"/>
        <v>0</v>
      </c>
      <c r="AJ14" s="880">
        <f t="shared" si="29"/>
        <v>0</v>
      </c>
      <c r="AK14" s="880"/>
      <c r="AL14" s="880"/>
      <c r="AM14" s="880"/>
      <c r="AN14" s="880"/>
      <c r="AO14" s="880"/>
      <c r="AP14" s="880"/>
      <c r="AQ14" s="880">
        <v>0</v>
      </c>
      <c r="AR14" s="880">
        <f t="shared" si="34"/>
        <v>0</v>
      </c>
      <c r="AS14" s="880">
        <f t="shared" si="35"/>
        <v>0</v>
      </c>
      <c r="AT14" s="896"/>
      <c r="AU14" s="896"/>
      <c r="AV14" s="896"/>
      <c r="AW14" s="896"/>
      <c r="AX14" s="896"/>
      <c r="AY14" s="896"/>
      <c r="AZ14" s="896"/>
      <c r="BA14" s="896"/>
      <c r="BB14" s="896"/>
      <c r="BD14" s="8">
        <f t="shared" si="7"/>
        <v>0</v>
      </c>
      <c r="BF14" s="57"/>
      <c r="BG14" s="19"/>
      <c r="BH14" s="58"/>
      <c r="BI14" s="19"/>
    </row>
    <row r="15" spans="1:61" ht="14.25" customHeight="1">
      <c r="A15" s="17">
        <f t="shared" si="38"/>
        <v>6</v>
      </c>
      <c r="B15" s="56" t="s">
        <v>428</v>
      </c>
      <c r="C15" s="671">
        <v>43344</v>
      </c>
      <c r="D15" s="55">
        <v>4</v>
      </c>
      <c r="E15" s="6">
        <v>77464120</v>
      </c>
      <c r="F15" s="1041">
        <f t="shared" si="15"/>
        <v>19366030</v>
      </c>
      <c r="G15" s="6"/>
      <c r="H15" s="1042"/>
      <c r="I15" s="1042"/>
      <c r="J15" s="1042"/>
      <c r="K15" s="1042"/>
      <c r="L15" s="1042"/>
      <c r="M15" s="1042"/>
      <c r="N15" s="1042"/>
      <c r="O15" s="1042"/>
      <c r="P15" s="1042"/>
      <c r="Q15" s="1042"/>
      <c r="R15" s="1042"/>
      <c r="S15" s="1042"/>
      <c r="T15" s="1053">
        <f>(F15/12)*4</f>
        <v>6455343.333333333</v>
      </c>
      <c r="U15" s="1042">
        <f>R15+T15</f>
        <v>6455343.333333333</v>
      </c>
      <c r="V15" s="1042">
        <f t="shared" si="21"/>
        <v>71008776.666666672</v>
      </c>
      <c r="W15" s="1042">
        <f>(F15/12)*12</f>
        <v>19366030</v>
      </c>
      <c r="X15" s="1042">
        <f>U15+W15</f>
        <v>25821373.333333332</v>
      </c>
      <c r="Y15" s="1042">
        <f t="shared" si="40"/>
        <v>51642746.666666672</v>
      </c>
      <c r="Z15" s="7">
        <v>6455343.333333333</v>
      </c>
      <c r="AA15" s="7">
        <f t="shared" si="23"/>
        <v>71008776.666666672</v>
      </c>
      <c r="AB15" s="1042">
        <f t="shared" si="47"/>
        <v>19366030</v>
      </c>
      <c r="AC15" s="1042">
        <f t="shared" si="24"/>
        <v>45187403.333333328</v>
      </c>
      <c r="AD15" s="1042">
        <f t="shared" si="25"/>
        <v>32276716.666666672</v>
      </c>
      <c r="AE15" s="1042">
        <f t="shared" ref="AE15:AE16" si="48">(F15/12)*12</f>
        <v>19366030</v>
      </c>
      <c r="AF15" s="1042">
        <f t="shared" si="26"/>
        <v>64553433.333333328</v>
      </c>
      <c r="AG15" s="1042">
        <f t="shared" si="27"/>
        <v>12910686.666666672</v>
      </c>
      <c r="AH15" s="1042">
        <f>(F15/12)*8</f>
        <v>12910686.666666666</v>
      </c>
      <c r="AI15" s="1042">
        <f t="shared" si="28"/>
        <v>77464120</v>
      </c>
      <c r="AJ15" s="1042">
        <f t="shared" si="29"/>
        <v>0</v>
      </c>
      <c r="AK15" s="1042">
        <v>0</v>
      </c>
      <c r="AL15" s="1042">
        <f>AI15+AK15</f>
        <v>77464120</v>
      </c>
      <c r="AM15" s="1042">
        <f>E15-AL15</f>
        <v>0</v>
      </c>
      <c r="AN15" s="1042">
        <f>0</f>
        <v>0</v>
      </c>
      <c r="AO15" s="1042">
        <f>AL15+AN15</f>
        <v>77464120</v>
      </c>
      <c r="AP15" s="1042">
        <f>E15-AO15</f>
        <v>0</v>
      </c>
      <c r="AQ15" s="1042">
        <f>(F15/12)*0</f>
        <v>0</v>
      </c>
      <c r="AR15" s="1042">
        <f t="shared" si="34"/>
        <v>77464120</v>
      </c>
      <c r="AS15" s="1042">
        <f t="shared" si="35"/>
        <v>0</v>
      </c>
      <c r="AT15" s="1042">
        <v>0</v>
      </c>
      <c r="AU15" s="1042">
        <f>AR15+AT15</f>
        <v>77464120</v>
      </c>
      <c r="AV15" s="1042">
        <f>E15-AU15</f>
        <v>0</v>
      </c>
      <c r="AW15" s="1042">
        <v>0</v>
      </c>
      <c r="AX15" s="1042">
        <f>AU15+AW15</f>
        <v>77464120</v>
      </c>
      <c r="AY15" s="1042">
        <f>E15-AX15</f>
        <v>0</v>
      </c>
      <c r="AZ15" s="1042">
        <f>(F15/12)*0</f>
        <v>0</v>
      </c>
      <c r="BA15" s="1042">
        <f>AR15+AZ15</f>
        <v>77464120</v>
      </c>
      <c r="BB15" s="1042">
        <f>E15-BA15</f>
        <v>0</v>
      </c>
      <c r="BD15" s="8">
        <f>E15-BA15-BB15</f>
        <v>0</v>
      </c>
      <c r="BF15" s="57"/>
      <c r="BG15" s="19">
        <f>AJ15-BF15</f>
        <v>0</v>
      </c>
      <c r="BH15" s="58">
        <f>F15/12</f>
        <v>1613835.8333333333</v>
      </c>
      <c r="BI15" s="19">
        <f>BG15-BH15</f>
        <v>-1613835.8333333333</v>
      </c>
    </row>
    <row r="16" spans="1:61" ht="14.25" hidden="1" customHeight="1">
      <c r="A16" s="874">
        <f t="shared" si="38"/>
        <v>7</v>
      </c>
      <c r="B16" s="905" t="s">
        <v>429</v>
      </c>
      <c r="C16" s="903">
        <v>43374</v>
      </c>
      <c r="D16" s="877">
        <v>4</v>
      </c>
      <c r="E16" s="878">
        <f>342750014*0</f>
        <v>0</v>
      </c>
      <c r="F16" s="879">
        <f t="shared" si="15"/>
        <v>0</v>
      </c>
      <c r="G16" s="878"/>
      <c r="H16" s="880"/>
      <c r="I16" s="880"/>
      <c r="J16" s="880"/>
      <c r="K16" s="880"/>
      <c r="L16" s="880"/>
      <c r="M16" s="880"/>
      <c r="N16" s="880"/>
      <c r="O16" s="880"/>
      <c r="P16" s="880"/>
      <c r="Q16" s="880"/>
      <c r="R16" s="880"/>
      <c r="S16" s="880"/>
      <c r="T16" s="880">
        <f>(F16/12)*(13-IF(C16="","",MONTH(C16)))</f>
        <v>0</v>
      </c>
      <c r="U16" s="880">
        <f>R16+T16</f>
        <v>0</v>
      </c>
      <c r="V16" s="880">
        <f t="shared" si="21"/>
        <v>0</v>
      </c>
      <c r="W16" s="880">
        <f>(F16/12)*12</f>
        <v>0</v>
      </c>
      <c r="X16" s="880">
        <f t="shared" si="39"/>
        <v>0</v>
      </c>
      <c r="Y16" s="880">
        <f t="shared" si="40"/>
        <v>0</v>
      </c>
      <c r="Z16" s="880">
        <f>21421875.875*0</f>
        <v>0</v>
      </c>
      <c r="AA16" s="880">
        <f t="shared" si="23"/>
        <v>0</v>
      </c>
      <c r="AB16" s="880">
        <f t="shared" si="47"/>
        <v>0</v>
      </c>
      <c r="AC16" s="880">
        <f t="shared" si="24"/>
        <v>0</v>
      </c>
      <c r="AD16" s="880">
        <f t="shared" si="25"/>
        <v>0</v>
      </c>
      <c r="AE16" s="880">
        <f t="shared" si="48"/>
        <v>0</v>
      </c>
      <c r="AF16" s="880">
        <f t="shared" si="26"/>
        <v>0</v>
      </c>
      <c r="AG16" s="880">
        <f t="shared" si="27"/>
        <v>0</v>
      </c>
      <c r="AH16" s="880">
        <f>(F16/12)*12</f>
        <v>0</v>
      </c>
      <c r="AI16" s="880">
        <f t="shared" si="28"/>
        <v>0</v>
      </c>
      <c r="AJ16" s="880">
        <f t="shared" si="29"/>
        <v>0</v>
      </c>
      <c r="AK16" s="880"/>
      <c r="AL16" s="880"/>
      <c r="AM16" s="880"/>
      <c r="AN16" s="880"/>
      <c r="AO16" s="880"/>
      <c r="AP16" s="880"/>
      <c r="AQ16" s="880">
        <f>(F16/12)*7</f>
        <v>0</v>
      </c>
      <c r="AR16" s="880">
        <f t="shared" si="34"/>
        <v>0</v>
      </c>
      <c r="AS16" s="880">
        <f t="shared" si="35"/>
        <v>0</v>
      </c>
      <c r="AT16" s="896"/>
      <c r="AU16" s="896"/>
      <c r="AV16" s="896"/>
      <c r="AW16" s="896"/>
      <c r="AX16" s="896"/>
      <c r="AY16" s="896"/>
      <c r="AZ16" s="896"/>
      <c r="BA16" s="896"/>
      <c r="BB16" s="896"/>
      <c r="BD16" s="8">
        <f t="shared" si="7"/>
        <v>0</v>
      </c>
      <c r="BF16" s="57"/>
      <c r="BG16" s="19">
        <f>AJ16-BF16</f>
        <v>0</v>
      </c>
      <c r="BH16" s="58">
        <f>F16/12</f>
        <v>0</v>
      </c>
      <c r="BI16" s="19">
        <f>BG16-BH16</f>
        <v>0</v>
      </c>
    </row>
    <row r="17" spans="1:61" s="220" customFormat="1" ht="14.25" customHeight="1">
      <c r="A17" s="190">
        <v>3</v>
      </c>
      <c r="B17" s="230" t="s">
        <v>432</v>
      </c>
      <c r="C17" s="215"/>
      <c r="D17" s="216"/>
      <c r="E17" s="217"/>
      <c r="F17" s="1045"/>
      <c r="G17" s="217"/>
      <c r="H17" s="1046"/>
      <c r="I17" s="1046"/>
      <c r="J17" s="1046"/>
      <c r="K17" s="1046"/>
      <c r="L17" s="1046"/>
      <c r="M17" s="1046"/>
      <c r="N17" s="1046"/>
      <c r="O17" s="1046"/>
      <c r="P17" s="1046"/>
      <c r="Q17" s="1046"/>
      <c r="R17" s="1046"/>
      <c r="S17" s="1046"/>
      <c r="T17" s="1046"/>
      <c r="U17" s="1046"/>
      <c r="V17" s="1046"/>
      <c r="W17" s="1046"/>
      <c r="X17" s="1046"/>
      <c r="Y17" s="1046"/>
      <c r="Z17" s="219"/>
      <c r="AA17" s="219"/>
      <c r="AB17" s="1046"/>
      <c r="AC17" s="1046"/>
      <c r="AD17" s="1046"/>
      <c r="AE17" s="1046"/>
      <c r="AF17" s="1046"/>
      <c r="AG17" s="1046"/>
      <c r="AH17" s="1046"/>
      <c r="AI17" s="1046"/>
      <c r="AJ17" s="1046"/>
      <c r="AK17" s="1046"/>
      <c r="AL17" s="1046"/>
      <c r="AM17" s="1046"/>
      <c r="AN17" s="1046"/>
      <c r="AO17" s="1046"/>
      <c r="AP17" s="1046"/>
      <c r="AQ17" s="1046"/>
      <c r="AR17" s="1046"/>
      <c r="AS17" s="1046"/>
      <c r="AT17" s="1046"/>
      <c r="AU17" s="1046"/>
      <c r="AV17" s="1046"/>
      <c r="AW17" s="1046"/>
      <c r="AX17" s="1046"/>
      <c r="AY17" s="1046"/>
      <c r="AZ17" s="1046"/>
      <c r="BA17" s="1046"/>
      <c r="BB17" s="1046"/>
      <c r="BD17" s="8">
        <f>E17-BA17-BB17</f>
        <v>0</v>
      </c>
      <c r="BF17" s="221"/>
      <c r="BG17" s="179"/>
      <c r="BH17" s="222"/>
      <c r="BI17" s="179"/>
    </row>
    <row r="18" spans="1:61" ht="14.25" hidden="1" customHeight="1">
      <c r="A18" s="884">
        <v>1</v>
      </c>
      <c r="B18" s="900" t="s">
        <v>433</v>
      </c>
      <c r="C18" s="901">
        <v>41640</v>
      </c>
      <c r="D18" s="887">
        <v>4</v>
      </c>
      <c r="E18" s="888">
        <f>12800000*0</f>
        <v>0</v>
      </c>
      <c r="F18" s="889">
        <f t="shared" ref="F18:F27" si="49">E18/D18</f>
        <v>0</v>
      </c>
      <c r="G18" s="888">
        <f t="shared" ref="G18:G20" si="50">E18</f>
        <v>0</v>
      </c>
      <c r="H18" s="890">
        <f>(F18/12)*(13-IF(C18="","",MONTH(C18)))</f>
        <v>0</v>
      </c>
      <c r="I18" s="890">
        <f t="shared" ref="I18:I19" si="51">H18</f>
        <v>0</v>
      </c>
      <c r="J18" s="890">
        <f>E18-I18</f>
        <v>0</v>
      </c>
      <c r="K18" s="890">
        <f>(F18/12)*12</f>
        <v>0</v>
      </c>
      <c r="L18" s="890">
        <f t="shared" ref="L18:L20" si="52">I18+K18</f>
        <v>0</v>
      </c>
      <c r="M18" s="890">
        <f>E18-L18</f>
        <v>0</v>
      </c>
      <c r="N18" s="890">
        <f>(F18/12)*12</f>
        <v>0</v>
      </c>
      <c r="O18" s="890">
        <f t="shared" ref="O18:O23" si="53">L18+N18</f>
        <v>0</v>
      </c>
      <c r="P18" s="890">
        <f t="shared" ref="P18:P23" si="54">E18-O18</f>
        <v>0</v>
      </c>
      <c r="Q18" s="890">
        <f>(F18/12)*12</f>
        <v>0</v>
      </c>
      <c r="R18" s="890">
        <f t="shared" ref="R18:R20" si="55">O18+Q18</f>
        <v>0</v>
      </c>
      <c r="S18" s="890">
        <f t="shared" ref="S18:S23" si="56">E18-R18</f>
        <v>0</v>
      </c>
      <c r="T18" s="890">
        <v>0</v>
      </c>
      <c r="U18" s="890">
        <f t="shared" ref="U18:U23" si="57">R18+T18</f>
        <v>0</v>
      </c>
      <c r="V18" s="890">
        <f t="shared" ref="V18:V23" si="58">E18-U18</f>
        <v>0</v>
      </c>
      <c r="W18" s="890">
        <v>0</v>
      </c>
      <c r="X18" s="890">
        <f t="shared" ref="X18:X23" si="59">U18+W18</f>
        <v>0</v>
      </c>
      <c r="Y18" s="890">
        <f t="shared" ref="Y18:Y25" si="60">E18-X18</f>
        <v>0</v>
      </c>
      <c r="Z18" s="890">
        <f>12800000*0</f>
        <v>0</v>
      </c>
      <c r="AA18" s="890">
        <f t="shared" ref="AA18:AA25" si="61">E18-Z18</f>
        <v>0</v>
      </c>
      <c r="AB18" s="890">
        <f>(F18/12)*0</f>
        <v>0</v>
      </c>
      <c r="AC18" s="890">
        <f t="shared" ref="AC18:AC26" si="62">X18+AB18</f>
        <v>0</v>
      </c>
      <c r="AD18" s="890">
        <f t="shared" ref="AD18:AD26" si="63">E18-AC18</f>
        <v>0</v>
      </c>
      <c r="AE18" s="890">
        <f t="shared" ref="AE18:AE23" si="64">(F18/12)*0</f>
        <v>0</v>
      </c>
      <c r="AF18" s="890">
        <f t="shared" ref="AF18:AF26" si="65">AC18+AE18</f>
        <v>0</v>
      </c>
      <c r="AG18" s="890">
        <f t="shared" ref="AG18:AG26" si="66">E18-AF18</f>
        <v>0</v>
      </c>
      <c r="AH18" s="890">
        <v>0</v>
      </c>
      <c r="AI18" s="890">
        <f t="shared" ref="AI18:AI26" si="67">AF18+AH18</f>
        <v>0</v>
      </c>
      <c r="AJ18" s="890">
        <f t="shared" ref="AJ18:AJ27" si="68">E18-AI18</f>
        <v>0</v>
      </c>
      <c r="AK18" s="890"/>
      <c r="AL18" s="890"/>
      <c r="AM18" s="890"/>
      <c r="AN18" s="890"/>
      <c r="AO18" s="890"/>
      <c r="AP18" s="890"/>
      <c r="AQ18" s="890">
        <v>0</v>
      </c>
      <c r="AR18" s="890">
        <f t="shared" ref="AR18:AR27" si="69">AI18+AQ18</f>
        <v>0</v>
      </c>
      <c r="AS18" s="890">
        <f t="shared" ref="AS18:AS27" si="70">E18-AR18</f>
        <v>0</v>
      </c>
      <c r="AT18" s="1158"/>
      <c r="AU18" s="1158"/>
      <c r="AV18" s="1158"/>
      <c r="AW18" s="1158"/>
      <c r="AX18" s="1158"/>
      <c r="AY18" s="1158"/>
      <c r="AZ18" s="1158"/>
      <c r="BA18" s="1158"/>
      <c r="BB18" s="1158"/>
      <c r="BD18" s="8">
        <f t="shared" si="7"/>
        <v>0</v>
      </c>
      <c r="BF18" s="57"/>
      <c r="BG18" s="19"/>
      <c r="BH18" s="58"/>
      <c r="BI18" s="19"/>
    </row>
    <row r="19" spans="1:61" ht="14.25" hidden="1" customHeight="1">
      <c r="A19" s="884">
        <f>A18+1</f>
        <v>2</v>
      </c>
      <c r="B19" s="900" t="s">
        <v>424</v>
      </c>
      <c r="C19" s="901">
        <v>41640</v>
      </c>
      <c r="D19" s="887">
        <v>4</v>
      </c>
      <c r="E19" s="888">
        <f>58973000*0</f>
        <v>0</v>
      </c>
      <c r="F19" s="889">
        <f t="shared" si="49"/>
        <v>0</v>
      </c>
      <c r="G19" s="888">
        <f t="shared" si="50"/>
        <v>0</v>
      </c>
      <c r="H19" s="890">
        <f>(F19/12)*(13-IF(C19="","",MONTH(C19)))</f>
        <v>0</v>
      </c>
      <c r="I19" s="890">
        <f t="shared" si="51"/>
        <v>0</v>
      </c>
      <c r="J19" s="890">
        <f>E19-I19</f>
        <v>0</v>
      </c>
      <c r="K19" s="890">
        <f>(F19/12)*12</f>
        <v>0</v>
      </c>
      <c r="L19" s="890">
        <f t="shared" si="52"/>
        <v>0</v>
      </c>
      <c r="M19" s="890">
        <f>E19-L19</f>
        <v>0</v>
      </c>
      <c r="N19" s="890">
        <f>(F19/12)*12</f>
        <v>0</v>
      </c>
      <c r="O19" s="890">
        <f t="shared" si="53"/>
        <v>0</v>
      </c>
      <c r="P19" s="890">
        <f t="shared" si="54"/>
        <v>0</v>
      </c>
      <c r="Q19" s="890">
        <f>(F19/12)*12</f>
        <v>0</v>
      </c>
      <c r="R19" s="890">
        <f t="shared" si="55"/>
        <v>0</v>
      </c>
      <c r="S19" s="890">
        <f t="shared" si="56"/>
        <v>0</v>
      </c>
      <c r="T19" s="890">
        <v>0</v>
      </c>
      <c r="U19" s="890">
        <f t="shared" si="57"/>
        <v>0</v>
      </c>
      <c r="V19" s="890">
        <f t="shared" si="58"/>
        <v>0</v>
      </c>
      <c r="W19" s="890">
        <v>0</v>
      </c>
      <c r="X19" s="890">
        <f t="shared" si="59"/>
        <v>0</v>
      </c>
      <c r="Y19" s="890">
        <f t="shared" si="60"/>
        <v>0</v>
      </c>
      <c r="Z19" s="890">
        <f>58973000*0</f>
        <v>0</v>
      </c>
      <c r="AA19" s="890">
        <f t="shared" si="61"/>
        <v>0</v>
      </c>
      <c r="AB19" s="890">
        <f>(F19/12)*0</f>
        <v>0</v>
      </c>
      <c r="AC19" s="890">
        <f t="shared" si="62"/>
        <v>0</v>
      </c>
      <c r="AD19" s="890">
        <f t="shared" si="63"/>
        <v>0</v>
      </c>
      <c r="AE19" s="890">
        <f t="shared" si="64"/>
        <v>0</v>
      </c>
      <c r="AF19" s="890">
        <f t="shared" si="65"/>
        <v>0</v>
      </c>
      <c r="AG19" s="890">
        <f t="shared" si="66"/>
        <v>0</v>
      </c>
      <c r="AH19" s="890">
        <v>0</v>
      </c>
      <c r="AI19" s="890">
        <f t="shared" si="67"/>
        <v>0</v>
      </c>
      <c r="AJ19" s="890">
        <f t="shared" si="68"/>
        <v>0</v>
      </c>
      <c r="AK19" s="890"/>
      <c r="AL19" s="890"/>
      <c r="AM19" s="890"/>
      <c r="AN19" s="890"/>
      <c r="AO19" s="890"/>
      <c r="AP19" s="890"/>
      <c r="AQ19" s="890">
        <v>0</v>
      </c>
      <c r="AR19" s="890">
        <f t="shared" si="69"/>
        <v>0</v>
      </c>
      <c r="AS19" s="890">
        <f t="shared" si="70"/>
        <v>0</v>
      </c>
      <c r="AT19" s="1158"/>
      <c r="AU19" s="1158"/>
      <c r="AV19" s="1158"/>
      <c r="AW19" s="1158"/>
      <c r="AX19" s="1158"/>
      <c r="AY19" s="1158"/>
      <c r="AZ19" s="1158"/>
      <c r="BA19" s="1158"/>
      <c r="BB19" s="1158"/>
      <c r="BD19" s="8">
        <f t="shared" si="7"/>
        <v>0</v>
      </c>
      <c r="BF19" s="57"/>
      <c r="BG19" s="19"/>
      <c r="BH19" s="58"/>
      <c r="BI19" s="19"/>
    </row>
    <row r="20" spans="1:61" ht="14.25" hidden="1" customHeight="1">
      <c r="A20" s="884">
        <f t="shared" ref="A20:A27" si="71">A19+1</f>
        <v>3</v>
      </c>
      <c r="B20" s="900" t="s">
        <v>425</v>
      </c>
      <c r="C20" s="901">
        <v>40179</v>
      </c>
      <c r="D20" s="887">
        <v>4</v>
      </c>
      <c r="E20" s="888">
        <f>7780483000*0</f>
        <v>0</v>
      </c>
      <c r="F20" s="889">
        <f t="shared" si="49"/>
        <v>0</v>
      </c>
      <c r="G20" s="888">
        <f t="shared" si="50"/>
        <v>0</v>
      </c>
      <c r="H20" s="890">
        <f>(F20/12)*(13-IF(C20="","",MONTH(C20)))*4</f>
        <v>0</v>
      </c>
      <c r="I20" s="890">
        <f>H20</f>
        <v>0</v>
      </c>
      <c r="J20" s="890">
        <f>E20-I20</f>
        <v>0</v>
      </c>
      <c r="K20" s="890">
        <v>0</v>
      </c>
      <c r="L20" s="890">
        <f t="shared" si="52"/>
        <v>0</v>
      </c>
      <c r="M20" s="890">
        <f>E20-L20</f>
        <v>0</v>
      </c>
      <c r="N20" s="890">
        <v>0</v>
      </c>
      <c r="O20" s="890">
        <f t="shared" si="53"/>
        <v>0</v>
      </c>
      <c r="P20" s="890">
        <f t="shared" si="54"/>
        <v>0</v>
      </c>
      <c r="Q20" s="890">
        <v>0</v>
      </c>
      <c r="R20" s="890">
        <f t="shared" si="55"/>
        <v>0</v>
      </c>
      <c r="S20" s="890">
        <f t="shared" si="56"/>
        <v>0</v>
      </c>
      <c r="T20" s="890">
        <v>0</v>
      </c>
      <c r="U20" s="890">
        <f t="shared" si="57"/>
        <v>0</v>
      </c>
      <c r="V20" s="890">
        <f t="shared" si="58"/>
        <v>0</v>
      </c>
      <c r="W20" s="890">
        <v>0</v>
      </c>
      <c r="X20" s="890">
        <f t="shared" si="59"/>
        <v>0</v>
      </c>
      <c r="Y20" s="890">
        <f t="shared" si="60"/>
        <v>0</v>
      </c>
      <c r="Z20" s="890">
        <f>7780483000*0</f>
        <v>0</v>
      </c>
      <c r="AA20" s="890">
        <f t="shared" si="61"/>
        <v>0</v>
      </c>
      <c r="AB20" s="890">
        <f>(F20/12)*0</f>
        <v>0</v>
      </c>
      <c r="AC20" s="890">
        <f t="shared" si="62"/>
        <v>0</v>
      </c>
      <c r="AD20" s="890">
        <f t="shared" si="63"/>
        <v>0</v>
      </c>
      <c r="AE20" s="890">
        <f t="shared" si="64"/>
        <v>0</v>
      </c>
      <c r="AF20" s="890">
        <f t="shared" si="65"/>
        <v>0</v>
      </c>
      <c r="AG20" s="890">
        <f t="shared" si="66"/>
        <v>0</v>
      </c>
      <c r="AH20" s="890">
        <v>0</v>
      </c>
      <c r="AI20" s="890">
        <f t="shared" si="67"/>
        <v>0</v>
      </c>
      <c r="AJ20" s="890">
        <f t="shared" si="68"/>
        <v>0</v>
      </c>
      <c r="AK20" s="890"/>
      <c r="AL20" s="890"/>
      <c r="AM20" s="890"/>
      <c r="AN20" s="890"/>
      <c r="AO20" s="890"/>
      <c r="AP20" s="890"/>
      <c r="AQ20" s="890">
        <v>0</v>
      </c>
      <c r="AR20" s="890">
        <f t="shared" si="69"/>
        <v>0</v>
      </c>
      <c r="AS20" s="890">
        <f t="shared" si="70"/>
        <v>0</v>
      </c>
      <c r="AT20" s="1158"/>
      <c r="AU20" s="1158"/>
      <c r="AV20" s="1158"/>
      <c r="AW20" s="1158"/>
      <c r="AX20" s="1158"/>
      <c r="AY20" s="1158"/>
      <c r="AZ20" s="1158"/>
      <c r="BA20" s="1158"/>
      <c r="BB20" s="1158"/>
      <c r="BD20" s="8">
        <f t="shared" si="7"/>
        <v>0</v>
      </c>
      <c r="BF20" s="57"/>
      <c r="BG20" s="19"/>
      <c r="BH20" s="58"/>
      <c r="BI20" s="19"/>
    </row>
    <row r="21" spans="1:61" ht="14.25" hidden="1" customHeight="1">
      <c r="A21" s="884">
        <f t="shared" si="71"/>
        <v>4</v>
      </c>
      <c r="B21" s="900" t="s">
        <v>434</v>
      </c>
      <c r="C21" s="901">
        <v>42370</v>
      </c>
      <c r="D21" s="887">
        <v>4</v>
      </c>
      <c r="E21" s="888">
        <f>781963636.36*0</f>
        <v>0</v>
      </c>
      <c r="F21" s="889">
        <f t="shared" si="49"/>
        <v>0</v>
      </c>
      <c r="G21" s="888"/>
      <c r="H21" s="890"/>
      <c r="I21" s="890"/>
      <c r="J21" s="890"/>
      <c r="K21" s="890"/>
      <c r="L21" s="890"/>
      <c r="M21" s="890"/>
      <c r="N21" s="890">
        <f>(F21/12)*12</f>
        <v>0</v>
      </c>
      <c r="O21" s="890">
        <f t="shared" si="53"/>
        <v>0</v>
      </c>
      <c r="P21" s="890">
        <f t="shared" si="54"/>
        <v>0</v>
      </c>
      <c r="Q21" s="890">
        <f>(F21/12)*12</f>
        <v>0</v>
      </c>
      <c r="R21" s="890">
        <f t="shared" ref="R21:R23" si="72">O21+Q21</f>
        <v>0</v>
      </c>
      <c r="S21" s="890">
        <f t="shared" si="56"/>
        <v>0</v>
      </c>
      <c r="T21" s="890">
        <f>(F21/12)*12</f>
        <v>0</v>
      </c>
      <c r="U21" s="890">
        <f t="shared" si="57"/>
        <v>0</v>
      </c>
      <c r="V21" s="890">
        <f t="shared" si="58"/>
        <v>0</v>
      </c>
      <c r="W21" s="890">
        <f>(F21/12)*12</f>
        <v>0</v>
      </c>
      <c r="X21" s="890">
        <f t="shared" si="59"/>
        <v>0</v>
      </c>
      <c r="Y21" s="890">
        <f t="shared" si="60"/>
        <v>0</v>
      </c>
      <c r="Z21" s="890">
        <f>767745455.18*0</f>
        <v>0</v>
      </c>
      <c r="AA21" s="890">
        <f t="shared" si="61"/>
        <v>0</v>
      </c>
      <c r="AB21" s="59">
        <f>(F21/12)*0.8727678</f>
        <v>0</v>
      </c>
      <c r="AC21" s="890">
        <f t="shared" si="62"/>
        <v>0</v>
      </c>
      <c r="AD21" s="890">
        <f t="shared" si="63"/>
        <v>0</v>
      </c>
      <c r="AE21" s="890">
        <f t="shared" si="64"/>
        <v>0</v>
      </c>
      <c r="AF21" s="890">
        <f t="shared" si="65"/>
        <v>0</v>
      </c>
      <c r="AG21" s="890">
        <f t="shared" si="66"/>
        <v>0</v>
      </c>
      <c r="AH21" s="890">
        <v>0</v>
      </c>
      <c r="AI21" s="890">
        <f t="shared" si="67"/>
        <v>0</v>
      </c>
      <c r="AJ21" s="890">
        <f t="shared" si="68"/>
        <v>0</v>
      </c>
      <c r="AK21" s="890"/>
      <c r="AL21" s="890"/>
      <c r="AM21" s="890"/>
      <c r="AN21" s="890"/>
      <c r="AO21" s="890"/>
      <c r="AP21" s="890"/>
      <c r="AQ21" s="890">
        <v>0</v>
      </c>
      <c r="AR21" s="890">
        <f t="shared" si="69"/>
        <v>0</v>
      </c>
      <c r="AS21" s="890">
        <f t="shared" si="70"/>
        <v>0</v>
      </c>
      <c r="AT21" s="1158"/>
      <c r="AU21" s="1158"/>
      <c r="AV21" s="1158"/>
      <c r="AW21" s="1158"/>
      <c r="AX21" s="1158"/>
      <c r="AY21" s="1158"/>
      <c r="AZ21" s="1158"/>
      <c r="BA21" s="1158"/>
      <c r="BB21" s="1158"/>
      <c r="BD21" s="8">
        <f t="shared" si="7"/>
        <v>0</v>
      </c>
      <c r="BF21" s="57"/>
      <c r="BG21" s="19"/>
      <c r="BH21" s="58"/>
      <c r="BI21" s="19"/>
    </row>
    <row r="22" spans="1:61" ht="14.25" hidden="1" customHeight="1">
      <c r="A22" s="884">
        <f t="shared" si="71"/>
        <v>5</v>
      </c>
      <c r="B22" s="900" t="s">
        <v>434</v>
      </c>
      <c r="C22" s="901">
        <v>42370</v>
      </c>
      <c r="D22" s="887">
        <v>4</v>
      </c>
      <c r="E22" s="888">
        <f>977454545*0</f>
        <v>0</v>
      </c>
      <c r="F22" s="889">
        <f t="shared" si="49"/>
        <v>0</v>
      </c>
      <c r="G22" s="888"/>
      <c r="H22" s="890"/>
      <c r="I22" s="890"/>
      <c r="J22" s="890"/>
      <c r="K22" s="890"/>
      <c r="L22" s="890"/>
      <c r="M22" s="890"/>
      <c r="N22" s="890">
        <f>(F22/12)*12</f>
        <v>0</v>
      </c>
      <c r="O22" s="890">
        <f t="shared" si="53"/>
        <v>0</v>
      </c>
      <c r="P22" s="890">
        <f t="shared" si="54"/>
        <v>0</v>
      </c>
      <c r="Q22" s="890">
        <f>(F22/12)*12</f>
        <v>0</v>
      </c>
      <c r="R22" s="890">
        <f t="shared" si="72"/>
        <v>0</v>
      </c>
      <c r="S22" s="890">
        <f t="shared" si="56"/>
        <v>0</v>
      </c>
      <c r="T22" s="890">
        <f>(F22/12)*12</f>
        <v>0</v>
      </c>
      <c r="U22" s="890">
        <f t="shared" si="57"/>
        <v>0</v>
      </c>
      <c r="V22" s="890">
        <f t="shared" si="58"/>
        <v>0</v>
      </c>
      <c r="W22" s="890">
        <f>(F22/12)*12</f>
        <v>0</v>
      </c>
      <c r="X22" s="890">
        <f t="shared" si="59"/>
        <v>0</v>
      </c>
      <c r="Y22" s="890">
        <f t="shared" si="60"/>
        <v>0</v>
      </c>
      <c r="Z22" s="890">
        <f>877636362.75*0</f>
        <v>0</v>
      </c>
      <c r="AA22" s="890">
        <f t="shared" si="61"/>
        <v>0</v>
      </c>
      <c r="AB22" s="59">
        <f>(F22/12)*4.90178574</f>
        <v>0</v>
      </c>
      <c r="AC22" s="890">
        <f t="shared" si="62"/>
        <v>0</v>
      </c>
      <c r="AD22" s="890">
        <f t="shared" si="63"/>
        <v>0</v>
      </c>
      <c r="AE22" s="890">
        <f t="shared" si="64"/>
        <v>0</v>
      </c>
      <c r="AF22" s="890">
        <f t="shared" si="65"/>
        <v>0</v>
      </c>
      <c r="AG22" s="890">
        <f t="shared" si="66"/>
        <v>0</v>
      </c>
      <c r="AH22" s="890">
        <v>0</v>
      </c>
      <c r="AI22" s="890">
        <f t="shared" si="67"/>
        <v>0</v>
      </c>
      <c r="AJ22" s="890">
        <f t="shared" si="68"/>
        <v>0</v>
      </c>
      <c r="AK22" s="890"/>
      <c r="AL22" s="890"/>
      <c r="AM22" s="890"/>
      <c r="AN22" s="890"/>
      <c r="AO22" s="890"/>
      <c r="AP22" s="890"/>
      <c r="AQ22" s="890">
        <v>0</v>
      </c>
      <c r="AR22" s="890">
        <f t="shared" si="69"/>
        <v>0</v>
      </c>
      <c r="AS22" s="890">
        <f t="shared" si="70"/>
        <v>0</v>
      </c>
      <c r="AT22" s="1158"/>
      <c r="AU22" s="1158"/>
      <c r="AV22" s="1158"/>
      <c r="AW22" s="1158"/>
      <c r="AX22" s="1158"/>
      <c r="AY22" s="1158"/>
      <c r="AZ22" s="1158"/>
      <c r="BA22" s="1158"/>
      <c r="BB22" s="1158"/>
      <c r="BD22" s="8">
        <f t="shared" si="7"/>
        <v>0</v>
      </c>
      <c r="BF22" s="57"/>
      <c r="BG22" s="19"/>
      <c r="BH22" s="58"/>
      <c r="BI22" s="19"/>
    </row>
    <row r="23" spans="1:61" ht="14.25" hidden="1" customHeight="1">
      <c r="A23" s="884">
        <f t="shared" si="71"/>
        <v>6</v>
      </c>
      <c r="B23" s="900" t="s">
        <v>434</v>
      </c>
      <c r="C23" s="901">
        <v>42370</v>
      </c>
      <c r="D23" s="887">
        <v>4</v>
      </c>
      <c r="E23" s="888">
        <f>390981965*0</f>
        <v>0</v>
      </c>
      <c r="F23" s="889">
        <f t="shared" si="49"/>
        <v>0</v>
      </c>
      <c r="G23" s="888"/>
      <c r="H23" s="890"/>
      <c r="I23" s="890"/>
      <c r="J23" s="890"/>
      <c r="K23" s="890"/>
      <c r="L23" s="890"/>
      <c r="M23" s="890"/>
      <c r="N23" s="890">
        <f>(F23/12)*12</f>
        <v>0</v>
      </c>
      <c r="O23" s="890">
        <f t="shared" si="53"/>
        <v>0</v>
      </c>
      <c r="P23" s="890">
        <f t="shared" si="54"/>
        <v>0</v>
      </c>
      <c r="Q23" s="890">
        <f>(F23/12)*12</f>
        <v>0</v>
      </c>
      <c r="R23" s="890">
        <f t="shared" si="72"/>
        <v>0</v>
      </c>
      <c r="S23" s="890">
        <f t="shared" si="56"/>
        <v>0</v>
      </c>
      <c r="T23" s="890">
        <f>(F23/12)*12</f>
        <v>0</v>
      </c>
      <c r="U23" s="890">
        <f t="shared" si="57"/>
        <v>0</v>
      </c>
      <c r="V23" s="890">
        <f t="shared" si="58"/>
        <v>0</v>
      </c>
      <c r="W23" s="890">
        <f>(F23/12)*12</f>
        <v>0</v>
      </c>
      <c r="X23" s="890">
        <f t="shared" si="59"/>
        <v>0</v>
      </c>
      <c r="Y23" s="890">
        <f t="shared" si="60"/>
        <v>0</v>
      </c>
      <c r="Z23" s="890">
        <f>317672846.5625*0</f>
        <v>0</v>
      </c>
      <c r="AA23" s="890">
        <f t="shared" si="61"/>
        <v>0</v>
      </c>
      <c r="AB23" s="890">
        <f>(F23/12)*9</f>
        <v>0</v>
      </c>
      <c r="AC23" s="890">
        <f t="shared" si="62"/>
        <v>0</v>
      </c>
      <c r="AD23" s="890">
        <f t="shared" si="63"/>
        <v>0</v>
      </c>
      <c r="AE23" s="890">
        <f t="shared" si="64"/>
        <v>0</v>
      </c>
      <c r="AF23" s="890">
        <f t="shared" si="65"/>
        <v>0</v>
      </c>
      <c r="AG23" s="890">
        <f t="shared" si="66"/>
        <v>0</v>
      </c>
      <c r="AH23" s="890">
        <v>0</v>
      </c>
      <c r="AI23" s="890">
        <f t="shared" si="67"/>
        <v>0</v>
      </c>
      <c r="AJ23" s="890">
        <f t="shared" si="68"/>
        <v>0</v>
      </c>
      <c r="AK23" s="890"/>
      <c r="AL23" s="890"/>
      <c r="AM23" s="890"/>
      <c r="AN23" s="890"/>
      <c r="AO23" s="890"/>
      <c r="AP23" s="890"/>
      <c r="AQ23" s="890">
        <v>0</v>
      </c>
      <c r="AR23" s="890">
        <f t="shared" si="69"/>
        <v>0</v>
      </c>
      <c r="AS23" s="890">
        <f t="shared" si="70"/>
        <v>0</v>
      </c>
      <c r="AT23" s="1158"/>
      <c r="AU23" s="1158"/>
      <c r="AV23" s="1158"/>
      <c r="AW23" s="1158"/>
      <c r="AX23" s="1158"/>
      <c r="AY23" s="1158"/>
      <c r="AZ23" s="1158"/>
      <c r="BA23" s="1158"/>
      <c r="BB23" s="1158"/>
      <c r="BD23" s="8">
        <f t="shared" si="7"/>
        <v>0</v>
      </c>
      <c r="BF23" s="57"/>
      <c r="BG23" s="19"/>
      <c r="BH23" s="58"/>
      <c r="BI23" s="19"/>
    </row>
    <row r="24" spans="1:61" ht="14.25" hidden="1" customHeight="1">
      <c r="A24" s="884">
        <f t="shared" si="71"/>
        <v>7</v>
      </c>
      <c r="B24" s="900" t="s">
        <v>435</v>
      </c>
      <c r="C24" s="901">
        <v>43529</v>
      </c>
      <c r="D24" s="887">
        <v>4</v>
      </c>
      <c r="E24" s="888">
        <f>25130378*0</f>
        <v>0</v>
      </c>
      <c r="F24" s="889">
        <f t="shared" si="49"/>
        <v>0</v>
      </c>
      <c r="G24" s="888"/>
      <c r="H24" s="890"/>
      <c r="I24" s="890"/>
      <c r="J24" s="890"/>
      <c r="K24" s="890"/>
      <c r="L24" s="890"/>
      <c r="M24" s="890"/>
      <c r="N24" s="890"/>
      <c r="O24" s="890"/>
      <c r="P24" s="890"/>
      <c r="Q24" s="890"/>
      <c r="R24" s="890"/>
      <c r="S24" s="890"/>
      <c r="T24" s="890"/>
      <c r="U24" s="890"/>
      <c r="V24" s="890"/>
      <c r="W24" s="890">
        <f>(F24/12)*12</f>
        <v>0</v>
      </c>
      <c r="X24" s="890">
        <f t="shared" ref="X24:X25" si="73">U24+W24</f>
        <v>0</v>
      </c>
      <c r="Y24" s="890">
        <f t="shared" si="60"/>
        <v>0</v>
      </c>
      <c r="Z24" s="890">
        <f>5235495.41666667*0</f>
        <v>0</v>
      </c>
      <c r="AA24" s="890">
        <f t="shared" si="61"/>
        <v>0</v>
      </c>
      <c r="AB24" s="890">
        <f t="shared" ref="AB24:AB26" si="74">(F24/12)*12</f>
        <v>0</v>
      </c>
      <c r="AC24" s="890">
        <f t="shared" si="62"/>
        <v>0</v>
      </c>
      <c r="AD24" s="890">
        <f t="shared" si="63"/>
        <v>0</v>
      </c>
      <c r="AE24" s="890">
        <f t="shared" ref="AE24:AE26" si="75">(F24/12)*12</f>
        <v>0</v>
      </c>
      <c r="AF24" s="890">
        <f t="shared" si="65"/>
        <v>0</v>
      </c>
      <c r="AG24" s="890">
        <f t="shared" si="66"/>
        <v>0</v>
      </c>
      <c r="AH24" s="890">
        <f>(F24/12)*12</f>
        <v>0</v>
      </c>
      <c r="AI24" s="890">
        <f t="shared" si="67"/>
        <v>0</v>
      </c>
      <c r="AJ24" s="890">
        <f t="shared" si="68"/>
        <v>0</v>
      </c>
      <c r="AK24" s="890"/>
      <c r="AL24" s="890"/>
      <c r="AM24" s="890"/>
      <c r="AN24" s="890"/>
      <c r="AO24" s="890"/>
      <c r="AP24" s="890"/>
      <c r="AQ24" s="890">
        <f>(F24/12)*2</f>
        <v>0</v>
      </c>
      <c r="AR24" s="890">
        <f t="shared" si="69"/>
        <v>0</v>
      </c>
      <c r="AS24" s="890">
        <f t="shared" si="70"/>
        <v>0</v>
      </c>
      <c r="AT24" s="1158"/>
      <c r="AU24" s="1158"/>
      <c r="AV24" s="1158"/>
      <c r="AW24" s="1158"/>
      <c r="AX24" s="1158"/>
      <c r="AY24" s="1158"/>
      <c r="AZ24" s="1158"/>
      <c r="BA24" s="1158"/>
      <c r="BB24" s="1158"/>
      <c r="BD24" s="8">
        <f t="shared" si="7"/>
        <v>0</v>
      </c>
      <c r="BF24" s="57"/>
      <c r="BG24" s="19"/>
      <c r="BH24" s="58"/>
      <c r="BI24" s="19"/>
    </row>
    <row r="25" spans="1:61" ht="14.25" hidden="1" customHeight="1">
      <c r="A25" s="884">
        <f t="shared" si="71"/>
        <v>8</v>
      </c>
      <c r="B25" s="900" t="s">
        <v>429</v>
      </c>
      <c r="C25" s="901">
        <v>43647</v>
      </c>
      <c r="D25" s="887">
        <v>4</v>
      </c>
      <c r="E25" s="888">
        <f>53842496*0</f>
        <v>0</v>
      </c>
      <c r="F25" s="889">
        <f t="shared" si="49"/>
        <v>0</v>
      </c>
      <c r="G25" s="888"/>
      <c r="H25" s="890"/>
      <c r="I25" s="890"/>
      <c r="J25" s="890"/>
      <c r="K25" s="890"/>
      <c r="L25" s="890"/>
      <c r="M25" s="890"/>
      <c r="N25" s="890"/>
      <c r="O25" s="890"/>
      <c r="P25" s="890"/>
      <c r="Q25" s="890"/>
      <c r="R25" s="890"/>
      <c r="S25" s="890"/>
      <c r="T25" s="890"/>
      <c r="U25" s="890"/>
      <c r="V25" s="890"/>
      <c r="W25" s="890">
        <f>(F25/12)*12</f>
        <v>0</v>
      </c>
      <c r="X25" s="890">
        <f t="shared" si="73"/>
        <v>0</v>
      </c>
      <c r="Y25" s="890">
        <f t="shared" si="60"/>
        <v>0</v>
      </c>
      <c r="Z25" s="890">
        <f>6730312*0</f>
        <v>0</v>
      </c>
      <c r="AA25" s="890">
        <f t="shared" si="61"/>
        <v>0</v>
      </c>
      <c r="AB25" s="890">
        <f t="shared" si="74"/>
        <v>0</v>
      </c>
      <c r="AC25" s="890">
        <f t="shared" si="62"/>
        <v>0</v>
      </c>
      <c r="AD25" s="890">
        <f t="shared" si="63"/>
        <v>0</v>
      </c>
      <c r="AE25" s="890">
        <f t="shared" si="75"/>
        <v>0</v>
      </c>
      <c r="AF25" s="890">
        <f t="shared" si="65"/>
        <v>0</v>
      </c>
      <c r="AG25" s="890">
        <f t="shared" si="66"/>
        <v>0</v>
      </c>
      <c r="AH25" s="890">
        <f>(F25/12)*12</f>
        <v>0</v>
      </c>
      <c r="AI25" s="890">
        <f t="shared" si="67"/>
        <v>0</v>
      </c>
      <c r="AJ25" s="890">
        <f t="shared" si="68"/>
        <v>0</v>
      </c>
      <c r="AK25" s="890"/>
      <c r="AL25" s="890"/>
      <c r="AM25" s="890"/>
      <c r="AN25" s="890"/>
      <c r="AO25" s="890"/>
      <c r="AP25" s="890"/>
      <c r="AQ25" s="890">
        <f>(F25/12)*6</f>
        <v>0</v>
      </c>
      <c r="AR25" s="890">
        <f t="shared" si="69"/>
        <v>0</v>
      </c>
      <c r="AS25" s="890">
        <f t="shared" si="70"/>
        <v>0</v>
      </c>
      <c r="AT25" s="1158"/>
      <c r="AU25" s="1158"/>
      <c r="AV25" s="1158"/>
      <c r="AW25" s="1158"/>
      <c r="AX25" s="1158"/>
      <c r="AY25" s="1158"/>
      <c r="AZ25" s="1158"/>
      <c r="BA25" s="1158"/>
      <c r="BB25" s="1158"/>
      <c r="BD25" s="8">
        <f t="shared" si="7"/>
        <v>0</v>
      </c>
      <c r="BF25" s="57"/>
      <c r="BG25" s="19"/>
      <c r="BH25" s="58"/>
      <c r="BI25" s="19"/>
    </row>
    <row r="26" spans="1:61" ht="14.25" hidden="1" customHeight="1">
      <c r="A26" s="884">
        <f t="shared" si="71"/>
        <v>9</v>
      </c>
      <c r="B26" s="900" t="s">
        <v>436</v>
      </c>
      <c r="C26" s="901">
        <v>43831</v>
      </c>
      <c r="D26" s="887">
        <v>4</v>
      </c>
      <c r="E26" s="888">
        <f>507156352*0</f>
        <v>0</v>
      </c>
      <c r="F26" s="889">
        <f t="shared" si="49"/>
        <v>0</v>
      </c>
      <c r="G26" s="888"/>
      <c r="H26" s="890"/>
      <c r="I26" s="890"/>
      <c r="J26" s="890"/>
      <c r="K26" s="890"/>
      <c r="L26" s="890"/>
      <c r="M26" s="890"/>
      <c r="N26" s="890"/>
      <c r="O26" s="890"/>
      <c r="P26" s="890"/>
      <c r="Q26" s="890"/>
      <c r="R26" s="890"/>
      <c r="S26" s="890"/>
      <c r="T26" s="890"/>
      <c r="U26" s="890"/>
      <c r="V26" s="890"/>
      <c r="W26" s="890"/>
      <c r="X26" s="890"/>
      <c r="Y26" s="890"/>
      <c r="Z26" s="890"/>
      <c r="AA26" s="890"/>
      <c r="AB26" s="890">
        <f t="shared" si="74"/>
        <v>0</v>
      </c>
      <c r="AC26" s="890">
        <f t="shared" si="62"/>
        <v>0</v>
      </c>
      <c r="AD26" s="890">
        <f t="shared" si="63"/>
        <v>0</v>
      </c>
      <c r="AE26" s="890">
        <f t="shared" si="75"/>
        <v>0</v>
      </c>
      <c r="AF26" s="890">
        <f t="shared" si="65"/>
        <v>0</v>
      </c>
      <c r="AG26" s="890">
        <f t="shared" si="66"/>
        <v>0</v>
      </c>
      <c r="AH26" s="890">
        <f>(F26/12)*12</f>
        <v>0</v>
      </c>
      <c r="AI26" s="890">
        <f t="shared" si="67"/>
        <v>0</v>
      </c>
      <c r="AJ26" s="890">
        <f t="shared" si="68"/>
        <v>0</v>
      </c>
      <c r="AK26" s="890"/>
      <c r="AL26" s="890"/>
      <c r="AM26" s="890"/>
      <c r="AN26" s="890"/>
      <c r="AO26" s="890"/>
      <c r="AP26" s="890"/>
      <c r="AQ26" s="890">
        <f>(F26/12)*7</f>
        <v>0</v>
      </c>
      <c r="AR26" s="890">
        <f t="shared" si="69"/>
        <v>0</v>
      </c>
      <c r="AS26" s="890">
        <f t="shared" si="70"/>
        <v>0</v>
      </c>
      <c r="AT26" s="1158"/>
      <c r="AU26" s="1158"/>
      <c r="AV26" s="1158"/>
      <c r="AW26" s="1158"/>
      <c r="AX26" s="1158"/>
      <c r="AY26" s="1158"/>
      <c r="AZ26" s="1158"/>
      <c r="BA26" s="1158"/>
      <c r="BB26" s="1158"/>
      <c r="BD26" s="8">
        <f t="shared" si="7"/>
        <v>0</v>
      </c>
      <c r="BF26" s="57"/>
      <c r="BG26" s="19"/>
      <c r="BH26" s="58"/>
      <c r="BI26" s="19"/>
    </row>
    <row r="27" spans="1:61" ht="14.25" hidden="1" customHeight="1">
      <c r="A27" s="884">
        <f t="shared" si="71"/>
        <v>10</v>
      </c>
      <c r="B27" s="900" t="s">
        <v>437</v>
      </c>
      <c r="C27" s="901">
        <v>44562</v>
      </c>
      <c r="D27" s="887">
        <v>4</v>
      </c>
      <c r="E27" s="888">
        <f>41754400*0</f>
        <v>0</v>
      </c>
      <c r="F27" s="889">
        <f t="shared" si="49"/>
        <v>0</v>
      </c>
      <c r="G27" s="888"/>
      <c r="H27" s="890"/>
      <c r="I27" s="890"/>
      <c r="J27" s="890"/>
      <c r="K27" s="890"/>
      <c r="L27" s="890"/>
      <c r="M27" s="890"/>
      <c r="N27" s="890"/>
      <c r="O27" s="890"/>
      <c r="P27" s="890"/>
      <c r="Q27" s="890"/>
      <c r="R27" s="890"/>
      <c r="S27" s="890"/>
      <c r="T27" s="890"/>
      <c r="U27" s="890"/>
      <c r="V27" s="890"/>
      <c r="W27" s="890"/>
      <c r="X27" s="890"/>
      <c r="Y27" s="890"/>
      <c r="Z27" s="890"/>
      <c r="AA27" s="890"/>
      <c r="AB27" s="890"/>
      <c r="AC27" s="890"/>
      <c r="AD27" s="890"/>
      <c r="AE27" s="890"/>
      <c r="AF27" s="890"/>
      <c r="AG27" s="890"/>
      <c r="AH27" s="890">
        <f>(F27/12)*12</f>
        <v>0</v>
      </c>
      <c r="AI27" s="890">
        <f>AF27+AH27</f>
        <v>0</v>
      </c>
      <c r="AJ27" s="890">
        <f t="shared" si="68"/>
        <v>0</v>
      </c>
      <c r="AK27" s="890"/>
      <c r="AL27" s="890"/>
      <c r="AM27" s="890"/>
      <c r="AN27" s="890"/>
      <c r="AO27" s="890"/>
      <c r="AP27" s="890"/>
      <c r="AQ27" s="890">
        <f>(F27/12)*7</f>
        <v>0</v>
      </c>
      <c r="AR27" s="890">
        <f t="shared" si="69"/>
        <v>0</v>
      </c>
      <c r="AS27" s="890">
        <f t="shared" si="70"/>
        <v>0</v>
      </c>
      <c r="AT27" s="1158"/>
      <c r="AU27" s="1158"/>
      <c r="AV27" s="1158"/>
      <c r="AW27" s="1158"/>
      <c r="AX27" s="1158"/>
      <c r="AY27" s="1158"/>
      <c r="AZ27" s="1158"/>
      <c r="BA27" s="1158"/>
      <c r="BB27" s="1158"/>
      <c r="BD27" s="8">
        <f t="shared" si="7"/>
        <v>0</v>
      </c>
      <c r="BF27" s="57"/>
      <c r="BG27" s="19">
        <f>AJ27-BF27</f>
        <v>0</v>
      </c>
      <c r="BH27" s="58">
        <f>F27/12</f>
        <v>0</v>
      </c>
      <c r="BI27" s="19">
        <f>BG27-BH27</f>
        <v>0</v>
      </c>
    </row>
    <row r="28" spans="1:61" ht="14.25" customHeight="1">
      <c r="E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61" ht="14.25" customHeight="1">
      <c r="A29" s="10"/>
      <c r="B29" s="9"/>
      <c r="C29" s="9"/>
      <c r="D29" s="10"/>
      <c r="E29" s="11">
        <f t="shared" ref="E29:BB29" si="76">SUM(E3:E27)</f>
        <v>6200217370</v>
      </c>
      <c r="F29" s="11">
        <f>SUM(F3:F27)</f>
        <v>557873342.5</v>
      </c>
      <c r="G29" s="11">
        <f t="shared" si="76"/>
        <v>5725320500</v>
      </c>
      <c r="H29" s="11">
        <f t="shared" si="76"/>
        <v>0</v>
      </c>
      <c r="I29" s="11">
        <f t="shared" si="76"/>
        <v>0</v>
      </c>
      <c r="J29" s="11">
        <f t="shared" si="76"/>
        <v>5725320500</v>
      </c>
      <c r="K29" s="11">
        <f t="shared" si="76"/>
        <v>0</v>
      </c>
      <c r="L29" s="11">
        <f t="shared" si="76"/>
        <v>0</v>
      </c>
      <c r="M29" s="11">
        <f t="shared" si="76"/>
        <v>5725320500</v>
      </c>
      <c r="N29" s="11">
        <f t="shared" si="76"/>
        <v>439149125</v>
      </c>
      <c r="O29" s="11">
        <f t="shared" si="76"/>
        <v>439149125</v>
      </c>
      <c r="P29" s="11">
        <f t="shared" si="76"/>
        <v>5286171375</v>
      </c>
      <c r="Q29" s="11">
        <f t="shared" si="76"/>
        <v>439149125</v>
      </c>
      <c r="R29" s="11">
        <f t="shared" si="76"/>
        <v>878298250</v>
      </c>
      <c r="S29" s="11">
        <f t="shared" si="76"/>
        <v>4847022250</v>
      </c>
      <c r="T29" s="11">
        <f>SUM(T3:T27)</f>
        <v>445604468.33333331</v>
      </c>
      <c r="U29" s="11">
        <f t="shared" si="76"/>
        <v>1323902718.3333333</v>
      </c>
      <c r="V29" s="11">
        <f t="shared" si="76"/>
        <v>4478881901.666667</v>
      </c>
      <c r="W29" s="11">
        <f>SUM(W3:W27)</f>
        <v>557873342.5</v>
      </c>
      <c r="X29" s="11">
        <f t="shared" si="76"/>
        <v>1881776060.8333333</v>
      </c>
      <c r="Y29" s="11">
        <f t="shared" si="76"/>
        <v>4318441309.166667</v>
      </c>
      <c r="Z29" s="11">
        <f t="shared" si="76"/>
        <v>4678676910.104166</v>
      </c>
      <c r="AA29" s="11">
        <f t="shared" si="76"/>
        <v>1521540459.8958335</v>
      </c>
      <c r="AB29" s="11">
        <f t="shared" si="76"/>
        <v>497213967.5</v>
      </c>
      <c r="AC29" s="11">
        <f t="shared" si="76"/>
        <v>2378990028.3333335</v>
      </c>
      <c r="AD29" s="11">
        <f t="shared" si="76"/>
        <v>3821227341.6666665</v>
      </c>
      <c r="AE29" s="11">
        <f t="shared" si="76"/>
        <v>497213967.5</v>
      </c>
      <c r="AF29" s="11">
        <f t="shared" si="76"/>
        <v>2876203995.8333335</v>
      </c>
      <c r="AG29" s="11">
        <f t="shared" si="76"/>
        <v>3324013374.1666665</v>
      </c>
      <c r="AH29" s="11">
        <f t="shared" si="76"/>
        <v>490758624.16666669</v>
      </c>
      <c r="AI29" s="11">
        <f t="shared" si="76"/>
        <v>3366962620</v>
      </c>
      <c r="AJ29" s="11">
        <f t="shared" si="76"/>
        <v>2833254750</v>
      </c>
      <c r="AK29" s="1161">
        <f t="shared" si="76"/>
        <v>31540812.5</v>
      </c>
      <c r="AL29" s="1161">
        <f t="shared" si="76"/>
        <v>3398503432.5</v>
      </c>
      <c r="AM29" s="1161">
        <f t="shared" si="76"/>
        <v>2801713937.5</v>
      </c>
      <c r="AN29" s="1188">
        <f t="shared" si="76"/>
        <v>283867312.5</v>
      </c>
      <c r="AO29" s="1188">
        <f t="shared" si="76"/>
        <v>3650829932.5</v>
      </c>
      <c r="AP29" s="1188">
        <f t="shared" si="76"/>
        <v>2549387437.5</v>
      </c>
      <c r="AQ29" s="11">
        <f t="shared" si="76"/>
        <v>378489750</v>
      </c>
      <c r="AR29" s="11">
        <f t="shared" si="76"/>
        <v>3745452370</v>
      </c>
      <c r="AS29" s="11">
        <f t="shared" si="76"/>
        <v>2454765000</v>
      </c>
      <c r="AT29" s="1161">
        <f t="shared" si="76"/>
        <v>230134218.75</v>
      </c>
      <c r="AU29" s="1161">
        <f t="shared" si="76"/>
        <v>3975586588.75</v>
      </c>
      <c r="AV29" s="1161">
        <f t="shared" si="76"/>
        <v>2224630781.25</v>
      </c>
      <c r="AW29" s="1188">
        <f t="shared" si="76"/>
        <v>51140937.5</v>
      </c>
      <c r="AX29" s="1188">
        <f t="shared" si="76"/>
        <v>4026727526.25</v>
      </c>
      <c r="AY29" s="1188">
        <f t="shared" si="76"/>
        <v>2173489843.75</v>
      </c>
      <c r="AZ29" s="1204">
        <f t="shared" si="76"/>
        <v>306845625</v>
      </c>
      <c r="BA29" s="1204">
        <f t="shared" si="76"/>
        <v>4052297995</v>
      </c>
      <c r="BB29" s="1204">
        <f t="shared" si="76"/>
        <v>2147919375</v>
      </c>
      <c r="BD29" s="8">
        <f>E29-BA29-BB29</f>
        <v>0</v>
      </c>
    </row>
    <row r="30" spans="1:61" ht="14.25" customHeight="1">
      <c r="B30" s="3" t="s">
        <v>16</v>
      </c>
      <c r="E30" s="13">
        <v>6200217370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</row>
    <row r="31" spans="1:61" ht="14.25" customHeight="1">
      <c r="E31" s="13">
        <f>E29-E30</f>
        <v>0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</row>
    <row r="32" spans="1:61" ht="14.25" customHeight="1">
      <c r="B32" s="47"/>
      <c r="C32" s="47"/>
      <c r="D32" s="48"/>
      <c r="E32" s="49"/>
      <c r="F32" s="50" t="s">
        <v>29</v>
      </c>
      <c r="G32" s="49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</row>
    <row r="33" spans="2:54" ht="14.25" customHeight="1">
      <c r="B33" s="51" t="s">
        <v>30</v>
      </c>
      <c r="C33" s="47"/>
      <c r="D33" s="48"/>
      <c r="E33" s="49">
        <v>0</v>
      </c>
      <c r="F33" s="50"/>
      <c r="G33" s="49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</row>
    <row r="34" spans="2:54" ht="14.25" customHeight="1">
      <c r="B34" s="51" t="s">
        <v>1097</v>
      </c>
      <c r="C34" s="47"/>
      <c r="D34" s="48"/>
      <c r="E34" s="49">
        <f>SUM(E5:E7)+SUM(E10:E12)+SUM(E18:E20)</f>
        <v>5725320500</v>
      </c>
      <c r="F34" s="52">
        <f t="shared" ref="F34:F43" si="77">E34-E33</f>
        <v>5725320500</v>
      </c>
      <c r="G34" s="49"/>
      <c r="I34" s="58"/>
      <c r="X34" s="15"/>
      <c r="AC34" s="15"/>
      <c r="AE34" s="18"/>
      <c r="AF34" s="15"/>
    </row>
    <row r="35" spans="2:54" ht="14.25" customHeight="1">
      <c r="B35" s="51" t="s">
        <v>1098</v>
      </c>
      <c r="C35" s="47"/>
      <c r="D35" s="48"/>
      <c r="E35" s="49">
        <f>E34+E13</f>
        <v>5725320500</v>
      </c>
      <c r="F35" s="52">
        <f t="shared" si="77"/>
        <v>0</v>
      </c>
      <c r="G35" s="49"/>
      <c r="X35" s="15"/>
      <c r="AC35" s="15"/>
      <c r="AE35" s="18"/>
      <c r="AF35" s="15"/>
    </row>
    <row r="36" spans="2:54" ht="14.25" customHeight="1">
      <c r="B36" s="51" t="s">
        <v>1099</v>
      </c>
      <c r="C36" s="47"/>
      <c r="D36" s="48"/>
      <c r="E36" s="49">
        <f>E35+E14+E21+SUM(E22:E23)</f>
        <v>5725320500</v>
      </c>
      <c r="F36" s="52">
        <f t="shared" si="77"/>
        <v>0</v>
      </c>
      <c r="G36" s="49"/>
      <c r="X36" s="15"/>
      <c r="AC36" s="15"/>
      <c r="AE36" s="18"/>
      <c r="AF36" s="15"/>
    </row>
    <row r="37" spans="2:54" ht="14.25" customHeight="1">
      <c r="B37" s="51" t="s">
        <v>1100</v>
      </c>
      <c r="C37" s="47"/>
      <c r="D37" s="48"/>
      <c r="E37" s="49">
        <f>E36</f>
        <v>5725320500</v>
      </c>
      <c r="F37" s="52">
        <f t="shared" si="77"/>
        <v>0</v>
      </c>
      <c r="G37" s="49"/>
      <c r="X37" s="15"/>
      <c r="AC37" s="15"/>
      <c r="AE37" s="18"/>
      <c r="AF37" s="15"/>
    </row>
    <row r="38" spans="2:54" ht="14.25" customHeight="1">
      <c r="B38" s="51" t="s">
        <v>1101</v>
      </c>
      <c r="C38" s="47"/>
      <c r="D38" s="48"/>
      <c r="E38" s="49">
        <f>E37+SUM(E15:E16)</f>
        <v>5802784620</v>
      </c>
      <c r="F38" s="52">
        <f t="shared" si="77"/>
        <v>77464120</v>
      </c>
      <c r="G38" s="49"/>
      <c r="X38" s="15"/>
      <c r="AC38" s="15"/>
      <c r="AF38" s="15"/>
    </row>
    <row r="39" spans="2:54" ht="14.25" customHeight="1">
      <c r="B39" s="51" t="s">
        <v>1102</v>
      </c>
      <c r="C39" s="47"/>
      <c r="D39" s="48"/>
      <c r="E39" s="49">
        <f>E38+E8+SUM(E24:E25)</f>
        <v>6200217370</v>
      </c>
      <c r="F39" s="52">
        <f t="shared" si="77"/>
        <v>397432750</v>
      </c>
      <c r="G39" s="49"/>
      <c r="X39" s="16"/>
      <c r="AC39" s="16"/>
      <c r="AF39" s="16"/>
    </row>
    <row r="40" spans="2:54" ht="14.25" customHeight="1">
      <c r="B40" s="51" t="s">
        <v>1103</v>
      </c>
      <c r="C40" s="47"/>
      <c r="D40" s="48"/>
      <c r="E40" s="49">
        <f>E39+E26</f>
        <v>6200217370</v>
      </c>
      <c r="F40" s="52">
        <f t="shared" si="77"/>
        <v>0</v>
      </c>
      <c r="G40" s="49"/>
    </row>
    <row r="41" spans="2:54" ht="14.25" customHeight="1">
      <c r="B41" s="51" t="s">
        <v>1104</v>
      </c>
      <c r="C41" s="47"/>
      <c r="D41" s="48"/>
      <c r="E41" s="49">
        <f>E40</f>
        <v>6200217370</v>
      </c>
      <c r="F41" s="52">
        <f t="shared" si="77"/>
        <v>0</v>
      </c>
      <c r="G41" s="49"/>
    </row>
    <row r="42" spans="2:54" ht="14.25" customHeight="1">
      <c r="B42" s="51" t="s">
        <v>1105</v>
      </c>
      <c r="C42" s="47"/>
      <c r="D42" s="48"/>
      <c r="E42" s="49">
        <f>E41+E27</f>
        <v>6200217370</v>
      </c>
      <c r="F42" s="52">
        <f t="shared" si="77"/>
        <v>0</v>
      </c>
      <c r="G42" s="49"/>
    </row>
    <row r="43" spans="2:54" ht="13" customHeight="1">
      <c r="B43" s="51" t="s">
        <v>1106</v>
      </c>
      <c r="C43" s="47"/>
      <c r="D43" s="48"/>
      <c r="E43" s="49">
        <f>E42</f>
        <v>6200217370</v>
      </c>
      <c r="F43" s="52">
        <f t="shared" si="77"/>
        <v>0</v>
      </c>
      <c r="G43" s="49"/>
    </row>
    <row r="44" spans="2:54" ht="13" customHeight="1">
      <c r="B44" s="51" t="s">
        <v>1310</v>
      </c>
      <c r="C44" s="47"/>
      <c r="D44" s="48"/>
      <c r="E44" s="49">
        <f>E43</f>
        <v>6200217370</v>
      </c>
      <c r="F44" s="52">
        <f t="shared" ref="F44" si="78">E44-E43</f>
        <v>0</v>
      </c>
      <c r="G44" s="49"/>
    </row>
  </sheetData>
  <autoFilter ref="A1:BB27" xr:uid="{4C1ACC4A-EFC3-4613-A497-A77514C4B09E}">
    <filterColumn colId="4">
      <filters blank="1">
        <filter val="117.276.000"/>
        <filter val="125.361.500"/>
        <filter val="397.432.750"/>
        <filter val="4.909.530.000"/>
        <filter val="573.153.000"/>
        <filter val="77.464.120"/>
        <filter val="Perolehan"/>
      </filters>
    </filterColumn>
  </autoFilter>
  <sortState xmlns:xlrd2="http://schemas.microsoft.com/office/spreadsheetml/2017/richdata2" ref="B3:E15">
    <sortCondition ref="C3:C15"/>
  </sortState>
  <mergeCells count="17">
    <mergeCell ref="AZ1:AZ2"/>
    <mergeCell ref="AW1:AW2"/>
    <mergeCell ref="AT1:AT2"/>
    <mergeCell ref="AQ1:AQ2"/>
    <mergeCell ref="Q1:Q2"/>
    <mergeCell ref="AH1:AH2"/>
    <mergeCell ref="T1:T2"/>
    <mergeCell ref="W1:W2"/>
    <mergeCell ref="AB1:AB2"/>
    <mergeCell ref="AE1:AE2"/>
    <mergeCell ref="AK1:AK2"/>
    <mergeCell ref="AN1:AN2"/>
    <mergeCell ref="A1:A2"/>
    <mergeCell ref="B1:B2"/>
    <mergeCell ref="H1:H2"/>
    <mergeCell ref="K1:K2"/>
    <mergeCell ref="N1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0257-5BAB-4832-90EB-282391797246}">
  <sheetPr filterMode="1">
    <tabColor theme="5" tint="0.39997558519241921"/>
  </sheetPr>
  <dimension ref="A1:BC330"/>
  <sheetViews>
    <sheetView showGridLines="0" zoomScale="84" zoomScaleNormal="80" workbookViewId="0">
      <pane xSplit="7" ySplit="2" topLeftCell="AG239" activePane="bottomRight" state="frozen"/>
      <selection pane="topRight" activeCell="H1" sqref="H1"/>
      <selection pane="bottomLeft" activeCell="A3" sqref="A3"/>
      <selection pane="bottomRight" activeCell="AV313" sqref="AV313"/>
    </sheetView>
  </sheetViews>
  <sheetFormatPr defaultColWidth="9.1796875" defaultRowHeight="14" customHeight="1" outlineLevelCol="1"/>
  <cols>
    <col min="1" max="1" width="3.6328125" style="12" customWidth="1"/>
    <col min="2" max="2" width="27.36328125" style="3" bestFit="1" customWidth="1"/>
    <col min="3" max="3" width="8.54296875" style="235" customWidth="1"/>
    <col min="4" max="4" width="9.453125" style="12" bestFit="1" customWidth="1"/>
    <col min="5" max="5" width="15.08984375" style="3" bestFit="1" customWidth="1"/>
    <col min="6" max="6" width="13.54296875" style="14" bestFit="1" customWidth="1"/>
    <col min="7" max="7" width="17.453125" style="3" customWidth="1" outlineLevel="1"/>
    <col min="8" max="8" width="14.453125" style="3" customWidth="1" outlineLevel="1"/>
    <col min="9" max="9" width="12.7265625" style="3" customWidth="1" outlineLevel="1"/>
    <col min="10" max="10" width="17.453125" style="3" customWidth="1" outlineLevel="1"/>
    <col min="11" max="11" width="14.453125" style="3" customWidth="1" outlineLevel="1"/>
    <col min="12" max="12" width="12.7265625" style="3" customWidth="1" outlineLevel="1"/>
    <col min="13" max="13" width="17.453125" style="3" customWidth="1" outlineLevel="1"/>
    <col min="14" max="14" width="14.453125" style="3" customWidth="1" outlineLevel="1"/>
    <col min="15" max="15" width="12.7265625" style="3" customWidth="1" outlineLevel="1"/>
    <col min="16" max="16" width="17.453125" style="3" customWidth="1" outlineLevel="1"/>
    <col min="17" max="17" width="14.453125" style="3" customWidth="1" outlineLevel="1"/>
    <col min="18" max="18" width="12.7265625" style="3" customWidth="1" outlineLevel="1"/>
    <col min="19" max="19" width="17.453125" style="3" customWidth="1" outlineLevel="1"/>
    <col min="20" max="20" width="14.453125" style="3" customWidth="1" outlineLevel="1"/>
    <col min="21" max="21" width="12.7265625" style="3" customWidth="1" outlineLevel="1"/>
    <col min="22" max="22" width="17.453125" style="3" customWidth="1" outlineLevel="1"/>
    <col min="23" max="23" width="14.453125" style="3" customWidth="1" outlineLevel="1"/>
    <col min="24" max="24" width="12.7265625" style="3" customWidth="1" outlineLevel="1"/>
    <col min="25" max="26" width="12.7265625" style="3" hidden="1" customWidth="1"/>
    <col min="27" max="27" width="17.453125" style="3" bestFit="1" customWidth="1"/>
    <col min="28" max="28" width="14.453125" style="3" bestFit="1" customWidth="1"/>
    <col min="29" max="29" width="15.08984375" style="3" bestFit="1" customWidth="1"/>
    <col min="30" max="30" width="17.453125" style="3" bestFit="1" customWidth="1"/>
    <col min="31" max="31" width="14.453125" style="3" bestFit="1" customWidth="1"/>
    <col min="32" max="32" width="12.7265625" style="3" bestFit="1" customWidth="1"/>
    <col min="33" max="33" width="13.81640625" style="3" customWidth="1"/>
    <col min="34" max="34" width="14.6328125" style="3" bestFit="1" customWidth="1"/>
    <col min="35" max="35" width="15.08984375" style="3" bestFit="1" customWidth="1"/>
    <col min="36" max="41" width="15.08984375" style="3" hidden="1" customWidth="1"/>
    <col min="42" max="42" width="12.81640625" style="3" customWidth="1"/>
    <col min="43" max="43" width="13.453125" style="3" bestFit="1" customWidth="1"/>
    <col min="44" max="44" width="13.08984375" style="3" bestFit="1" customWidth="1"/>
    <col min="45" max="47" width="13.08984375" style="3" hidden="1" customWidth="1"/>
    <col min="48" max="50" width="13.08984375" style="3" customWidth="1"/>
    <col min="51" max="51" width="10.453125" style="3" bestFit="1" customWidth="1"/>
    <col min="52" max="52" width="9.90625" style="3" bestFit="1" customWidth="1"/>
    <col min="53" max="53" width="9.1796875" style="3"/>
    <col min="54" max="54" width="27.54296875" style="3" bestFit="1" customWidth="1"/>
    <col min="55" max="55" width="34.90625" style="3" bestFit="1" customWidth="1"/>
    <col min="56" max="16384" width="9.1796875" style="3"/>
  </cols>
  <sheetData>
    <row r="1" spans="1:55" ht="14.25" customHeight="1">
      <c r="A1" s="1320" t="s">
        <v>17</v>
      </c>
      <c r="B1" s="1318" t="s">
        <v>0</v>
      </c>
      <c r="C1" s="232" t="s">
        <v>1</v>
      </c>
      <c r="D1" s="2" t="s">
        <v>2</v>
      </c>
      <c r="E1" s="2" t="s">
        <v>3</v>
      </c>
      <c r="F1" s="2" t="s">
        <v>4</v>
      </c>
      <c r="G1" s="1318" t="s">
        <v>133</v>
      </c>
      <c r="H1" s="1" t="s">
        <v>6</v>
      </c>
      <c r="I1" s="1" t="s">
        <v>7</v>
      </c>
      <c r="J1" s="1318" t="s">
        <v>127</v>
      </c>
      <c r="K1" s="1" t="s">
        <v>6</v>
      </c>
      <c r="L1" s="1" t="s">
        <v>7</v>
      </c>
      <c r="M1" s="1318" t="s">
        <v>130</v>
      </c>
      <c r="N1" s="1" t="s">
        <v>6</v>
      </c>
      <c r="O1" s="1" t="s">
        <v>7</v>
      </c>
      <c r="P1" s="1318" t="s">
        <v>26</v>
      </c>
      <c r="Q1" s="1" t="s">
        <v>6</v>
      </c>
      <c r="R1" s="1" t="s">
        <v>7</v>
      </c>
      <c r="S1" s="1318" t="s">
        <v>18</v>
      </c>
      <c r="T1" s="1" t="s">
        <v>6</v>
      </c>
      <c r="U1" s="1" t="s">
        <v>7</v>
      </c>
      <c r="V1" s="1318" t="s">
        <v>136</v>
      </c>
      <c r="W1" s="1" t="s">
        <v>6</v>
      </c>
      <c r="X1" s="1" t="s">
        <v>7</v>
      </c>
      <c r="Y1" s="1035" t="s">
        <v>1165</v>
      </c>
      <c r="Z1" s="1035" t="s">
        <v>1165</v>
      </c>
      <c r="AA1" s="1318" t="s">
        <v>5</v>
      </c>
      <c r="AB1" s="1" t="s">
        <v>6</v>
      </c>
      <c r="AC1" s="1" t="s">
        <v>7</v>
      </c>
      <c r="AD1" s="1318" t="s">
        <v>8</v>
      </c>
      <c r="AE1" s="1" t="s">
        <v>6</v>
      </c>
      <c r="AF1" s="1" t="s">
        <v>7</v>
      </c>
      <c r="AG1" s="1318" t="s">
        <v>23</v>
      </c>
      <c r="AH1" s="1" t="s">
        <v>6</v>
      </c>
      <c r="AI1" s="1" t="s">
        <v>7</v>
      </c>
      <c r="AJ1" s="1321" t="s">
        <v>1284</v>
      </c>
      <c r="AK1" s="1156" t="s">
        <v>6</v>
      </c>
      <c r="AL1" s="1156" t="s">
        <v>7</v>
      </c>
      <c r="AM1" s="1326" t="s">
        <v>1299</v>
      </c>
      <c r="AN1" s="1185" t="s">
        <v>6</v>
      </c>
      <c r="AO1" s="1185" t="s">
        <v>7</v>
      </c>
      <c r="AP1" s="1318" t="s">
        <v>1219</v>
      </c>
      <c r="AQ1" s="1" t="s">
        <v>6</v>
      </c>
      <c r="AR1" s="1" t="s">
        <v>7</v>
      </c>
      <c r="AS1" s="1321" t="s">
        <v>1302</v>
      </c>
      <c r="AT1" s="1156" t="s">
        <v>6</v>
      </c>
      <c r="AU1" s="1156" t="s">
        <v>7</v>
      </c>
      <c r="AV1" s="1318" t="s">
        <v>1305</v>
      </c>
      <c r="AW1" s="1" t="s">
        <v>6</v>
      </c>
      <c r="AX1" s="1" t="s">
        <v>7</v>
      </c>
    </row>
    <row r="2" spans="1:55" ht="14.25" customHeight="1">
      <c r="A2" s="1320"/>
      <c r="B2" s="1318"/>
      <c r="C2" s="233" t="s">
        <v>9</v>
      </c>
      <c r="D2" s="4" t="s">
        <v>10</v>
      </c>
      <c r="E2" s="4" t="s">
        <v>9</v>
      </c>
      <c r="F2" s="4" t="s">
        <v>11</v>
      </c>
      <c r="G2" s="1318"/>
      <c r="H2" s="1" t="s">
        <v>134</v>
      </c>
      <c r="I2" s="1" t="s">
        <v>135</v>
      </c>
      <c r="J2" s="1318"/>
      <c r="K2" s="1" t="s">
        <v>128</v>
      </c>
      <c r="L2" s="1" t="s">
        <v>129</v>
      </c>
      <c r="M2" s="1318"/>
      <c r="N2" s="1" t="s">
        <v>131</v>
      </c>
      <c r="O2" s="1" t="s">
        <v>132</v>
      </c>
      <c r="P2" s="1318"/>
      <c r="Q2" s="1" t="s">
        <v>27</v>
      </c>
      <c r="R2" s="1" t="s">
        <v>28</v>
      </c>
      <c r="S2" s="1318"/>
      <c r="T2" s="1" t="s">
        <v>19</v>
      </c>
      <c r="U2" s="1" t="s">
        <v>20</v>
      </c>
      <c r="V2" s="1318"/>
      <c r="W2" s="1" t="s">
        <v>21</v>
      </c>
      <c r="X2" s="1" t="s">
        <v>22</v>
      </c>
      <c r="Y2" s="1035" t="s">
        <v>1166</v>
      </c>
      <c r="Z2" s="1035" t="s">
        <v>1167</v>
      </c>
      <c r="AA2" s="1318"/>
      <c r="AB2" s="1" t="s">
        <v>12</v>
      </c>
      <c r="AC2" s="1" t="s">
        <v>13</v>
      </c>
      <c r="AD2" s="1318"/>
      <c r="AE2" s="1" t="s">
        <v>14</v>
      </c>
      <c r="AF2" s="1" t="s">
        <v>15</v>
      </c>
      <c r="AG2" s="1318"/>
      <c r="AH2" s="1" t="s">
        <v>24</v>
      </c>
      <c r="AI2" s="1" t="s">
        <v>25</v>
      </c>
      <c r="AJ2" s="1321"/>
      <c r="AK2" s="1156" t="s">
        <v>1285</v>
      </c>
      <c r="AL2" s="1156" t="s">
        <v>1286</v>
      </c>
      <c r="AM2" s="1326"/>
      <c r="AN2" s="1185" t="s">
        <v>1300</v>
      </c>
      <c r="AO2" s="1185" t="s">
        <v>1301</v>
      </c>
      <c r="AP2" s="1318"/>
      <c r="AQ2" s="1" t="s">
        <v>1220</v>
      </c>
      <c r="AR2" s="1" t="s">
        <v>1221</v>
      </c>
      <c r="AS2" s="1322"/>
      <c r="AT2" s="1159" t="s">
        <v>1303</v>
      </c>
      <c r="AU2" s="1159" t="s">
        <v>1298</v>
      </c>
      <c r="AV2" s="1318"/>
      <c r="AW2" s="1" t="s">
        <v>1306</v>
      </c>
      <c r="AX2" s="1" t="s">
        <v>1307</v>
      </c>
      <c r="AZ2" s="5" t="s">
        <v>16</v>
      </c>
    </row>
    <row r="3" spans="1:55" s="220" customFormat="1" ht="14.25" customHeight="1">
      <c r="A3" s="231" t="s">
        <v>438</v>
      </c>
      <c r="B3" s="214"/>
      <c r="C3" s="234"/>
      <c r="D3" s="216"/>
      <c r="E3" s="217"/>
      <c r="F3" s="218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179"/>
      <c r="AZ3" s="61"/>
      <c r="BB3" s="221"/>
      <c r="BC3" s="179"/>
    </row>
    <row r="4" spans="1:55" s="220" customFormat="1" ht="14.25" customHeight="1">
      <c r="A4" s="190" t="s">
        <v>232</v>
      </c>
      <c r="B4" s="214" t="s">
        <v>405</v>
      </c>
      <c r="C4" s="234"/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22"/>
      <c r="AZ4" s="61"/>
      <c r="BB4" s="221"/>
      <c r="BC4" s="179"/>
    </row>
    <row r="5" spans="1:55" s="220" customFormat="1" ht="14.25" customHeight="1">
      <c r="A5" s="190" t="s">
        <v>440</v>
      </c>
      <c r="B5" s="214" t="s">
        <v>439</v>
      </c>
      <c r="C5" s="234"/>
      <c r="D5" s="216"/>
      <c r="E5" s="217"/>
      <c r="F5" s="218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22"/>
      <c r="AZ5" s="61"/>
      <c r="BB5" s="221"/>
      <c r="BC5" s="179"/>
    </row>
    <row r="6" spans="1:55" ht="14.25" customHeight="1">
      <c r="A6" s="17">
        <v>1</v>
      </c>
      <c r="B6" s="53" t="s">
        <v>441</v>
      </c>
      <c r="C6" s="671">
        <v>37987</v>
      </c>
      <c r="D6" s="55">
        <v>16</v>
      </c>
      <c r="E6" s="6">
        <v>1176000000</v>
      </c>
      <c r="F6" s="1041">
        <f>E6/D6</f>
        <v>73500000</v>
      </c>
      <c r="G6" s="1053"/>
      <c r="H6" s="1042">
        <f t="shared" ref="H6:H12" si="0">G6</f>
        <v>0</v>
      </c>
      <c r="I6" s="1042">
        <f>E6-H6</f>
        <v>1176000000</v>
      </c>
      <c r="J6" s="1042"/>
      <c r="K6" s="1042">
        <f t="shared" ref="K6:K9" si="1">J6+H6</f>
        <v>0</v>
      </c>
      <c r="L6" s="1042">
        <f>E6-K6</f>
        <v>1176000000</v>
      </c>
      <c r="M6" s="1042">
        <f>(F6/12)*12</f>
        <v>73500000</v>
      </c>
      <c r="N6" s="1042">
        <f>M6+K6</f>
        <v>73500000</v>
      </c>
      <c r="O6" s="1042">
        <f>E6-N6</f>
        <v>1102500000</v>
      </c>
      <c r="P6" s="1042">
        <f>(F6/12)*12</f>
        <v>73500000</v>
      </c>
      <c r="Q6" s="1042">
        <f>N6+P6</f>
        <v>147000000</v>
      </c>
      <c r="R6" s="1042">
        <f>E6-Q6</f>
        <v>1029000000</v>
      </c>
      <c r="S6" s="1042">
        <f>(F6/12)*12</f>
        <v>73500000</v>
      </c>
      <c r="T6" s="1042">
        <f>Q6+S6</f>
        <v>220500000</v>
      </c>
      <c r="U6" s="1042">
        <f>E6-T6</f>
        <v>955500000</v>
      </c>
      <c r="V6" s="1042">
        <f>(F6/12)*12</f>
        <v>73500000</v>
      </c>
      <c r="W6" s="1042">
        <f t="shared" ref="W6:W10" si="2">T6+V6</f>
        <v>294000000</v>
      </c>
      <c r="X6" s="1042">
        <f>E6-W6</f>
        <v>882000000</v>
      </c>
      <c r="Y6" s="7">
        <v>588000000</v>
      </c>
      <c r="Z6" s="7">
        <f>E6-Y6</f>
        <v>588000000</v>
      </c>
      <c r="AA6" s="1042">
        <f>(F6/12)*12</f>
        <v>73500000</v>
      </c>
      <c r="AB6" s="1042">
        <f>W6+AA6</f>
        <v>367500000</v>
      </c>
      <c r="AC6" s="1042">
        <f>E6-AB6</f>
        <v>808500000</v>
      </c>
      <c r="AD6" s="1042">
        <f t="shared" ref="AD6:AD7" si="3">(F6/12)*12</f>
        <v>73500000</v>
      </c>
      <c r="AE6" s="1042">
        <f t="shared" ref="AE6:AE12" si="4">AB6+AD6</f>
        <v>441000000</v>
      </c>
      <c r="AF6" s="1042">
        <f>E6-AE6</f>
        <v>735000000</v>
      </c>
      <c r="AG6" s="1042">
        <f t="shared" ref="AG6:AG7" si="5">(F6/12)*12</f>
        <v>73500000</v>
      </c>
      <c r="AH6" s="1042">
        <f t="shared" ref="AH6:AH9" si="6">AE6+AG6</f>
        <v>514500000</v>
      </c>
      <c r="AI6" s="1042">
        <f>E6-AH6</f>
        <v>661500000</v>
      </c>
      <c r="AJ6" s="1042">
        <f>(F6/12)*1</f>
        <v>6125000</v>
      </c>
      <c r="AK6" s="1042">
        <f>AH6+AJ6</f>
        <v>520625000</v>
      </c>
      <c r="AL6" s="1042">
        <f>E6-AK6</f>
        <v>655375000</v>
      </c>
      <c r="AM6" s="1042">
        <f>(F6/12)*9</f>
        <v>55125000</v>
      </c>
      <c r="AN6" s="1042">
        <f>AH6+AM6</f>
        <v>569625000</v>
      </c>
      <c r="AO6" s="1042">
        <f>E6-AN6</f>
        <v>606375000</v>
      </c>
      <c r="AP6" s="1042">
        <f>(F6/12)*12</f>
        <v>73500000</v>
      </c>
      <c r="AQ6" s="1042">
        <f>AH6+AP6</f>
        <v>588000000</v>
      </c>
      <c r="AR6" s="1042">
        <f>E6-AQ6</f>
        <v>588000000</v>
      </c>
      <c r="AS6" s="1042">
        <f>(F6/12)*9</f>
        <v>55125000</v>
      </c>
      <c r="AT6" s="1042">
        <f>AQ6+AS6</f>
        <v>643125000</v>
      </c>
      <c r="AU6" s="1042">
        <f>E6-AT6</f>
        <v>532875000</v>
      </c>
      <c r="AV6" s="1042">
        <f>(F6/12)*12</f>
        <v>73500000</v>
      </c>
      <c r="AW6" s="1042">
        <f>AQ6+AV6</f>
        <v>661500000</v>
      </c>
      <c r="AX6" s="1042">
        <f>E6-AW6</f>
        <v>514500000</v>
      </c>
      <c r="AY6" s="58"/>
      <c r="AZ6" s="8">
        <f>E6-AW6-AX6</f>
        <v>0</v>
      </c>
      <c r="BB6" s="57"/>
      <c r="BC6" s="19"/>
    </row>
    <row r="7" spans="1:55" ht="14.25" customHeight="1">
      <c r="A7" s="17">
        <f>A6+1</f>
        <v>2</v>
      </c>
      <c r="B7" s="53" t="s">
        <v>442</v>
      </c>
      <c r="C7" s="671">
        <v>38353</v>
      </c>
      <c r="D7" s="55">
        <v>16</v>
      </c>
      <c r="E7" s="6">
        <v>868700000</v>
      </c>
      <c r="F7" s="1041">
        <f>E7/D7</f>
        <v>54293750</v>
      </c>
      <c r="G7" s="1053"/>
      <c r="H7" s="1042">
        <f t="shared" si="0"/>
        <v>0</v>
      </c>
      <c r="I7" s="1042">
        <f>E7-H7</f>
        <v>868700000</v>
      </c>
      <c r="J7" s="1042"/>
      <c r="K7" s="1042">
        <f t="shared" si="1"/>
        <v>0</v>
      </c>
      <c r="L7" s="1042">
        <f>E7-K7</f>
        <v>868700000</v>
      </c>
      <c r="M7" s="1042">
        <f>(F7/12)*12</f>
        <v>54293750</v>
      </c>
      <c r="N7" s="1042">
        <f>M7+K7</f>
        <v>54293750</v>
      </c>
      <c r="O7" s="1042">
        <f>E7-N7</f>
        <v>814406250</v>
      </c>
      <c r="P7" s="1042">
        <f>(F7/12)*12</f>
        <v>54293750</v>
      </c>
      <c r="Q7" s="1042">
        <f>N7+P7</f>
        <v>108587500</v>
      </c>
      <c r="R7" s="1042">
        <f>E7-Q7</f>
        <v>760112500</v>
      </c>
      <c r="S7" s="1042">
        <f>(F7/12)*12</f>
        <v>54293750</v>
      </c>
      <c r="T7" s="1042">
        <f t="shared" ref="T7:T10" si="7">Q7+S7</f>
        <v>162881250</v>
      </c>
      <c r="U7" s="1042">
        <f>E7-T7</f>
        <v>705818750</v>
      </c>
      <c r="V7" s="1042">
        <f>(F7/12)*12</f>
        <v>54293750</v>
      </c>
      <c r="W7" s="1042">
        <f t="shared" si="2"/>
        <v>217175000</v>
      </c>
      <c r="X7" s="1042">
        <f>E7-W7</f>
        <v>651525000</v>
      </c>
      <c r="Y7" s="7">
        <v>434349999.99999976</v>
      </c>
      <c r="Z7" s="7">
        <f>E7-Y7</f>
        <v>434350000.00000024</v>
      </c>
      <c r="AA7" s="1042">
        <f>(F7/12)*12</f>
        <v>54293750</v>
      </c>
      <c r="AB7" s="1042">
        <f>W7+AA7</f>
        <v>271468750</v>
      </c>
      <c r="AC7" s="1042">
        <f>E7-AB7</f>
        <v>597231250</v>
      </c>
      <c r="AD7" s="1042">
        <f t="shared" si="3"/>
        <v>54293750</v>
      </c>
      <c r="AE7" s="1042">
        <f t="shared" ref="AE7" si="8">AB7+AD7</f>
        <v>325762500</v>
      </c>
      <c r="AF7" s="1042">
        <f>E7-AE7</f>
        <v>542937500</v>
      </c>
      <c r="AG7" s="1042">
        <f t="shared" si="5"/>
        <v>54293750</v>
      </c>
      <c r="AH7" s="1042">
        <f t="shared" si="6"/>
        <v>380056250</v>
      </c>
      <c r="AI7" s="1042">
        <f>E7-AH7</f>
        <v>488643750</v>
      </c>
      <c r="AJ7" s="1042">
        <f>(F7/12)*1</f>
        <v>4524479.166666667</v>
      </c>
      <c r="AK7" s="1042">
        <f>AH7+AJ7</f>
        <v>384580729.16666669</v>
      </c>
      <c r="AL7" s="1042">
        <f>E7-AK7</f>
        <v>484119270.83333331</v>
      </c>
      <c r="AM7" s="1042">
        <f>(F7/12)*9</f>
        <v>40720312.5</v>
      </c>
      <c r="AN7" s="1042">
        <f>AH7+AM7</f>
        <v>420776562.5</v>
      </c>
      <c r="AO7" s="1042">
        <f>E7-AN7</f>
        <v>447923437.5</v>
      </c>
      <c r="AP7" s="1042">
        <f>(F7/12)*12</f>
        <v>54293750</v>
      </c>
      <c r="AQ7" s="1042">
        <f t="shared" ref="AQ7:AQ69" si="9">AH7+AP7</f>
        <v>434350000</v>
      </c>
      <c r="AR7" s="1042">
        <f>E7-AQ7</f>
        <v>434350000</v>
      </c>
      <c r="AS7" s="1042">
        <f>(F7/12)*9</f>
        <v>40720312.5</v>
      </c>
      <c r="AT7" s="1042">
        <f t="shared" ref="AT7:AT70" si="10">AQ7+AS7</f>
        <v>475070312.5</v>
      </c>
      <c r="AU7" s="1042">
        <f>E7-AT7</f>
        <v>393629687.5</v>
      </c>
      <c r="AV7" s="1042">
        <f>(F7/12)*12</f>
        <v>54293750</v>
      </c>
      <c r="AW7" s="1042">
        <f>AQ7+AV7</f>
        <v>488643750</v>
      </c>
      <c r="AX7" s="1042">
        <f>E7-AW7</f>
        <v>380056250</v>
      </c>
      <c r="AY7" s="58"/>
      <c r="AZ7" s="8">
        <f t="shared" ref="AZ7:AZ8" si="11">E7-AW7-AX7</f>
        <v>0</v>
      </c>
      <c r="BB7" s="57"/>
      <c r="BC7" s="19"/>
    </row>
    <row r="8" spans="1:55" s="220" customFormat="1" ht="14.25" customHeight="1">
      <c r="A8" s="190" t="s">
        <v>444</v>
      </c>
      <c r="B8" s="214" t="s">
        <v>443</v>
      </c>
      <c r="C8" s="234"/>
      <c r="D8" s="216"/>
      <c r="E8" s="217"/>
      <c r="F8" s="1045"/>
      <c r="G8" s="1046"/>
      <c r="H8" s="1046"/>
      <c r="I8" s="1046"/>
      <c r="J8" s="1046"/>
      <c r="K8" s="1046"/>
      <c r="L8" s="1046"/>
      <c r="M8" s="1046"/>
      <c r="N8" s="1046"/>
      <c r="O8" s="1046"/>
      <c r="P8" s="1046"/>
      <c r="Q8" s="1046"/>
      <c r="R8" s="1046"/>
      <c r="S8" s="1046"/>
      <c r="T8" s="1046"/>
      <c r="U8" s="1046"/>
      <c r="V8" s="1046"/>
      <c r="W8" s="1046"/>
      <c r="X8" s="1046"/>
      <c r="Y8" s="219"/>
      <c r="Z8" s="219"/>
      <c r="AA8" s="1046"/>
      <c r="AB8" s="1046"/>
      <c r="AC8" s="1046"/>
      <c r="AD8" s="1046"/>
      <c r="AE8" s="1046"/>
      <c r="AF8" s="1046"/>
      <c r="AG8" s="1046"/>
      <c r="AH8" s="1046"/>
      <c r="AI8" s="1046"/>
      <c r="AJ8" s="1046"/>
      <c r="AK8" s="1046"/>
      <c r="AL8" s="1046"/>
      <c r="AM8" s="1046"/>
      <c r="AN8" s="1046"/>
      <c r="AO8" s="1046"/>
      <c r="AP8" s="1046"/>
      <c r="AQ8" s="1046">
        <f t="shared" si="9"/>
        <v>0</v>
      </c>
      <c r="AR8" s="1046"/>
      <c r="AS8" s="1046"/>
      <c r="AT8" s="1046">
        <f t="shared" si="10"/>
        <v>0</v>
      </c>
      <c r="AU8" s="1046"/>
      <c r="AV8" s="1046"/>
      <c r="AW8" s="1046"/>
      <c r="AX8" s="1046"/>
      <c r="AY8" s="222"/>
      <c r="AZ8" s="8">
        <f t="shared" si="11"/>
        <v>0</v>
      </c>
      <c r="BB8" s="221"/>
      <c r="BC8" s="179"/>
    </row>
    <row r="9" spans="1:55" ht="14.25" hidden="1" customHeight="1">
      <c r="A9" s="17">
        <v>1</v>
      </c>
      <c r="B9" s="906" t="s">
        <v>445</v>
      </c>
      <c r="C9" s="903">
        <v>37257</v>
      </c>
      <c r="D9" s="877">
        <v>8</v>
      </c>
      <c r="E9" s="878">
        <f>1792100000*0</f>
        <v>0</v>
      </c>
      <c r="F9" s="879">
        <f t="shared" ref="F9:F16" si="12">E9/D9</f>
        <v>0</v>
      </c>
      <c r="G9" s="880">
        <f>(F9/12)*(13-IF(C9="","",MONTH(C9)))*13</f>
        <v>0</v>
      </c>
      <c r="H9" s="880">
        <f t="shared" si="0"/>
        <v>0</v>
      </c>
      <c r="I9" s="880">
        <f>E9-H9</f>
        <v>0</v>
      </c>
      <c r="J9" s="880">
        <f>(F9/12)*12</f>
        <v>0</v>
      </c>
      <c r="K9" s="880">
        <f t="shared" si="1"/>
        <v>0</v>
      </c>
      <c r="L9" s="880">
        <f>E9-K9</f>
        <v>0</v>
      </c>
      <c r="M9" s="880">
        <f>(F9/12)*12</f>
        <v>0</v>
      </c>
      <c r="N9" s="880">
        <f t="shared" ref="N9:N10" si="13">M9+K9</f>
        <v>0</v>
      </c>
      <c r="O9" s="880">
        <f>E9-N9</f>
        <v>0</v>
      </c>
      <c r="P9" s="880">
        <f>(F9/12)*12</f>
        <v>0</v>
      </c>
      <c r="Q9" s="880">
        <f t="shared" ref="Q9:Q10" si="14">N9+P9</f>
        <v>0</v>
      </c>
      <c r="R9" s="880">
        <f>E9-Q9</f>
        <v>0</v>
      </c>
      <c r="S9" s="880">
        <f>(F9/12)*0</f>
        <v>0</v>
      </c>
      <c r="T9" s="880">
        <f t="shared" si="7"/>
        <v>0</v>
      </c>
      <c r="U9" s="880">
        <f>E9-T9</f>
        <v>0</v>
      </c>
      <c r="V9" s="880">
        <f>(F9/12)*0</f>
        <v>0</v>
      </c>
      <c r="W9" s="880">
        <f t="shared" si="2"/>
        <v>0</v>
      </c>
      <c r="X9" s="880">
        <f>E9-W9</f>
        <v>0</v>
      </c>
      <c r="Y9" s="880">
        <f>896050000.000001*0</f>
        <v>0</v>
      </c>
      <c r="Z9" s="880">
        <f>E9-Y9</f>
        <v>0</v>
      </c>
      <c r="AA9" s="880">
        <f>(F9/12)*0</f>
        <v>0</v>
      </c>
      <c r="AB9" s="880">
        <f t="shared" ref="AB9:AB12" si="15">W9+AA9</f>
        <v>0</v>
      </c>
      <c r="AC9" s="880">
        <f>E9-AB9</f>
        <v>0</v>
      </c>
      <c r="AD9" s="880">
        <f>(F9/12)*0</f>
        <v>0</v>
      </c>
      <c r="AE9" s="880">
        <f t="shared" si="4"/>
        <v>0</v>
      </c>
      <c r="AF9" s="880">
        <f t="shared" ref="AF9:AF16" si="16">E9-AE9</f>
        <v>0</v>
      </c>
      <c r="AG9" s="880">
        <f>(F9/12)*0</f>
        <v>0</v>
      </c>
      <c r="AH9" s="880">
        <f t="shared" si="6"/>
        <v>0</v>
      </c>
      <c r="AI9" s="880">
        <f t="shared" ref="AI9:AI16" si="17">E9-AH9</f>
        <v>0</v>
      </c>
      <c r="AJ9" s="880"/>
      <c r="AK9" s="880"/>
      <c r="AL9" s="880"/>
      <c r="AM9" s="880"/>
      <c r="AN9" s="880"/>
      <c r="AO9" s="880"/>
      <c r="AP9" s="880">
        <f>(F9/12)*0</f>
        <v>0</v>
      </c>
      <c r="AQ9" s="880">
        <f t="shared" si="9"/>
        <v>0</v>
      </c>
      <c r="AR9" s="880">
        <f t="shared" ref="AR9:AR16" si="18">E9-AQ9</f>
        <v>0</v>
      </c>
      <c r="AS9" s="896">
        <f t="shared" ref="AS9:AS11" si="19">(F9/12)*1</f>
        <v>0</v>
      </c>
      <c r="AT9" s="896">
        <f t="shared" si="10"/>
        <v>0</v>
      </c>
      <c r="AU9" s="896"/>
      <c r="AV9" s="896"/>
      <c r="AW9" s="896"/>
      <c r="AX9" s="896"/>
      <c r="AY9" s="58"/>
      <c r="AZ9" s="8">
        <f t="shared" ref="AZ9:AZ11" si="20">E9-AQ9-AR9</f>
        <v>0</v>
      </c>
      <c r="BB9" s="57"/>
      <c r="BC9" s="19"/>
    </row>
    <row r="10" spans="1:55" ht="14.25" hidden="1" customHeight="1">
      <c r="A10" s="17">
        <f t="shared" ref="A10:A33" si="21">A9+1</f>
        <v>2</v>
      </c>
      <c r="B10" s="906" t="s">
        <v>445</v>
      </c>
      <c r="C10" s="903">
        <v>38353</v>
      </c>
      <c r="D10" s="877">
        <v>8</v>
      </c>
      <c r="E10" s="878">
        <f>406100000*0</f>
        <v>0</v>
      </c>
      <c r="F10" s="879">
        <f t="shared" si="12"/>
        <v>0</v>
      </c>
      <c r="G10" s="880">
        <f>(F10/12)*(13-IF(C10="","",MONTH(C10)))*10</f>
        <v>0</v>
      </c>
      <c r="H10" s="880">
        <f t="shared" si="0"/>
        <v>0</v>
      </c>
      <c r="I10" s="880">
        <f>E10-H10</f>
        <v>0</v>
      </c>
      <c r="J10" s="880">
        <f>(F10/12)*12</f>
        <v>0</v>
      </c>
      <c r="K10" s="880">
        <f t="shared" ref="K10:K12" si="22">J10+H10</f>
        <v>0</v>
      </c>
      <c r="L10" s="880">
        <f>E10-K10</f>
        <v>0</v>
      </c>
      <c r="M10" s="880">
        <f>(F10/12)*12</f>
        <v>0</v>
      </c>
      <c r="N10" s="880">
        <f t="shared" si="13"/>
        <v>0</v>
      </c>
      <c r="O10" s="880">
        <f>E10-N10</f>
        <v>0</v>
      </c>
      <c r="P10" s="880">
        <f>(F10/12)*12</f>
        <v>0</v>
      </c>
      <c r="Q10" s="880">
        <f t="shared" si="14"/>
        <v>0</v>
      </c>
      <c r="R10" s="880">
        <f>E10-Q10</f>
        <v>0</v>
      </c>
      <c r="S10" s="880">
        <f>(F10/12)*12</f>
        <v>0</v>
      </c>
      <c r="T10" s="880">
        <f t="shared" si="7"/>
        <v>0</v>
      </c>
      <c r="U10" s="880">
        <f>E10-T10</f>
        <v>0</v>
      </c>
      <c r="V10" s="880">
        <f>(F10/12)*12</f>
        <v>0</v>
      </c>
      <c r="W10" s="880">
        <f t="shared" si="2"/>
        <v>0</v>
      </c>
      <c r="X10" s="880">
        <f>E10-W10</f>
        <v>0</v>
      </c>
      <c r="Y10" s="880">
        <f>203050000*0</f>
        <v>0</v>
      </c>
      <c r="Z10" s="880">
        <f>E10-Y10</f>
        <v>0</v>
      </c>
      <c r="AA10" s="880">
        <f>(F10/12)*12</f>
        <v>0</v>
      </c>
      <c r="AB10" s="880">
        <f t="shared" si="15"/>
        <v>0</v>
      </c>
      <c r="AC10" s="880">
        <f>E10-AB10</f>
        <v>0</v>
      </c>
      <c r="AD10" s="880">
        <f>(F10/12)*0</f>
        <v>0</v>
      </c>
      <c r="AE10" s="880">
        <f t="shared" si="4"/>
        <v>0</v>
      </c>
      <c r="AF10" s="880">
        <f t="shared" si="16"/>
        <v>0</v>
      </c>
      <c r="AG10" s="880">
        <f>(F10/12)*0</f>
        <v>0</v>
      </c>
      <c r="AH10" s="880">
        <f t="shared" ref="AH10:AH16" si="23">AE10+AG10</f>
        <v>0</v>
      </c>
      <c r="AI10" s="880">
        <f t="shared" si="17"/>
        <v>0</v>
      </c>
      <c r="AJ10" s="880"/>
      <c r="AK10" s="880"/>
      <c r="AL10" s="880"/>
      <c r="AM10" s="880"/>
      <c r="AN10" s="880"/>
      <c r="AO10" s="880"/>
      <c r="AP10" s="880">
        <f>(F10/12)*0</f>
        <v>0</v>
      </c>
      <c r="AQ10" s="880">
        <f t="shared" si="9"/>
        <v>0</v>
      </c>
      <c r="AR10" s="880">
        <f t="shared" si="18"/>
        <v>0</v>
      </c>
      <c r="AS10" s="896">
        <f t="shared" si="19"/>
        <v>0</v>
      </c>
      <c r="AT10" s="896">
        <f t="shared" si="10"/>
        <v>0</v>
      </c>
      <c r="AU10" s="896"/>
      <c r="AV10" s="896"/>
      <c r="AW10" s="896"/>
      <c r="AX10" s="896"/>
      <c r="AY10" s="58"/>
      <c r="AZ10" s="8">
        <f t="shared" si="20"/>
        <v>0</v>
      </c>
      <c r="BB10" s="57"/>
      <c r="BC10" s="19"/>
    </row>
    <row r="11" spans="1:55" ht="14.25" hidden="1" customHeight="1">
      <c r="A11" s="17">
        <f t="shared" si="21"/>
        <v>3</v>
      </c>
      <c r="B11" s="906" t="s">
        <v>445</v>
      </c>
      <c r="C11" s="903">
        <v>38718</v>
      </c>
      <c r="D11" s="877">
        <v>8</v>
      </c>
      <c r="E11" s="878">
        <f>113600000*0</f>
        <v>0</v>
      </c>
      <c r="F11" s="879">
        <f t="shared" si="12"/>
        <v>0</v>
      </c>
      <c r="G11" s="880">
        <f>(F11/12)*(13-IF(C11="","",MONTH(C11)))*9</f>
        <v>0</v>
      </c>
      <c r="H11" s="880">
        <f t="shared" si="0"/>
        <v>0</v>
      </c>
      <c r="I11" s="880">
        <f>E11-H11</f>
        <v>0</v>
      </c>
      <c r="J11" s="880">
        <f>(F11/12)*12</f>
        <v>0</v>
      </c>
      <c r="K11" s="880">
        <f t="shared" si="22"/>
        <v>0</v>
      </c>
      <c r="L11" s="880">
        <f>E11-K11</f>
        <v>0</v>
      </c>
      <c r="M11" s="880">
        <f>(F11/12)*12</f>
        <v>0</v>
      </c>
      <c r="N11" s="880">
        <f t="shared" ref="N11:N26" si="24">M11+K11</f>
        <v>0</v>
      </c>
      <c r="O11" s="880">
        <f>E11-N11</f>
        <v>0</v>
      </c>
      <c r="P11" s="880">
        <f>(F11/12)*12</f>
        <v>0</v>
      </c>
      <c r="Q11" s="880">
        <f t="shared" ref="Q11:Q12" si="25">N11+P11</f>
        <v>0</v>
      </c>
      <c r="R11" s="880">
        <f>E11-Q11</f>
        <v>0</v>
      </c>
      <c r="S11" s="880">
        <f>(F11/12)*12</f>
        <v>0</v>
      </c>
      <c r="T11" s="880">
        <f t="shared" ref="T11:T26" si="26">Q11+S11</f>
        <v>0</v>
      </c>
      <c r="U11" s="880">
        <f>E11-T11</f>
        <v>0</v>
      </c>
      <c r="V11" s="880">
        <f>(F11/12)*12</f>
        <v>0</v>
      </c>
      <c r="W11" s="880">
        <f t="shared" ref="W11:W26" si="27">T11+V11</f>
        <v>0</v>
      </c>
      <c r="X11" s="880">
        <f>E11-W11</f>
        <v>0</v>
      </c>
      <c r="Y11" s="880">
        <f>56800000*0</f>
        <v>0</v>
      </c>
      <c r="Z11" s="880">
        <f>E11-Y11</f>
        <v>0</v>
      </c>
      <c r="AA11" s="880">
        <f>(F11/12)*12</f>
        <v>0</v>
      </c>
      <c r="AB11" s="880">
        <f t="shared" si="15"/>
        <v>0</v>
      </c>
      <c r="AC11" s="880">
        <f>E11-AB11</f>
        <v>0</v>
      </c>
      <c r="AD11" s="880">
        <f>(F11/12)*12</f>
        <v>0</v>
      </c>
      <c r="AE11" s="880">
        <f t="shared" si="4"/>
        <v>0</v>
      </c>
      <c r="AF11" s="880">
        <f t="shared" si="16"/>
        <v>0</v>
      </c>
      <c r="AG11" s="880">
        <f>(F11/12)*0</f>
        <v>0</v>
      </c>
      <c r="AH11" s="880">
        <f t="shared" si="23"/>
        <v>0</v>
      </c>
      <c r="AI11" s="880">
        <f t="shared" si="17"/>
        <v>0</v>
      </c>
      <c r="AJ11" s="880"/>
      <c r="AK11" s="880"/>
      <c r="AL11" s="880"/>
      <c r="AM11" s="880"/>
      <c r="AN11" s="880"/>
      <c r="AO11" s="880"/>
      <c r="AP11" s="880">
        <f>(F11/12)*0</f>
        <v>0</v>
      </c>
      <c r="AQ11" s="880">
        <f t="shared" si="9"/>
        <v>0</v>
      </c>
      <c r="AR11" s="880">
        <f t="shared" si="18"/>
        <v>0</v>
      </c>
      <c r="AS11" s="896">
        <f t="shared" si="19"/>
        <v>0</v>
      </c>
      <c r="AT11" s="896">
        <f t="shared" si="10"/>
        <v>0</v>
      </c>
      <c r="AU11" s="896"/>
      <c r="AV11" s="896"/>
      <c r="AW11" s="896"/>
      <c r="AX11" s="896"/>
      <c r="AY11" s="58"/>
      <c r="AZ11" s="8">
        <f t="shared" si="20"/>
        <v>0</v>
      </c>
      <c r="BB11" s="57"/>
      <c r="BC11" s="19"/>
    </row>
    <row r="12" spans="1:55" ht="14.25" customHeight="1">
      <c r="A12" s="17">
        <f t="shared" si="21"/>
        <v>4</v>
      </c>
      <c r="B12" s="53" t="s">
        <v>445</v>
      </c>
      <c r="C12" s="671">
        <v>39083</v>
      </c>
      <c r="D12" s="55">
        <v>16</v>
      </c>
      <c r="E12" s="6">
        <f>6500000+1792100000+406100000+113600000</f>
        <v>2318300000</v>
      </c>
      <c r="F12" s="1041">
        <f t="shared" si="12"/>
        <v>144893750</v>
      </c>
      <c r="G12" s="1053"/>
      <c r="H12" s="1042">
        <f t="shared" si="0"/>
        <v>0</v>
      </c>
      <c r="I12" s="1042">
        <f>E12-H12</f>
        <v>2318300000</v>
      </c>
      <c r="J12" s="1042"/>
      <c r="K12" s="1042">
        <f t="shared" si="22"/>
        <v>0</v>
      </c>
      <c r="L12" s="1042">
        <f>E12-K12</f>
        <v>2318300000</v>
      </c>
      <c r="M12" s="1042">
        <f>(F12/12)*12</f>
        <v>144893750</v>
      </c>
      <c r="N12" s="1042">
        <f t="shared" si="24"/>
        <v>144893750</v>
      </c>
      <c r="O12" s="1042">
        <f>E12-N12</f>
        <v>2173406250</v>
      </c>
      <c r="P12" s="1042">
        <f>(F12/12)*12</f>
        <v>144893750</v>
      </c>
      <c r="Q12" s="1042">
        <f t="shared" si="25"/>
        <v>289787500</v>
      </c>
      <c r="R12" s="1042">
        <f>E12-Q12</f>
        <v>2028512500</v>
      </c>
      <c r="S12" s="1042">
        <f>(F12/12)*12</f>
        <v>144893750</v>
      </c>
      <c r="T12" s="1042">
        <f t="shared" si="26"/>
        <v>434681250</v>
      </c>
      <c r="U12" s="1042">
        <f>E12-T12</f>
        <v>1883618750</v>
      </c>
      <c r="V12" s="1042">
        <f>(F12/12)*12</f>
        <v>144893750</v>
      </c>
      <c r="W12" s="1042">
        <f t="shared" si="27"/>
        <v>579575000</v>
      </c>
      <c r="X12" s="1042">
        <f>E12-W12</f>
        <v>1738725000</v>
      </c>
      <c r="Y12" s="7">
        <f>3250000+896050000+203050000+56800000</f>
        <v>1159150000</v>
      </c>
      <c r="Z12" s="7">
        <f>E12-Y12</f>
        <v>1159150000</v>
      </c>
      <c r="AA12" s="1042">
        <f>(F12/12)*12</f>
        <v>144893750</v>
      </c>
      <c r="AB12" s="1042">
        <f t="shared" si="15"/>
        <v>724468750</v>
      </c>
      <c r="AC12" s="1042">
        <f>E12-AB12</f>
        <v>1593831250</v>
      </c>
      <c r="AD12" s="1042">
        <f>(F12/12)*12</f>
        <v>144893750</v>
      </c>
      <c r="AE12" s="1042">
        <f t="shared" si="4"/>
        <v>869362500</v>
      </c>
      <c r="AF12" s="1042">
        <f t="shared" si="16"/>
        <v>1448937500</v>
      </c>
      <c r="AG12" s="1042">
        <f>(F12/12)*12</f>
        <v>144893750</v>
      </c>
      <c r="AH12" s="1042">
        <f t="shared" si="23"/>
        <v>1014256250</v>
      </c>
      <c r="AI12" s="1042">
        <f t="shared" si="17"/>
        <v>1304043750</v>
      </c>
      <c r="AJ12" s="1042">
        <f t="shared" ref="AJ12:AJ16" si="28">(F12/12)*1</f>
        <v>12074479.166666666</v>
      </c>
      <c r="AK12" s="1042">
        <f t="shared" ref="AK12:AK16" si="29">AH12+AJ12</f>
        <v>1026330729.1666666</v>
      </c>
      <c r="AL12" s="1042">
        <f t="shared" ref="AL12:AL16" si="30">E12-AK12</f>
        <v>1291969270.8333335</v>
      </c>
      <c r="AM12" s="1042">
        <f>(F12/12)*9</f>
        <v>108670312.5</v>
      </c>
      <c r="AN12" s="1042">
        <f t="shared" ref="AN12:AN16" si="31">AH12+AM12</f>
        <v>1122926562.5</v>
      </c>
      <c r="AO12" s="1042">
        <f t="shared" ref="AO12:AO16" si="32">E12-AN12</f>
        <v>1195373437.5</v>
      </c>
      <c r="AP12" s="1042">
        <f t="shared" ref="AP12:AP16" si="33">(F12/12)*12</f>
        <v>144893750</v>
      </c>
      <c r="AQ12" s="1042">
        <f t="shared" si="9"/>
        <v>1159150000</v>
      </c>
      <c r="AR12" s="1042">
        <f t="shared" si="18"/>
        <v>1159150000</v>
      </c>
      <c r="AS12" s="1042">
        <f t="shared" ref="AS12:AS16" si="34">(F12/12)*9</f>
        <v>108670312.5</v>
      </c>
      <c r="AT12" s="1042">
        <f t="shared" si="10"/>
        <v>1267820312.5</v>
      </c>
      <c r="AU12" s="1042">
        <f t="shared" ref="AU12:AU16" si="35">E12-AT12</f>
        <v>1050479687.5</v>
      </c>
      <c r="AV12" s="1042">
        <f t="shared" ref="AV12:AV16" si="36">(F12/12)*12</f>
        <v>144893750</v>
      </c>
      <c r="AW12" s="1042">
        <f t="shared" ref="AW12:AW16" si="37">AQ12+AV12</f>
        <v>1304043750</v>
      </c>
      <c r="AX12" s="1042">
        <f t="shared" ref="AX12:AX16" si="38">E12-AW12</f>
        <v>1014256250</v>
      </c>
      <c r="AY12" s="58"/>
      <c r="AZ12" s="8">
        <f t="shared" ref="AZ12:AZ75" si="39">E12-AW12-AX12</f>
        <v>0</v>
      </c>
      <c r="BB12" s="57"/>
      <c r="BC12" s="19"/>
    </row>
    <row r="13" spans="1:55" ht="14.25" customHeight="1">
      <c r="A13" s="17">
        <f t="shared" si="21"/>
        <v>5</v>
      </c>
      <c r="B13" s="1095" t="s">
        <v>446</v>
      </c>
      <c r="C13" s="671">
        <v>44501</v>
      </c>
      <c r="D13" s="55">
        <v>8</v>
      </c>
      <c r="E13" s="6">
        <v>437778900</v>
      </c>
      <c r="F13" s="1041">
        <f t="shared" si="12"/>
        <v>54722362.5</v>
      </c>
      <c r="G13" s="1042"/>
      <c r="H13" s="1042"/>
      <c r="I13" s="1042"/>
      <c r="J13" s="1042"/>
      <c r="K13" s="1042"/>
      <c r="L13" s="1042"/>
      <c r="M13" s="1042"/>
      <c r="N13" s="1042"/>
      <c r="O13" s="1042"/>
      <c r="P13" s="1042"/>
      <c r="Q13" s="1042"/>
      <c r="R13" s="1042"/>
      <c r="S13" s="1042"/>
      <c r="T13" s="1042"/>
      <c r="U13" s="1042"/>
      <c r="V13" s="1042"/>
      <c r="W13" s="1042"/>
      <c r="X13" s="1042"/>
      <c r="Y13" s="7"/>
      <c r="Z13" s="7"/>
      <c r="AA13" s="1042"/>
      <c r="AB13" s="1042"/>
      <c r="AC13" s="1042"/>
      <c r="AD13" s="1053">
        <f>(F13/12)*(13-IF(C13="","",MONTH(C13)))</f>
        <v>9120393.75</v>
      </c>
      <c r="AE13" s="1042">
        <f t="shared" ref="AE13:AE26" si="40">AB13+AD13</f>
        <v>9120393.75</v>
      </c>
      <c r="AF13" s="1042">
        <f t="shared" si="16"/>
        <v>428658506.25</v>
      </c>
      <c r="AG13" s="1042">
        <f>(F13/12)*12</f>
        <v>54722362.5</v>
      </c>
      <c r="AH13" s="1042">
        <f t="shared" si="23"/>
        <v>63842756.25</v>
      </c>
      <c r="AI13" s="1042">
        <f t="shared" si="17"/>
        <v>373936143.75</v>
      </c>
      <c r="AJ13" s="1042">
        <f t="shared" si="28"/>
        <v>4560196.875</v>
      </c>
      <c r="AK13" s="1042">
        <f t="shared" si="29"/>
        <v>68402953.125</v>
      </c>
      <c r="AL13" s="1042">
        <f t="shared" si="30"/>
        <v>369375946.875</v>
      </c>
      <c r="AM13" s="1042">
        <f>(F13/12)*9</f>
        <v>41041771.875</v>
      </c>
      <c r="AN13" s="1042">
        <f t="shared" si="31"/>
        <v>104884528.125</v>
      </c>
      <c r="AO13" s="1042">
        <f t="shared" si="32"/>
        <v>332894371.875</v>
      </c>
      <c r="AP13" s="1042">
        <f t="shared" si="33"/>
        <v>54722362.5</v>
      </c>
      <c r="AQ13" s="1042">
        <f t="shared" si="9"/>
        <v>118565118.75</v>
      </c>
      <c r="AR13" s="1042">
        <f t="shared" si="18"/>
        <v>319213781.25</v>
      </c>
      <c r="AS13" s="1042">
        <f t="shared" si="34"/>
        <v>41041771.875</v>
      </c>
      <c r="AT13" s="1042">
        <f t="shared" si="10"/>
        <v>159606890.625</v>
      </c>
      <c r="AU13" s="1042">
        <f t="shared" si="35"/>
        <v>278172009.375</v>
      </c>
      <c r="AV13" s="1042">
        <f t="shared" si="36"/>
        <v>54722362.5</v>
      </c>
      <c r="AW13" s="1042">
        <f t="shared" si="37"/>
        <v>173287481.25</v>
      </c>
      <c r="AX13" s="1042">
        <f t="shared" si="38"/>
        <v>264491418.75</v>
      </c>
      <c r="AY13" s="58"/>
      <c r="AZ13" s="8">
        <f t="shared" si="39"/>
        <v>0</v>
      </c>
      <c r="BB13" s="57"/>
      <c r="BC13" s="19"/>
    </row>
    <row r="14" spans="1:55" ht="14.25" customHeight="1">
      <c r="A14" s="17">
        <f t="shared" si="21"/>
        <v>6</v>
      </c>
      <c r="B14" s="1095" t="s">
        <v>447</v>
      </c>
      <c r="C14" s="671">
        <v>44501</v>
      </c>
      <c r="D14" s="55">
        <v>8</v>
      </c>
      <c r="E14" s="6">
        <v>429283800</v>
      </c>
      <c r="F14" s="1041">
        <f t="shared" si="12"/>
        <v>53660475</v>
      </c>
      <c r="G14" s="1042"/>
      <c r="H14" s="1042"/>
      <c r="I14" s="1042"/>
      <c r="J14" s="1042"/>
      <c r="K14" s="1042"/>
      <c r="L14" s="1042"/>
      <c r="M14" s="1042"/>
      <c r="N14" s="1042"/>
      <c r="O14" s="1042"/>
      <c r="P14" s="1042"/>
      <c r="Q14" s="1042"/>
      <c r="R14" s="1042"/>
      <c r="S14" s="1042"/>
      <c r="T14" s="1042"/>
      <c r="U14" s="1042"/>
      <c r="V14" s="1042"/>
      <c r="W14" s="1042"/>
      <c r="X14" s="1042"/>
      <c r="Y14" s="7"/>
      <c r="Z14" s="7"/>
      <c r="AA14" s="1042"/>
      <c r="AB14" s="1042"/>
      <c r="AC14" s="1042"/>
      <c r="AD14" s="1053">
        <f>(F14/12)*(13-IF(C14="","",MONTH(C14)))</f>
        <v>8943412.5</v>
      </c>
      <c r="AE14" s="1042">
        <f t="shared" si="40"/>
        <v>8943412.5</v>
      </c>
      <c r="AF14" s="1042">
        <f t="shared" si="16"/>
        <v>420340387.5</v>
      </c>
      <c r="AG14" s="1042">
        <f>(F14/12)*12</f>
        <v>53660475</v>
      </c>
      <c r="AH14" s="1042">
        <f t="shared" si="23"/>
        <v>62603887.5</v>
      </c>
      <c r="AI14" s="1042">
        <f t="shared" si="17"/>
        <v>366679912.5</v>
      </c>
      <c r="AJ14" s="1042">
        <f t="shared" si="28"/>
        <v>4471706.25</v>
      </c>
      <c r="AK14" s="1042">
        <f t="shared" si="29"/>
        <v>67075593.75</v>
      </c>
      <c r="AL14" s="1042">
        <f t="shared" si="30"/>
        <v>362208206.25</v>
      </c>
      <c r="AM14" s="1042">
        <f>(F14/12)*9</f>
        <v>40245356.25</v>
      </c>
      <c r="AN14" s="1042">
        <f t="shared" si="31"/>
        <v>102849243.75</v>
      </c>
      <c r="AO14" s="1042">
        <f t="shared" si="32"/>
        <v>326434556.25</v>
      </c>
      <c r="AP14" s="1042">
        <f t="shared" si="33"/>
        <v>53660475</v>
      </c>
      <c r="AQ14" s="1042">
        <f t="shared" si="9"/>
        <v>116264362.5</v>
      </c>
      <c r="AR14" s="1042">
        <f t="shared" si="18"/>
        <v>313019437.5</v>
      </c>
      <c r="AS14" s="1042">
        <f t="shared" si="34"/>
        <v>40245356.25</v>
      </c>
      <c r="AT14" s="1042">
        <f t="shared" si="10"/>
        <v>156509718.75</v>
      </c>
      <c r="AU14" s="1042">
        <f t="shared" si="35"/>
        <v>272774081.25</v>
      </c>
      <c r="AV14" s="1042">
        <f t="shared" si="36"/>
        <v>53660475</v>
      </c>
      <c r="AW14" s="1042">
        <f t="shared" si="37"/>
        <v>169924837.5</v>
      </c>
      <c r="AX14" s="1042">
        <f t="shared" si="38"/>
        <v>259358962.5</v>
      </c>
      <c r="AY14" s="58" t="s">
        <v>1213</v>
      </c>
      <c r="AZ14" s="8">
        <f t="shared" si="39"/>
        <v>0</v>
      </c>
      <c r="BA14" s="1096">
        <v>44228</v>
      </c>
      <c r="BB14" s="57"/>
      <c r="BC14" s="19"/>
    </row>
    <row r="15" spans="1:55" ht="14.25" customHeight="1">
      <c r="A15" s="17">
        <f t="shared" si="21"/>
        <v>7</v>
      </c>
      <c r="B15" s="1095" t="s">
        <v>448</v>
      </c>
      <c r="C15" s="671">
        <v>44501</v>
      </c>
      <c r="D15" s="55">
        <v>16</v>
      </c>
      <c r="E15" s="6">
        <v>7898914340</v>
      </c>
      <c r="F15" s="1041">
        <f t="shared" si="12"/>
        <v>493682146.25</v>
      </c>
      <c r="G15" s="1042"/>
      <c r="H15" s="1042"/>
      <c r="I15" s="1042"/>
      <c r="J15" s="1042"/>
      <c r="K15" s="1042"/>
      <c r="L15" s="1042"/>
      <c r="M15" s="1042"/>
      <c r="N15" s="1042"/>
      <c r="O15" s="1042"/>
      <c r="P15" s="1042"/>
      <c r="Q15" s="1042"/>
      <c r="R15" s="1042"/>
      <c r="S15" s="1042"/>
      <c r="T15" s="1042"/>
      <c r="U15" s="1042"/>
      <c r="V15" s="1042"/>
      <c r="W15" s="1042"/>
      <c r="X15" s="1042"/>
      <c r="Y15" s="7"/>
      <c r="Z15" s="7"/>
      <c r="AA15" s="1042"/>
      <c r="AB15" s="1042"/>
      <c r="AC15" s="1042"/>
      <c r="AD15" s="1053">
        <f>(F15/12)*(13-IF(C15="","",MONTH(C15)))</f>
        <v>82280357.708333328</v>
      </c>
      <c r="AE15" s="1042">
        <f t="shared" si="40"/>
        <v>82280357.708333328</v>
      </c>
      <c r="AF15" s="1042">
        <f t="shared" si="16"/>
        <v>7816633982.291667</v>
      </c>
      <c r="AG15" s="1042">
        <f>(F15/12)*12</f>
        <v>493682146.25</v>
      </c>
      <c r="AH15" s="1042">
        <f t="shared" si="23"/>
        <v>575962503.95833337</v>
      </c>
      <c r="AI15" s="1042">
        <f t="shared" si="17"/>
        <v>7322951836.041667</v>
      </c>
      <c r="AJ15" s="1042">
        <f t="shared" si="28"/>
        <v>41140178.854166664</v>
      </c>
      <c r="AK15" s="1042">
        <f t="shared" si="29"/>
        <v>617102682.8125</v>
      </c>
      <c r="AL15" s="1042">
        <f t="shared" si="30"/>
        <v>7281811657.1875</v>
      </c>
      <c r="AM15" s="1042">
        <f>(F15/12)*9</f>
        <v>370261609.6875</v>
      </c>
      <c r="AN15" s="1042">
        <f t="shared" si="31"/>
        <v>946224113.64583337</v>
      </c>
      <c r="AO15" s="1042">
        <f t="shared" si="32"/>
        <v>6952690226.354167</v>
      </c>
      <c r="AP15" s="1042">
        <f t="shared" si="33"/>
        <v>493682146.25</v>
      </c>
      <c r="AQ15" s="1042">
        <f t="shared" si="9"/>
        <v>1069644650.2083334</v>
      </c>
      <c r="AR15" s="1042">
        <f t="shared" si="18"/>
        <v>6829269689.791667</v>
      </c>
      <c r="AS15" s="1042">
        <f t="shared" si="34"/>
        <v>370261609.6875</v>
      </c>
      <c r="AT15" s="1042">
        <f t="shared" si="10"/>
        <v>1439906259.8958335</v>
      </c>
      <c r="AU15" s="1042">
        <f t="shared" si="35"/>
        <v>6459008080.104166</v>
      </c>
      <c r="AV15" s="1042">
        <f t="shared" si="36"/>
        <v>493682146.25</v>
      </c>
      <c r="AW15" s="1042">
        <f t="shared" si="37"/>
        <v>1563326796.4583335</v>
      </c>
      <c r="AX15" s="1042">
        <f t="shared" si="38"/>
        <v>6335587543.541666</v>
      </c>
      <c r="AY15" s="58" t="s">
        <v>1212</v>
      </c>
      <c r="AZ15" s="8">
        <f t="shared" si="39"/>
        <v>0</v>
      </c>
      <c r="BA15" s="1096">
        <v>44287</v>
      </c>
      <c r="BB15" s="57" t="s">
        <v>1211</v>
      </c>
      <c r="BC15" s="19" t="s">
        <v>1215</v>
      </c>
    </row>
    <row r="16" spans="1:55" ht="14.25" customHeight="1">
      <c r="A16" s="17">
        <f t="shared" si="21"/>
        <v>8</v>
      </c>
      <c r="B16" s="53" t="s">
        <v>449</v>
      </c>
      <c r="C16" s="671">
        <v>44501</v>
      </c>
      <c r="D16" s="55">
        <v>8</v>
      </c>
      <c r="E16" s="6">
        <v>149509500</v>
      </c>
      <c r="F16" s="1041">
        <f t="shared" si="12"/>
        <v>18688687.5</v>
      </c>
      <c r="G16" s="1042"/>
      <c r="H16" s="1042"/>
      <c r="I16" s="1042"/>
      <c r="J16" s="1042"/>
      <c r="K16" s="1042"/>
      <c r="L16" s="1042"/>
      <c r="M16" s="1042"/>
      <c r="N16" s="1042"/>
      <c r="O16" s="1042"/>
      <c r="P16" s="1042"/>
      <c r="Q16" s="1042"/>
      <c r="R16" s="1042"/>
      <c r="S16" s="1042"/>
      <c r="T16" s="1042"/>
      <c r="U16" s="1042"/>
      <c r="V16" s="1042"/>
      <c r="W16" s="1042"/>
      <c r="X16" s="1042"/>
      <c r="Y16" s="7"/>
      <c r="Z16" s="7"/>
      <c r="AA16" s="1042"/>
      <c r="AB16" s="1042"/>
      <c r="AC16" s="1042"/>
      <c r="AD16" s="1053">
        <f>(F16/12)*(13-IF(C16="","",MONTH(C16)))</f>
        <v>3114781.25</v>
      </c>
      <c r="AE16" s="1042">
        <f t="shared" si="40"/>
        <v>3114781.25</v>
      </c>
      <c r="AF16" s="1042">
        <f t="shared" si="16"/>
        <v>146394718.75</v>
      </c>
      <c r="AG16" s="1042">
        <f>(F16/12)*12</f>
        <v>18688687.5</v>
      </c>
      <c r="AH16" s="1042">
        <f t="shared" si="23"/>
        <v>21803468.75</v>
      </c>
      <c r="AI16" s="1042">
        <f t="shared" si="17"/>
        <v>127706031.25</v>
      </c>
      <c r="AJ16" s="1042">
        <f t="shared" si="28"/>
        <v>1557390.625</v>
      </c>
      <c r="AK16" s="1042">
        <f t="shared" si="29"/>
        <v>23360859.375</v>
      </c>
      <c r="AL16" s="1042">
        <f t="shared" si="30"/>
        <v>126148640.625</v>
      </c>
      <c r="AM16" s="1042">
        <f>(F16/12)*9</f>
        <v>14016515.625</v>
      </c>
      <c r="AN16" s="1042">
        <f t="shared" si="31"/>
        <v>35819984.375</v>
      </c>
      <c r="AO16" s="1042">
        <f t="shared" si="32"/>
        <v>113689515.625</v>
      </c>
      <c r="AP16" s="1042">
        <f t="shared" si="33"/>
        <v>18688687.5</v>
      </c>
      <c r="AQ16" s="1042">
        <f t="shared" si="9"/>
        <v>40492156.25</v>
      </c>
      <c r="AR16" s="1042">
        <f t="shared" si="18"/>
        <v>109017343.75</v>
      </c>
      <c r="AS16" s="1042">
        <f t="shared" si="34"/>
        <v>14016515.625</v>
      </c>
      <c r="AT16" s="1042">
        <f t="shared" si="10"/>
        <v>54508671.875</v>
      </c>
      <c r="AU16" s="1042">
        <f t="shared" si="35"/>
        <v>95000828.125</v>
      </c>
      <c r="AV16" s="1042">
        <f t="shared" si="36"/>
        <v>18688687.5</v>
      </c>
      <c r="AW16" s="1042">
        <f t="shared" si="37"/>
        <v>59180843.75</v>
      </c>
      <c r="AX16" s="1042">
        <f t="shared" si="38"/>
        <v>90328656.25</v>
      </c>
      <c r="AY16" s="58"/>
      <c r="AZ16" s="8">
        <f t="shared" si="39"/>
        <v>0</v>
      </c>
      <c r="BB16" s="57" t="s">
        <v>1214</v>
      </c>
      <c r="BC16" s="19"/>
    </row>
    <row r="17" spans="1:55" s="220" customFormat="1" ht="14.25" customHeight="1">
      <c r="A17" s="190" t="s">
        <v>454</v>
      </c>
      <c r="B17" s="214" t="s">
        <v>453</v>
      </c>
      <c r="C17" s="234"/>
      <c r="D17" s="216"/>
      <c r="E17" s="217"/>
      <c r="F17" s="1045"/>
      <c r="G17" s="1046"/>
      <c r="H17" s="1046"/>
      <c r="I17" s="1046"/>
      <c r="J17" s="1046"/>
      <c r="K17" s="1046"/>
      <c r="L17" s="1046"/>
      <c r="M17" s="1046"/>
      <c r="N17" s="1046"/>
      <c r="O17" s="1046"/>
      <c r="P17" s="1046"/>
      <c r="Q17" s="1046"/>
      <c r="R17" s="1046"/>
      <c r="S17" s="1046"/>
      <c r="T17" s="1046"/>
      <c r="U17" s="1046"/>
      <c r="V17" s="1046"/>
      <c r="W17" s="1046"/>
      <c r="X17" s="1046"/>
      <c r="Y17" s="219"/>
      <c r="Z17" s="219"/>
      <c r="AA17" s="1046"/>
      <c r="AB17" s="1046"/>
      <c r="AC17" s="1046"/>
      <c r="AD17" s="1046"/>
      <c r="AE17" s="1046"/>
      <c r="AF17" s="1046"/>
      <c r="AG17" s="1046"/>
      <c r="AH17" s="1046"/>
      <c r="AI17" s="1046"/>
      <c r="AJ17" s="1046"/>
      <c r="AK17" s="1046"/>
      <c r="AL17" s="1046"/>
      <c r="AM17" s="1046"/>
      <c r="AN17" s="1046"/>
      <c r="AO17" s="1046"/>
      <c r="AP17" s="1046"/>
      <c r="AQ17" s="1046">
        <f t="shared" si="9"/>
        <v>0</v>
      </c>
      <c r="AR17" s="1046"/>
      <c r="AS17" s="1046"/>
      <c r="AT17" s="1046">
        <f t="shared" si="10"/>
        <v>0</v>
      </c>
      <c r="AU17" s="1046"/>
      <c r="AV17" s="1046"/>
      <c r="AW17" s="1046"/>
      <c r="AX17" s="1046"/>
      <c r="AY17" s="222"/>
      <c r="AZ17" s="8">
        <f t="shared" si="39"/>
        <v>0</v>
      </c>
      <c r="BB17" s="221"/>
      <c r="BC17" s="179"/>
    </row>
    <row r="18" spans="1:55" ht="14.25" customHeight="1">
      <c r="A18" s="17">
        <v>1</v>
      </c>
      <c r="B18" s="53" t="s">
        <v>455</v>
      </c>
      <c r="C18" s="671">
        <v>37257</v>
      </c>
      <c r="D18" s="55">
        <v>16</v>
      </c>
      <c r="E18" s="6">
        <v>825700000</v>
      </c>
      <c r="F18" s="1041">
        <f>E18/D18</f>
        <v>51606250</v>
      </c>
      <c r="G18" s="1053"/>
      <c r="H18" s="1042">
        <f t="shared" ref="H18:H21" si="41">G18</f>
        <v>0</v>
      </c>
      <c r="I18" s="1042">
        <f>E18-H18</f>
        <v>825700000</v>
      </c>
      <c r="J18" s="1042"/>
      <c r="K18" s="1042">
        <f t="shared" ref="K18:K21" si="42">J18+H18</f>
        <v>0</v>
      </c>
      <c r="L18" s="1042">
        <f>E18-K18</f>
        <v>825700000</v>
      </c>
      <c r="M18" s="1042">
        <f t="shared" ref="M18:M21" si="43">(F18/12)*12</f>
        <v>51606250</v>
      </c>
      <c r="N18" s="1042">
        <f t="shared" si="24"/>
        <v>51606250</v>
      </c>
      <c r="O18" s="1042">
        <f>E18-N18</f>
        <v>774093750</v>
      </c>
      <c r="P18" s="1042">
        <f>(F18/12)*12</f>
        <v>51606250</v>
      </c>
      <c r="Q18" s="1042">
        <f t="shared" ref="Q18:Q21" si="44">N18+P18</f>
        <v>103212500</v>
      </c>
      <c r="R18" s="1042">
        <f>E18-Q18</f>
        <v>722487500</v>
      </c>
      <c r="S18" s="1042">
        <f t="shared" ref="S18:S42" si="45">(F18/12)*12</f>
        <v>51606250</v>
      </c>
      <c r="T18" s="1042">
        <f t="shared" si="26"/>
        <v>154818750</v>
      </c>
      <c r="U18" s="1042">
        <f>E18-T18</f>
        <v>670881250</v>
      </c>
      <c r="V18" s="1042">
        <f t="shared" ref="V18:V21" si="46">(F18/12)*12</f>
        <v>51606250</v>
      </c>
      <c r="W18" s="1042">
        <f t="shared" si="27"/>
        <v>206425000</v>
      </c>
      <c r="X18" s="1042">
        <f>E18-W18</f>
        <v>619275000</v>
      </c>
      <c r="Y18" s="7">
        <v>412850000.00000018</v>
      </c>
      <c r="Z18" s="7">
        <f>E18-Y18</f>
        <v>412849999.99999982</v>
      </c>
      <c r="AA18" s="1042">
        <f t="shared" ref="AA18:AA21" si="47">(F18/12)*12</f>
        <v>51606250</v>
      </c>
      <c r="AB18" s="1042">
        <f t="shared" ref="AB18:AB21" si="48">W18+AA18</f>
        <v>258031250</v>
      </c>
      <c r="AC18" s="1042">
        <f>E18-AB18</f>
        <v>567668750</v>
      </c>
      <c r="AD18" s="1042">
        <f t="shared" ref="AD18:AD21" si="49">(F18/12)*12</f>
        <v>51606250</v>
      </c>
      <c r="AE18" s="1042">
        <f t="shared" si="40"/>
        <v>309637500</v>
      </c>
      <c r="AF18" s="1042">
        <f>E18-AE18</f>
        <v>516062500</v>
      </c>
      <c r="AG18" s="1042">
        <f t="shared" ref="AG18:AG21" si="50">(F18/12)*12</f>
        <v>51606250</v>
      </c>
      <c r="AH18" s="1042">
        <f t="shared" ref="AH18:AH26" si="51">AE18+AG18</f>
        <v>361243750</v>
      </c>
      <c r="AI18" s="1042">
        <f>E18-AH18</f>
        <v>464456250</v>
      </c>
      <c r="AJ18" s="1042">
        <f t="shared" ref="AJ18:AJ21" si="52">(F18/12)*1</f>
        <v>4300520.833333333</v>
      </c>
      <c r="AK18" s="1042">
        <f t="shared" ref="AK18:AK21" si="53">AH18+AJ18</f>
        <v>365544270.83333331</v>
      </c>
      <c r="AL18" s="1042">
        <f t="shared" ref="AL18:AL21" si="54">E18-AK18</f>
        <v>460155729.16666669</v>
      </c>
      <c r="AM18" s="1042">
        <f>(F18/12)*9</f>
        <v>38704687.5</v>
      </c>
      <c r="AN18" s="1042">
        <f t="shared" ref="AN18:AN21" si="55">AH18+AM18</f>
        <v>399948437.5</v>
      </c>
      <c r="AO18" s="1042">
        <f t="shared" ref="AO18:AO21" si="56">E18-AN18</f>
        <v>425751562.5</v>
      </c>
      <c r="AP18" s="1042">
        <f t="shared" ref="AP18:AP21" si="57">(F18/12)*12</f>
        <v>51606250</v>
      </c>
      <c r="AQ18" s="1042">
        <f t="shared" si="9"/>
        <v>412850000</v>
      </c>
      <c r="AR18" s="1042">
        <f>E18-AQ18</f>
        <v>412850000</v>
      </c>
      <c r="AS18" s="1042">
        <f>(F18/12)*9</f>
        <v>38704687.5</v>
      </c>
      <c r="AT18" s="1042">
        <f t="shared" si="10"/>
        <v>451554687.5</v>
      </c>
      <c r="AU18" s="1042">
        <f t="shared" ref="AU18:AU21" si="58">E18-AT18</f>
        <v>374145312.5</v>
      </c>
      <c r="AV18" s="1042">
        <f t="shared" ref="AV18:AV26" si="59">(F18/12)*12</f>
        <v>51606250</v>
      </c>
      <c r="AW18" s="1042">
        <f t="shared" ref="AW18:AW33" si="60">AQ18+AV18</f>
        <v>464456250</v>
      </c>
      <c r="AX18" s="1042">
        <f t="shared" ref="AX18:AX33" si="61">E18-AW18</f>
        <v>361243750</v>
      </c>
      <c r="AY18" s="58"/>
      <c r="AZ18" s="8">
        <f t="shared" si="39"/>
        <v>0</v>
      </c>
      <c r="BB18" s="57"/>
      <c r="BC18" s="19"/>
    </row>
    <row r="19" spans="1:55" ht="14.25" customHeight="1">
      <c r="A19" s="17">
        <f t="shared" si="21"/>
        <v>2</v>
      </c>
      <c r="B19" s="53" t="s">
        <v>456</v>
      </c>
      <c r="C19" s="671">
        <v>37257</v>
      </c>
      <c r="D19" s="55">
        <v>8</v>
      </c>
      <c r="E19" s="6">
        <v>70900000</v>
      </c>
      <c r="F19" s="1041">
        <f>E19/D19</f>
        <v>8862500</v>
      </c>
      <c r="G19" s="1053"/>
      <c r="H19" s="1042">
        <f t="shared" si="41"/>
        <v>0</v>
      </c>
      <c r="I19" s="1042">
        <f>E19-H19</f>
        <v>70900000</v>
      </c>
      <c r="J19" s="1042"/>
      <c r="K19" s="1042">
        <f t="shared" si="42"/>
        <v>0</v>
      </c>
      <c r="L19" s="1042">
        <f>E19-K19</f>
        <v>70900000</v>
      </c>
      <c r="M19" s="1042">
        <f t="shared" si="43"/>
        <v>8862500</v>
      </c>
      <c r="N19" s="1042">
        <f t="shared" si="24"/>
        <v>8862500</v>
      </c>
      <c r="O19" s="1042">
        <f>E19-N19</f>
        <v>62037500</v>
      </c>
      <c r="P19" s="1042">
        <f t="shared" ref="P19:P20" si="62">(F19/12)*12</f>
        <v>8862500</v>
      </c>
      <c r="Q19" s="1042">
        <f t="shared" si="44"/>
        <v>17725000</v>
      </c>
      <c r="R19" s="1042">
        <f>E19-Q19</f>
        <v>53175000</v>
      </c>
      <c r="S19" s="1042">
        <f t="shared" si="45"/>
        <v>8862500</v>
      </c>
      <c r="T19" s="1042">
        <f t="shared" si="26"/>
        <v>26587500</v>
      </c>
      <c r="U19" s="1042">
        <f>E19-T19</f>
        <v>44312500</v>
      </c>
      <c r="V19" s="1042">
        <f t="shared" si="46"/>
        <v>8862500</v>
      </c>
      <c r="W19" s="1042">
        <f t="shared" si="27"/>
        <v>35450000</v>
      </c>
      <c r="X19" s="1042">
        <f>E19-W19</f>
        <v>35450000</v>
      </c>
      <c r="Y19" s="7">
        <v>35450000.000000015</v>
      </c>
      <c r="Z19" s="7">
        <f>E19-Y19</f>
        <v>35449999.999999985</v>
      </c>
      <c r="AA19" s="1042">
        <f t="shared" si="47"/>
        <v>8862500</v>
      </c>
      <c r="AB19" s="1042">
        <f t="shared" si="48"/>
        <v>44312500</v>
      </c>
      <c r="AC19" s="1042">
        <f>E19-AB19</f>
        <v>26587500</v>
      </c>
      <c r="AD19" s="1042">
        <f t="shared" si="49"/>
        <v>8862500</v>
      </c>
      <c r="AE19" s="1042">
        <f t="shared" si="40"/>
        <v>53175000</v>
      </c>
      <c r="AF19" s="1042">
        <f>E19-AE19</f>
        <v>17725000</v>
      </c>
      <c r="AG19" s="1042">
        <f t="shared" si="50"/>
        <v>8862500</v>
      </c>
      <c r="AH19" s="1042">
        <f t="shared" si="51"/>
        <v>62037500</v>
      </c>
      <c r="AI19" s="1042">
        <f>E19-AH19</f>
        <v>8862500</v>
      </c>
      <c r="AJ19" s="1042">
        <f t="shared" si="52"/>
        <v>738541.66666666663</v>
      </c>
      <c r="AK19" s="1042">
        <f t="shared" si="53"/>
        <v>62776041.666666664</v>
      </c>
      <c r="AL19" s="1042">
        <f t="shared" si="54"/>
        <v>8123958.3333333358</v>
      </c>
      <c r="AM19" s="1042">
        <f>(F19/12)*9</f>
        <v>6646875</v>
      </c>
      <c r="AN19" s="1042">
        <f t="shared" si="55"/>
        <v>68684375</v>
      </c>
      <c r="AO19" s="1042">
        <f t="shared" si="56"/>
        <v>2215625</v>
      </c>
      <c r="AP19" s="1042">
        <f t="shared" si="57"/>
        <v>8862500</v>
      </c>
      <c r="AQ19" s="1042">
        <f t="shared" si="9"/>
        <v>70900000</v>
      </c>
      <c r="AR19" s="1042">
        <f>E19-AQ19</f>
        <v>0</v>
      </c>
      <c r="AS19" s="1042">
        <f>(F19/12)*0</f>
        <v>0</v>
      </c>
      <c r="AT19" s="1042">
        <f t="shared" si="10"/>
        <v>70900000</v>
      </c>
      <c r="AU19" s="1042">
        <f t="shared" si="58"/>
        <v>0</v>
      </c>
      <c r="AV19" s="1042">
        <f>(F19/12)*0</f>
        <v>0</v>
      </c>
      <c r="AW19" s="1042">
        <f t="shared" si="60"/>
        <v>70900000</v>
      </c>
      <c r="AX19" s="1042">
        <f t="shared" si="61"/>
        <v>0</v>
      </c>
      <c r="AY19" s="58"/>
      <c r="AZ19" s="8">
        <f t="shared" si="39"/>
        <v>0</v>
      </c>
      <c r="BB19" s="57"/>
      <c r="BC19" s="19"/>
    </row>
    <row r="20" spans="1:55" ht="14.25" customHeight="1">
      <c r="A20" s="17">
        <f t="shared" si="21"/>
        <v>3</v>
      </c>
      <c r="B20" s="53" t="s">
        <v>457</v>
      </c>
      <c r="C20" s="671">
        <v>38353</v>
      </c>
      <c r="D20" s="55">
        <v>8</v>
      </c>
      <c r="E20" s="6">
        <v>441100000</v>
      </c>
      <c r="F20" s="1041">
        <f>E20/D20</f>
        <v>55137500</v>
      </c>
      <c r="G20" s="1053"/>
      <c r="H20" s="1042">
        <f t="shared" si="41"/>
        <v>0</v>
      </c>
      <c r="I20" s="1042">
        <f>E20-H20</f>
        <v>441100000</v>
      </c>
      <c r="J20" s="1042"/>
      <c r="K20" s="1042">
        <f t="shared" si="42"/>
        <v>0</v>
      </c>
      <c r="L20" s="1042">
        <f>E20-K20</f>
        <v>441100000</v>
      </c>
      <c r="M20" s="1042">
        <f t="shared" si="43"/>
        <v>55137500</v>
      </c>
      <c r="N20" s="1042">
        <f t="shared" si="24"/>
        <v>55137500</v>
      </c>
      <c r="O20" s="1042">
        <f>E20-N20</f>
        <v>385962500</v>
      </c>
      <c r="P20" s="1042">
        <f t="shared" si="62"/>
        <v>55137500</v>
      </c>
      <c r="Q20" s="1042">
        <f t="shared" si="44"/>
        <v>110275000</v>
      </c>
      <c r="R20" s="1042">
        <f>E20-Q20</f>
        <v>330825000</v>
      </c>
      <c r="S20" s="1042">
        <f t="shared" si="45"/>
        <v>55137500</v>
      </c>
      <c r="T20" s="1042">
        <f t="shared" si="26"/>
        <v>165412500</v>
      </c>
      <c r="U20" s="1042">
        <f>E20-T20</f>
        <v>275687500</v>
      </c>
      <c r="V20" s="1042">
        <f t="shared" si="46"/>
        <v>55137500</v>
      </c>
      <c r="W20" s="1042">
        <f t="shared" si="27"/>
        <v>220550000</v>
      </c>
      <c r="X20" s="1042">
        <f>E20-W20</f>
        <v>220550000</v>
      </c>
      <c r="Y20" s="7">
        <v>220549999.99999988</v>
      </c>
      <c r="Z20" s="7">
        <f>E20-Y20</f>
        <v>220550000.00000012</v>
      </c>
      <c r="AA20" s="1042">
        <f t="shared" si="47"/>
        <v>55137500</v>
      </c>
      <c r="AB20" s="1042">
        <f t="shared" si="48"/>
        <v>275687500</v>
      </c>
      <c r="AC20" s="1042">
        <f>E20-AB20</f>
        <v>165412500</v>
      </c>
      <c r="AD20" s="1042">
        <f t="shared" si="49"/>
        <v>55137500</v>
      </c>
      <c r="AE20" s="1042">
        <f t="shared" si="40"/>
        <v>330825000</v>
      </c>
      <c r="AF20" s="1042">
        <f>E20-AE20</f>
        <v>110275000</v>
      </c>
      <c r="AG20" s="1042">
        <f t="shared" si="50"/>
        <v>55137500</v>
      </c>
      <c r="AH20" s="1042">
        <f t="shared" si="51"/>
        <v>385962500</v>
      </c>
      <c r="AI20" s="1042">
        <f>E20-AH20</f>
        <v>55137500</v>
      </c>
      <c r="AJ20" s="1042">
        <f t="shared" si="52"/>
        <v>4594791.666666667</v>
      </c>
      <c r="AK20" s="1042">
        <f t="shared" si="53"/>
        <v>390557291.66666669</v>
      </c>
      <c r="AL20" s="1042">
        <f t="shared" si="54"/>
        <v>50542708.333333313</v>
      </c>
      <c r="AM20" s="1042">
        <f>(F20/12)*9</f>
        <v>41353125</v>
      </c>
      <c r="AN20" s="1042">
        <f t="shared" si="55"/>
        <v>427315625</v>
      </c>
      <c r="AO20" s="1042">
        <f t="shared" si="56"/>
        <v>13784375</v>
      </c>
      <c r="AP20" s="1042">
        <f t="shared" si="57"/>
        <v>55137500</v>
      </c>
      <c r="AQ20" s="1042">
        <f t="shared" si="9"/>
        <v>441100000</v>
      </c>
      <c r="AR20" s="1042">
        <f>E20-AQ20</f>
        <v>0</v>
      </c>
      <c r="AS20" s="1042">
        <f t="shared" ref="AS20:AS21" si="63">(F20/12)*0</f>
        <v>0</v>
      </c>
      <c r="AT20" s="1042">
        <f t="shared" si="10"/>
        <v>441100000</v>
      </c>
      <c r="AU20" s="1042">
        <f t="shared" si="58"/>
        <v>0</v>
      </c>
      <c r="AV20" s="1042">
        <f>(F20/12)*0</f>
        <v>0</v>
      </c>
      <c r="AW20" s="1042">
        <f t="shared" si="60"/>
        <v>441100000</v>
      </c>
      <c r="AX20" s="1042">
        <f t="shared" si="61"/>
        <v>0</v>
      </c>
      <c r="AY20" s="58"/>
      <c r="AZ20" s="8">
        <f t="shared" si="39"/>
        <v>0</v>
      </c>
      <c r="BB20" s="57"/>
      <c r="BC20" s="19"/>
    </row>
    <row r="21" spans="1:55" ht="14.25" customHeight="1">
      <c r="A21" s="17">
        <f t="shared" si="21"/>
        <v>4</v>
      </c>
      <c r="B21" s="53" t="s">
        <v>458</v>
      </c>
      <c r="C21" s="671">
        <v>40909</v>
      </c>
      <c r="D21" s="55">
        <v>8</v>
      </c>
      <c r="E21" s="6">
        <v>176900000</v>
      </c>
      <c r="F21" s="1041">
        <f>E21/D21</f>
        <v>22112500</v>
      </c>
      <c r="G21" s="1053"/>
      <c r="H21" s="1042">
        <f t="shared" si="41"/>
        <v>0</v>
      </c>
      <c r="I21" s="1042">
        <f>E21-H21</f>
        <v>176900000</v>
      </c>
      <c r="J21" s="1042"/>
      <c r="K21" s="1042">
        <f t="shared" si="42"/>
        <v>0</v>
      </c>
      <c r="L21" s="1042">
        <f>E21-K21</f>
        <v>176900000</v>
      </c>
      <c r="M21" s="1042">
        <f t="shared" si="43"/>
        <v>22112500</v>
      </c>
      <c r="N21" s="1042">
        <f t="shared" si="24"/>
        <v>22112500</v>
      </c>
      <c r="O21" s="1042">
        <f>E21-N21</f>
        <v>154787500</v>
      </c>
      <c r="P21" s="1042">
        <f>(F21/12)*12</f>
        <v>22112500</v>
      </c>
      <c r="Q21" s="1042">
        <f t="shared" si="44"/>
        <v>44225000</v>
      </c>
      <c r="R21" s="1042">
        <f>E21-Q21</f>
        <v>132675000</v>
      </c>
      <c r="S21" s="1042">
        <f t="shared" si="45"/>
        <v>22112500</v>
      </c>
      <c r="T21" s="1042">
        <f t="shared" si="26"/>
        <v>66337500</v>
      </c>
      <c r="U21" s="1042">
        <f>E21-T21</f>
        <v>110562500</v>
      </c>
      <c r="V21" s="1042">
        <f t="shared" si="46"/>
        <v>22112500</v>
      </c>
      <c r="W21" s="1042">
        <f t="shared" si="27"/>
        <v>88450000</v>
      </c>
      <c r="X21" s="1042">
        <f>E21-W21</f>
        <v>88450000</v>
      </c>
      <c r="Y21" s="7">
        <v>88449999.999999985</v>
      </c>
      <c r="Z21" s="7">
        <f>E21-Y21</f>
        <v>88450000.000000015</v>
      </c>
      <c r="AA21" s="1042">
        <f t="shared" si="47"/>
        <v>22112500</v>
      </c>
      <c r="AB21" s="1042">
        <f t="shared" si="48"/>
        <v>110562500</v>
      </c>
      <c r="AC21" s="1042">
        <f>E21-AB21</f>
        <v>66337500</v>
      </c>
      <c r="AD21" s="1042">
        <f t="shared" si="49"/>
        <v>22112500</v>
      </c>
      <c r="AE21" s="1042">
        <f t="shared" si="40"/>
        <v>132675000</v>
      </c>
      <c r="AF21" s="1042">
        <f>E21-AE21</f>
        <v>44225000</v>
      </c>
      <c r="AG21" s="1042">
        <f t="shared" si="50"/>
        <v>22112500</v>
      </c>
      <c r="AH21" s="1042">
        <f t="shared" si="51"/>
        <v>154787500</v>
      </c>
      <c r="AI21" s="1042">
        <f>E21-AH21</f>
        <v>22112500</v>
      </c>
      <c r="AJ21" s="1042">
        <f t="shared" si="52"/>
        <v>1842708.3333333333</v>
      </c>
      <c r="AK21" s="1042">
        <f t="shared" si="53"/>
        <v>156630208.33333334</v>
      </c>
      <c r="AL21" s="1042">
        <f t="shared" si="54"/>
        <v>20269791.666666657</v>
      </c>
      <c r="AM21" s="1042">
        <f>(F21/12)*9</f>
        <v>16584375</v>
      </c>
      <c r="AN21" s="1042">
        <f t="shared" si="55"/>
        <v>171371875</v>
      </c>
      <c r="AO21" s="1042">
        <f t="shared" si="56"/>
        <v>5528125</v>
      </c>
      <c r="AP21" s="1042">
        <f t="shared" si="57"/>
        <v>22112500</v>
      </c>
      <c r="AQ21" s="1042">
        <f t="shared" si="9"/>
        <v>176900000</v>
      </c>
      <c r="AR21" s="1042">
        <f>E21-AQ21</f>
        <v>0</v>
      </c>
      <c r="AS21" s="1042">
        <f t="shared" si="63"/>
        <v>0</v>
      </c>
      <c r="AT21" s="1042">
        <f t="shared" si="10"/>
        <v>176900000</v>
      </c>
      <c r="AU21" s="1042">
        <f t="shared" si="58"/>
        <v>0</v>
      </c>
      <c r="AV21" s="1042">
        <f>(F21/12)*0</f>
        <v>0</v>
      </c>
      <c r="AW21" s="1042">
        <f t="shared" si="60"/>
        <v>176900000</v>
      </c>
      <c r="AX21" s="1042">
        <f t="shared" si="61"/>
        <v>0</v>
      </c>
      <c r="AY21" s="58"/>
      <c r="AZ21" s="8">
        <f t="shared" si="39"/>
        <v>0</v>
      </c>
      <c r="BB21" s="57"/>
      <c r="BC21" s="19"/>
    </row>
    <row r="22" spans="1:55" s="220" customFormat="1" ht="14.25" customHeight="1">
      <c r="A22" s="190" t="s">
        <v>460</v>
      </c>
      <c r="B22" s="214" t="s">
        <v>459</v>
      </c>
      <c r="C22" s="234"/>
      <c r="D22" s="216"/>
      <c r="E22" s="217"/>
      <c r="F22" s="1045"/>
      <c r="G22" s="1046"/>
      <c r="H22" s="1046"/>
      <c r="I22" s="1046"/>
      <c r="J22" s="1046"/>
      <c r="K22" s="1046"/>
      <c r="L22" s="1046"/>
      <c r="M22" s="1046"/>
      <c r="N22" s="1046"/>
      <c r="O22" s="1046"/>
      <c r="P22" s="1046"/>
      <c r="Q22" s="1046"/>
      <c r="R22" s="1046"/>
      <c r="S22" s="1046"/>
      <c r="T22" s="1046"/>
      <c r="U22" s="1046"/>
      <c r="V22" s="1046"/>
      <c r="W22" s="1046"/>
      <c r="X22" s="1046"/>
      <c r="Y22" s="219"/>
      <c r="Z22" s="219"/>
      <c r="AA22" s="1046"/>
      <c r="AB22" s="1046"/>
      <c r="AC22" s="1046"/>
      <c r="AD22" s="1046"/>
      <c r="AE22" s="1046"/>
      <c r="AF22" s="1046"/>
      <c r="AG22" s="1046"/>
      <c r="AH22" s="1046"/>
      <c r="AI22" s="1046"/>
      <c r="AJ22" s="1046"/>
      <c r="AK22" s="1046"/>
      <c r="AL22" s="1046"/>
      <c r="AM22" s="1046"/>
      <c r="AN22" s="1046"/>
      <c r="AO22" s="1046"/>
      <c r="AP22" s="1046"/>
      <c r="AQ22" s="1046">
        <f t="shared" si="9"/>
        <v>0</v>
      </c>
      <c r="AR22" s="1046"/>
      <c r="AS22" s="1046"/>
      <c r="AT22" s="1046">
        <f t="shared" si="10"/>
        <v>0</v>
      </c>
      <c r="AU22" s="1046"/>
      <c r="AV22" s="1042"/>
      <c r="AW22" s="1042"/>
      <c r="AX22" s="1042"/>
      <c r="AY22" s="222"/>
      <c r="AZ22" s="8">
        <f t="shared" si="39"/>
        <v>0</v>
      </c>
      <c r="BB22" s="221"/>
      <c r="BC22" s="179"/>
    </row>
    <row r="23" spans="1:55" ht="14.25" customHeight="1">
      <c r="A23" s="17">
        <v>1</v>
      </c>
      <c r="B23" s="53" t="s">
        <v>461</v>
      </c>
      <c r="C23" s="671">
        <v>37257</v>
      </c>
      <c r="D23" s="55">
        <v>8</v>
      </c>
      <c r="E23" s="6">
        <v>1400000</v>
      </c>
      <c r="F23" s="1041">
        <f>E23/D23</f>
        <v>175000</v>
      </c>
      <c r="G23" s="1053"/>
      <c r="H23" s="1042">
        <f t="shared" ref="H23:H24" si="64">G23</f>
        <v>0</v>
      </c>
      <c r="I23" s="1042">
        <f>E23-H23</f>
        <v>1400000</v>
      </c>
      <c r="J23" s="1042">
        <f>(F23/12)*0</f>
        <v>0</v>
      </c>
      <c r="K23" s="1042">
        <f t="shared" ref="K23:K24" si="65">J23+H23</f>
        <v>0</v>
      </c>
      <c r="L23" s="1042">
        <f>E23-K23</f>
        <v>1400000</v>
      </c>
      <c r="M23" s="1042">
        <f t="shared" ref="M23:M24" si="66">(F23/12)*12</f>
        <v>175000</v>
      </c>
      <c r="N23" s="1042">
        <f t="shared" si="24"/>
        <v>175000</v>
      </c>
      <c r="O23" s="1042">
        <f>E23-N23</f>
        <v>1225000</v>
      </c>
      <c r="P23" s="1042">
        <f t="shared" ref="P23:P24" si="67">(F23/12)*12</f>
        <v>175000</v>
      </c>
      <c r="Q23" s="1042">
        <f t="shared" ref="Q23" si="68">N23+P23</f>
        <v>350000</v>
      </c>
      <c r="R23" s="1042">
        <f>E23-Q23</f>
        <v>1050000</v>
      </c>
      <c r="S23" s="1042">
        <f t="shared" si="45"/>
        <v>175000</v>
      </c>
      <c r="T23" s="1042">
        <f t="shared" si="26"/>
        <v>525000</v>
      </c>
      <c r="U23" s="1042">
        <f>E23-T23</f>
        <v>875000</v>
      </c>
      <c r="V23" s="1042">
        <f t="shared" ref="V23:V24" si="69">(F23/12)*12</f>
        <v>175000</v>
      </c>
      <c r="W23" s="1042">
        <f t="shared" si="27"/>
        <v>700000</v>
      </c>
      <c r="X23" s="1042">
        <f>E23-W23</f>
        <v>700000</v>
      </c>
      <c r="Y23" s="7">
        <v>700000.00000000023</v>
      </c>
      <c r="Z23" s="7">
        <f>E23-Y23</f>
        <v>699999.99999999977</v>
      </c>
      <c r="AA23" s="1042">
        <f t="shared" ref="AA23:AA24" si="70">(F23/12)*12</f>
        <v>175000</v>
      </c>
      <c r="AB23" s="1042">
        <f t="shared" ref="AB23:AB24" si="71">W23+AA23</f>
        <v>875000</v>
      </c>
      <c r="AC23" s="1042">
        <f>E23-AB23</f>
        <v>525000</v>
      </c>
      <c r="AD23" s="1042">
        <f t="shared" ref="AD23:AD24" si="72">(F23/12)*12</f>
        <v>175000</v>
      </c>
      <c r="AE23" s="1042">
        <f t="shared" si="40"/>
        <v>1050000</v>
      </c>
      <c r="AF23" s="1042">
        <f>E23-AE23</f>
        <v>350000</v>
      </c>
      <c r="AG23" s="1042">
        <f t="shared" ref="AG23:AG24" si="73">(F23/12)*12</f>
        <v>175000</v>
      </c>
      <c r="AH23" s="1042">
        <f t="shared" si="51"/>
        <v>1225000</v>
      </c>
      <c r="AI23" s="1042">
        <f>E23-AH23</f>
        <v>175000</v>
      </c>
      <c r="AJ23" s="1042">
        <f t="shared" ref="AJ23:AJ24" si="74">(F23/12)*1</f>
        <v>14583.333333333334</v>
      </c>
      <c r="AK23" s="1042">
        <f t="shared" ref="AK23:AK24" si="75">AH23+AJ23</f>
        <v>1239583.3333333333</v>
      </c>
      <c r="AL23" s="1042">
        <f t="shared" ref="AL23:AL24" si="76">E23-AK23</f>
        <v>160416.66666666674</v>
      </c>
      <c r="AM23" s="1042">
        <f>(F23/12)*9</f>
        <v>131250</v>
      </c>
      <c r="AN23" s="1042">
        <f t="shared" ref="AN23:AN24" si="77">AH23+AM23</f>
        <v>1356250</v>
      </c>
      <c r="AO23" s="1042">
        <f t="shared" ref="AO23:AO24" si="78">E23-AN23</f>
        <v>43750</v>
      </c>
      <c r="AP23" s="1042">
        <f t="shared" ref="AP23:AP24" si="79">(F23/12)*12</f>
        <v>175000</v>
      </c>
      <c r="AQ23" s="1042">
        <f t="shared" si="9"/>
        <v>1400000</v>
      </c>
      <c r="AR23" s="1042">
        <f>E23-AQ23</f>
        <v>0</v>
      </c>
      <c r="AS23" s="1042">
        <f t="shared" ref="AS23:AS24" si="80">(F23/12)*0</f>
        <v>0</v>
      </c>
      <c r="AT23" s="1042">
        <f t="shared" si="10"/>
        <v>1400000</v>
      </c>
      <c r="AU23" s="1042">
        <f t="shared" ref="AU23:AU24" si="81">E23-AT23</f>
        <v>0</v>
      </c>
      <c r="AV23" s="1042">
        <f>(F23/12)*0</f>
        <v>0</v>
      </c>
      <c r="AW23" s="1042">
        <f t="shared" si="60"/>
        <v>1400000</v>
      </c>
      <c r="AX23" s="1042">
        <f t="shared" si="61"/>
        <v>0</v>
      </c>
      <c r="AY23" s="58"/>
      <c r="AZ23" s="8">
        <f t="shared" si="39"/>
        <v>0</v>
      </c>
      <c r="BB23" s="57"/>
      <c r="BC23" s="19"/>
    </row>
    <row r="24" spans="1:55" ht="14.25" customHeight="1">
      <c r="A24" s="17">
        <f t="shared" si="21"/>
        <v>2</v>
      </c>
      <c r="B24" s="53" t="s">
        <v>461</v>
      </c>
      <c r="C24" s="671">
        <v>38353</v>
      </c>
      <c r="D24" s="55">
        <v>8</v>
      </c>
      <c r="E24" s="6">
        <v>2600000</v>
      </c>
      <c r="F24" s="1041">
        <f>E24/D24</f>
        <v>325000</v>
      </c>
      <c r="G24" s="1053"/>
      <c r="H24" s="1042">
        <f t="shared" si="64"/>
        <v>0</v>
      </c>
      <c r="I24" s="1042">
        <f>E24-H24</f>
        <v>2600000</v>
      </c>
      <c r="J24" s="1042">
        <f>(F24/12)*0</f>
        <v>0</v>
      </c>
      <c r="K24" s="1042">
        <f t="shared" si="65"/>
        <v>0</v>
      </c>
      <c r="L24" s="1042">
        <f>E24-K24</f>
        <v>2600000</v>
      </c>
      <c r="M24" s="1042">
        <f t="shared" si="66"/>
        <v>325000</v>
      </c>
      <c r="N24" s="1042">
        <f t="shared" si="24"/>
        <v>325000</v>
      </c>
      <c r="O24" s="1042">
        <f>E24-N24</f>
        <v>2275000</v>
      </c>
      <c r="P24" s="1042">
        <f t="shared" si="67"/>
        <v>325000</v>
      </c>
      <c r="Q24" s="1042">
        <f>N24+P24</f>
        <v>650000</v>
      </c>
      <c r="R24" s="1042">
        <f>E24-Q24</f>
        <v>1950000</v>
      </c>
      <c r="S24" s="1042">
        <f t="shared" si="45"/>
        <v>325000</v>
      </c>
      <c r="T24" s="1042">
        <f t="shared" si="26"/>
        <v>975000</v>
      </c>
      <c r="U24" s="1042">
        <f>E24-T24</f>
        <v>1625000</v>
      </c>
      <c r="V24" s="1042">
        <f t="shared" si="69"/>
        <v>325000</v>
      </c>
      <c r="W24" s="1042">
        <f t="shared" si="27"/>
        <v>1300000</v>
      </c>
      <c r="X24" s="1042">
        <f>E24-W24</f>
        <v>1300000</v>
      </c>
      <c r="Y24" s="7">
        <v>1299999.9999999998</v>
      </c>
      <c r="Z24" s="7">
        <f>E24-Y24</f>
        <v>1300000.0000000002</v>
      </c>
      <c r="AA24" s="1042">
        <f t="shared" si="70"/>
        <v>325000</v>
      </c>
      <c r="AB24" s="1042">
        <f t="shared" si="71"/>
        <v>1625000</v>
      </c>
      <c r="AC24" s="1042">
        <f>E24-AB24</f>
        <v>975000</v>
      </c>
      <c r="AD24" s="1042">
        <f t="shared" si="72"/>
        <v>325000</v>
      </c>
      <c r="AE24" s="1042">
        <f t="shared" ref="AE24" si="82">AB24+AD24</f>
        <v>1950000</v>
      </c>
      <c r="AF24" s="1042">
        <f>E24-AE24</f>
        <v>650000</v>
      </c>
      <c r="AG24" s="1042">
        <f t="shared" si="73"/>
        <v>325000</v>
      </c>
      <c r="AH24" s="1042">
        <f t="shared" ref="AH24" si="83">AE24+AG24</f>
        <v>2275000</v>
      </c>
      <c r="AI24" s="1042">
        <f>E24-AH24</f>
        <v>325000</v>
      </c>
      <c r="AJ24" s="1042">
        <f t="shared" si="74"/>
        <v>27083.333333333332</v>
      </c>
      <c r="AK24" s="1042">
        <f t="shared" si="75"/>
        <v>2302083.3333333335</v>
      </c>
      <c r="AL24" s="1042">
        <f t="shared" si="76"/>
        <v>297916.66666666651</v>
      </c>
      <c r="AM24" s="1042">
        <f>(F24/12)*9</f>
        <v>243750</v>
      </c>
      <c r="AN24" s="1042">
        <f t="shared" si="77"/>
        <v>2518750</v>
      </c>
      <c r="AO24" s="1042">
        <f t="shared" si="78"/>
        <v>81250</v>
      </c>
      <c r="AP24" s="1042">
        <f t="shared" si="79"/>
        <v>325000</v>
      </c>
      <c r="AQ24" s="1042">
        <f t="shared" si="9"/>
        <v>2600000</v>
      </c>
      <c r="AR24" s="1042">
        <f>E24-AQ24</f>
        <v>0</v>
      </c>
      <c r="AS24" s="1042">
        <f t="shared" si="80"/>
        <v>0</v>
      </c>
      <c r="AT24" s="1042">
        <f t="shared" si="10"/>
        <v>2600000</v>
      </c>
      <c r="AU24" s="1042">
        <f t="shared" si="81"/>
        <v>0</v>
      </c>
      <c r="AV24" s="1042">
        <f>(F24/12)*0</f>
        <v>0</v>
      </c>
      <c r="AW24" s="1042">
        <f t="shared" si="60"/>
        <v>2600000</v>
      </c>
      <c r="AX24" s="1042">
        <f t="shared" si="61"/>
        <v>0</v>
      </c>
      <c r="AY24" s="58"/>
      <c r="AZ24" s="8">
        <f t="shared" si="39"/>
        <v>0</v>
      </c>
      <c r="BB24" s="57"/>
      <c r="BC24" s="19"/>
    </row>
    <row r="25" spans="1:55" s="220" customFormat="1" ht="14.25" customHeight="1">
      <c r="A25" s="190" t="s">
        <v>463</v>
      </c>
      <c r="B25" s="214" t="s">
        <v>462</v>
      </c>
      <c r="C25" s="234"/>
      <c r="D25" s="216"/>
      <c r="E25" s="217"/>
      <c r="F25" s="1045"/>
      <c r="G25" s="1046"/>
      <c r="H25" s="1046"/>
      <c r="I25" s="1046"/>
      <c r="J25" s="1046"/>
      <c r="K25" s="1046"/>
      <c r="L25" s="1046"/>
      <c r="M25" s="1046"/>
      <c r="N25" s="1046"/>
      <c r="O25" s="1046"/>
      <c r="P25" s="1046"/>
      <c r="Q25" s="1046"/>
      <c r="R25" s="1046"/>
      <c r="S25" s="1046"/>
      <c r="T25" s="1046"/>
      <c r="U25" s="1046"/>
      <c r="V25" s="1046"/>
      <c r="W25" s="1046"/>
      <c r="X25" s="1046"/>
      <c r="Y25" s="219"/>
      <c r="Z25" s="219"/>
      <c r="AA25" s="1046"/>
      <c r="AB25" s="1046"/>
      <c r="AC25" s="1046"/>
      <c r="AD25" s="1046"/>
      <c r="AE25" s="1046"/>
      <c r="AF25" s="1046"/>
      <c r="AG25" s="1046"/>
      <c r="AH25" s="1046"/>
      <c r="AI25" s="1046"/>
      <c r="AJ25" s="1046"/>
      <c r="AK25" s="1046"/>
      <c r="AL25" s="1046"/>
      <c r="AM25" s="1046"/>
      <c r="AN25" s="1046"/>
      <c r="AO25" s="1046"/>
      <c r="AP25" s="1046"/>
      <c r="AQ25" s="1046">
        <f t="shared" si="9"/>
        <v>0</v>
      </c>
      <c r="AR25" s="1046"/>
      <c r="AS25" s="1046"/>
      <c r="AT25" s="1046"/>
      <c r="AU25" s="1046"/>
      <c r="AV25" s="1042"/>
      <c r="AW25" s="1042"/>
      <c r="AX25" s="1042"/>
      <c r="AY25" s="222"/>
      <c r="AZ25" s="8">
        <f t="shared" si="39"/>
        <v>0</v>
      </c>
      <c r="BB25" s="221"/>
      <c r="BC25" s="179"/>
    </row>
    <row r="26" spans="1:55" ht="14.25" customHeight="1">
      <c r="A26" s="17">
        <v>1</v>
      </c>
      <c r="B26" s="53" t="s">
        <v>464</v>
      </c>
      <c r="C26" s="671">
        <v>37257</v>
      </c>
      <c r="D26" s="55">
        <v>16</v>
      </c>
      <c r="E26" s="6">
        <v>3922000000</v>
      </c>
      <c r="F26" s="1041">
        <f>E26/D26</f>
        <v>245125000</v>
      </c>
      <c r="G26" s="1053"/>
      <c r="H26" s="1042">
        <f t="shared" ref="H26" si="84">G26</f>
        <v>0</v>
      </c>
      <c r="I26" s="1042">
        <f>E26-H26</f>
        <v>3922000000</v>
      </c>
      <c r="J26" s="1042"/>
      <c r="K26" s="1042">
        <f t="shared" ref="K26" si="85">J26+H26</f>
        <v>0</v>
      </c>
      <c r="L26" s="1042">
        <f>E26-K26</f>
        <v>3922000000</v>
      </c>
      <c r="M26" s="1042">
        <f>(F26/12)*12</f>
        <v>245125000</v>
      </c>
      <c r="N26" s="1042">
        <f t="shared" si="24"/>
        <v>245125000</v>
      </c>
      <c r="O26" s="1042">
        <f>E26-N26</f>
        <v>3676875000</v>
      </c>
      <c r="P26" s="1042">
        <f>(F26/12)*12</f>
        <v>245125000</v>
      </c>
      <c r="Q26" s="1042">
        <f t="shared" ref="Q26" si="86">N26+P26</f>
        <v>490250000</v>
      </c>
      <c r="R26" s="1042">
        <f>E26-Q26</f>
        <v>3431750000</v>
      </c>
      <c r="S26" s="1042">
        <f t="shared" si="45"/>
        <v>245125000</v>
      </c>
      <c r="T26" s="1042">
        <f t="shared" si="26"/>
        <v>735375000</v>
      </c>
      <c r="U26" s="1042">
        <f>E26-T26</f>
        <v>3186625000</v>
      </c>
      <c r="V26" s="1042">
        <f>(F26/12)*12</f>
        <v>245125000</v>
      </c>
      <c r="W26" s="1042">
        <f t="shared" si="27"/>
        <v>980500000</v>
      </c>
      <c r="X26" s="1042">
        <f>E26-W26</f>
        <v>2941500000</v>
      </c>
      <c r="Y26" s="7">
        <v>1961000000.0000012</v>
      </c>
      <c r="Z26" s="7">
        <f>E26-Y26</f>
        <v>1960999999.9999988</v>
      </c>
      <c r="AA26" s="1042">
        <f>(F26/12)*12</f>
        <v>245125000</v>
      </c>
      <c r="AB26" s="1042">
        <f>W26+AA26</f>
        <v>1225625000</v>
      </c>
      <c r="AC26" s="1042">
        <f>E26-AB26</f>
        <v>2696375000</v>
      </c>
      <c r="AD26" s="1042">
        <f>(F26/12)*12</f>
        <v>245125000</v>
      </c>
      <c r="AE26" s="1042">
        <f t="shared" si="40"/>
        <v>1470750000</v>
      </c>
      <c r="AF26" s="1042">
        <f>E26-AE26</f>
        <v>2451250000</v>
      </c>
      <c r="AG26" s="1042">
        <f>(F26/12)*12</f>
        <v>245125000</v>
      </c>
      <c r="AH26" s="1042">
        <f t="shared" si="51"/>
        <v>1715875000</v>
      </c>
      <c r="AI26" s="1042">
        <f>E26-AH26</f>
        <v>2206125000</v>
      </c>
      <c r="AJ26" s="1042">
        <f t="shared" ref="AJ26" si="87">(F26/12)*1</f>
        <v>20427083.333333332</v>
      </c>
      <c r="AK26" s="1042">
        <f t="shared" ref="AK26" si="88">AH26+AJ26</f>
        <v>1736302083.3333333</v>
      </c>
      <c r="AL26" s="1042">
        <f t="shared" ref="AL26" si="89">E26-AK26</f>
        <v>2185697916.666667</v>
      </c>
      <c r="AM26" s="1042">
        <f>(F26/12)*9</f>
        <v>183843750</v>
      </c>
      <c r="AN26" s="1042">
        <f t="shared" ref="AN26" si="90">AH26+AM26</f>
        <v>1899718750</v>
      </c>
      <c r="AO26" s="1042">
        <f t="shared" ref="AO26" si="91">E26-AN26</f>
        <v>2022281250</v>
      </c>
      <c r="AP26" s="1042">
        <f>(F26/12)*12</f>
        <v>245125000</v>
      </c>
      <c r="AQ26" s="1042">
        <f t="shared" si="9"/>
        <v>1961000000</v>
      </c>
      <c r="AR26" s="1042">
        <f>E26-AQ26</f>
        <v>1961000000</v>
      </c>
      <c r="AS26" s="1042">
        <f>(F26/12)*9</f>
        <v>183843750</v>
      </c>
      <c r="AT26" s="1042">
        <f t="shared" si="10"/>
        <v>2144843750</v>
      </c>
      <c r="AU26" s="1042">
        <f t="shared" ref="AU26" si="92">E26-AT26</f>
        <v>1777156250</v>
      </c>
      <c r="AV26" s="1042">
        <f t="shared" si="59"/>
        <v>245125000</v>
      </c>
      <c r="AW26" s="1042">
        <f t="shared" si="60"/>
        <v>2206125000</v>
      </c>
      <c r="AX26" s="1042">
        <f t="shared" si="61"/>
        <v>1715875000</v>
      </c>
      <c r="AY26" s="58"/>
      <c r="AZ26" s="8">
        <f t="shared" si="39"/>
        <v>0</v>
      </c>
      <c r="BB26" s="57"/>
      <c r="BC26" s="19"/>
    </row>
    <row r="27" spans="1:55" s="220" customFormat="1" ht="14.25" customHeight="1">
      <c r="A27" s="190" t="s">
        <v>466</v>
      </c>
      <c r="B27" s="214" t="s">
        <v>465</v>
      </c>
      <c r="C27" s="234"/>
      <c r="D27" s="216"/>
      <c r="E27" s="217"/>
      <c r="F27" s="1045"/>
      <c r="G27" s="1046"/>
      <c r="H27" s="1046"/>
      <c r="I27" s="1046"/>
      <c r="J27" s="1046"/>
      <c r="K27" s="1046"/>
      <c r="L27" s="1046"/>
      <c r="M27" s="1046"/>
      <c r="N27" s="1046"/>
      <c r="O27" s="1046"/>
      <c r="P27" s="1046"/>
      <c r="Q27" s="1046"/>
      <c r="R27" s="1046"/>
      <c r="S27" s="1046"/>
      <c r="T27" s="1046"/>
      <c r="U27" s="1046"/>
      <c r="V27" s="1046"/>
      <c r="W27" s="1046"/>
      <c r="X27" s="1046"/>
      <c r="Y27" s="219"/>
      <c r="Z27" s="219"/>
      <c r="AA27" s="1046"/>
      <c r="AB27" s="1046"/>
      <c r="AC27" s="1046"/>
      <c r="AD27" s="1046"/>
      <c r="AE27" s="1046"/>
      <c r="AF27" s="1046"/>
      <c r="AG27" s="1046"/>
      <c r="AH27" s="1046"/>
      <c r="AI27" s="1046"/>
      <c r="AJ27" s="1046"/>
      <c r="AK27" s="1046"/>
      <c r="AL27" s="1046"/>
      <c r="AM27" s="1046"/>
      <c r="AN27" s="1046"/>
      <c r="AO27" s="1046"/>
      <c r="AP27" s="1046"/>
      <c r="AQ27" s="1046">
        <f t="shared" si="9"/>
        <v>0</v>
      </c>
      <c r="AR27" s="1046"/>
      <c r="AS27" s="1046"/>
      <c r="AT27" s="1046"/>
      <c r="AU27" s="1046"/>
      <c r="AV27" s="1042"/>
      <c r="AW27" s="1042"/>
      <c r="AX27" s="1042"/>
      <c r="AY27" s="222"/>
      <c r="AZ27" s="8">
        <f t="shared" si="39"/>
        <v>0</v>
      </c>
      <c r="BB27" s="221"/>
      <c r="BC27" s="179"/>
    </row>
    <row r="28" spans="1:55" ht="14.25" customHeight="1">
      <c r="A28" s="17">
        <v>1</v>
      </c>
      <c r="B28" s="60" t="s">
        <v>467</v>
      </c>
      <c r="C28" s="967">
        <v>37257</v>
      </c>
      <c r="D28" s="55">
        <v>8</v>
      </c>
      <c r="E28" s="6">
        <v>52800000</v>
      </c>
      <c r="F28" s="1041">
        <f t="shared" ref="F28:F33" si="93">E28/D28</f>
        <v>6600000</v>
      </c>
      <c r="G28" s="1053"/>
      <c r="H28" s="1042">
        <f t="shared" ref="H28:H33" si="94">G28</f>
        <v>0</v>
      </c>
      <c r="I28" s="1042">
        <f t="shared" ref="I28:I33" si="95">E28-H28</f>
        <v>52800000</v>
      </c>
      <c r="J28" s="1042">
        <f>(F28/12)*0</f>
        <v>0</v>
      </c>
      <c r="K28" s="1042">
        <f t="shared" ref="K28:K33" si="96">J28+H28</f>
        <v>0</v>
      </c>
      <c r="L28" s="1042">
        <f t="shared" ref="L28:L33" si="97">E28-K28</f>
        <v>52800000</v>
      </c>
      <c r="M28" s="1042">
        <f t="shared" ref="M28:M33" si="98">(F28/12)*12</f>
        <v>6600000</v>
      </c>
      <c r="N28" s="1042">
        <f t="shared" ref="N28:N33" si="99">M28+K28</f>
        <v>6600000</v>
      </c>
      <c r="O28" s="1042">
        <f t="shared" ref="O28:O33" si="100">E28-N28</f>
        <v>46200000</v>
      </c>
      <c r="P28" s="1042">
        <f t="shared" ref="P28:P33" si="101">(F28/12)*12</f>
        <v>6600000</v>
      </c>
      <c r="Q28" s="1042">
        <f t="shared" ref="Q28:Q33" si="102">N28+P28</f>
        <v>13200000</v>
      </c>
      <c r="R28" s="1042">
        <f t="shared" ref="R28:R33" si="103">E28-Q28</f>
        <v>39600000</v>
      </c>
      <c r="S28" s="1042">
        <f t="shared" si="45"/>
        <v>6600000</v>
      </c>
      <c r="T28" s="1042">
        <f>Q28+S28</f>
        <v>19800000</v>
      </c>
      <c r="U28" s="1042">
        <f t="shared" ref="U28:U33" si="104">E28-T28</f>
        <v>33000000</v>
      </c>
      <c r="V28" s="1042">
        <f t="shared" ref="V28:V33" si="105">(F28/12)*12</f>
        <v>6600000</v>
      </c>
      <c r="W28" s="1042">
        <f>T28+V28</f>
        <v>26400000</v>
      </c>
      <c r="X28" s="1042">
        <f t="shared" ref="X28:X33" si="106">E28-W28</f>
        <v>26400000</v>
      </c>
      <c r="Y28" s="7">
        <v>26400000</v>
      </c>
      <c r="Z28" s="7">
        <f t="shared" ref="Z28:Z33" si="107">E28-Y28</f>
        <v>26400000</v>
      </c>
      <c r="AA28" s="1042">
        <f t="shared" ref="AA28:AA33" si="108">(F28/12)*12</f>
        <v>6600000</v>
      </c>
      <c r="AB28" s="1042">
        <f t="shared" ref="AB28:AB33" si="109">W28+AA28</f>
        <v>33000000</v>
      </c>
      <c r="AC28" s="1042">
        <f t="shared" ref="AC28:AC33" si="110">E28-AB28</f>
        <v>19800000</v>
      </c>
      <c r="AD28" s="1042">
        <f t="shared" ref="AD28:AD33" si="111">(F28/12)*12</f>
        <v>6600000</v>
      </c>
      <c r="AE28" s="1042">
        <f t="shared" ref="AE28:AE33" si="112">AB28+AD28</f>
        <v>39600000</v>
      </c>
      <c r="AF28" s="1042">
        <f t="shared" ref="AF28:AF33" si="113">E28-AE28</f>
        <v>13200000</v>
      </c>
      <c r="AG28" s="1042">
        <f t="shared" ref="AG28:AG33" si="114">(F28/12)*12</f>
        <v>6600000</v>
      </c>
      <c r="AH28" s="1042">
        <f t="shared" ref="AH28:AH33" si="115">AE28+AG28</f>
        <v>46200000</v>
      </c>
      <c r="AI28" s="1042">
        <f t="shared" ref="AI28:AI33" si="116">E28-AH28</f>
        <v>6600000</v>
      </c>
      <c r="AJ28" s="1042">
        <f t="shared" ref="AJ28:AJ33" si="117">(F28/12)*1</f>
        <v>550000</v>
      </c>
      <c r="AK28" s="1042">
        <f t="shared" ref="AK28:AK33" si="118">AH28+AJ28</f>
        <v>46750000</v>
      </c>
      <c r="AL28" s="1042">
        <f t="shared" ref="AL28:AL33" si="119">E28-AK28</f>
        <v>6050000</v>
      </c>
      <c r="AM28" s="1042">
        <f>(F28/12)*9</f>
        <v>4950000</v>
      </c>
      <c r="AN28" s="1042">
        <f t="shared" ref="AN28:AN33" si="120">AH28+AM28</f>
        <v>51150000</v>
      </c>
      <c r="AO28" s="1042">
        <f t="shared" ref="AO28:AO33" si="121">E28-AN28</f>
        <v>1650000</v>
      </c>
      <c r="AP28" s="1042">
        <f t="shared" ref="AP28:AP33" si="122">(F28/12)*12</f>
        <v>6600000</v>
      </c>
      <c r="AQ28" s="1042">
        <f t="shared" si="9"/>
        <v>52800000</v>
      </c>
      <c r="AR28" s="1042">
        <f t="shared" ref="AR28:AR33" si="123">E28-AQ28</f>
        <v>0</v>
      </c>
      <c r="AS28" s="1042">
        <f t="shared" ref="AS28:AS33" si="124">(F28/12)*0</f>
        <v>0</v>
      </c>
      <c r="AT28" s="1042">
        <f t="shared" si="10"/>
        <v>52800000</v>
      </c>
      <c r="AU28" s="1042">
        <f t="shared" ref="AU28:AU33" si="125">E28-AT28</f>
        <v>0</v>
      </c>
      <c r="AV28" s="1042">
        <f t="shared" ref="AV28:AV33" si="126">(F28/12)*0</f>
        <v>0</v>
      </c>
      <c r="AW28" s="1042">
        <f t="shared" si="60"/>
        <v>52800000</v>
      </c>
      <c r="AX28" s="1042">
        <f t="shared" si="61"/>
        <v>0</v>
      </c>
      <c r="AY28" s="19"/>
      <c r="AZ28" s="8">
        <f t="shared" si="39"/>
        <v>0</v>
      </c>
      <c r="BB28" s="57"/>
      <c r="BC28" s="19"/>
    </row>
    <row r="29" spans="1:55" ht="14.25" customHeight="1">
      <c r="A29" s="17">
        <f t="shared" si="21"/>
        <v>2</v>
      </c>
      <c r="B29" s="56" t="s">
        <v>468</v>
      </c>
      <c r="C29" s="967">
        <v>37257</v>
      </c>
      <c r="D29" s="55">
        <v>8</v>
      </c>
      <c r="E29" s="6">
        <v>252600000</v>
      </c>
      <c r="F29" s="1041">
        <f t="shared" si="93"/>
        <v>31575000</v>
      </c>
      <c r="G29" s="1053"/>
      <c r="H29" s="1042">
        <f t="shared" si="94"/>
        <v>0</v>
      </c>
      <c r="I29" s="1042">
        <f t="shared" si="95"/>
        <v>252600000</v>
      </c>
      <c r="J29" s="1042">
        <f>(F29/12)*0</f>
        <v>0</v>
      </c>
      <c r="K29" s="1042">
        <f t="shared" si="96"/>
        <v>0</v>
      </c>
      <c r="L29" s="1042">
        <f t="shared" si="97"/>
        <v>252600000</v>
      </c>
      <c r="M29" s="1042">
        <f t="shared" si="98"/>
        <v>31575000</v>
      </c>
      <c r="N29" s="1042">
        <f t="shared" si="99"/>
        <v>31575000</v>
      </c>
      <c r="O29" s="1042">
        <f t="shared" si="100"/>
        <v>221025000</v>
      </c>
      <c r="P29" s="1042">
        <f t="shared" si="101"/>
        <v>31575000</v>
      </c>
      <c r="Q29" s="1042">
        <f t="shared" si="102"/>
        <v>63150000</v>
      </c>
      <c r="R29" s="1042">
        <f t="shared" si="103"/>
        <v>189450000</v>
      </c>
      <c r="S29" s="1042">
        <f t="shared" si="45"/>
        <v>31575000</v>
      </c>
      <c r="T29" s="1042">
        <f>Q29+S29</f>
        <v>94725000</v>
      </c>
      <c r="U29" s="1042">
        <f t="shared" si="104"/>
        <v>157875000</v>
      </c>
      <c r="V29" s="1042">
        <f t="shared" si="105"/>
        <v>31575000</v>
      </c>
      <c r="W29" s="1042">
        <f t="shared" ref="W29:W33" si="127">T29+V29</f>
        <v>126300000</v>
      </c>
      <c r="X29" s="1042">
        <f t="shared" si="106"/>
        <v>126300000</v>
      </c>
      <c r="Y29" s="7">
        <v>126300000</v>
      </c>
      <c r="Z29" s="7">
        <f t="shared" si="107"/>
        <v>126300000</v>
      </c>
      <c r="AA29" s="1042">
        <f t="shared" si="108"/>
        <v>31575000</v>
      </c>
      <c r="AB29" s="1042">
        <f t="shared" si="109"/>
        <v>157875000</v>
      </c>
      <c r="AC29" s="1042">
        <f t="shared" si="110"/>
        <v>94725000</v>
      </c>
      <c r="AD29" s="1042">
        <f t="shared" si="111"/>
        <v>31575000</v>
      </c>
      <c r="AE29" s="1042">
        <f t="shared" si="112"/>
        <v>189450000</v>
      </c>
      <c r="AF29" s="1042">
        <f t="shared" si="113"/>
        <v>63150000</v>
      </c>
      <c r="AG29" s="1042">
        <f t="shared" si="114"/>
        <v>31575000</v>
      </c>
      <c r="AH29" s="1042">
        <f t="shared" si="115"/>
        <v>221025000</v>
      </c>
      <c r="AI29" s="1042">
        <f t="shared" si="116"/>
        <v>31575000</v>
      </c>
      <c r="AJ29" s="1042">
        <f t="shared" si="117"/>
        <v>2631250</v>
      </c>
      <c r="AK29" s="1042">
        <f t="shared" si="118"/>
        <v>223656250</v>
      </c>
      <c r="AL29" s="1042">
        <f t="shared" si="119"/>
        <v>28943750</v>
      </c>
      <c r="AM29" s="1042">
        <f t="shared" ref="AM29:AM86" si="128">(F29/12)*9</f>
        <v>23681250</v>
      </c>
      <c r="AN29" s="1042">
        <f t="shared" si="120"/>
        <v>244706250</v>
      </c>
      <c r="AO29" s="1042">
        <f t="shared" si="121"/>
        <v>7893750</v>
      </c>
      <c r="AP29" s="1042">
        <f t="shared" si="122"/>
        <v>31575000</v>
      </c>
      <c r="AQ29" s="1042">
        <f t="shared" si="9"/>
        <v>252600000</v>
      </c>
      <c r="AR29" s="1042">
        <f t="shared" si="123"/>
        <v>0</v>
      </c>
      <c r="AS29" s="1042">
        <f t="shared" si="124"/>
        <v>0</v>
      </c>
      <c r="AT29" s="1042">
        <f t="shared" si="10"/>
        <v>252600000</v>
      </c>
      <c r="AU29" s="1042">
        <f t="shared" si="125"/>
        <v>0</v>
      </c>
      <c r="AV29" s="1042">
        <f t="shared" si="126"/>
        <v>0</v>
      </c>
      <c r="AW29" s="1042">
        <f t="shared" si="60"/>
        <v>252600000</v>
      </c>
      <c r="AX29" s="1042">
        <f t="shared" si="61"/>
        <v>0</v>
      </c>
      <c r="AY29" s="19"/>
      <c r="AZ29" s="8">
        <f t="shared" si="39"/>
        <v>0</v>
      </c>
      <c r="BB29" s="57"/>
      <c r="BC29" s="19"/>
    </row>
    <row r="30" spans="1:55" ht="14.25" customHeight="1">
      <c r="A30" s="17">
        <f t="shared" si="21"/>
        <v>3</v>
      </c>
      <c r="B30" s="56" t="s">
        <v>469</v>
      </c>
      <c r="C30" s="967">
        <v>37622</v>
      </c>
      <c r="D30" s="55">
        <v>8</v>
      </c>
      <c r="E30" s="6">
        <v>74900000</v>
      </c>
      <c r="F30" s="1041">
        <f t="shared" si="93"/>
        <v>9362500</v>
      </c>
      <c r="G30" s="1053"/>
      <c r="H30" s="1042">
        <f t="shared" si="94"/>
        <v>0</v>
      </c>
      <c r="I30" s="1042">
        <f t="shared" si="95"/>
        <v>74900000</v>
      </c>
      <c r="J30" s="1042">
        <f>(F30/12)*0</f>
        <v>0</v>
      </c>
      <c r="K30" s="1042">
        <f t="shared" si="96"/>
        <v>0</v>
      </c>
      <c r="L30" s="1042">
        <f t="shared" si="97"/>
        <v>74900000</v>
      </c>
      <c r="M30" s="1042">
        <f t="shared" si="98"/>
        <v>9362500</v>
      </c>
      <c r="N30" s="1042">
        <f t="shared" si="99"/>
        <v>9362500</v>
      </c>
      <c r="O30" s="1042">
        <f t="shared" si="100"/>
        <v>65537500</v>
      </c>
      <c r="P30" s="1042">
        <f t="shared" si="101"/>
        <v>9362500</v>
      </c>
      <c r="Q30" s="1042">
        <f t="shared" si="102"/>
        <v>18725000</v>
      </c>
      <c r="R30" s="1042">
        <f t="shared" si="103"/>
        <v>56175000</v>
      </c>
      <c r="S30" s="1042">
        <f t="shared" si="45"/>
        <v>9362500</v>
      </c>
      <c r="T30" s="1042">
        <f t="shared" ref="T30:T33" si="129">Q30+S30</f>
        <v>28087500</v>
      </c>
      <c r="U30" s="1042">
        <f t="shared" si="104"/>
        <v>46812500</v>
      </c>
      <c r="V30" s="1042">
        <f t="shared" si="105"/>
        <v>9362500</v>
      </c>
      <c r="W30" s="1042">
        <f t="shared" si="127"/>
        <v>37450000</v>
      </c>
      <c r="X30" s="1042">
        <f t="shared" si="106"/>
        <v>37450000</v>
      </c>
      <c r="Y30" s="7">
        <v>37449999.999999993</v>
      </c>
      <c r="Z30" s="7">
        <f t="shared" si="107"/>
        <v>37450000.000000007</v>
      </c>
      <c r="AA30" s="1042">
        <f t="shared" si="108"/>
        <v>9362500</v>
      </c>
      <c r="AB30" s="1042">
        <f t="shared" si="109"/>
        <v>46812500</v>
      </c>
      <c r="AC30" s="1042">
        <f t="shared" si="110"/>
        <v>28087500</v>
      </c>
      <c r="AD30" s="1042">
        <f t="shared" si="111"/>
        <v>9362500</v>
      </c>
      <c r="AE30" s="1042">
        <f t="shared" si="112"/>
        <v>56175000</v>
      </c>
      <c r="AF30" s="1042">
        <f t="shared" si="113"/>
        <v>18725000</v>
      </c>
      <c r="AG30" s="1042">
        <f t="shared" si="114"/>
        <v>9362500</v>
      </c>
      <c r="AH30" s="1042">
        <f t="shared" si="115"/>
        <v>65537500</v>
      </c>
      <c r="AI30" s="1042">
        <f t="shared" si="116"/>
        <v>9362500</v>
      </c>
      <c r="AJ30" s="1042">
        <f t="shared" si="117"/>
        <v>780208.33333333337</v>
      </c>
      <c r="AK30" s="1042">
        <f t="shared" si="118"/>
        <v>66317708.333333336</v>
      </c>
      <c r="AL30" s="1042">
        <f t="shared" si="119"/>
        <v>8582291.6666666642</v>
      </c>
      <c r="AM30" s="1042">
        <f t="shared" si="128"/>
        <v>7021875</v>
      </c>
      <c r="AN30" s="1042">
        <f t="shared" si="120"/>
        <v>72559375</v>
      </c>
      <c r="AO30" s="1042">
        <f t="shared" si="121"/>
        <v>2340625</v>
      </c>
      <c r="AP30" s="1042">
        <f t="shared" si="122"/>
        <v>9362500</v>
      </c>
      <c r="AQ30" s="1042">
        <f t="shared" si="9"/>
        <v>74900000</v>
      </c>
      <c r="AR30" s="1042">
        <f t="shared" si="123"/>
        <v>0</v>
      </c>
      <c r="AS30" s="1042">
        <f t="shared" si="124"/>
        <v>0</v>
      </c>
      <c r="AT30" s="1042">
        <f t="shared" si="10"/>
        <v>74900000</v>
      </c>
      <c r="AU30" s="1042">
        <f t="shared" si="125"/>
        <v>0</v>
      </c>
      <c r="AV30" s="1042">
        <f t="shared" si="126"/>
        <v>0</v>
      </c>
      <c r="AW30" s="1042">
        <f t="shared" si="60"/>
        <v>74900000</v>
      </c>
      <c r="AX30" s="1042">
        <f t="shared" si="61"/>
        <v>0</v>
      </c>
      <c r="AY30" s="19"/>
      <c r="AZ30" s="8">
        <f t="shared" si="39"/>
        <v>0</v>
      </c>
      <c r="BB30" s="57"/>
      <c r="BC30" s="19"/>
    </row>
    <row r="31" spans="1:55" ht="14.25" customHeight="1">
      <c r="A31" s="17">
        <f t="shared" si="21"/>
        <v>4</v>
      </c>
      <c r="B31" s="56" t="s">
        <v>470</v>
      </c>
      <c r="C31" s="967">
        <v>38353</v>
      </c>
      <c r="D31" s="55">
        <v>8</v>
      </c>
      <c r="E31" s="6">
        <v>86200000</v>
      </c>
      <c r="F31" s="1041">
        <f t="shared" si="93"/>
        <v>10775000</v>
      </c>
      <c r="G31" s="1053"/>
      <c r="H31" s="1042">
        <f t="shared" si="94"/>
        <v>0</v>
      </c>
      <c r="I31" s="1042">
        <f t="shared" si="95"/>
        <v>86200000</v>
      </c>
      <c r="J31" s="1042">
        <f>(F31/12)*0</f>
        <v>0</v>
      </c>
      <c r="K31" s="1042">
        <f t="shared" si="96"/>
        <v>0</v>
      </c>
      <c r="L31" s="1042">
        <f t="shared" si="97"/>
        <v>86200000</v>
      </c>
      <c r="M31" s="1042">
        <f t="shared" si="98"/>
        <v>10775000</v>
      </c>
      <c r="N31" s="1042">
        <f t="shared" si="99"/>
        <v>10775000</v>
      </c>
      <c r="O31" s="1042">
        <f t="shared" si="100"/>
        <v>75425000</v>
      </c>
      <c r="P31" s="1042">
        <f t="shared" si="101"/>
        <v>10775000</v>
      </c>
      <c r="Q31" s="1042">
        <f t="shared" si="102"/>
        <v>21550000</v>
      </c>
      <c r="R31" s="1042">
        <f t="shared" si="103"/>
        <v>64650000</v>
      </c>
      <c r="S31" s="1042">
        <f t="shared" si="45"/>
        <v>10775000</v>
      </c>
      <c r="T31" s="1042">
        <f t="shared" si="129"/>
        <v>32325000</v>
      </c>
      <c r="U31" s="1042">
        <f t="shared" si="104"/>
        <v>53875000</v>
      </c>
      <c r="V31" s="1042">
        <f t="shared" si="105"/>
        <v>10775000</v>
      </c>
      <c r="W31" s="1042">
        <f t="shared" si="127"/>
        <v>43100000</v>
      </c>
      <c r="X31" s="1042">
        <f t="shared" si="106"/>
        <v>43100000</v>
      </c>
      <c r="Y31" s="7">
        <v>43099999.999999993</v>
      </c>
      <c r="Z31" s="7">
        <f t="shared" si="107"/>
        <v>43100000.000000007</v>
      </c>
      <c r="AA31" s="1042">
        <f t="shared" si="108"/>
        <v>10775000</v>
      </c>
      <c r="AB31" s="1042">
        <f t="shared" si="109"/>
        <v>53875000</v>
      </c>
      <c r="AC31" s="1042">
        <f t="shared" si="110"/>
        <v>32325000</v>
      </c>
      <c r="AD31" s="1042">
        <f t="shared" si="111"/>
        <v>10775000</v>
      </c>
      <c r="AE31" s="1042">
        <f t="shared" si="112"/>
        <v>64650000</v>
      </c>
      <c r="AF31" s="1042">
        <f t="shared" si="113"/>
        <v>21550000</v>
      </c>
      <c r="AG31" s="1042">
        <f t="shared" si="114"/>
        <v>10775000</v>
      </c>
      <c r="AH31" s="1042">
        <f t="shared" si="115"/>
        <v>75425000</v>
      </c>
      <c r="AI31" s="1042">
        <f t="shared" si="116"/>
        <v>10775000</v>
      </c>
      <c r="AJ31" s="1042">
        <f t="shared" si="117"/>
        <v>897916.66666666663</v>
      </c>
      <c r="AK31" s="1042">
        <f t="shared" si="118"/>
        <v>76322916.666666672</v>
      </c>
      <c r="AL31" s="1042">
        <f t="shared" si="119"/>
        <v>9877083.3333333284</v>
      </c>
      <c r="AM31" s="1042">
        <f t="shared" si="128"/>
        <v>8081250</v>
      </c>
      <c r="AN31" s="1042">
        <f t="shared" si="120"/>
        <v>83506250</v>
      </c>
      <c r="AO31" s="1042">
        <f t="shared" si="121"/>
        <v>2693750</v>
      </c>
      <c r="AP31" s="1042">
        <f t="shared" si="122"/>
        <v>10775000</v>
      </c>
      <c r="AQ31" s="1042">
        <f t="shared" si="9"/>
        <v>86200000</v>
      </c>
      <c r="AR31" s="1042">
        <f t="shared" si="123"/>
        <v>0</v>
      </c>
      <c r="AS31" s="1042">
        <f t="shared" si="124"/>
        <v>0</v>
      </c>
      <c r="AT31" s="1042">
        <f t="shared" si="10"/>
        <v>86200000</v>
      </c>
      <c r="AU31" s="1042">
        <f t="shared" si="125"/>
        <v>0</v>
      </c>
      <c r="AV31" s="1042">
        <f t="shared" si="126"/>
        <v>0</v>
      </c>
      <c r="AW31" s="1042">
        <f t="shared" si="60"/>
        <v>86200000</v>
      </c>
      <c r="AX31" s="1042">
        <f t="shared" si="61"/>
        <v>0</v>
      </c>
      <c r="AY31" s="19"/>
      <c r="AZ31" s="8">
        <f t="shared" si="39"/>
        <v>0</v>
      </c>
      <c r="BB31" s="57"/>
      <c r="BC31" s="19"/>
    </row>
    <row r="32" spans="1:55" ht="14.25" customHeight="1">
      <c r="A32" s="17">
        <f t="shared" si="21"/>
        <v>5</v>
      </c>
      <c r="B32" s="56" t="s">
        <v>471</v>
      </c>
      <c r="C32" s="967">
        <v>39448</v>
      </c>
      <c r="D32" s="55">
        <v>8</v>
      </c>
      <c r="E32" s="6">
        <v>4600000</v>
      </c>
      <c r="F32" s="1041">
        <f t="shared" si="93"/>
        <v>575000</v>
      </c>
      <c r="G32" s="1053"/>
      <c r="H32" s="1042">
        <f t="shared" si="94"/>
        <v>0</v>
      </c>
      <c r="I32" s="1042">
        <f t="shared" si="95"/>
        <v>4600000</v>
      </c>
      <c r="J32" s="1042"/>
      <c r="K32" s="1042">
        <f t="shared" si="96"/>
        <v>0</v>
      </c>
      <c r="L32" s="1042">
        <f t="shared" si="97"/>
        <v>4600000</v>
      </c>
      <c r="M32" s="1042">
        <f t="shared" si="98"/>
        <v>575000</v>
      </c>
      <c r="N32" s="1042">
        <f t="shared" si="99"/>
        <v>575000</v>
      </c>
      <c r="O32" s="1042">
        <f t="shared" si="100"/>
        <v>4025000</v>
      </c>
      <c r="P32" s="1042">
        <f t="shared" si="101"/>
        <v>575000</v>
      </c>
      <c r="Q32" s="1042">
        <f t="shared" si="102"/>
        <v>1150000</v>
      </c>
      <c r="R32" s="1042">
        <f t="shared" si="103"/>
        <v>3450000</v>
      </c>
      <c r="S32" s="1042">
        <f t="shared" si="45"/>
        <v>575000</v>
      </c>
      <c r="T32" s="1042">
        <f t="shared" si="129"/>
        <v>1725000</v>
      </c>
      <c r="U32" s="1042">
        <f t="shared" si="104"/>
        <v>2875000</v>
      </c>
      <c r="V32" s="1042">
        <f t="shared" si="105"/>
        <v>575000</v>
      </c>
      <c r="W32" s="1042">
        <f t="shared" si="127"/>
        <v>2300000</v>
      </c>
      <c r="X32" s="1042">
        <f t="shared" si="106"/>
        <v>2300000</v>
      </c>
      <c r="Y32" s="7">
        <v>2300000.0000000005</v>
      </c>
      <c r="Z32" s="7">
        <f t="shared" si="107"/>
        <v>2299999.9999999995</v>
      </c>
      <c r="AA32" s="1042">
        <f t="shared" si="108"/>
        <v>575000</v>
      </c>
      <c r="AB32" s="1042">
        <f t="shared" si="109"/>
        <v>2875000</v>
      </c>
      <c r="AC32" s="1042">
        <f t="shared" si="110"/>
        <v>1725000</v>
      </c>
      <c r="AD32" s="1042">
        <f t="shared" si="111"/>
        <v>575000</v>
      </c>
      <c r="AE32" s="1042">
        <f t="shared" si="112"/>
        <v>3450000</v>
      </c>
      <c r="AF32" s="1042">
        <f t="shared" si="113"/>
        <v>1150000</v>
      </c>
      <c r="AG32" s="1042">
        <f t="shared" si="114"/>
        <v>575000</v>
      </c>
      <c r="AH32" s="1042">
        <f t="shared" si="115"/>
        <v>4025000</v>
      </c>
      <c r="AI32" s="1042">
        <f t="shared" si="116"/>
        <v>575000</v>
      </c>
      <c r="AJ32" s="1042">
        <f t="shared" si="117"/>
        <v>47916.666666666664</v>
      </c>
      <c r="AK32" s="1042">
        <f t="shared" si="118"/>
        <v>4072916.6666666665</v>
      </c>
      <c r="AL32" s="1042">
        <f t="shared" si="119"/>
        <v>527083.33333333349</v>
      </c>
      <c r="AM32" s="1042">
        <f t="shared" si="128"/>
        <v>431250</v>
      </c>
      <c r="AN32" s="1042">
        <f t="shared" si="120"/>
        <v>4456250</v>
      </c>
      <c r="AO32" s="1042">
        <f t="shared" si="121"/>
        <v>143750</v>
      </c>
      <c r="AP32" s="1042">
        <f t="shared" si="122"/>
        <v>575000</v>
      </c>
      <c r="AQ32" s="1042">
        <f t="shared" si="9"/>
        <v>4600000</v>
      </c>
      <c r="AR32" s="1042">
        <f t="shared" si="123"/>
        <v>0</v>
      </c>
      <c r="AS32" s="1042">
        <f t="shared" si="124"/>
        <v>0</v>
      </c>
      <c r="AT32" s="1042">
        <f t="shared" si="10"/>
        <v>4600000</v>
      </c>
      <c r="AU32" s="1042">
        <f t="shared" si="125"/>
        <v>0</v>
      </c>
      <c r="AV32" s="1042">
        <f t="shared" si="126"/>
        <v>0</v>
      </c>
      <c r="AW32" s="1042">
        <f t="shared" si="60"/>
        <v>4600000</v>
      </c>
      <c r="AX32" s="1042">
        <f t="shared" si="61"/>
        <v>0</v>
      </c>
      <c r="AY32" s="19"/>
      <c r="AZ32" s="8">
        <f t="shared" si="39"/>
        <v>0</v>
      </c>
      <c r="BB32" s="57"/>
      <c r="BC32" s="19"/>
    </row>
    <row r="33" spans="1:55" ht="14.25" customHeight="1">
      <c r="A33" s="17">
        <f t="shared" si="21"/>
        <v>6</v>
      </c>
      <c r="B33" s="56" t="s">
        <v>472</v>
      </c>
      <c r="C33" s="967">
        <v>39448</v>
      </c>
      <c r="D33" s="55">
        <v>8</v>
      </c>
      <c r="E33" s="6">
        <v>155200000</v>
      </c>
      <c r="F33" s="1041">
        <f t="shared" si="93"/>
        <v>19400000</v>
      </c>
      <c r="G33" s="1053"/>
      <c r="H33" s="1042">
        <f t="shared" si="94"/>
        <v>0</v>
      </c>
      <c r="I33" s="1042">
        <f t="shared" si="95"/>
        <v>155200000</v>
      </c>
      <c r="J33" s="1042"/>
      <c r="K33" s="1042">
        <f t="shared" si="96"/>
        <v>0</v>
      </c>
      <c r="L33" s="1042">
        <f t="shared" si="97"/>
        <v>155200000</v>
      </c>
      <c r="M33" s="1042">
        <f t="shared" si="98"/>
        <v>19400000</v>
      </c>
      <c r="N33" s="1042">
        <f t="shared" si="99"/>
        <v>19400000</v>
      </c>
      <c r="O33" s="1042">
        <f t="shared" si="100"/>
        <v>135800000</v>
      </c>
      <c r="P33" s="1042">
        <f t="shared" si="101"/>
        <v>19400000</v>
      </c>
      <c r="Q33" s="1042">
        <f t="shared" si="102"/>
        <v>38800000</v>
      </c>
      <c r="R33" s="1042">
        <f t="shared" si="103"/>
        <v>116400000</v>
      </c>
      <c r="S33" s="1042">
        <f t="shared" si="45"/>
        <v>19400000</v>
      </c>
      <c r="T33" s="1042">
        <f t="shared" si="129"/>
        <v>58200000</v>
      </c>
      <c r="U33" s="1042">
        <f t="shared" si="104"/>
        <v>97000000</v>
      </c>
      <c r="V33" s="1042">
        <f t="shared" si="105"/>
        <v>19400000</v>
      </c>
      <c r="W33" s="1042">
        <f t="shared" si="127"/>
        <v>77600000</v>
      </c>
      <c r="X33" s="1042">
        <f t="shared" si="106"/>
        <v>77600000</v>
      </c>
      <c r="Y33" s="7">
        <v>77599999.999999985</v>
      </c>
      <c r="Z33" s="7">
        <f t="shared" si="107"/>
        <v>77600000.000000015</v>
      </c>
      <c r="AA33" s="1042">
        <f t="shared" si="108"/>
        <v>19400000</v>
      </c>
      <c r="AB33" s="1042">
        <f t="shared" si="109"/>
        <v>97000000</v>
      </c>
      <c r="AC33" s="1042">
        <f t="shared" si="110"/>
        <v>58200000</v>
      </c>
      <c r="AD33" s="1042">
        <f t="shared" si="111"/>
        <v>19400000</v>
      </c>
      <c r="AE33" s="1042">
        <f t="shared" si="112"/>
        <v>116400000</v>
      </c>
      <c r="AF33" s="1042">
        <f t="shared" si="113"/>
        <v>38800000</v>
      </c>
      <c r="AG33" s="1042">
        <f t="shared" si="114"/>
        <v>19400000</v>
      </c>
      <c r="AH33" s="1042">
        <f t="shared" si="115"/>
        <v>135800000</v>
      </c>
      <c r="AI33" s="1042">
        <f t="shared" si="116"/>
        <v>19400000</v>
      </c>
      <c r="AJ33" s="1042">
        <f t="shared" si="117"/>
        <v>1616666.6666666667</v>
      </c>
      <c r="AK33" s="1042">
        <f t="shared" si="118"/>
        <v>137416666.66666666</v>
      </c>
      <c r="AL33" s="1042">
        <f t="shared" si="119"/>
        <v>17783333.333333343</v>
      </c>
      <c r="AM33" s="1042">
        <f t="shared" si="128"/>
        <v>14550000</v>
      </c>
      <c r="AN33" s="1042">
        <f t="shared" si="120"/>
        <v>150350000</v>
      </c>
      <c r="AO33" s="1042">
        <f t="shared" si="121"/>
        <v>4850000</v>
      </c>
      <c r="AP33" s="1042">
        <f t="shared" si="122"/>
        <v>19400000</v>
      </c>
      <c r="AQ33" s="1042">
        <f t="shared" si="9"/>
        <v>155200000</v>
      </c>
      <c r="AR33" s="1042">
        <f t="shared" si="123"/>
        <v>0</v>
      </c>
      <c r="AS33" s="1042">
        <f t="shared" si="124"/>
        <v>0</v>
      </c>
      <c r="AT33" s="1042">
        <f t="shared" si="10"/>
        <v>155200000</v>
      </c>
      <c r="AU33" s="1042">
        <f t="shared" si="125"/>
        <v>0</v>
      </c>
      <c r="AV33" s="1042">
        <f t="shared" si="126"/>
        <v>0</v>
      </c>
      <c r="AW33" s="1042">
        <f t="shared" si="60"/>
        <v>155200000</v>
      </c>
      <c r="AX33" s="1042">
        <f t="shared" si="61"/>
        <v>0</v>
      </c>
      <c r="AY33" s="19"/>
      <c r="AZ33" s="8">
        <f t="shared" si="39"/>
        <v>0</v>
      </c>
      <c r="BB33" s="57"/>
      <c r="BC33" s="19"/>
    </row>
    <row r="34" spans="1:55" s="220" customFormat="1" ht="14.25" customHeight="1">
      <c r="A34" s="190" t="s">
        <v>474</v>
      </c>
      <c r="B34" s="230" t="s">
        <v>473</v>
      </c>
      <c r="C34" s="234"/>
      <c r="D34" s="216"/>
      <c r="E34" s="217"/>
      <c r="F34" s="1045"/>
      <c r="G34" s="1046"/>
      <c r="H34" s="1046"/>
      <c r="I34" s="1046"/>
      <c r="J34" s="1046"/>
      <c r="K34" s="1046"/>
      <c r="L34" s="1046"/>
      <c r="M34" s="1046"/>
      <c r="N34" s="1046"/>
      <c r="O34" s="1046"/>
      <c r="P34" s="1046"/>
      <c r="Q34" s="1046"/>
      <c r="R34" s="1046"/>
      <c r="S34" s="1046"/>
      <c r="T34" s="1046"/>
      <c r="U34" s="1046"/>
      <c r="V34" s="1046"/>
      <c r="W34" s="1046"/>
      <c r="X34" s="1046"/>
      <c r="Y34" s="219"/>
      <c r="Z34" s="219"/>
      <c r="AA34" s="1046"/>
      <c r="AB34" s="1046"/>
      <c r="AC34" s="1046"/>
      <c r="AD34" s="1046"/>
      <c r="AE34" s="1046"/>
      <c r="AF34" s="1046"/>
      <c r="AG34" s="1046"/>
      <c r="AH34" s="1046"/>
      <c r="AI34" s="1046"/>
      <c r="AJ34" s="1046"/>
      <c r="AK34" s="1046"/>
      <c r="AL34" s="1046"/>
      <c r="AM34" s="1046"/>
      <c r="AN34" s="1046"/>
      <c r="AO34" s="1046"/>
      <c r="AP34" s="1046"/>
      <c r="AQ34" s="1046">
        <f t="shared" si="9"/>
        <v>0</v>
      </c>
      <c r="AR34" s="1046"/>
      <c r="AS34" s="1046"/>
      <c r="AT34" s="1046"/>
      <c r="AU34" s="1046"/>
      <c r="AV34" s="1046"/>
      <c r="AW34" s="1046"/>
      <c r="AX34" s="1046"/>
      <c r="AY34" s="179"/>
      <c r="AZ34" s="8">
        <f t="shared" si="39"/>
        <v>0</v>
      </c>
      <c r="BB34" s="221"/>
      <c r="BC34" s="179"/>
    </row>
    <row r="35" spans="1:55" s="220" customFormat="1" ht="14.25" customHeight="1">
      <c r="A35" s="17">
        <v>1</v>
      </c>
      <c r="B35" s="997" t="s">
        <v>516</v>
      </c>
      <c r="C35" s="671">
        <v>37257</v>
      </c>
      <c r="D35" s="55">
        <v>16</v>
      </c>
      <c r="E35" s="6">
        <v>1715900000</v>
      </c>
      <c r="F35" s="1041">
        <f t="shared" ref="F35:F71" si="130">E35/D35</f>
        <v>107243750</v>
      </c>
      <c r="G35" s="1042"/>
      <c r="H35" s="1042"/>
      <c r="I35" s="1042">
        <f t="shared" ref="I35:I52" si="131">E35-H35</f>
        <v>1715900000</v>
      </c>
      <c r="J35" s="1042"/>
      <c r="K35" s="1042">
        <f t="shared" ref="K35:K52" si="132">J35+H35</f>
        <v>0</v>
      </c>
      <c r="L35" s="1042">
        <f t="shared" ref="L35:L57" si="133">E35-K35</f>
        <v>1715900000</v>
      </c>
      <c r="M35" s="1042">
        <f>(F35/12)*12</f>
        <v>107243750</v>
      </c>
      <c r="N35" s="1042">
        <f t="shared" ref="N35:N57" si="134">M35+K35</f>
        <v>107243750</v>
      </c>
      <c r="O35" s="1042">
        <f t="shared" ref="O35:O59" si="135">E35-N35</f>
        <v>1608656250</v>
      </c>
      <c r="P35" s="1042">
        <f t="shared" ref="P35:P42" si="136">(F35/12)*12</f>
        <v>107243750</v>
      </c>
      <c r="Q35" s="1042">
        <f t="shared" ref="Q35:Q59" si="137">N35+P35</f>
        <v>214487500</v>
      </c>
      <c r="R35" s="1042">
        <f t="shared" ref="R35:R65" si="138">E35-Q35</f>
        <v>1501412500</v>
      </c>
      <c r="S35" s="1042">
        <f t="shared" si="45"/>
        <v>107243750</v>
      </c>
      <c r="T35" s="1042">
        <f t="shared" ref="T35:T65" si="139">Q35+S35</f>
        <v>321731250</v>
      </c>
      <c r="U35" s="1042">
        <f t="shared" ref="U35:U65" si="140">E35-T35</f>
        <v>1394168750</v>
      </c>
      <c r="V35" s="1042">
        <f>(F35/12)*12</f>
        <v>107243750</v>
      </c>
      <c r="W35" s="1042">
        <f t="shared" ref="W35:W65" si="141">T35+V35</f>
        <v>428975000</v>
      </c>
      <c r="X35" s="1042">
        <f t="shared" ref="X35:X68" si="142">E35-W35</f>
        <v>1286925000</v>
      </c>
      <c r="Y35" s="7">
        <v>857950000.00000048</v>
      </c>
      <c r="Z35" s="7">
        <f t="shared" ref="Z35:Z68" si="143">E35-Y35</f>
        <v>857949999.99999952</v>
      </c>
      <c r="AA35" s="1042">
        <f>(F35/12)*12</f>
        <v>107243750</v>
      </c>
      <c r="AB35" s="1042">
        <f t="shared" ref="AB35:AB70" si="144">W35+AA35</f>
        <v>536218750</v>
      </c>
      <c r="AC35" s="1042">
        <f t="shared" ref="AC35:AC70" si="145">E35-AB35</f>
        <v>1179681250</v>
      </c>
      <c r="AD35" s="1042">
        <f t="shared" ref="AD35:AD48" si="146">(F35/12)*12</f>
        <v>107243750</v>
      </c>
      <c r="AE35" s="1042">
        <f t="shared" ref="AE35:AE70" si="147">AB35+AD35</f>
        <v>643462500</v>
      </c>
      <c r="AF35" s="1042">
        <f t="shared" ref="AF35:AF71" si="148">E35-AE35</f>
        <v>1072437500</v>
      </c>
      <c r="AG35" s="1042">
        <f t="shared" ref="AG35:AG52" si="149">(F35/12)*12</f>
        <v>107243750</v>
      </c>
      <c r="AH35" s="1042">
        <f t="shared" ref="AH35:AH36" si="150">AE35+AG35</f>
        <v>750706250</v>
      </c>
      <c r="AI35" s="1042">
        <f t="shared" ref="AI35:AI71" si="151">E35-AH35</f>
        <v>965193750</v>
      </c>
      <c r="AJ35" s="1042">
        <f t="shared" ref="AJ35:AJ71" si="152">(F35/12)*1</f>
        <v>8936979.166666666</v>
      </c>
      <c r="AK35" s="1042">
        <f t="shared" ref="AK35:AK71" si="153">AH35+AJ35</f>
        <v>759643229.16666663</v>
      </c>
      <c r="AL35" s="1042">
        <f t="shared" ref="AL35:AL71" si="154">E35-AK35</f>
        <v>956256770.83333337</v>
      </c>
      <c r="AM35" s="1042">
        <f t="shared" si="128"/>
        <v>80432812.5</v>
      </c>
      <c r="AN35" s="1042">
        <f t="shared" ref="AN35:AN71" si="155">AH35+AM35</f>
        <v>831139062.5</v>
      </c>
      <c r="AO35" s="1042">
        <f t="shared" ref="AO35:AO71" si="156">E35-AN35</f>
        <v>884760937.5</v>
      </c>
      <c r="AP35" s="1042">
        <f t="shared" ref="AP35:AP71" si="157">(F35/12)*12</f>
        <v>107243750</v>
      </c>
      <c r="AQ35" s="1042">
        <f t="shared" si="9"/>
        <v>857950000</v>
      </c>
      <c r="AR35" s="1042">
        <f t="shared" ref="AR35:AR71" si="158">E35-AQ35</f>
        <v>857950000</v>
      </c>
      <c r="AS35" s="1042">
        <f>(F35/12)*9</f>
        <v>80432812.5</v>
      </c>
      <c r="AT35" s="1042">
        <f t="shared" si="10"/>
        <v>938382812.5</v>
      </c>
      <c r="AU35" s="1042">
        <f t="shared" ref="AU35:AU71" si="159">E35-AT35</f>
        <v>777517187.5</v>
      </c>
      <c r="AV35" s="1042">
        <f t="shared" ref="AV35:AV71" si="160">(F35/12)*12</f>
        <v>107243750</v>
      </c>
      <c r="AW35" s="1042">
        <f t="shared" ref="AW35:AW71" si="161">AQ35+AV35</f>
        <v>965193750</v>
      </c>
      <c r="AX35" s="1042">
        <f t="shared" ref="AX35:AX71" si="162">E35-AW35</f>
        <v>750706250</v>
      </c>
      <c r="AY35" s="179"/>
      <c r="AZ35" s="8">
        <f t="shared" si="39"/>
        <v>0</v>
      </c>
      <c r="BB35" s="229"/>
      <c r="BC35" s="179"/>
    </row>
    <row r="36" spans="1:55" s="220" customFormat="1" ht="14.25" customHeight="1">
      <c r="A36" s="17">
        <f>A35+1</f>
        <v>2</v>
      </c>
      <c r="B36" s="997" t="s">
        <v>516</v>
      </c>
      <c r="C36" s="671">
        <v>38718</v>
      </c>
      <c r="D36" s="55">
        <v>16</v>
      </c>
      <c r="E36" s="6">
        <v>1590000000</v>
      </c>
      <c r="F36" s="1041">
        <f t="shared" si="130"/>
        <v>99375000</v>
      </c>
      <c r="G36" s="1042"/>
      <c r="H36" s="1042"/>
      <c r="I36" s="1042">
        <f t="shared" si="131"/>
        <v>1590000000</v>
      </c>
      <c r="J36" s="1042"/>
      <c r="K36" s="1042">
        <f t="shared" si="132"/>
        <v>0</v>
      </c>
      <c r="L36" s="1042">
        <f t="shared" si="133"/>
        <v>1590000000</v>
      </c>
      <c r="M36" s="1042">
        <f>(F36/12)*12</f>
        <v>99375000</v>
      </c>
      <c r="N36" s="1042">
        <f t="shared" si="134"/>
        <v>99375000</v>
      </c>
      <c r="O36" s="1042">
        <f t="shared" si="135"/>
        <v>1490625000</v>
      </c>
      <c r="P36" s="1042">
        <f t="shared" si="136"/>
        <v>99375000</v>
      </c>
      <c r="Q36" s="1042">
        <f t="shared" si="137"/>
        <v>198750000</v>
      </c>
      <c r="R36" s="1042">
        <f t="shared" si="138"/>
        <v>1391250000</v>
      </c>
      <c r="S36" s="1042">
        <f>(F36/12)*12</f>
        <v>99375000</v>
      </c>
      <c r="T36" s="1042">
        <f t="shared" si="139"/>
        <v>298125000</v>
      </c>
      <c r="U36" s="1042">
        <f t="shared" si="140"/>
        <v>1291875000</v>
      </c>
      <c r="V36" s="1042">
        <f>(F36/12)*12</f>
        <v>99375000</v>
      </c>
      <c r="W36" s="1042">
        <f t="shared" si="141"/>
        <v>397500000</v>
      </c>
      <c r="X36" s="1042">
        <f t="shared" si="142"/>
        <v>1192500000</v>
      </c>
      <c r="Y36" s="7">
        <v>795000000</v>
      </c>
      <c r="Z36" s="7">
        <f t="shared" si="143"/>
        <v>795000000</v>
      </c>
      <c r="AA36" s="1042">
        <f>(F36/12)*12</f>
        <v>99375000</v>
      </c>
      <c r="AB36" s="1042">
        <f t="shared" si="144"/>
        <v>496875000</v>
      </c>
      <c r="AC36" s="1042">
        <f t="shared" si="145"/>
        <v>1093125000</v>
      </c>
      <c r="AD36" s="1042">
        <f t="shared" si="146"/>
        <v>99375000</v>
      </c>
      <c r="AE36" s="1042">
        <f t="shared" si="147"/>
        <v>596250000</v>
      </c>
      <c r="AF36" s="1042">
        <f t="shared" si="148"/>
        <v>993750000</v>
      </c>
      <c r="AG36" s="1042">
        <f t="shared" si="149"/>
        <v>99375000</v>
      </c>
      <c r="AH36" s="1042">
        <f t="shared" si="150"/>
        <v>695625000</v>
      </c>
      <c r="AI36" s="1042">
        <f t="shared" si="151"/>
        <v>894375000</v>
      </c>
      <c r="AJ36" s="1042">
        <f t="shared" si="152"/>
        <v>8281250</v>
      </c>
      <c r="AK36" s="1042">
        <f t="shared" si="153"/>
        <v>703906250</v>
      </c>
      <c r="AL36" s="1042">
        <f t="shared" si="154"/>
        <v>886093750</v>
      </c>
      <c r="AM36" s="1042">
        <f t="shared" si="128"/>
        <v>74531250</v>
      </c>
      <c r="AN36" s="1042">
        <f t="shared" si="155"/>
        <v>770156250</v>
      </c>
      <c r="AO36" s="1042">
        <f t="shared" si="156"/>
        <v>819843750</v>
      </c>
      <c r="AP36" s="1042">
        <f t="shared" si="157"/>
        <v>99375000</v>
      </c>
      <c r="AQ36" s="1042">
        <f t="shared" si="9"/>
        <v>795000000</v>
      </c>
      <c r="AR36" s="1042">
        <f t="shared" si="158"/>
        <v>795000000</v>
      </c>
      <c r="AS36" s="1042">
        <f>(F36/12)*9</f>
        <v>74531250</v>
      </c>
      <c r="AT36" s="1042">
        <f t="shared" si="10"/>
        <v>869531250</v>
      </c>
      <c r="AU36" s="1042">
        <f t="shared" si="159"/>
        <v>720468750</v>
      </c>
      <c r="AV36" s="1042">
        <f t="shared" si="160"/>
        <v>99375000</v>
      </c>
      <c r="AW36" s="1042">
        <f t="shared" si="161"/>
        <v>894375000</v>
      </c>
      <c r="AX36" s="1042">
        <f t="shared" si="162"/>
        <v>695625000</v>
      </c>
      <c r="AY36" s="179"/>
      <c r="AZ36" s="8">
        <f t="shared" si="39"/>
        <v>0</v>
      </c>
      <c r="BB36" s="229"/>
      <c r="BC36" s="179"/>
    </row>
    <row r="37" spans="1:55" s="220" customFormat="1" ht="14.25" customHeight="1">
      <c r="A37" s="17">
        <f t="shared" ref="A37:A71" si="163">A36+1</f>
        <v>3</v>
      </c>
      <c r="B37" s="997" t="s">
        <v>516</v>
      </c>
      <c r="C37" s="671">
        <v>39083</v>
      </c>
      <c r="D37" s="55">
        <v>8</v>
      </c>
      <c r="E37" s="6">
        <v>168100000</v>
      </c>
      <c r="F37" s="1041">
        <f t="shared" si="130"/>
        <v>21012500</v>
      </c>
      <c r="G37" s="1042"/>
      <c r="H37" s="1042"/>
      <c r="I37" s="1042">
        <f t="shared" si="131"/>
        <v>168100000</v>
      </c>
      <c r="J37" s="1042"/>
      <c r="K37" s="1042">
        <f t="shared" si="132"/>
        <v>0</v>
      </c>
      <c r="L37" s="1042">
        <f t="shared" si="133"/>
        <v>168100000</v>
      </c>
      <c r="M37" s="1042">
        <f t="shared" ref="M37:M40" si="164">(F37/12)*12</f>
        <v>21012500</v>
      </c>
      <c r="N37" s="1042">
        <f t="shared" si="134"/>
        <v>21012500</v>
      </c>
      <c r="O37" s="1042">
        <f t="shared" si="135"/>
        <v>147087500</v>
      </c>
      <c r="P37" s="1042">
        <f t="shared" si="136"/>
        <v>21012500</v>
      </c>
      <c r="Q37" s="1042">
        <f t="shared" si="137"/>
        <v>42025000</v>
      </c>
      <c r="R37" s="1042">
        <f t="shared" si="138"/>
        <v>126075000</v>
      </c>
      <c r="S37" s="1042">
        <f t="shared" si="45"/>
        <v>21012500</v>
      </c>
      <c r="T37" s="1042">
        <f t="shared" si="139"/>
        <v>63037500</v>
      </c>
      <c r="U37" s="1042">
        <f t="shared" si="140"/>
        <v>105062500</v>
      </c>
      <c r="V37" s="1042">
        <f t="shared" ref="V37:V52" si="165">(F37/12)*12</f>
        <v>21012500</v>
      </c>
      <c r="W37" s="1042">
        <f t="shared" si="141"/>
        <v>84050000</v>
      </c>
      <c r="X37" s="1042">
        <f t="shared" si="142"/>
        <v>84050000</v>
      </c>
      <c r="Y37" s="7">
        <v>84050000.000000015</v>
      </c>
      <c r="Z37" s="7">
        <f t="shared" si="143"/>
        <v>84049999.999999985</v>
      </c>
      <c r="AA37" s="1042">
        <f t="shared" ref="AA37:AA45" si="166">(F37/12)*12</f>
        <v>21012500</v>
      </c>
      <c r="AB37" s="1042">
        <f t="shared" si="144"/>
        <v>105062500</v>
      </c>
      <c r="AC37" s="1042">
        <f t="shared" si="145"/>
        <v>63037500</v>
      </c>
      <c r="AD37" s="1042">
        <f t="shared" si="146"/>
        <v>21012500</v>
      </c>
      <c r="AE37" s="1042">
        <f t="shared" si="147"/>
        <v>126075000</v>
      </c>
      <c r="AF37" s="1042">
        <f t="shared" si="148"/>
        <v>42025000</v>
      </c>
      <c r="AG37" s="1042">
        <f t="shared" si="149"/>
        <v>21012500</v>
      </c>
      <c r="AH37" s="1042">
        <f t="shared" ref="AH37:AH71" si="167">AE37+AG37</f>
        <v>147087500</v>
      </c>
      <c r="AI37" s="1042">
        <f t="shared" si="151"/>
        <v>21012500</v>
      </c>
      <c r="AJ37" s="1042">
        <f t="shared" si="152"/>
        <v>1751041.6666666667</v>
      </c>
      <c r="AK37" s="1042">
        <f t="shared" si="153"/>
        <v>148838541.66666666</v>
      </c>
      <c r="AL37" s="1042">
        <f t="shared" si="154"/>
        <v>19261458.333333343</v>
      </c>
      <c r="AM37" s="1042">
        <f t="shared" si="128"/>
        <v>15759375</v>
      </c>
      <c r="AN37" s="1042">
        <f t="shared" si="155"/>
        <v>162846875</v>
      </c>
      <c r="AO37" s="1042">
        <f t="shared" si="156"/>
        <v>5253125</v>
      </c>
      <c r="AP37" s="1042">
        <f t="shared" si="157"/>
        <v>21012500</v>
      </c>
      <c r="AQ37" s="1042">
        <f t="shared" si="9"/>
        <v>168100000</v>
      </c>
      <c r="AR37" s="1042">
        <f t="shared" si="158"/>
        <v>0</v>
      </c>
      <c r="AS37" s="1042">
        <f>(F37/12)*0</f>
        <v>0</v>
      </c>
      <c r="AT37" s="1042">
        <f t="shared" si="10"/>
        <v>168100000</v>
      </c>
      <c r="AU37" s="1042">
        <f t="shared" si="159"/>
        <v>0</v>
      </c>
      <c r="AV37" s="1042">
        <f t="shared" ref="AV37:AV57" si="168">(F37/12)*0</f>
        <v>0</v>
      </c>
      <c r="AW37" s="1042">
        <f t="shared" si="161"/>
        <v>168100000</v>
      </c>
      <c r="AX37" s="1042">
        <f t="shared" si="162"/>
        <v>0</v>
      </c>
      <c r="AY37" s="179"/>
      <c r="AZ37" s="8">
        <f t="shared" si="39"/>
        <v>0</v>
      </c>
      <c r="BB37" s="229"/>
      <c r="BC37" s="179"/>
    </row>
    <row r="38" spans="1:55" s="220" customFormat="1" ht="14.25" customHeight="1">
      <c r="A38" s="17">
        <f t="shared" si="163"/>
        <v>4</v>
      </c>
      <c r="B38" s="56" t="s">
        <v>475</v>
      </c>
      <c r="C38" s="671">
        <v>39448</v>
      </c>
      <c r="D38" s="55">
        <v>8</v>
      </c>
      <c r="E38" s="6">
        <v>39300000</v>
      </c>
      <c r="F38" s="1041">
        <f t="shared" si="130"/>
        <v>4912500</v>
      </c>
      <c r="G38" s="1053"/>
      <c r="H38" s="1042"/>
      <c r="I38" s="1042">
        <f t="shared" si="131"/>
        <v>39300000</v>
      </c>
      <c r="J38" s="1042"/>
      <c r="K38" s="1042">
        <f t="shared" si="132"/>
        <v>0</v>
      </c>
      <c r="L38" s="1042">
        <f t="shared" si="133"/>
        <v>39300000</v>
      </c>
      <c r="M38" s="1042">
        <f t="shared" si="164"/>
        <v>4912500</v>
      </c>
      <c r="N38" s="1042">
        <f t="shared" si="134"/>
        <v>4912500</v>
      </c>
      <c r="O38" s="1042">
        <f t="shared" si="135"/>
        <v>34387500</v>
      </c>
      <c r="P38" s="1042">
        <f t="shared" si="136"/>
        <v>4912500</v>
      </c>
      <c r="Q38" s="1042">
        <f t="shared" si="137"/>
        <v>9825000</v>
      </c>
      <c r="R38" s="1042">
        <f t="shared" si="138"/>
        <v>29475000</v>
      </c>
      <c r="S38" s="1042">
        <f t="shared" si="45"/>
        <v>4912500</v>
      </c>
      <c r="T38" s="1042">
        <f t="shared" si="139"/>
        <v>14737500</v>
      </c>
      <c r="U38" s="1042">
        <f t="shared" si="140"/>
        <v>24562500</v>
      </c>
      <c r="V38" s="1042">
        <f t="shared" si="165"/>
        <v>4912500</v>
      </c>
      <c r="W38" s="1042">
        <f t="shared" si="141"/>
        <v>19650000</v>
      </c>
      <c r="X38" s="1042">
        <f t="shared" si="142"/>
        <v>19650000</v>
      </c>
      <c r="Y38" s="7">
        <v>19650000</v>
      </c>
      <c r="Z38" s="7">
        <f t="shared" si="143"/>
        <v>19650000</v>
      </c>
      <c r="AA38" s="1042">
        <f t="shared" si="166"/>
        <v>4912500</v>
      </c>
      <c r="AB38" s="1042">
        <f t="shared" si="144"/>
        <v>24562500</v>
      </c>
      <c r="AC38" s="1042">
        <f t="shared" si="145"/>
        <v>14737500</v>
      </c>
      <c r="AD38" s="1042">
        <f t="shared" si="146"/>
        <v>4912500</v>
      </c>
      <c r="AE38" s="1042">
        <f t="shared" si="147"/>
        <v>29475000</v>
      </c>
      <c r="AF38" s="1042">
        <f t="shared" si="148"/>
        <v>9825000</v>
      </c>
      <c r="AG38" s="1042">
        <f t="shared" si="149"/>
        <v>4912500</v>
      </c>
      <c r="AH38" s="1042">
        <f t="shared" si="167"/>
        <v>34387500</v>
      </c>
      <c r="AI38" s="1042">
        <f t="shared" si="151"/>
        <v>4912500</v>
      </c>
      <c r="AJ38" s="1042">
        <f t="shared" si="152"/>
        <v>409375</v>
      </c>
      <c r="AK38" s="1042">
        <f t="shared" si="153"/>
        <v>34796875</v>
      </c>
      <c r="AL38" s="1042">
        <f t="shared" si="154"/>
        <v>4503125</v>
      </c>
      <c r="AM38" s="1042">
        <f t="shared" si="128"/>
        <v>3684375</v>
      </c>
      <c r="AN38" s="1042">
        <f t="shared" si="155"/>
        <v>38071875</v>
      </c>
      <c r="AO38" s="1042">
        <f t="shared" si="156"/>
        <v>1228125</v>
      </c>
      <c r="AP38" s="1042">
        <f t="shared" si="157"/>
        <v>4912500</v>
      </c>
      <c r="AQ38" s="1042">
        <f t="shared" si="9"/>
        <v>39300000</v>
      </c>
      <c r="AR38" s="1042">
        <f t="shared" si="158"/>
        <v>0</v>
      </c>
      <c r="AS38" s="1042">
        <v>0</v>
      </c>
      <c r="AT38" s="1042">
        <f t="shared" si="10"/>
        <v>39300000</v>
      </c>
      <c r="AU38" s="1042">
        <f t="shared" si="159"/>
        <v>0</v>
      </c>
      <c r="AV38" s="1042">
        <f t="shared" si="168"/>
        <v>0</v>
      </c>
      <c r="AW38" s="1042">
        <f t="shared" si="161"/>
        <v>39300000</v>
      </c>
      <c r="AX38" s="1042">
        <f t="shared" si="162"/>
        <v>0</v>
      </c>
      <c r="AY38" s="179"/>
      <c r="AZ38" s="8">
        <f t="shared" si="39"/>
        <v>0</v>
      </c>
      <c r="BB38" s="221"/>
      <c r="BC38" s="179"/>
    </row>
    <row r="39" spans="1:55" s="220" customFormat="1" ht="14.25" customHeight="1">
      <c r="A39" s="17">
        <f t="shared" si="163"/>
        <v>5</v>
      </c>
      <c r="B39" s="56" t="s">
        <v>476</v>
      </c>
      <c r="C39" s="671">
        <v>39448</v>
      </c>
      <c r="D39" s="55">
        <v>8</v>
      </c>
      <c r="E39" s="6">
        <v>20800000</v>
      </c>
      <c r="F39" s="1041">
        <f t="shared" si="130"/>
        <v>2600000</v>
      </c>
      <c r="G39" s="1053"/>
      <c r="H39" s="1042"/>
      <c r="I39" s="1042">
        <f t="shared" si="131"/>
        <v>20800000</v>
      </c>
      <c r="J39" s="1042"/>
      <c r="K39" s="1042">
        <f t="shared" si="132"/>
        <v>0</v>
      </c>
      <c r="L39" s="1042">
        <f t="shared" si="133"/>
        <v>20800000</v>
      </c>
      <c r="M39" s="1042">
        <f t="shared" si="164"/>
        <v>2600000</v>
      </c>
      <c r="N39" s="1042">
        <f t="shared" si="134"/>
        <v>2600000</v>
      </c>
      <c r="O39" s="1042">
        <f t="shared" si="135"/>
        <v>18200000</v>
      </c>
      <c r="P39" s="1042">
        <f t="shared" si="136"/>
        <v>2600000</v>
      </c>
      <c r="Q39" s="1042">
        <f t="shared" si="137"/>
        <v>5200000</v>
      </c>
      <c r="R39" s="1042">
        <f t="shared" si="138"/>
        <v>15600000</v>
      </c>
      <c r="S39" s="1042">
        <f t="shared" si="45"/>
        <v>2600000</v>
      </c>
      <c r="T39" s="1042">
        <f t="shared" si="139"/>
        <v>7800000</v>
      </c>
      <c r="U39" s="1042">
        <f t="shared" si="140"/>
        <v>13000000</v>
      </c>
      <c r="V39" s="1042">
        <f t="shared" si="165"/>
        <v>2600000</v>
      </c>
      <c r="W39" s="1042">
        <f t="shared" si="141"/>
        <v>10400000</v>
      </c>
      <c r="X39" s="1042">
        <f t="shared" si="142"/>
        <v>10400000</v>
      </c>
      <c r="Y39" s="7">
        <v>10399999.999999998</v>
      </c>
      <c r="Z39" s="7">
        <f t="shared" si="143"/>
        <v>10400000.000000002</v>
      </c>
      <c r="AA39" s="1042">
        <f t="shared" si="166"/>
        <v>2600000</v>
      </c>
      <c r="AB39" s="1042">
        <f t="shared" si="144"/>
        <v>13000000</v>
      </c>
      <c r="AC39" s="1042">
        <f t="shared" si="145"/>
        <v>7800000</v>
      </c>
      <c r="AD39" s="1042">
        <f t="shared" si="146"/>
        <v>2600000</v>
      </c>
      <c r="AE39" s="1042">
        <f t="shared" si="147"/>
        <v>15600000</v>
      </c>
      <c r="AF39" s="1042">
        <f t="shared" si="148"/>
        <v>5200000</v>
      </c>
      <c r="AG39" s="1042">
        <f t="shared" si="149"/>
        <v>2600000</v>
      </c>
      <c r="AH39" s="1042">
        <f t="shared" si="167"/>
        <v>18200000</v>
      </c>
      <c r="AI39" s="1042">
        <f t="shared" si="151"/>
        <v>2600000</v>
      </c>
      <c r="AJ39" s="1042">
        <f t="shared" si="152"/>
        <v>216666.66666666666</v>
      </c>
      <c r="AK39" s="1042">
        <f t="shared" si="153"/>
        <v>18416666.666666668</v>
      </c>
      <c r="AL39" s="1042">
        <f t="shared" si="154"/>
        <v>2383333.3333333321</v>
      </c>
      <c r="AM39" s="1042">
        <f t="shared" si="128"/>
        <v>1950000</v>
      </c>
      <c r="AN39" s="1042">
        <f t="shared" si="155"/>
        <v>20150000</v>
      </c>
      <c r="AO39" s="1042">
        <f t="shared" si="156"/>
        <v>650000</v>
      </c>
      <c r="AP39" s="1042">
        <f t="shared" si="157"/>
        <v>2600000</v>
      </c>
      <c r="AQ39" s="1042">
        <f t="shared" si="9"/>
        <v>20800000</v>
      </c>
      <c r="AR39" s="1042">
        <f t="shared" si="158"/>
        <v>0</v>
      </c>
      <c r="AS39" s="1042">
        <v>0</v>
      </c>
      <c r="AT39" s="1042">
        <f t="shared" si="10"/>
        <v>20800000</v>
      </c>
      <c r="AU39" s="1042">
        <f t="shared" si="159"/>
        <v>0</v>
      </c>
      <c r="AV39" s="1042">
        <f t="shared" si="168"/>
        <v>0</v>
      </c>
      <c r="AW39" s="1042">
        <f t="shared" si="161"/>
        <v>20800000</v>
      </c>
      <c r="AX39" s="1042">
        <f t="shared" si="162"/>
        <v>0</v>
      </c>
      <c r="AY39" s="179"/>
      <c r="AZ39" s="8">
        <f t="shared" si="39"/>
        <v>0</v>
      </c>
      <c r="BB39" s="221"/>
      <c r="BC39" s="179"/>
    </row>
    <row r="40" spans="1:55" s="220" customFormat="1" ht="14.25" customHeight="1">
      <c r="A40" s="17">
        <f t="shared" si="163"/>
        <v>6</v>
      </c>
      <c r="B40" s="56" t="s">
        <v>477</v>
      </c>
      <c r="C40" s="671">
        <v>39448</v>
      </c>
      <c r="D40" s="55">
        <v>8</v>
      </c>
      <c r="E40" s="6">
        <v>10500000</v>
      </c>
      <c r="F40" s="1041">
        <f t="shared" si="130"/>
        <v>1312500</v>
      </c>
      <c r="G40" s="1053"/>
      <c r="H40" s="1042"/>
      <c r="I40" s="1042">
        <f t="shared" si="131"/>
        <v>10500000</v>
      </c>
      <c r="J40" s="1042"/>
      <c r="K40" s="1042">
        <f t="shared" si="132"/>
        <v>0</v>
      </c>
      <c r="L40" s="1042">
        <f t="shared" si="133"/>
        <v>10500000</v>
      </c>
      <c r="M40" s="1042">
        <f t="shared" si="164"/>
        <v>1312500</v>
      </c>
      <c r="N40" s="1042">
        <f t="shared" si="134"/>
        <v>1312500</v>
      </c>
      <c r="O40" s="1042">
        <f t="shared" si="135"/>
        <v>9187500</v>
      </c>
      <c r="P40" s="1042">
        <f t="shared" si="136"/>
        <v>1312500</v>
      </c>
      <c r="Q40" s="1042">
        <f t="shared" si="137"/>
        <v>2625000</v>
      </c>
      <c r="R40" s="1042">
        <f t="shared" si="138"/>
        <v>7875000</v>
      </c>
      <c r="S40" s="1042">
        <f t="shared" si="45"/>
        <v>1312500</v>
      </c>
      <c r="T40" s="1042">
        <f t="shared" si="139"/>
        <v>3937500</v>
      </c>
      <c r="U40" s="1042">
        <f t="shared" si="140"/>
        <v>6562500</v>
      </c>
      <c r="V40" s="1042">
        <f t="shared" si="165"/>
        <v>1312500</v>
      </c>
      <c r="W40" s="1042">
        <f t="shared" si="141"/>
        <v>5250000</v>
      </c>
      <c r="X40" s="1042">
        <f t="shared" si="142"/>
        <v>5250000</v>
      </c>
      <c r="Y40" s="7">
        <v>5250000</v>
      </c>
      <c r="Z40" s="7">
        <f t="shared" si="143"/>
        <v>5250000</v>
      </c>
      <c r="AA40" s="1042">
        <f t="shared" si="166"/>
        <v>1312500</v>
      </c>
      <c r="AB40" s="1042">
        <f t="shared" si="144"/>
        <v>6562500</v>
      </c>
      <c r="AC40" s="1042">
        <f t="shared" si="145"/>
        <v>3937500</v>
      </c>
      <c r="AD40" s="1042">
        <f t="shared" si="146"/>
        <v>1312500</v>
      </c>
      <c r="AE40" s="1042">
        <f t="shared" si="147"/>
        <v>7875000</v>
      </c>
      <c r="AF40" s="1042">
        <f t="shared" si="148"/>
        <v>2625000</v>
      </c>
      <c r="AG40" s="1042">
        <f t="shared" si="149"/>
        <v>1312500</v>
      </c>
      <c r="AH40" s="1042">
        <f t="shared" si="167"/>
        <v>9187500</v>
      </c>
      <c r="AI40" s="1042">
        <f t="shared" si="151"/>
        <v>1312500</v>
      </c>
      <c r="AJ40" s="1042">
        <f t="shared" si="152"/>
        <v>109375</v>
      </c>
      <c r="AK40" s="1042">
        <f t="shared" si="153"/>
        <v>9296875</v>
      </c>
      <c r="AL40" s="1042">
        <f t="shared" si="154"/>
        <v>1203125</v>
      </c>
      <c r="AM40" s="1042">
        <f t="shared" si="128"/>
        <v>984375</v>
      </c>
      <c r="AN40" s="1042">
        <f t="shared" si="155"/>
        <v>10171875</v>
      </c>
      <c r="AO40" s="1042">
        <f t="shared" si="156"/>
        <v>328125</v>
      </c>
      <c r="AP40" s="1042">
        <f t="shared" si="157"/>
        <v>1312500</v>
      </c>
      <c r="AQ40" s="1042">
        <f t="shared" si="9"/>
        <v>10500000</v>
      </c>
      <c r="AR40" s="1042">
        <f t="shared" si="158"/>
        <v>0</v>
      </c>
      <c r="AS40" s="1042">
        <f t="shared" ref="AS40:AS57" si="169">(F40/12)*0</f>
        <v>0</v>
      </c>
      <c r="AT40" s="1042">
        <f t="shared" si="10"/>
        <v>10500000</v>
      </c>
      <c r="AU40" s="1042">
        <f t="shared" si="159"/>
        <v>0</v>
      </c>
      <c r="AV40" s="1042">
        <f t="shared" si="168"/>
        <v>0</v>
      </c>
      <c r="AW40" s="1042">
        <f t="shared" si="161"/>
        <v>10500000</v>
      </c>
      <c r="AX40" s="1042">
        <f t="shared" si="162"/>
        <v>0</v>
      </c>
      <c r="AY40" s="179"/>
      <c r="AZ40" s="8">
        <f t="shared" si="39"/>
        <v>0</v>
      </c>
      <c r="BB40" s="221"/>
      <c r="BC40" s="179"/>
    </row>
    <row r="41" spans="1:55" s="220" customFormat="1" ht="14.25" customHeight="1">
      <c r="A41" s="17">
        <f t="shared" si="163"/>
        <v>7</v>
      </c>
      <c r="B41" s="56" t="s">
        <v>478</v>
      </c>
      <c r="C41" s="671">
        <v>39814</v>
      </c>
      <c r="D41" s="55">
        <v>8</v>
      </c>
      <c r="E41" s="6">
        <v>7900000</v>
      </c>
      <c r="F41" s="1041">
        <f t="shared" si="130"/>
        <v>987500</v>
      </c>
      <c r="G41" s="1053"/>
      <c r="H41" s="1042"/>
      <c r="I41" s="1042">
        <f t="shared" si="131"/>
        <v>7900000</v>
      </c>
      <c r="J41" s="1042"/>
      <c r="K41" s="1042">
        <f t="shared" si="132"/>
        <v>0</v>
      </c>
      <c r="L41" s="1042">
        <f t="shared" si="133"/>
        <v>7900000</v>
      </c>
      <c r="M41" s="1042">
        <f t="shared" ref="M41:M57" si="170">(F41/12)*12</f>
        <v>987500</v>
      </c>
      <c r="N41" s="1042">
        <f t="shared" si="134"/>
        <v>987500</v>
      </c>
      <c r="O41" s="1042">
        <f t="shared" si="135"/>
        <v>6912500</v>
      </c>
      <c r="P41" s="1042">
        <f t="shared" si="136"/>
        <v>987500</v>
      </c>
      <c r="Q41" s="1042">
        <f t="shared" si="137"/>
        <v>1975000</v>
      </c>
      <c r="R41" s="1042">
        <f t="shared" si="138"/>
        <v>5925000</v>
      </c>
      <c r="S41" s="1042">
        <f t="shared" si="45"/>
        <v>987500</v>
      </c>
      <c r="T41" s="1042">
        <f t="shared" si="139"/>
        <v>2962500</v>
      </c>
      <c r="U41" s="1042">
        <f t="shared" si="140"/>
        <v>4937500</v>
      </c>
      <c r="V41" s="1042">
        <f t="shared" si="165"/>
        <v>987500</v>
      </c>
      <c r="W41" s="1042">
        <f t="shared" si="141"/>
        <v>3950000</v>
      </c>
      <c r="X41" s="1042">
        <f t="shared" si="142"/>
        <v>3950000</v>
      </c>
      <c r="Y41" s="7">
        <v>3949999.9999999972</v>
      </c>
      <c r="Z41" s="7">
        <f t="shared" si="143"/>
        <v>3950000.0000000028</v>
      </c>
      <c r="AA41" s="1042">
        <f t="shared" si="166"/>
        <v>987500</v>
      </c>
      <c r="AB41" s="1042">
        <f t="shared" si="144"/>
        <v>4937500</v>
      </c>
      <c r="AC41" s="1042">
        <f t="shared" si="145"/>
        <v>2962500</v>
      </c>
      <c r="AD41" s="1042">
        <f t="shared" si="146"/>
        <v>987500</v>
      </c>
      <c r="AE41" s="1042">
        <f t="shared" si="147"/>
        <v>5925000</v>
      </c>
      <c r="AF41" s="1042">
        <f t="shared" si="148"/>
        <v>1975000</v>
      </c>
      <c r="AG41" s="1042">
        <f t="shared" si="149"/>
        <v>987500</v>
      </c>
      <c r="AH41" s="1042">
        <f t="shared" si="167"/>
        <v>6912500</v>
      </c>
      <c r="AI41" s="1042">
        <f t="shared" si="151"/>
        <v>987500</v>
      </c>
      <c r="AJ41" s="1042">
        <f t="shared" si="152"/>
        <v>82291.666666666672</v>
      </c>
      <c r="AK41" s="1042">
        <f t="shared" si="153"/>
        <v>6994791.666666667</v>
      </c>
      <c r="AL41" s="1042">
        <f t="shared" si="154"/>
        <v>905208.33333333302</v>
      </c>
      <c r="AM41" s="1042">
        <f t="shared" si="128"/>
        <v>740625</v>
      </c>
      <c r="AN41" s="1042">
        <f t="shared" si="155"/>
        <v>7653125</v>
      </c>
      <c r="AO41" s="1042">
        <f t="shared" si="156"/>
        <v>246875</v>
      </c>
      <c r="AP41" s="1042">
        <f t="shared" si="157"/>
        <v>987500</v>
      </c>
      <c r="AQ41" s="1042">
        <f t="shared" si="9"/>
        <v>7900000</v>
      </c>
      <c r="AR41" s="1042">
        <f t="shared" si="158"/>
        <v>0</v>
      </c>
      <c r="AS41" s="1042">
        <f t="shared" si="169"/>
        <v>0</v>
      </c>
      <c r="AT41" s="1042">
        <f t="shared" si="10"/>
        <v>7900000</v>
      </c>
      <c r="AU41" s="1042">
        <f t="shared" si="159"/>
        <v>0</v>
      </c>
      <c r="AV41" s="1042">
        <f t="shared" si="168"/>
        <v>0</v>
      </c>
      <c r="AW41" s="1042">
        <f t="shared" si="161"/>
        <v>7900000</v>
      </c>
      <c r="AX41" s="1042">
        <f t="shared" si="162"/>
        <v>0</v>
      </c>
      <c r="AY41" s="179"/>
      <c r="AZ41" s="8">
        <f t="shared" si="39"/>
        <v>0</v>
      </c>
      <c r="BB41" s="221"/>
      <c r="BC41" s="179"/>
    </row>
    <row r="42" spans="1:55" s="220" customFormat="1" ht="14.25" customHeight="1">
      <c r="A42" s="17">
        <f t="shared" si="163"/>
        <v>8</v>
      </c>
      <c r="B42" s="56" t="s">
        <v>479</v>
      </c>
      <c r="C42" s="671">
        <v>39814</v>
      </c>
      <c r="D42" s="55">
        <v>8</v>
      </c>
      <c r="E42" s="6">
        <v>97100000</v>
      </c>
      <c r="F42" s="1041">
        <f t="shared" si="130"/>
        <v>12137500</v>
      </c>
      <c r="G42" s="1053"/>
      <c r="H42" s="1042"/>
      <c r="I42" s="1042">
        <f t="shared" si="131"/>
        <v>97100000</v>
      </c>
      <c r="J42" s="1042"/>
      <c r="K42" s="1042">
        <f t="shared" si="132"/>
        <v>0</v>
      </c>
      <c r="L42" s="1042">
        <f t="shared" si="133"/>
        <v>97100000</v>
      </c>
      <c r="M42" s="1042">
        <f t="shared" si="170"/>
        <v>12137500</v>
      </c>
      <c r="N42" s="1042">
        <f t="shared" si="134"/>
        <v>12137500</v>
      </c>
      <c r="O42" s="1042">
        <f t="shared" si="135"/>
        <v>84962500</v>
      </c>
      <c r="P42" s="1042">
        <f t="shared" si="136"/>
        <v>12137500</v>
      </c>
      <c r="Q42" s="1042">
        <f t="shared" si="137"/>
        <v>24275000</v>
      </c>
      <c r="R42" s="1042">
        <f t="shared" si="138"/>
        <v>72825000</v>
      </c>
      <c r="S42" s="1042">
        <f t="shared" si="45"/>
        <v>12137500</v>
      </c>
      <c r="T42" s="1042">
        <f t="shared" si="139"/>
        <v>36412500</v>
      </c>
      <c r="U42" s="1042">
        <f t="shared" si="140"/>
        <v>60687500</v>
      </c>
      <c r="V42" s="1042">
        <f t="shared" si="165"/>
        <v>12137500</v>
      </c>
      <c r="W42" s="1042">
        <f t="shared" si="141"/>
        <v>48550000</v>
      </c>
      <c r="X42" s="1042">
        <f t="shared" si="142"/>
        <v>48550000</v>
      </c>
      <c r="Y42" s="7">
        <v>48550000.000000022</v>
      </c>
      <c r="Z42" s="7">
        <f t="shared" si="143"/>
        <v>48549999.999999978</v>
      </c>
      <c r="AA42" s="1042">
        <f t="shared" si="166"/>
        <v>12137500</v>
      </c>
      <c r="AB42" s="1042">
        <f t="shared" si="144"/>
        <v>60687500</v>
      </c>
      <c r="AC42" s="1042">
        <f t="shared" si="145"/>
        <v>36412500</v>
      </c>
      <c r="AD42" s="1042">
        <f t="shared" si="146"/>
        <v>12137500</v>
      </c>
      <c r="AE42" s="1042">
        <f t="shared" si="147"/>
        <v>72825000</v>
      </c>
      <c r="AF42" s="1042">
        <f t="shared" si="148"/>
        <v>24275000</v>
      </c>
      <c r="AG42" s="1042">
        <f t="shared" si="149"/>
        <v>12137500</v>
      </c>
      <c r="AH42" s="1042">
        <f t="shared" si="167"/>
        <v>84962500</v>
      </c>
      <c r="AI42" s="1042">
        <f t="shared" si="151"/>
        <v>12137500</v>
      </c>
      <c r="AJ42" s="1042">
        <f t="shared" si="152"/>
        <v>1011458.3333333334</v>
      </c>
      <c r="AK42" s="1042">
        <f t="shared" si="153"/>
        <v>85973958.333333328</v>
      </c>
      <c r="AL42" s="1042">
        <f t="shared" si="154"/>
        <v>11126041.666666672</v>
      </c>
      <c r="AM42" s="1042">
        <f t="shared" si="128"/>
        <v>9103125</v>
      </c>
      <c r="AN42" s="1042">
        <f t="shared" si="155"/>
        <v>94065625</v>
      </c>
      <c r="AO42" s="1042">
        <f t="shared" si="156"/>
        <v>3034375</v>
      </c>
      <c r="AP42" s="1042">
        <f t="shared" si="157"/>
        <v>12137500</v>
      </c>
      <c r="AQ42" s="1042">
        <f t="shared" si="9"/>
        <v>97100000</v>
      </c>
      <c r="AR42" s="1042">
        <f t="shared" si="158"/>
        <v>0</v>
      </c>
      <c r="AS42" s="1042">
        <f t="shared" si="169"/>
        <v>0</v>
      </c>
      <c r="AT42" s="1042">
        <f t="shared" si="10"/>
        <v>97100000</v>
      </c>
      <c r="AU42" s="1042">
        <f t="shared" si="159"/>
        <v>0</v>
      </c>
      <c r="AV42" s="1042">
        <f t="shared" si="168"/>
        <v>0</v>
      </c>
      <c r="AW42" s="1042">
        <f t="shared" si="161"/>
        <v>97100000</v>
      </c>
      <c r="AX42" s="1042">
        <f t="shared" si="162"/>
        <v>0</v>
      </c>
      <c r="AY42" s="179"/>
      <c r="AZ42" s="8">
        <f t="shared" si="39"/>
        <v>0</v>
      </c>
      <c r="BB42" s="221"/>
      <c r="BC42" s="179"/>
    </row>
    <row r="43" spans="1:55" s="220" customFormat="1" ht="14.25" customHeight="1">
      <c r="A43" s="17">
        <f t="shared" si="163"/>
        <v>9</v>
      </c>
      <c r="B43" s="56" t="s">
        <v>480</v>
      </c>
      <c r="C43" s="671">
        <v>40544</v>
      </c>
      <c r="D43" s="55">
        <v>8</v>
      </c>
      <c r="E43" s="6">
        <v>4800000</v>
      </c>
      <c r="F43" s="1041">
        <f t="shared" si="130"/>
        <v>600000</v>
      </c>
      <c r="G43" s="1053"/>
      <c r="H43" s="1042"/>
      <c r="I43" s="1042">
        <f t="shared" si="131"/>
        <v>4800000</v>
      </c>
      <c r="J43" s="1042"/>
      <c r="K43" s="1042">
        <f t="shared" si="132"/>
        <v>0</v>
      </c>
      <c r="L43" s="1042">
        <f t="shared" si="133"/>
        <v>4800000</v>
      </c>
      <c r="M43" s="1042">
        <f t="shared" si="170"/>
        <v>600000</v>
      </c>
      <c r="N43" s="1042">
        <f t="shared" si="134"/>
        <v>600000</v>
      </c>
      <c r="O43" s="1042">
        <f t="shared" si="135"/>
        <v>4200000</v>
      </c>
      <c r="P43" s="1042">
        <f t="shared" ref="P43:P59" si="171">(F43/12)*12</f>
        <v>600000</v>
      </c>
      <c r="Q43" s="1042">
        <f t="shared" si="137"/>
        <v>1200000</v>
      </c>
      <c r="R43" s="1042">
        <f t="shared" si="138"/>
        <v>3600000</v>
      </c>
      <c r="S43" s="1042">
        <f t="shared" ref="S43:S65" si="172">(F43/12)*12</f>
        <v>600000</v>
      </c>
      <c r="T43" s="1042">
        <f t="shared" si="139"/>
        <v>1800000</v>
      </c>
      <c r="U43" s="1042">
        <f t="shared" si="140"/>
        <v>3000000</v>
      </c>
      <c r="V43" s="1042">
        <f t="shared" si="165"/>
        <v>600000</v>
      </c>
      <c r="W43" s="1042">
        <f t="shared" si="141"/>
        <v>2400000</v>
      </c>
      <c r="X43" s="1042">
        <f t="shared" si="142"/>
        <v>2400000</v>
      </c>
      <c r="Y43" s="7">
        <v>2400000</v>
      </c>
      <c r="Z43" s="7">
        <f t="shared" si="143"/>
        <v>2400000</v>
      </c>
      <c r="AA43" s="1042">
        <f t="shared" si="166"/>
        <v>600000</v>
      </c>
      <c r="AB43" s="1042">
        <f t="shared" si="144"/>
        <v>3000000</v>
      </c>
      <c r="AC43" s="1042">
        <f t="shared" si="145"/>
        <v>1800000</v>
      </c>
      <c r="AD43" s="1042">
        <f t="shared" si="146"/>
        <v>600000</v>
      </c>
      <c r="AE43" s="1042">
        <f t="shared" si="147"/>
        <v>3600000</v>
      </c>
      <c r="AF43" s="1042">
        <f t="shared" si="148"/>
        <v>1200000</v>
      </c>
      <c r="AG43" s="1042">
        <f t="shared" si="149"/>
        <v>600000</v>
      </c>
      <c r="AH43" s="1042">
        <f t="shared" si="167"/>
        <v>4200000</v>
      </c>
      <c r="AI43" s="1042">
        <f t="shared" si="151"/>
        <v>600000</v>
      </c>
      <c r="AJ43" s="1042">
        <f t="shared" si="152"/>
        <v>50000</v>
      </c>
      <c r="AK43" s="1042">
        <f t="shared" si="153"/>
        <v>4250000</v>
      </c>
      <c r="AL43" s="1042">
        <f t="shared" si="154"/>
        <v>550000</v>
      </c>
      <c r="AM43" s="1042">
        <f t="shared" si="128"/>
        <v>450000</v>
      </c>
      <c r="AN43" s="1042">
        <f t="shared" si="155"/>
        <v>4650000</v>
      </c>
      <c r="AO43" s="1042">
        <f t="shared" si="156"/>
        <v>150000</v>
      </c>
      <c r="AP43" s="1042">
        <f t="shared" si="157"/>
        <v>600000</v>
      </c>
      <c r="AQ43" s="1042">
        <f t="shared" si="9"/>
        <v>4800000</v>
      </c>
      <c r="AR43" s="1042">
        <f t="shared" si="158"/>
        <v>0</v>
      </c>
      <c r="AS43" s="1042">
        <f t="shared" si="169"/>
        <v>0</v>
      </c>
      <c r="AT43" s="1042">
        <f t="shared" si="10"/>
        <v>4800000</v>
      </c>
      <c r="AU43" s="1042">
        <f t="shared" si="159"/>
        <v>0</v>
      </c>
      <c r="AV43" s="1042">
        <f t="shared" si="168"/>
        <v>0</v>
      </c>
      <c r="AW43" s="1042">
        <f t="shared" si="161"/>
        <v>4800000</v>
      </c>
      <c r="AX43" s="1042">
        <f t="shared" si="162"/>
        <v>0</v>
      </c>
      <c r="AY43" s="179"/>
      <c r="AZ43" s="8">
        <f t="shared" si="39"/>
        <v>0</v>
      </c>
      <c r="BB43" s="221"/>
      <c r="BC43" s="179"/>
    </row>
    <row r="44" spans="1:55" s="220" customFormat="1" ht="14.25" customHeight="1">
      <c r="A44" s="17">
        <f t="shared" si="163"/>
        <v>10</v>
      </c>
      <c r="B44" s="56" t="s">
        <v>481</v>
      </c>
      <c r="C44" s="671">
        <v>40909</v>
      </c>
      <c r="D44" s="55">
        <v>8</v>
      </c>
      <c r="E44" s="6">
        <v>5000000</v>
      </c>
      <c r="F44" s="1041">
        <f t="shared" si="130"/>
        <v>625000</v>
      </c>
      <c r="G44" s="1053"/>
      <c r="H44" s="1042"/>
      <c r="I44" s="1042">
        <f t="shared" si="131"/>
        <v>5000000</v>
      </c>
      <c r="J44" s="1042"/>
      <c r="K44" s="1042">
        <f t="shared" si="132"/>
        <v>0</v>
      </c>
      <c r="L44" s="1042">
        <f t="shared" si="133"/>
        <v>5000000</v>
      </c>
      <c r="M44" s="1042">
        <f t="shared" si="170"/>
        <v>625000</v>
      </c>
      <c r="N44" s="1042">
        <f t="shared" si="134"/>
        <v>625000</v>
      </c>
      <c r="O44" s="1042">
        <f t="shared" si="135"/>
        <v>4375000</v>
      </c>
      <c r="P44" s="1042">
        <f t="shared" si="171"/>
        <v>625000</v>
      </c>
      <c r="Q44" s="1042">
        <f t="shared" si="137"/>
        <v>1250000</v>
      </c>
      <c r="R44" s="1042">
        <f t="shared" si="138"/>
        <v>3750000</v>
      </c>
      <c r="S44" s="1042">
        <f t="shared" si="172"/>
        <v>625000</v>
      </c>
      <c r="T44" s="1042">
        <f t="shared" si="139"/>
        <v>1875000</v>
      </c>
      <c r="U44" s="1042">
        <f t="shared" si="140"/>
        <v>3125000</v>
      </c>
      <c r="V44" s="1042">
        <f t="shared" si="165"/>
        <v>625000</v>
      </c>
      <c r="W44" s="1042">
        <f t="shared" si="141"/>
        <v>2500000</v>
      </c>
      <c r="X44" s="1042">
        <f t="shared" si="142"/>
        <v>2500000</v>
      </c>
      <c r="Y44" s="7">
        <v>2500000</v>
      </c>
      <c r="Z44" s="7">
        <f t="shared" si="143"/>
        <v>2500000</v>
      </c>
      <c r="AA44" s="1042">
        <f t="shared" si="166"/>
        <v>625000</v>
      </c>
      <c r="AB44" s="1042">
        <f t="shared" si="144"/>
        <v>3125000</v>
      </c>
      <c r="AC44" s="1042">
        <f t="shared" si="145"/>
        <v>1875000</v>
      </c>
      <c r="AD44" s="1042">
        <f t="shared" si="146"/>
        <v>625000</v>
      </c>
      <c r="AE44" s="1042">
        <f t="shared" si="147"/>
        <v>3750000</v>
      </c>
      <c r="AF44" s="1042">
        <f t="shared" si="148"/>
        <v>1250000</v>
      </c>
      <c r="AG44" s="1042">
        <f t="shared" si="149"/>
        <v>625000</v>
      </c>
      <c r="AH44" s="1042">
        <f t="shared" si="167"/>
        <v>4375000</v>
      </c>
      <c r="AI44" s="1042">
        <f t="shared" si="151"/>
        <v>625000</v>
      </c>
      <c r="AJ44" s="1042">
        <f t="shared" si="152"/>
        <v>52083.333333333336</v>
      </c>
      <c r="AK44" s="1042">
        <f t="shared" si="153"/>
        <v>4427083.333333333</v>
      </c>
      <c r="AL44" s="1042">
        <f t="shared" si="154"/>
        <v>572916.66666666698</v>
      </c>
      <c r="AM44" s="1042">
        <f t="shared" si="128"/>
        <v>468750</v>
      </c>
      <c r="AN44" s="1042">
        <f t="shared" si="155"/>
        <v>4843750</v>
      </c>
      <c r="AO44" s="1042">
        <f t="shared" si="156"/>
        <v>156250</v>
      </c>
      <c r="AP44" s="1042">
        <f t="shared" si="157"/>
        <v>625000</v>
      </c>
      <c r="AQ44" s="1042">
        <f t="shared" si="9"/>
        <v>5000000</v>
      </c>
      <c r="AR44" s="1042">
        <f t="shared" si="158"/>
        <v>0</v>
      </c>
      <c r="AS44" s="1042">
        <f t="shared" si="169"/>
        <v>0</v>
      </c>
      <c r="AT44" s="1042">
        <f t="shared" si="10"/>
        <v>5000000</v>
      </c>
      <c r="AU44" s="1042">
        <f t="shared" si="159"/>
        <v>0</v>
      </c>
      <c r="AV44" s="1042">
        <f t="shared" si="168"/>
        <v>0</v>
      </c>
      <c r="AW44" s="1042">
        <f t="shared" si="161"/>
        <v>5000000</v>
      </c>
      <c r="AX44" s="1042">
        <f t="shared" si="162"/>
        <v>0</v>
      </c>
      <c r="AY44" s="179"/>
      <c r="AZ44" s="8">
        <f t="shared" si="39"/>
        <v>0</v>
      </c>
      <c r="BB44" s="221"/>
      <c r="BC44" s="179"/>
    </row>
    <row r="45" spans="1:55" s="220" customFormat="1" ht="14.25" customHeight="1">
      <c r="A45" s="17">
        <f t="shared" si="163"/>
        <v>11</v>
      </c>
      <c r="B45" s="968" t="s">
        <v>482</v>
      </c>
      <c r="C45" s="671">
        <v>40909</v>
      </c>
      <c r="D45" s="55">
        <v>8</v>
      </c>
      <c r="E45" s="6">
        <v>248145455</v>
      </c>
      <c r="F45" s="1041">
        <f t="shared" si="130"/>
        <v>31018181.875</v>
      </c>
      <c r="G45" s="1053"/>
      <c r="H45" s="1042"/>
      <c r="I45" s="1042">
        <f t="shared" si="131"/>
        <v>248145455</v>
      </c>
      <c r="J45" s="1042"/>
      <c r="K45" s="1042">
        <f t="shared" si="132"/>
        <v>0</v>
      </c>
      <c r="L45" s="1042">
        <f t="shared" si="133"/>
        <v>248145455</v>
      </c>
      <c r="M45" s="1042">
        <f t="shared" si="170"/>
        <v>31018181.875</v>
      </c>
      <c r="N45" s="1042">
        <f t="shared" si="134"/>
        <v>31018181.875</v>
      </c>
      <c r="O45" s="1042">
        <f t="shared" si="135"/>
        <v>217127273.125</v>
      </c>
      <c r="P45" s="1042">
        <f t="shared" si="171"/>
        <v>31018181.875</v>
      </c>
      <c r="Q45" s="1042">
        <f t="shared" si="137"/>
        <v>62036363.75</v>
      </c>
      <c r="R45" s="1042">
        <f t="shared" si="138"/>
        <v>186109091.25</v>
      </c>
      <c r="S45" s="1042">
        <f t="shared" si="172"/>
        <v>31018181.875</v>
      </c>
      <c r="T45" s="1042">
        <f t="shared" si="139"/>
        <v>93054545.625</v>
      </c>
      <c r="U45" s="1042">
        <f t="shared" si="140"/>
        <v>155090909.375</v>
      </c>
      <c r="V45" s="1042">
        <f t="shared" si="165"/>
        <v>31018181.875</v>
      </c>
      <c r="W45" s="1042">
        <f t="shared" si="141"/>
        <v>124072727.5</v>
      </c>
      <c r="X45" s="1042">
        <f t="shared" si="142"/>
        <v>124072727.5</v>
      </c>
      <c r="Y45" s="7">
        <v>70114394.010416701</v>
      </c>
      <c r="Z45" s="7">
        <f t="shared" si="143"/>
        <v>178031060.98958331</v>
      </c>
      <c r="AA45" s="1042">
        <f t="shared" si="166"/>
        <v>31018181.875</v>
      </c>
      <c r="AB45" s="1042">
        <f t="shared" si="144"/>
        <v>155090909.375</v>
      </c>
      <c r="AC45" s="1042">
        <f t="shared" si="145"/>
        <v>93054545.625</v>
      </c>
      <c r="AD45" s="1042">
        <f t="shared" si="146"/>
        <v>31018181.875</v>
      </c>
      <c r="AE45" s="1042">
        <f t="shared" si="147"/>
        <v>186109091.25</v>
      </c>
      <c r="AF45" s="1042">
        <f t="shared" si="148"/>
        <v>62036363.75</v>
      </c>
      <c r="AG45" s="1042">
        <f t="shared" si="149"/>
        <v>31018181.875</v>
      </c>
      <c r="AH45" s="1042">
        <f t="shared" si="167"/>
        <v>217127273.125</v>
      </c>
      <c r="AI45" s="1042">
        <f t="shared" si="151"/>
        <v>31018181.875</v>
      </c>
      <c r="AJ45" s="1042">
        <f t="shared" si="152"/>
        <v>2584848.4895833335</v>
      </c>
      <c r="AK45" s="1042">
        <f t="shared" si="153"/>
        <v>219712121.61458334</v>
      </c>
      <c r="AL45" s="1042">
        <f t="shared" si="154"/>
        <v>28433333.385416657</v>
      </c>
      <c r="AM45" s="1042">
        <f t="shared" si="128"/>
        <v>23263636.40625</v>
      </c>
      <c r="AN45" s="1042">
        <f t="shared" si="155"/>
        <v>240390909.53125</v>
      </c>
      <c r="AO45" s="1042">
        <f t="shared" si="156"/>
        <v>7754545.46875</v>
      </c>
      <c r="AP45" s="1042">
        <f t="shared" si="157"/>
        <v>31018181.875</v>
      </c>
      <c r="AQ45" s="1042">
        <f t="shared" si="9"/>
        <v>248145455</v>
      </c>
      <c r="AR45" s="1042">
        <f t="shared" si="158"/>
        <v>0</v>
      </c>
      <c r="AS45" s="1042">
        <f t="shared" si="169"/>
        <v>0</v>
      </c>
      <c r="AT45" s="1042">
        <f t="shared" si="10"/>
        <v>248145455</v>
      </c>
      <c r="AU45" s="1042">
        <f t="shared" si="159"/>
        <v>0</v>
      </c>
      <c r="AV45" s="1042">
        <f t="shared" si="168"/>
        <v>0</v>
      </c>
      <c r="AW45" s="1042">
        <f t="shared" si="161"/>
        <v>248145455</v>
      </c>
      <c r="AX45" s="1042">
        <f t="shared" si="162"/>
        <v>0</v>
      </c>
      <c r="AY45" s="179"/>
      <c r="AZ45" s="8">
        <f t="shared" si="39"/>
        <v>0</v>
      </c>
      <c r="BB45" s="221"/>
      <c r="BC45" s="179"/>
    </row>
    <row r="46" spans="1:55" s="220" customFormat="1" ht="14.25" customHeight="1">
      <c r="A46" s="17">
        <f t="shared" si="163"/>
        <v>12</v>
      </c>
      <c r="B46" s="56" t="s">
        <v>483</v>
      </c>
      <c r="C46" s="671">
        <v>41275</v>
      </c>
      <c r="D46" s="55">
        <v>8</v>
      </c>
      <c r="E46" s="6">
        <v>9200000</v>
      </c>
      <c r="F46" s="1041">
        <f t="shared" si="130"/>
        <v>1150000</v>
      </c>
      <c r="G46" s="1053"/>
      <c r="H46" s="1042"/>
      <c r="I46" s="1042">
        <f t="shared" si="131"/>
        <v>9200000</v>
      </c>
      <c r="J46" s="1042"/>
      <c r="K46" s="1042">
        <f t="shared" si="132"/>
        <v>0</v>
      </c>
      <c r="L46" s="1042">
        <f t="shared" si="133"/>
        <v>9200000</v>
      </c>
      <c r="M46" s="1042">
        <f t="shared" si="170"/>
        <v>1150000</v>
      </c>
      <c r="N46" s="1042">
        <f t="shared" si="134"/>
        <v>1150000</v>
      </c>
      <c r="O46" s="1042">
        <f t="shared" si="135"/>
        <v>8050000</v>
      </c>
      <c r="P46" s="1042">
        <f t="shared" si="171"/>
        <v>1150000</v>
      </c>
      <c r="Q46" s="1042">
        <f t="shared" si="137"/>
        <v>2300000</v>
      </c>
      <c r="R46" s="1042">
        <f t="shared" si="138"/>
        <v>6900000</v>
      </c>
      <c r="S46" s="1042">
        <f t="shared" si="172"/>
        <v>1150000</v>
      </c>
      <c r="T46" s="1042">
        <f t="shared" si="139"/>
        <v>3450000</v>
      </c>
      <c r="U46" s="1042">
        <f t="shared" si="140"/>
        <v>5750000</v>
      </c>
      <c r="V46" s="1042">
        <f t="shared" si="165"/>
        <v>1150000</v>
      </c>
      <c r="W46" s="1042">
        <f t="shared" si="141"/>
        <v>4600000</v>
      </c>
      <c r="X46" s="1042">
        <f t="shared" si="142"/>
        <v>4600000</v>
      </c>
      <c r="Y46" s="7">
        <v>4600000.0000000009</v>
      </c>
      <c r="Z46" s="7">
        <f t="shared" si="143"/>
        <v>4599999.9999999991</v>
      </c>
      <c r="AA46" s="1042">
        <f t="shared" ref="AA46:AA68" si="173">(F46/12)*12</f>
        <v>1150000</v>
      </c>
      <c r="AB46" s="1042">
        <f t="shared" si="144"/>
        <v>5750000</v>
      </c>
      <c r="AC46" s="1042">
        <f t="shared" si="145"/>
        <v>3450000</v>
      </c>
      <c r="AD46" s="1042">
        <f t="shared" si="146"/>
        <v>1150000</v>
      </c>
      <c r="AE46" s="1042">
        <f t="shared" si="147"/>
        <v>6900000</v>
      </c>
      <c r="AF46" s="1042">
        <f t="shared" si="148"/>
        <v>2300000</v>
      </c>
      <c r="AG46" s="1042">
        <f t="shared" si="149"/>
        <v>1150000</v>
      </c>
      <c r="AH46" s="1042">
        <f t="shared" si="167"/>
        <v>8050000</v>
      </c>
      <c r="AI46" s="1042">
        <f t="shared" si="151"/>
        <v>1150000</v>
      </c>
      <c r="AJ46" s="1042">
        <f t="shared" si="152"/>
        <v>95833.333333333328</v>
      </c>
      <c r="AK46" s="1042">
        <f t="shared" si="153"/>
        <v>8145833.333333333</v>
      </c>
      <c r="AL46" s="1042">
        <f t="shared" si="154"/>
        <v>1054166.666666667</v>
      </c>
      <c r="AM46" s="1042">
        <f t="shared" si="128"/>
        <v>862500</v>
      </c>
      <c r="AN46" s="1042">
        <f t="shared" si="155"/>
        <v>8912500</v>
      </c>
      <c r="AO46" s="1042">
        <f t="shared" si="156"/>
        <v>287500</v>
      </c>
      <c r="AP46" s="1042">
        <f t="shared" si="157"/>
        <v>1150000</v>
      </c>
      <c r="AQ46" s="1042">
        <f t="shared" si="9"/>
        <v>9200000</v>
      </c>
      <c r="AR46" s="1042">
        <f t="shared" si="158"/>
        <v>0</v>
      </c>
      <c r="AS46" s="1042">
        <f t="shared" si="169"/>
        <v>0</v>
      </c>
      <c r="AT46" s="1042">
        <f t="shared" si="10"/>
        <v>9200000</v>
      </c>
      <c r="AU46" s="1042">
        <f t="shared" si="159"/>
        <v>0</v>
      </c>
      <c r="AV46" s="1042">
        <f t="shared" si="168"/>
        <v>0</v>
      </c>
      <c r="AW46" s="1042">
        <f t="shared" si="161"/>
        <v>9200000</v>
      </c>
      <c r="AX46" s="1042">
        <f t="shared" si="162"/>
        <v>0</v>
      </c>
      <c r="AY46" s="179"/>
      <c r="AZ46" s="8">
        <f t="shared" si="39"/>
        <v>0</v>
      </c>
      <c r="BB46" s="221"/>
      <c r="BC46" s="179"/>
    </row>
    <row r="47" spans="1:55" s="220" customFormat="1" ht="14.25" customHeight="1">
      <c r="A47" s="17">
        <f t="shared" si="163"/>
        <v>13</v>
      </c>
      <c r="B47" s="968" t="s">
        <v>484</v>
      </c>
      <c r="C47" s="671">
        <v>41275</v>
      </c>
      <c r="D47" s="55">
        <v>8</v>
      </c>
      <c r="E47" s="6">
        <v>36200000</v>
      </c>
      <c r="F47" s="1041">
        <f t="shared" si="130"/>
        <v>4525000</v>
      </c>
      <c r="G47" s="1053"/>
      <c r="H47" s="1042"/>
      <c r="I47" s="1042">
        <f t="shared" si="131"/>
        <v>36200000</v>
      </c>
      <c r="J47" s="1042"/>
      <c r="K47" s="1042">
        <f t="shared" si="132"/>
        <v>0</v>
      </c>
      <c r="L47" s="1042">
        <f t="shared" si="133"/>
        <v>36200000</v>
      </c>
      <c r="M47" s="1042">
        <f t="shared" si="170"/>
        <v>4525000</v>
      </c>
      <c r="N47" s="1042">
        <f t="shared" si="134"/>
        <v>4525000</v>
      </c>
      <c r="O47" s="1042">
        <f t="shared" si="135"/>
        <v>31675000</v>
      </c>
      <c r="P47" s="1042">
        <f t="shared" si="171"/>
        <v>4525000</v>
      </c>
      <c r="Q47" s="1042">
        <f t="shared" si="137"/>
        <v>9050000</v>
      </c>
      <c r="R47" s="1042">
        <f t="shared" si="138"/>
        <v>27150000</v>
      </c>
      <c r="S47" s="1042">
        <f t="shared" si="172"/>
        <v>4525000</v>
      </c>
      <c r="T47" s="1042">
        <f t="shared" si="139"/>
        <v>13575000</v>
      </c>
      <c r="U47" s="1042">
        <f t="shared" si="140"/>
        <v>22625000</v>
      </c>
      <c r="V47" s="1042">
        <f t="shared" si="165"/>
        <v>4525000</v>
      </c>
      <c r="W47" s="1042">
        <f t="shared" si="141"/>
        <v>18100000</v>
      </c>
      <c r="X47" s="1042">
        <f t="shared" si="142"/>
        <v>18100000</v>
      </c>
      <c r="Y47" s="7">
        <v>18100000.000000007</v>
      </c>
      <c r="Z47" s="7">
        <f t="shared" si="143"/>
        <v>18099999.999999993</v>
      </c>
      <c r="AA47" s="1042">
        <f t="shared" si="173"/>
        <v>4525000</v>
      </c>
      <c r="AB47" s="1042">
        <f t="shared" si="144"/>
        <v>22625000</v>
      </c>
      <c r="AC47" s="1042">
        <f t="shared" si="145"/>
        <v>13575000</v>
      </c>
      <c r="AD47" s="1042">
        <f t="shared" si="146"/>
        <v>4525000</v>
      </c>
      <c r="AE47" s="1042">
        <f t="shared" si="147"/>
        <v>27150000</v>
      </c>
      <c r="AF47" s="1042">
        <f t="shared" si="148"/>
        <v>9050000</v>
      </c>
      <c r="AG47" s="1042">
        <f t="shared" si="149"/>
        <v>4525000</v>
      </c>
      <c r="AH47" s="1042">
        <f t="shared" si="167"/>
        <v>31675000</v>
      </c>
      <c r="AI47" s="1042">
        <f t="shared" si="151"/>
        <v>4525000</v>
      </c>
      <c r="AJ47" s="1042">
        <f t="shared" si="152"/>
        <v>377083.33333333331</v>
      </c>
      <c r="AK47" s="1042">
        <f t="shared" si="153"/>
        <v>32052083.333333332</v>
      </c>
      <c r="AL47" s="1042">
        <f t="shared" si="154"/>
        <v>4147916.6666666679</v>
      </c>
      <c r="AM47" s="1042">
        <f t="shared" si="128"/>
        <v>3393750</v>
      </c>
      <c r="AN47" s="1042">
        <f t="shared" si="155"/>
        <v>35068750</v>
      </c>
      <c r="AO47" s="1042">
        <f t="shared" si="156"/>
        <v>1131250</v>
      </c>
      <c r="AP47" s="1042">
        <f t="shared" si="157"/>
        <v>4525000</v>
      </c>
      <c r="AQ47" s="1042">
        <f t="shared" si="9"/>
        <v>36200000</v>
      </c>
      <c r="AR47" s="1042">
        <f t="shared" si="158"/>
        <v>0</v>
      </c>
      <c r="AS47" s="1042">
        <f t="shared" si="169"/>
        <v>0</v>
      </c>
      <c r="AT47" s="1042">
        <f t="shared" si="10"/>
        <v>36200000</v>
      </c>
      <c r="AU47" s="1042">
        <f t="shared" si="159"/>
        <v>0</v>
      </c>
      <c r="AV47" s="1042">
        <f t="shared" si="168"/>
        <v>0</v>
      </c>
      <c r="AW47" s="1042">
        <f t="shared" si="161"/>
        <v>36200000</v>
      </c>
      <c r="AX47" s="1042">
        <f t="shared" si="162"/>
        <v>0</v>
      </c>
      <c r="AY47" s="179"/>
      <c r="AZ47" s="8">
        <f t="shared" si="39"/>
        <v>0</v>
      </c>
      <c r="BB47" s="221"/>
      <c r="BC47" s="179"/>
    </row>
    <row r="48" spans="1:55" s="220" customFormat="1" ht="14.25" customHeight="1">
      <c r="A48" s="17">
        <f t="shared" si="163"/>
        <v>14</v>
      </c>
      <c r="B48" s="56" t="s">
        <v>485</v>
      </c>
      <c r="C48" s="671">
        <v>41275</v>
      </c>
      <c r="D48" s="55">
        <v>8</v>
      </c>
      <c r="E48" s="6">
        <v>28000000</v>
      </c>
      <c r="F48" s="1041">
        <f t="shared" si="130"/>
        <v>3500000</v>
      </c>
      <c r="G48" s="1053"/>
      <c r="H48" s="1042"/>
      <c r="I48" s="1042">
        <f t="shared" si="131"/>
        <v>28000000</v>
      </c>
      <c r="J48" s="1042"/>
      <c r="K48" s="1042">
        <f t="shared" si="132"/>
        <v>0</v>
      </c>
      <c r="L48" s="1042">
        <f t="shared" si="133"/>
        <v>28000000</v>
      </c>
      <c r="M48" s="1042">
        <f t="shared" si="170"/>
        <v>3500000</v>
      </c>
      <c r="N48" s="1042">
        <f t="shared" si="134"/>
        <v>3500000</v>
      </c>
      <c r="O48" s="1042">
        <f t="shared" si="135"/>
        <v>24500000</v>
      </c>
      <c r="P48" s="1042">
        <f t="shared" si="171"/>
        <v>3500000</v>
      </c>
      <c r="Q48" s="1042">
        <f t="shared" si="137"/>
        <v>7000000</v>
      </c>
      <c r="R48" s="1042">
        <f t="shared" si="138"/>
        <v>21000000</v>
      </c>
      <c r="S48" s="1042">
        <f t="shared" si="172"/>
        <v>3500000</v>
      </c>
      <c r="T48" s="1042">
        <f t="shared" si="139"/>
        <v>10500000</v>
      </c>
      <c r="U48" s="1042">
        <f t="shared" si="140"/>
        <v>17500000</v>
      </c>
      <c r="V48" s="1042">
        <f t="shared" si="165"/>
        <v>3500000</v>
      </c>
      <c r="W48" s="1042">
        <f t="shared" si="141"/>
        <v>14000000</v>
      </c>
      <c r="X48" s="1042">
        <f t="shared" si="142"/>
        <v>14000000</v>
      </c>
      <c r="Y48" s="7">
        <v>13999999.999999991</v>
      </c>
      <c r="Z48" s="7">
        <f t="shared" si="143"/>
        <v>14000000.000000009</v>
      </c>
      <c r="AA48" s="1042">
        <f t="shared" si="173"/>
        <v>3500000</v>
      </c>
      <c r="AB48" s="1042">
        <f t="shared" si="144"/>
        <v>17500000</v>
      </c>
      <c r="AC48" s="1042">
        <f t="shared" si="145"/>
        <v>10500000</v>
      </c>
      <c r="AD48" s="1042">
        <f t="shared" si="146"/>
        <v>3500000</v>
      </c>
      <c r="AE48" s="1042">
        <f t="shared" si="147"/>
        <v>21000000</v>
      </c>
      <c r="AF48" s="1042">
        <f t="shared" si="148"/>
        <v>7000000</v>
      </c>
      <c r="AG48" s="1042">
        <f t="shared" si="149"/>
        <v>3500000</v>
      </c>
      <c r="AH48" s="1042">
        <f t="shared" si="167"/>
        <v>24500000</v>
      </c>
      <c r="AI48" s="1042">
        <f t="shared" si="151"/>
        <v>3500000</v>
      </c>
      <c r="AJ48" s="1042">
        <f t="shared" si="152"/>
        <v>291666.66666666669</v>
      </c>
      <c r="AK48" s="1042">
        <f t="shared" si="153"/>
        <v>24791666.666666668</v>
      </c>
      <c r="AL48" s="1042">
        <f t="shared" si="154"/>
        <v>3208333.3333333321</v>
      </c>
      <c r="AM48" s="1042">
        <f t="shared" si="128"/>
        <v>2625000</v>
      </c>
      <c r="AN48" s="1042">
        <f t="shared" si="155"/>
        <v>27125000</v>
      </c>
      <c r="AO48" s="1042">
        <f t="shared" si="156"/>
        <v>875000</v>
      </c>
      <c r="AP48" s="1042">
        <f t="shared" si="157"/>
        <v>3500000</v>
      </c>
      <c r="AQ48" s="1042">
        <f t="shared" si="9"/>
        <v>28000000</v>
      </c>
      <c r="AR48" s="1042">
        <f t="shared" si="158"/>
        <v>0</v>
      </c>
      <c r="AS48" s="1042">
        <f t="shared" si="169"/>
        <v>0</v>
      </c>
      <c r="AT48" s="1042">
        <f t="shared" si="10"/>
        <v>28000000</v>
      </c>
      <c r="AU48" s="1042">
        <f t="shared" si="159"/>
        <v>0</v>
      </c>
      <c r="AV48" s="1042">
        <f t="shared" si="168"/>
        <v>0</v>
      </c>
      <c r="AW48" s="1042">
        <f t="shared" si="161"/>
        <v>28000000</v>
      </c>
      <c r="AX48" s="1042">
        <f t="shared" si="162"/>
        <v>0</v>
      </c>
      <c r="AY48" s="179"/>
      <c r="AZ48" s="8">
        <f t="shared" si="39"/>
        <v>0</v>
      </c>
      <c r="BB48" s="221"/>
      <c r="BC48" s="179"/>
    </row>
    <row r="49" spans="1:55" s="220" customFormat="1" ht="14.25" customHeight="1">
      <c r="A49" s="17">
        <f t="shared" si="163"/>
        <v>15</v>
      </c>
      <c r="B49" s="56" t="s">
        <v>486</v>
      </c>
      <c r="C49" s="671">
        <v>41640</v>
      </c>
      <c r="D49" s="55">
        <v>8</v>
      </c>
      <c r="E49" s="6">
        <v>32100000</v>
      </c>
      <c r="F49" s="1041">
        <f t="shared" si="130"/>
        <v>4012500</v>
      </c>
      <c r="G49" s="1053"/>
      <c r="H49" s="1042"/>
      <c r="I49" s="1042">
        <f t="shared" si="131"/>
        <v>32100000</v>
      </c>
      <c r="J49" s="1042"/>
      <c r="K49" s="1042">
        <f t="shared" si="132"/>
        <v>0</v>
      </c>
      <c r="L49" s="1042">
        <f t="shared" si="133"/>
        <v>32100000</v>
      </c>
      <c r="M49" s="1042">
        <f t="shared" si="170"/>
        <v>4012500</v>
      </c>
      <c r="N49" s="1042">
        <f t="shared" si="134"/>
        <v>4012500</v>
      </c>
      <c r="O49" s="1042">
        <f t="shared" si="135"/>
        <v>28087500</v>
      </c>
      <c r="P49" s="1042">
        <f t="shared" si="171"/>
        <v>4012500</v>
      </c>
      <c r="Q49" s="1042">
        <f t="shared" si="137"/>
        <v>8025000</v>
      </c>
      <c r="R49" s="1042">
        <f t="shared" si="138"/>
        <v>24075000</v>
      </c>
      <c r="S49" s="1042">
        <f t="shared" si="172"/>
        <v>4012500</v>
      </c>
      <c r="T49" s="1042">
        <f t="shared" si="139"/>
        <v>12037500</v>
      </c>
      <c r="U49" s="1042">
        <f t="shared" si="140"/>
        <v>20062500</v>
      </c>
      <c r="V49" s="1042">
        <f t="shared" si="165"/>
        <v>4012500</v>
      </c>
      <c r="W49" s="1042">
        <f t="shared" si="141"/>
        <v>16050000</v>
      </c>
      <c r="X49" s="1042">
        <f t="shared" si="142"/>
        <v>16050000</v>
      </c>
      <c r="Y49" s="7">
        <v>16050000</v>
      </c>
      <c r="Z49" s="7">
        <f t="shared" si="143"/>
        <v>16050000</v>
      </c>
      <c r="AA49" s="1042">
        <f t="shared" si="173"/>
        <v>4012500</v>
      </c>
      <c r="AB49" s="1042">
        <f t="shared" si="144"/>
        <v>20062500</v>
      </c>
      <c r="AC49" s="1042">
        <f t="shared" si="145"/>
        <v>12037500</v>
      </c>
      <c r="AD49" s="1042">
        <f t="shared" ref="AD49:AD70" si="174">(F49/12)*12</f>
        <v>4012500</v>
      </c>
      <c r="AE49" s="1042">
        <f t="shared" si="147"/>
        <v>24075000</v>
      </c>
      <c r="AF49" s="1042">
        <f t="shared" si="148"/>
        <v>8025000</v>
      </c>
      <c r="AG49" s="1042">
        <f t="shared" si="149"/>
        <v>4012500</v>
      </c>
      <c r="AH49" s="1042">
        <f t="shared" si="167"/>
        <v>28087500</v>
      </c>
      <c r="AI49" s="1042">
        <f t="shared" si="151"/>
        <v>4012500</v>
      </c>
      <c r="AJ49" s="1042">
        <f t="shared" si="152"/>
        <v>334375</v>
      </c>
      <c r="AK49" s="1042">
        <f t="shared" si="153"/>
        <v>28421875</v>
      </c>
      <c r="AL49" s="1042">
        <f t="shared" si="154"/>
        <v>3678125</v>
      </c>
      <c r="AM49" s="1042">
        <f t="shared" si="128"/>
        <v>3009375</v>
      </c>
      <c r="AN49" s="1042">
        <f t="shared" si="155"/>
        <v>31096875</v>
      </c>
      <c r="AO49" s="1042">
        <f t="shared" si="156"/>
        <v>1003125</v>
      </c>
      <c r="AP49" s="1042">
        <f t="shared" si="157"/>
        <v>4012500</v>
      </c>
      <c r="AQ49" s="1042">
        <f t="shared" si="9"/>
        <v>32100000</v>
      </c>
      <c r="AR49" s="1042">
        <f t="shared" si="158"/>
        <v>0</v>
      </c>
      <c r="AS49" s="1042">
        <f t="shared" si="169"/>
        <v>0</v>
      </c>
      <c r="AT49" s="1042">
        <f t="shared" si="10"/>
        <v>32100000</v>
      </c>
      <c r="AU49" s="1042">
        <f t="shared" si="159"/>
        <v>0</v>
      </c>
      <c r="AV49" s="1042">
        <f t="shared" si="168"/>
        <v>0</v>
      </c>
      <c r="AW49" s="1042">
        <f t="shared" si="161"/>
        <v>32100000</v>
      </c>
      <c r="AX49" s="1042">
        <f t="shared" si="162"/>
        <v>0</v>
      </c>
      <c r="AY49" s="179"/>
      <c r="AZ49" s="8">
        <f t="shared" si="39"/>
        <v>0</v>
      </c>
      <c r="BB49" s="221"/>
      <c r="BC49" s="179"/>
    </row>
    <row r="50" spans="1:55" s="220" customFormat="1" ht="14.25" customHeight="1">
      <c r="A50" s="17">
        <f t="shared" si="163"/>
        <v>16</v>
      </c>
      <c r="B50" s="56" t="s">
        <v>487</v>
      </c>
      <c r="C50" s="671">
        <v>41640</v>
      </c>
      <c r="D50" s="55">
        <v>8</v>
      </c>
      <c r="E50" s="6">
        <v>16500000</v>
      </c>
      <c r="F50" s="1041">
        <f t="shared" si="130"/>
        <v>2062500</v>
      </c>
      <c r="G50" s="1053"/>
      <c r="H50" s="1042"/>
      <c r="I50" s="1042">
        <f t="shared" si="131"/>
        <v>16500000</v>
      </c>
      <c r="J50" s="1042"/>
      <c r="K50" s="1042">
        <f t="shared" si="132"/>
        <v>0</v>
      </c>
      <c r="L50" s="1042">
        <f t="shared" si="133"/>
        <v>16500000</v>
      </c>
      <c r="M50" s="1042">
        <f t="shared" si="170"/>
        <v>2062500</v>
      </c>
      <c r="N50" s="1042">
        <f t="shared" si="134"/>
        <v>2062500</v>
      </c>
      <c r="O50" s="1042">
        <f t="shared" si="135"/>
        <v>14437500</v>
      </c>
      <c r="P50" s="1042">
        <f t="shared" si="171"/>
        <v>2062500</v>
      </c>
      <c r="Q50" s="1042">
        <f t="shared" si="137"/>
        <v>4125000</v>
      </c>
      <c r="R50" s="1042">
        <f t="shared" si="138"/>
        <v>12375000</v>
      </c>
      <c r="S50" s="1042">
        <f t="shared" si="172"/>
        <v>2062500</v>
      </c>
      <c r="T50" s="1042">
        <f t="shared" si="139"/>
        <v>6187500</v>
      </c>
      <c r="U50" s="1042">
        <f t="shared" si="140"/>
        <v>10312500</v>
      </c>
      <c r="V50" s="1042">
        <f t="shared" si="165"/>
        <v>2062500</v>
      </c>
      <c r="W50" s="1042">
        <f t="shared" si="141"/>
        <v>8250000</v>
      </c>
      <c r="X50" s="1042">
        <f t="shared" si="142"/>
        <v>8250000</v>
      </c>
      <c r="Y50" s="7">
        <v>8250000</v>
      </c>
      <c r="Z50" s="7">
        <f t="shared" si="143"/>
        <v>8250000</v>
      </c>
      <c r="AA50" s="1042">
        <f t="shared" si="173"/>
        <v>2062500</v>
      </c>
      <c r="AB50" s="1042">
        <f t="shared" si="144"/>
        <v>10312500</v>
      </c>
      <c r="AC50" s="1042">
        <f t="shared" si="145"/>
        <v>6187500</v>
      </c>
      <c r="AD50" s="1042">
        <f t="shared" si="174"/>
        <v>2062500</v>
      </c>
      <c r="AE50" s="1042">
        <f t="shared" si="147"/>
        <v>12375000</v>
      </c>
      <c r="AF50" s="1042">
        <f t="shared" si="148"/>
        <v>4125000</v>
      </c>
      <c r="AG50" s="1042">
        <f t="shared" si="149"/>
        <v>2062500</v>
      </c>
      <c r="AH50" s="1042">
        <f t="shared" si="167"/>
        <v>14437500</v>
      </c>
      <c r="AI50" s="1042">
        <f t="shared" si="151"/>
        <v>2062500</v>
      </c>
      <c r="AJ50" s="1042">
        <f t="shared" si="152"/>
        <v>171875</v>
      </c>
      <c r="AK50" s="1042">
        <f t="shared" si="153"/>
        <v>14609375</v>
      </c>
      <c r="AL50" s="1042">
        <f t="shared" si="154"/>
        <v>1890625</v>
      </c>
      <c r="AM50" s="1042">
        <f t="shared" si="128"/>
        <v>1546875</v>
      </c>
      <c r="AN50" s="1042">
        <f t="shared" si="155"/>
        <v>15984375</v>
      </c>
      <c r="AO50" s="1042">
        <f t="shared" si="156"/>
        <v>515625</v>
      </c>
      <c r="AP50" s="1042">
        <f t="shared" si="157"/>
        <v>2062500</v>
      </c>
      <c r="AQ50" s="1042">
        <f t="shared" si="9"/>
        <v>16500000</v>
      </c>
      <c r="AR50" s="1042">
        <f t="shared" si="158"/>
        <v>0</v>
      </c>
      <c r="AS50" s="1042">
        <f t="shared" si="169"/>
        <v>0</v>
      </c>
      <c r="AT50" s="1042">
        <f t="shared" si="10"/>
        <v>16500000</v>
      </c>
      <c r="AU50" s="1042">
        <f t="shared" si="159"/>
        <v>0</v>
      </c>
      <c r="AV50" s="1042">
        <f t="shared" si="168"/>
        <v>0</v>
      </c>
      <c r="AW50" s="1042">
        <f t="shared" si="161"/>
        <v>16500000</v>
      </c>
      <c r="AX50" s="1042">
        <f t="shared" si="162"/>
        <v>0</v>
      </c>
      <c r="AY50" s="179"/>
      <c r="AZ50" s="8">
        <f t="shared" si="39"/>
        <v>0</v>
      </c>
      <c r="BB50" s="221"/>
      <c r="BC50" s="179"/>
    </row>
    <row r="51" spans="1:55" s="220" customFormat="1" ht="14.25" customHeight="1">
      <c r="A51" s="17">
        <f t="shared" si="163"/>
        <v>17</v>
      </c>
      <c r="B51" s="56" t="s">
        <v>487</v>
      </c>
      <c r="C51" s="671">
        <v>41640</v>
      </c>
      <c r="D51" s="55">
        <v>8</v>
      </c>
      <c r="E51" s="6">
        <v>8600000</v>
      </c>
      <c r="F51" s="1041">
        <f t="shared" si="130"/>
        <v>1075000</v>
      </c>
      <c r="G51" s="1053"/>
      <c r="H51" s="1042"/>
      <c r="I51" s="1042">
        <f t="shared" si="131"/>
        <v>8600000</v>
      </c>
      <c r="J51" s="1042"/>
      <c r="K51" s="1042">
        <f t="shared" si="132"/>
        <v>0</v>
      </c>
      <c r="L51" s="1042">
        <f t="shared" si="133"/>
        <v>8600000</v>
      </c>
      <c r="M51" s="1042">
        <f t="shared" si="170"/>
        <v>1075000</v>
      </c>
      <c r="N51" s="1042">
        <f t="shared" si="134"/>
        <v>1075000</v>
      </c>
      <c r="O51" s="1042">
        <f t="shared" si="135"/>
        <v>7525000</v>
      </c>
      <c r="P51" s="1042">
        <f t="shared" si="171"/>
        <v>1075000</v>
      </c>
      <c r="Q51" s="1042">
        <f t="shared" si="137"/>
        <v>2150000</v>
      </c>
      <c r="R51" s="1042">
        <f t="shared" si="138"/>
        <v>6450000</v>
      </c>
      <c r="S51" s="1042">
        <f t="shared" si="172"/>
        <v>1075000</v>
      </c>
      <c r="T51" s="1042">
        <f t="shared" si="139"/>
        <v>3225000</v>
      </c>
      <c r="U51" s="1042">
        <f t="shared" si="140"/>
        <v>5375000</v>
      </c>
      <c r="V51" s="1042">
        <f t="shared" si="165"/>
        <v>1075000</v>
      </c>
      <c r="W51" s="1042">
        <f t="shared" si="141"/>
        <v>4300000</v>
      </c>
      <c r="X51" s="1042">
        <f t="shared" si="142"/>
        <v>4300000</v>
      </c>
      <c r="Y51" s="7">
        <v>4300000.0000000028</v>
      </c>
      <c r="Z51" s="7">
        <f t="shared" si="143"/>
        <v>4299999.9999999972</v>
      </c>
      <c r="AA51" s="1042">
        <f t="shared" si="173"/>
        <v>1075000</v>
      </c>
      <c r="AB51" s="1042">
        <f t="shared" si="144"/>
        <v>5375000</v>
      </c>
      <c r="AC51" s="1042">
        <f t="shared" si="145"/>
        <v>3225000</v>
      </c>
      <c r="AD51" s="1042">
        <f t="shared" si="174"/>
        <v>1075000</v>
      </c>
      <c r="AE51" s="1042">
        <f t="shared" si="147"/>
        <v>6450000</v>
      </c>
      <c r="AF51" s="1042">
        <f t="shared" si="148"/>
        <v>2150000</v>
      </c>
      <c r="AG51" s="1042">
        <f t="shared" si="149"/>
        <v>1075000</v>
      </c>
      <c r="AH51" s="1042">
        <f t="shared" si="167"/>
        <v>7525000</v>
      </c>
      <c r="AI51" s="1042">
        <f t="shared" si="151"/>
        <v>1075000</v>
      </c>
      <c r="AJ51" s="1042">
        <f t="shared" si="152"/>
        <v>89583.333333333328</v>
      </c>
      <c r="AK51" s="1042">
        <f t="shared" si="153"/>
        <v>7614583.333333333</v>
      </c>
      <c r="AL51" s="1042">
        <f t="shared" si="154"/>
        <v>985416.66666666698</v>
      </c>
      <c r="AM51" s="1042">
        <f t="shared" si="128"/>
        <v>806250</v>
      </c>
      <c r="AN51" s="1042">
        <f t="shared" si="155"/>
        <v>8331250</v>
      </c>
      <c r="AO51" s="1042">
        <f t="shared" si="156"/>
        <v>268750</v>
      </c>
      <c r="AP51" s="1042">
        <f t="shared" si="157"/>
        <v>1075000</v>
      </c>
      <c r="AQ51" s="1042">
        <f t="shared" si="9"/>
        <v>8600000</v>
      </c>
      <c r="AR51" s="1042">
        <f t="shared" si="158"/>
        <v>0</v>
      </c>
      <c r="AS51" s="1042">
        <f t="shared" si="169"/>
        <v>0</v>
      </c>
      <c r="AT51" s="1042">
        <f t="shared" si="10"/>
        <v>8600000</v>
      </c>
      <c r="AU51" s="1042">
        <f t="shared" si="159"/>
        <v>0</v>
      </c>
      <c r="AV51" s="1042">
        <f t="shared" si="168"/>
        <v>0</v>
      </c>
      <c r="AW51" s="1042">
        <f t="shared" si="161"/>
        <v>8600000</v>
      </c>
      <c r="AX51" s="1042">
        <f t="shared" si="162"/>
        <v>0</v>
      </c>
      <c r="AY51" s="179"/>
      <c r="AZ51" s="8">
        <f t="shared" si="39"/>
        <v>0</v>
      </c>
      <c r="BB51" s="221"/>
      <c r="BC51" s="179"/>
    </row>
    <row r="52" spans="1:55" s="220" customFormat="1" ht="14.25" customHeight="1">
      <c r="A52" s="17">
        <f t="shared" si="163"/>
        <v>18</v>
      </c>
      <c r="B52" s="968" t="s">
        <v>488</v>
      </c>
      <c r="C52" s="671">
        <v>41640</v>
      </c>
      <c r="D52" s="55">
        <v>8</v>
      </c>
      <c r="E52" s="6">
        <v>186300000</v>
      </c>
      <c r="F52" s="1041">
        <f t="shared" si="130"/>
        <v>23287500</v>
      </c>
      <c r="G52" s="1053"/>
      <c r="H52" s="1042"/>
      <c r="I52" s="1042">
        <f t="shared" si="131"/>
        <v>186300000</v>
      </c>
      <c r="J52" s="1042"/>
      <c r="K52" s="1042">
        <f t="shared" si="132"/>
        <v>0</v>
      </c>
      <c r="L52" s="1042">
        <f t="shared" si="133"/>
        <v>186300000</v>
      </c>
      <c r="M52" s="1042">
        <f t="shared" si="170"/>
        <v>23287500</v>
      </c>
      <c r="N52" s="1042">
        <f t="shared" si="134"/>
        <v>23287500</v>
      </c>
      <c r="O52" s="1042">
        <f t="shared" si="135"/>
        <v>163012500</v>
      </c>
      <c r="P52" s="1042">
        <f t="shared" si="171"/>
        <v>23287500</v>
      </c>
      <c r="Q52" s="1042">
        <f t="shared" si="137"/>
        <v>46575000</v>
      </c>
      <c r="R52" s="1042">
        <f t="shared" si="138"/>
        <v>139725000</v>
      </c>
      <c r="S52" s="1042">
        <f t="shared" si="172"/>
        <v>23287500</v>
      </c>
      <c r="T52" s="1042">
        <f t="shared" si="139"/>
        <v>69862500</v>
      </c>
      <c r="U52" s="1042">
        <f t="shared" si="140"/>
        <v>116437500</v>
      </c>
      <c r="V52" s="1042">
        <f t="shared" si="165"/>
        <v>23287500</v>
      </c>
      <c r="W52" s="1042">
        <f t="shared" si="141"/>
        <v>93150000</v>
      </c>
      <c r="X52" s="1042">
        <f t="shared" si="142"/>
        <v>93150000</v>
      </c>
      <c r="Y52" s="7">
        <v>93150000</v>
      </c>
      <c r="Z52" s="7">
        <f t="shared" si="143"/>
        <v>93150000</v>
      </c>
      <c r="AA52" s="1042">
        <f t="shared" si="173"/>
        <v>23287500</v>
      </c>
      <c r="AB52" s="1042">
        <f t="shared" si="144"/>
        <v>116437500</v>
      </c>
      <c r="AC52" s="1042">
        <f t="shared" si="145"/>
        <v>69862500</v>
      </c>
      <c r="AD52" s="1042">
        <f t="shared" si="174"/>
        <v>23287500</v>
      </c>
      <c r="AE52" s="1042">
        <f t="shared" si="147"/>
        <v>139725000</v>
      </c>
      <c r="AF52" s="1042">
        <f t="shared" si="148"/>
        <v>46575000</v>
      </c>
      <c r="AG52" s="1042">
        <f t="shared" si="149"/>
        <v>23287500</v>
      </c>
      <c r="AH52" s="1042">
        <f t="shared" si="167"/>
        <v>163012500</v>
      </c>
      <c r="AI52" s="1042">
        <f t="shared" si="151"/>
        <v>23287500</v>
      </c>
      <c r="AJ52" s="1042">
        <f t="shared" si="152"/>
        <v>1940625</v>
      </c>
      <c r="AK52" s="1042">
        <f t="shared" si="153"/>
        <v>164953125</v>
      </c>
      <c r="AL52" s="1042">
        <f t="shared" si="154"/>
        <v>21346875</v>
      </c>
      <c r="AM52" s="1042">
        <f t="shared" si="128"/>
        <v>17465625</v>
      </c>
      <c r="AN52" s="1042">
        <f t="shared" si="155"/>
        <v>180478125</v>
      </c>
      <c r="AO52" s="1042">
        <f t="shared" si="156"/>
        <v>5821875</v>
      </c>
      <c r="AP52" s="1042">
        <f t="shared" si="157"/>
        <v>23287500</v>
      </c>
      <c r="AQ52" s="1042">
        <f t="shared" si="9"/>
        <v>186300000</v>
      </c>
      <c r="AR52" s="1042">
        <f t="shared" si="158"/>
        <v>0</v>
      </c>
      <c r="AS52" s="1042">
        <f t="shared" si="169"/>
        <v>0</v>
      </c>
      <c r="AT52" s="1042">
        <f t="shared" si="10"/>
        <v>186300000</v>
      </c>
      <c r="AU52" s="1042">
        <f t="shared" si="159"/>
        <v>0</v>
      </c>
      <c r="AV52" s="1042">
        <f t="shared" si="168"/>
        <v>0</v>
      </c>
      <c r="AW52" s="1042">
        <f t="shared" si="161"/>
        <v>186300000</v>
      </c>
      <c r="AX52" s="1042">
        <f t="shared" si="162"/>
        <v>0</v>
      </c>
      <c r="AY52" s="179"/>
      <c r="AZ52" s="8">
        <f t="shared" si="39"/>
        <v>0</v>
      </c>
      <c r="BB52" s="221"/>
      <c r="BC52" s="179"/>
    </row>
    <row r="53" spans="1:55" s="220" customFormat="1" ht="14.25" customHeight="1">
      <c r="A53" s="17">
        <f t="shared" si="163"/>
        <v>19</v>
      </c>
      <c r="B53" s="56" t="s">
        <v>489</v>
      </c>
      <c r="C53" s="671">
        <v>42061</v>
      </c>
      <c r="D53" s="55">
        <v>8</v>
      </c>
      <c r="E53" s="6">
        <v>3000000</v>
      </c>
      <c r="F53" s="1041">
        <f t="shared" si="130"/>
        <v>375000</v>
      </c>
      <c r="G53" s="1046"/>
      <c r="H53" s="1046"/>
      <c r="I53" s="1046"/>
      <c r="J53" s="1053">
        <f>(F53/12)*(13-IF(C53="","",MONTH(C53)))</f>
        <v>343750</v>
      </c>
      <c r="K53" s="1042">
        <f t="shared" ref="K53:K57" si="175">J53+H53</f>
        <v>343750</v>
      </c>
      <c r="L53" s="1042">
        <f t="shared" si="133"/>
        <v>2656250</v>
      </c>
      <c r="M53" s="1042">
        <f t="shared" si="170"/>
        <v>375000</v>
      </c>
      <c r="N53" s="1042">
        <f t="shared" si="134"/>
        <v>718750</v>
      </c>
      <c r="O53" s="1042">
        <f t="shared" si="135"/>
        <v>2281250</v>
      </c>
      <c r="P53" s="1042">
        <f t="shared" si="171"/>
        <v>375000</v>
      </c>
      <c r="Q53" s="1042">
        <f t="shared" si="137"/>
        <v>1093750</v>
      </c>
      <c r="R53" s="1042">
        <f t="shared" si="138"/>
        <v>1906250</v>
      </c>
      <c r="S53" s="1042">
        <f t="shared" si="172"/>
        <v>375000</v>
      </c>
      <c r="T53" s="1042">
        <f t="shared" si="139"/>
        <v>1468750</v>
      </c>
      <c r="U53" s="1042">
        <f t="shared" si="140"/>
        <v>1531250</v>
      </c>
      <c r="V53" s="1042">
        <f t="shared" ref="V53:V65" si="176">(F53/12)*12</f>
        <v>375000</v>
      </c>
      <c r="W53" s="1042">
        <f t="shared" si="141"/>
        <v>1843750</v>
      </c>
      <c r="X53" s="1042">
        <f t="shared" si="142"/>
        <v>1156250</v>
      </c>
      <c r="Y53" s="7">
        <v>1775000</v>
      </c>
      <c r="Z53" s="7">
        <f t="shared" si="143"/>
        <v>1225000</v>
      </c>
      <c r="AA53" s="1042">
        <f t="shared" si="173"/>
        <v>375000</v>
      </c>
      <c r="AB53" s="1042">
        <f t="shared" si="144"/>
        <v>2218750</v>
      </c>
      <c r="AC53" s="1042">
        <f t="shared" si="145"/>
        <v>781250</v>
      </c>
      <c r="AD53" s="1042">
        <f t="shared" si="174"/>
        <v>375000</v>
      </c>
      <c r="AE53" s="1042">
        <f t="shared" si="147"/>
        <v>2593750</v>
      </c>
      <c r="AF53" s="1042">
        <f t="shared" si="148"/>
        <v>406250</v>
      </c>
      <c r="AG53" s="1042">
        <f t="shared" ref="AG53:AG71" si="177">(F53/12)*12</f>
        <v>375000</v>
      </c>
      <c r="AH53" s="1042">
        <f t="shared" si="167"/>
        <v>2968750</v>
      </c>
      <c r="AI53" s="1042">
        <f t="shared" si="151"/>
        <v>31250</v>
      </c>
      <c r="AJ53" s="1042">
        <f t="shared" si="152"/>
        <v>31250</v>
      </c>
      <c r="AK53" s="1042">
        <f t="shared" si="153"/>
        <v>3000000</v>
      </c>
      <c r="AL53" s="1042">
        <f t="shared" si="154"/>
        <v>0</v>
      </c>
      <c r="AM53" s="1042">
        <f>(F53/12)*1</f>
        <v>31250</v>
      </c>
      <c r="AN53" s="1042">
        <f t="shared" si="155"/>
        <v>3000000</v>
      </c>
      <c r="AO53" s="1042">
        <f t="shared" si="156"/>
        <v>0</v>
      </c>
      <c r="AP53" s="1042">
        <f>(F53/12)*1</f>
        <v>31250</v>
      </c>
      <c r="AQ53" s="1042">
        <f t="shared" si="9"/>
        <v>3000000</v>
      </c>
      <c r="AR53" s="1042">
        <f t="shared" si="158"/>
        <v>0</v>
      </c>
      <c r="AS53" s="1042">
        <f t="shared" si="169"/>
        <v>0</v>
      </c>
      <c r="AT53" s="1042">
        <f t="shared" si="10"/>
        <v>3000000</v>
      </c>
      <c r="AU53" s="1042">
        <f t="shared" si="159"/>
        <v>0</v>
      </c>
      <c r="AV53" s="1042">
        <f t="shared" si="168"/>
        <v>0</v>
      </c>
      <c r="AW53" s="1042">
        <f t="shared" si="161"/>
        <v>3000000</v>
      </c>
      <c r="AX53" s="1042">
        <f t="shared" si="162"/>
        <v>0</v>
      </c>
      <c r="AY53" s="179"/>
      <c r="AZ53" s="8">
        <f t="shared" si="39"/>
        <v>0</v>
      </c>
      <c r="BB53" s="221"/>
      <c r="BC53" s="179"/>
    </row>
    <row r="54" spans="1:55" s="220" customFormat="1" ht="14.25" customHeight="1">
      <c r="A54" s="17">
        <f t="shared" si="163"/>
        <v>20</v>
      </c>
      <c r="B54" s="56" t="s">
        <v>490</v>
      </c>
      <c r="C54" s="671">
        <v>42086</v>
      </c>
      <c r="D54" s="55">
        <v>8</v>
      </c>
      <c r="E54" s="6">
        <v>1344000</v>
      </c>
      <c r="F54" s="1041">
        <f t="shared" si="130"/>
        <v>168000</v>
      </c>
      <c r="G54" s="1046"/>
      <c r="H54" s="1046"/>
      <c r="I54" s="1046"/>
      <c r="J54" s="1053">
        <f>(F54/12)*(13-IF(C54="","",MONTH(C54)))</f>
        <v>140000</v>
      </c>
      <c r="K54" s="1042">
        <f t="shared" si="175"/>
        <v>140000</v>
      </c>
      <c r="L54" s="1042">
        <f t="shared" si="133"/>
        <v>1204000</v>
      </c>
      <c r="M54" s="1042">
        <f t="shared" si="170"/>
        <v>168000</v>
      </c>
      <c r="N54" s="1042">
        <f t="shared" si="134"/>
        <v>308000</v>
      </c>
      <c r="O54" s="1042">
        <f t="shared" si="135"/>
        <v>1036000</v>
      </c>
      <c r="P54" s="1042">
        <f t="shared" si="171"/>
        <v>168000</v>
      </c>
      <c r="Q54" s="1042">
        <f t="shared" si="137"/>
        <v>476000</v>
      </c>
      <c r="R54" s="1042">
        <f t="shared" si="138"/>
        <v>868000</v>
      </c>
      <c r="S54" s="1042">
        <f t="shared" si="172"/>
        <v>168000</v>
      </c>
      <c r="T54" s="1042">
        <f t="shared" si="139"/>
        <v>644000</v>
      </c>
      <c r="U54" s="1042">
        <f t="shared" si="140"/>
        <v>700000</v>
      </c>
      <c r="V54" s="1042">
        <f t="shared" si="176"/>
        <v>168000</v>
      </c>
      <c r="W54" s="1042">
        <f t="shared" si="141"/>
        <v>812000</v>
      </c>
      <c r="X54" s="1042">
        <f t="shared" si="142"/>
        <v>532000</v>
      </c>
      <c r="Y54" s="7">
        <v>784000</v>
      </c>
      <c r="Z54" s="7">
        <f t="shared" si="143"/>
        <v>560000</v>
      </c>
      <c r="AA54" s="1042">
        <f t="shared" si="173"/>
        <v>168000</v>
      </c>
      <c r="AB54" s="1042">
        <f t="shared" si="144"/>
        <v>980000</v>
      </c>
      <c r="AC54" s="1042">
        <f t="shared" si="145"/>
        <v>364000</v>
      </c>
      <c r="AD54" s="1042">
        <f t="shared" si="174"/>
        <v>168000</v>
      </c>
      <c r="AE54" s="1042">
        <f>AB54+AD54</f>
        <v>1148000</v>
      </c>
      <c r="AF54" s="1042">
        <f t="shared" si="148"/>
        <v>196000</v>
      </c>
      <c r="AG54" s="1042">
        <f t="shared" si="177"/>
        <v>168000</v>
      </c>
      <c r="AH54" s="1042">
        <f t="shared" si="167"/>
        <v>1316000</v>
      </c>
      <c r="AI54" s="1042">
        <f t="shared" si="151"/>
        <v>28000</v>
      </c>
      <c r="AJ54" s="1042">
        <f t="shared" si="152"/>
        <v>14000</v>
      </c>
      <c r="AK54" s="1042">
        <f t="shared" si="153"/>
        <v>1330000</v>
      </c>
      <c r="AL54" s="1042">
        <f t="shared" si="154"/>
        <v>14000</v>
      </c>
      <c r="AM54" s="1042">
        <f>(F54/12)*2</f>
        <v>28000</v>
      </c>
      <c r="AN54" s="1042">
        <f t="shared" si="155"/>
        <v>1344000</v>
      </c>
      <c r="AO54" s="1042">
        <f t="shared" si="156"/>
        <v>0</v>
      </c>
      <c r="AP54" s="1042">
        <f>(F54/12)*2</f>
        <v>28000</v>
      </c>
      <c r="AQ54" s="1042">
        <f t="shared" si="9"/>
        <v>1344000</v>
      </c>
      <c r="AR54" s="1042">
        <f t="shared" si="158"/>
        <v>0</v>
      </c>
      <c r="AS54" s="1042">
        <f t="shared" si="169"/>
        <v>0</v>
      </c>
      <c r="AT54" s="1042">
        <f t="shared" si="10"/>
        <v>1344000</v>
      </c>
      <c r="AU54" s="1042">
        <f t="shared" si="159"/>
        <v>0</v>
      </c>
      <c r="AV54" s="1042">
        <f t="shared" si="168"/>
        <v>0</v>
      </c>
      <c r="AW54" s="1042">
        <f t="shared" si="161"/>
        <v>1344000</v>
      </c>
      <c r="AX54" s="1042">
        <f t="shared" si="162"/>
        <v>0</v>
      </c>
      <c r="AY54" s="179"/>
      <c r="AZ54" s="8">
        <f t="shared" si="39"/>
        <v>0</v>
      </c>
      <c r="BB54" s="221"/>
      <c r="BC54" s="179"/>
    </row>
    <row r="55" spans="1:55" s="220" customFormat="1" ht="14.25" customHeight="1">
      <c r="A55" s="17">
        <f t="shared" si="163"/>
        <v>21</v>
      </c>
      <c r="B55" s="56" t="s">
        <v>491</v>
      </c>
      <c r="C55" s="671">
        <v>42114</v>
      </c>
      <c r="D55" s="55">
        <v>8</v>
      </c>
      <c r="E55" s="6">
        <v>3800000</v>
      </c>
      <c r="F55" s="1041">
        <f t="shared" si="130"/>
        <v>475000</v>
      </c>
      <c r="G55" s="1046"/>
      <c r="H55" s="1046"/>
      <c r="I55" s="1046"/>
      <c r="J55" s="1053">
        <f>(F55/12)*(13-IF(C55="","",MONTH(C55)))</f>
        <v>356250</v>
      </c>
      <c r="K55" s="1042">
        <f t="shared" si="175"/>
        <v>356250</v>
      </c>
      <c r="L55" s="1042">
        <f t="shared" si="133"/>
        <v>3443750</v>
      </c>
      <c r="M55" s="1042">
        <f t="shared" si="170"/>
        <v>475000</v>
      </c>
      <c r="N55" s="1042">
        <f t="shared" si="134"/>
        <v>831250</v>
      </c>
      <c r="O55" s="1042">
        <f t="shared" si="135"/>
        <v>2968750</v>
      </c>
      <c r="P55" s="1042">
        <f t="shared" si="171"/>
        <v>475000</v>
      </c>
      <c r="Q55" s="1042">
        <f t="shared" si="137"/>
        <v>1306250</v>
      </c>
      <c r="R55" s="1042">
        <f t="shared" si="138"/>
        <v>2493750</v>
      </c>
      <c r="S55" s="1042">
        <f t="shared" si="172"/>
        <v>475000</v>
      </c>
      <c r="T55" s="1042">
        <f t="shared" si="139"/>
        <v>1781250</v>
      </c>
      <c r="U55" s="1042">
        <f t="shared" si="140"/>
        <v>2018750</v>
      </c>
      <c r="V55" s="1042">
        <f t="shared" si="176"/>
        <v>475000</v>
      </c>
      <c r="W55" s="1042">
        <f t="shared" si="141"/>
        <v>2256250</v>
      </c>
      <c r="X55" s="1042">
        <f t="shared" si="142"/>
        <v>1543750</v>
      </c>
      <c r="Y55" s="7">
        <v>2184999.9999999986</v>
      </c>
      <c r="Z55" s="7">
        <f t="shared" si="143"/>
        <v>1615000.0000000014</v>
      </c>
      <c r="AA55" s="1042">
        <f t="shared" si="173"/>
        <v>475000</v>
      </c>
      <c r="AB55" s="1042">
        <f t="shared" si="144"/>
        <v>2731250</v>
      </c>
      <c r="AC55" s="1042">
        <f t="shared" si="145"/>
        <v>1068750</v>
      </c>
      <c r="AD55" s="1042">
        <f t="shared" si="174"/>
        <v>475000</v>
      </c>
      <c r="AE55" s="1042">
        <f t="shared" si="147"/>
        <v>3206250</v>
      </c>
      <c r="AF55" s="1042">
        <f t="shared" si="148"/>
        <v>593750</v>
      </c>
      <c r="AG55" s="1042">
        <f t="shared" si="177"/>
        <v>475000</v>
      </c>
      <c r="AH55" s="1042">
        <f t="shared" si="167"/>
        <v>3681250</v>
      </c>
      <c r="AI55" s="1042">
        <f t="shared" si="151"/>
        <v>118750</v>
      </c>
      <c r="AJ55" s="1042">
        <f t="shared" si="152"/>
        <v>39583.333333333336</v>
      </c>
      <c r="AK55" s="1042">
        <f t="shared" si="153"/>
        <v>3720833.3333333335</v>
      </c>
      <c r="AL55" s="1042">
        <f t="shared" si="154"/>
        <v>79166.666666666511</v>
      </c>
      <c r="AM55" s="1042">
        <f>(F55/12)*3</f>
        <v>118750</v>
      </c>
      <c r="AN55" s="1042">
        <f t="shared" si="155"/>
        <v>3800000</v>
      </c>
      <c r="AO55" s="1042">
        <f t="shared" si="156"/>
        <v>0</v>
      </c>
      <c r="AP55" s="1042">
        <f>(F55/12)*3</f>
        <v>118750</v>
      </c>
      <c r="AQ55" s="1042">
        <f t="shared" si="9"/>
        <v>3800000</v>
      </c>
      <c r="AR55" s="1042">
        <f t="shared" si="158"/>
        <v>0</v>
      </c>
      <c r="AS55" s="1042">
        <f t="shared" si="169"/>
        <v>0</v>
      </c>
      <c r="AT55" s="1042">
        <f t="shared" si="10"/>
        <v>3800000</v>
      </c>
      <c r="AU55" s="1042">
        <f t="shared" si="159"/>
        <v>0</v>
      </c>
      <c r="AV55" s="1042">
        <f t="shared" si="168"/>
        <v>0</v>
      </c>
      <c r="AW55" s="1042">
        <f t="shared" si="161"/>
        <v>3800000</v>
      </c>
      <c r="AX55" s="1042">
        <f t="shared" si="162"/>
        <v>0</v>
      </c>
      <c r="AY55" s="179"/>
      <c r="AZ55" s="8">
        <f t="shared" si="39"/>
        <v>0</v>
      </c>
      <c r="BB55" s="221"/>
      <c r="BC55" s="179"/>
    </row>
    <row r="56" spans="1:55" s="220" customFormat="1" ht="14.25" customHeight="1">
      <c r="A56" s="17">
        <f t="shared" si="163"/>
        <v>22</v>
      </c>
      <c r="B56" s="56" t="s">
        <v>492</v>
      </c>
      <c r="C56" s="671">
        <v>42240</v>
      </c>
      <c r="D56" s="55">
        <v>8</v>
      </c>
      <c r="E56" s="6">
        <v>15300000</v>
      </c>
      <c r="F56" s="1041">
        <f t="shared" si="130"/>
        <v>1912500</v>
      </c>
      <c r="G56" s="1046"/>
      <c r="H56" s="1046"/>
      <c r="I56" s="1046"/>
      <c r="J56" s="1053">
        <f>(F56/12)*(13-IF(C56="","",MONTH(C56)))</f>
        <v>796875</v>
      </c>
      <c r="K56" s="1042">
        <f t="shared" si="175"/>
        <v>796875</v>
      </c>
      <c r="L56" s="1042">
        <f t="shared" si="133"/>
        <v>14503125</v>
      </c>
      <c r="M56" s="1042">
        <f t="shared" si="170"/>
        <v>1912500</v>
      </c>
      <c r="N56" s="1042">
        <f t="shared" si="134"/>
        <v>2709375</v>
      </c>
      <c r="O56" s="1042">
        <f t="shared" si="135"/>
        <v>12590625</v>
      </c>
      <c r="P56" s="1042">
        <f t="shared" si="171"/>
        <v>1912500</v>
      </c>
      <c r="Q56" s="1042">
        <f t="shared" si="137"/>
        <v>4621875</v>
      </c>
      <c r="R56" s="1042">
        <f t="shared" si="138"/>
        <v>10678125</v>
      </c>
      <c r="S56" s="1042">
        <f t="shared" si="172"/>
        <v>1912500</v>
      </c>
      <c r="T56" s="1042">
        <f t="shared" si="139"/>
        <v>6534375</v>
      </c>
      <c r="U56" s="1042">
        <f t="shared" si="140"/>
        <v>8765625</v>
      </c>
      <c r="V56" s="1042">
        <f t="shared" si="176"/>
        <v>1912500</v>
      </c>
      <c r="W56" s="1042">
        <f t="shared" si="141"/>
        <v>8446875</v>
      </c>
      <c r="X56" s="1042">
        <f t="shared" si="142"/>
        <v>6853125</v>
      </c>
      <c r="Y56" s="7">
        <v>8287500</v>
      </c>
      <c r="Z56" s="7">
        <f t="shared" si="143"/>
        <v>7012500</v>
      </c>
      <c r="AA56" s="1042">
        <f t="shared" si="173"/>
        <v>1912500</v>
      </c>
      <c r="AB56" s="1042">
        <f t="shared" si="144"/>
        <v>10359375</v>
      </c>
      <c r="AC56" s="1042">
        <f t="shared" si="145"/>
        <v>4940625</v>
      </c>
      <c r="AD56" s="1042">
        <f t="shared" si="174"/>
        <v>1912500</v>
      </c>
      <c r="AE56" s="1042">
        <f t="shared" si="147"/>
        <v>12271875</v>
      </c>
      <c r="AF56" s="1042">
        <f t="shared" si="148"/>
        <v>3028125</v>
      </c>
      <c r="AG56" s="1042">
        <f t="shared" si="177"/>
        <v>1912500</v>
      </c>
      <c r="AH56" s="1042">
        <f t="shared" si="167"/>
        <v>14184375</v>
      </c>
      <c r="AI56" s="1042">
        <f t="shared" si="151"/>
        <v>1115625</v>
      </c>
      <c r="AJ56" s="1042">
        <f t="shared" si="152"/>
        <v>159375</v>
      </c>
      <c r="AK56" s="1042">
        <f t="shared" si="153"/>
        <v>14343750</v>
      </c>
      <c r="AL56" s="1042">
        <f t="shared" si="154"/>
        <v>956250</v>
      </c>
      <c r="AM56" s="1042">
        <f>(F56/12)*7</f>
        <v>1115625</v>
      </c>
      <c r="AN56" s="1042">
        <f t="shared" si="155"/>
        <v>15300000</v>
      </c>
      <c r="AO56" s="1042">
        <f t="shared" si="156"/>
        <v>0</v>
      </c>
      <c r="AP56" s="1042">
        <f>(F56/12)*7</f>
        <v>1115625</v>
      </c>
      <c r="AQ56" s="1042">
        <f t="shared" si="9"/>
        <v>15300000</v>
      </c>
      <c r="AR56" s="1042">
        <f t="shared" si="158"/>
        <v>0</v>
      </c>
      <c r="AS56" s="1042">
        <f t="shared" si="169"/>
        <v>0</v>
      </c>
      <c r="AT56" s="1042">
        <f t="shared" si="10"/>
        <v>15300000</v>
      </c>
      <c r="AU56" s="1042">
        <f t="shared" si="159"/>
        <v>0</v>
      </c>
      <c r="AV56" s="1042">
        <f t="shared" si="168"/>
        <v>0</v>
      </c>
      <c r="AW56" s="1042">
        <f t="shared" si="161"/>
        <v>15300000</v>
      </c>
      <c r="AX56" s="1042">
        <f t="shared" si="162"/>
        <v>0</v>
      </c>
      <c r="AY56" s="179"/>
      <c r="AZ56" s="8">
        <f t="shared" si="39"/>
        <v>0</v>
      </c>
      <c r="BB56" s="221"/>
      <c r="BC56" s="179"/>
    </row>
    <row r="57" spans="1:55" s="220" customFormat="1" ht="14.25" customHeight="1">
      <c r="A57" s="17">
        <f t="shared" si="163"/>
        <v>23</v>
      </c>
      <c r="B57" s="56" t="s">
        <v>493</v>
      </c>
      <c r="C57" s="671">
        <v>42247</v>
      </c>
      <c r="D57" s="55">
        <v>8</v>
      </c>
      <c r="E57" s="6">
        <v>5300000</v>
      </c>
      <c r="F57" s="1041">
        <f t="shared" si="130"/>
        <v>662500</v>
      </c>
      <c r="G57" s="1046"/>
      <c r="H57" s="1046"/>
      <c r="I57" s="1046"/>
      <c r="J57" s="1053">
        <f>(F57/12)*(13-IF(C57="","",MONTH(C57)))</f>
        <v>276041.66666666669</v>
      </c>
      <c r="K57" s="1042">
        <f t="shared" si="175"/>
        <v>276041.66666666669</v>
      </c>
      <c r="L57" s="1042">
        <f t="shared" si="133"/>
        <v>5023958.333333333</v>
      </c>
      <c r="M57" s="1042">
        <f t="shared" si="170"/>
        <v>662500</v>
      </c>
      <c r="N57" s="1042">
        <f t="shared" si="134"/>
        <v>938541.66666666674</v>
      </c>
      <c r="O57" s="1042">
        <f t="shared" si="135"/>
        <v>4361458.333333333</v>
      </c>
      <c r="P57" s="1042">
        <f t="shared" si="171"/>
        <v>662500</v>
      </c>
      <c r="Q57" s="1042">
        <f t="shared" si="137"/>
        <v>1601041.6666666667</v>
      </c>
      <c r="R57" s="1042">
        <f t="shared" si="138"/>
        <v>3698958.333333333</v>
      </c>
      <c r="S57" s="1042">
        <f t="shared" si="172"/>
        <v>662500</v>
      </c>
      <c r="T57" s="1042">
        <f t="shared" si="139"/>
        <v>2263541.666666667</v>
      </c>
      <c r="U57" s="1042">
        <f t="shared" si="140"/>
        <v>3036458.333333333</v>
      </c>
      <c r="V57" s="1042">
        <f t="shared" si="176"/>
        <v>662500</v>
      </c>
      <c r="W57" s="1042">
        <f t="shared" si="141"/>
        <v>2926041.666666667</v>
      </c>
      <c r="X57" s="1042">
        <f t="shared" si="142"/>
        <v>2373958.333333333</v>
      </c>
      <c r="Y57" s="7">
        <v>2870833.3333333344</v>
      </c>
      <c r="Z57" s="7">
        <f t="shared" si="143"/>
        <v>2429166.6666666656</v>
      </c>
      <c r="AA57" s="1042">
        <f t="shared" si="173"/>
        <v>662500</v>
      </c>
      <c r="AB57" s="1042">
        <f t="shared" si="144"/>
        <v>3588541.666666667</v>
      </c>
      <c r="AC57" s="1042">
        <f t="shared" si="145"/>
        <v>1711458.333333333</v>
      </c>
      <c r="AD57" s="1042">
        <f t="shared" si="174"/>
        <v>662500</v>
      </c>
      <c r="AE57" s="1042">
        <f t="shared" si="147"/>
        <v>4251041.666666667</v>
      </c>
      <c r="AF57" s="1042">
        <f t="shared" si="148"/>
        <v>1048958.333333333</v>
      </c>
      <c r="AG57" s="1042">
        <f t="shared" si="177"/>
        <v>662500</v>
      </c>
      <c r="AH57" s="1042">
        <f t="shared" si="167"/>
        <v>4913541.666666667</v>
      </c>
      <c r="AI57" s="1042">
        <f t="shared" si="151"/>
        <v>386458.33333333302</v>
      </c>
      <c r="AJ57" s="1042">
        <f t="shared" si="152"/>
        <v>55208.333333333336</v>
      </c>
      <c r="AK57" s="1042">
        <f t="shared" si="153"/>
        <v>4968750</v>
      </c>
      <c r="AL57" s="1042">
        <f t="shared" si="154"/>
        <v>331250</v>
      </c>
      <c r="AM57" s="1042">
        <f>(F57/12)*7</f>
        <v>386458.33333333337</v>
      </c>
      <c r="AN57" s="1042">
        <f t="shared" si="155"/>
        <v>5300000</v>
      </c>
      <c r="AO57" s="1042">
        <f t="shared" si="156"/>
        <v>0</v>
      </c>
      <c r="AP57" s="1042">
        <f>(F57/12)*7</f>
        <v>386458.33333333337</v>
      </c>
      <c r="AQ57" s="1042">
        <f t="shared" si="9"/>
        <v>5300000</v>
      </c>
      <c r="AR57" s="1042">
        <f t="shared" si="158"/>
        <v>0</v>
      </c>
      <c r="AS57" s="1042">
        <f t="shared" si="169"/>
        <v>0</v>
      </c>
      <c r="AT57" s="1042">
        <f t="shared" si="10"/>
        <v>5300000</v>
      </c>
      <c r="AU57" s="1042">
        <f t="shared" si="159"/>
        <v>0</v>
      </c>
      <c r="AV57" s="1042">
        <f t="shared" si="168"/>
        <v>0</v>
      </c>
      <c r="AW57" s="1042">
        <f t="shared" si="161"/>
        <v>5300000</v>
      </c>
      <c r="AX57" s="1042">
        <f t="shared" si="162"/>
        <v>0</v>
      </c>
      <c r="AY57" s="179"/>
      <c r="AZ57" s="8">
        <f t="shared" si="39"/>
        <v>0</v>
      </c>
      <c r="BB57" s="221"/>
      <c r="BC57" s="179"/>
    </row>
    <row r="58" spans="1:55" s="220" customFormat="1" ht="14.25" customHeight="1">
      <c r="A58" s="17">
        <f t="shared" si="163"/>
        <v>24</v>
      </c>
      <c r="B58" s="56" t="s">
        <v>494</v>
      </c>
      <c r="C58" s="671">
        <v>42594</v>
      </c>
      <c r="D58" s="55">
        <v>8</v>
      </c>
      <c r="E58" s="6">
        <v>8600000</v>
      </c>
      <c r="F58" s="1041">
        <f t="shared" si="130"/>
        <v>1075000</v>
      </c>
      <c r="G58" s="1046"/>
      <c r="H58" s="1046"/>
      <c r="I58" s="1046"/>
      <c r="J58" s="1046"/>
      <c r="K58" s="1046"/>
      <c r="L58" s="1046"/>
      <c r="M58" s="1053">
        <f>(F58/12)*(13-IF(C58="","",MONTH(C58)))</f>
        <v>447916.66666666663</v>
      </c>
      <c r="N58" s="1042">
        <f t="shared" ref="N58:N59" si="178">M58+K58</f>
        <v>447916.66666666663</v>
      </c>
      <c r="O58" s="1042">
        <f t="shared" si="135"/>
        <v>8152083.333333333</v>
      </c>
      <c r="P58" s="1042">
        <f t="shared" si="171"/>
        <v>1075000</v>
      </c>
      <c r="Q58" s="1042">
        <f t="shared" si="137"/>
        <v>1522916.6666666665</v>
      </c>
      <c r="R58" s="1042">
        <f t="shared" si="138"/>
        <v>7077083.333333334</v>
      </c>
      <c r="S58" s="1042">
        <f t="shared" si="172"/>
        <v>1075000</v>
      </c>
      <c r="T58" s="1042">
        <f t="shared" si="139"/>
        <v>2597916.6666666665</v>
      </c>
      <c r="U58" s="1042">
        <f t="shared" si="140"/>
        <v>6002083.333333334</v>
      </c>
      <c r="V58" s="1042">
        <f t="shared" si="176"/>
        <v>1075000</v>
      </c>
      <c r="W58" s="1042">
        <f t="shared" si="141"/>
        <v>3672916.6666666665</v>
      </c>
      <c r="X58" s="1042">
        <f t="shared" si="142"/>
        <v>4927083.333333334</v>
      </c>
      <c r="Y58" s="7">
        <v>3672916.6666666688</v>
      </c>
      <c r="Z58" s="7">
        <f t="shared" si="143"/>
        <v>4927083.3333333312</v>
      </c>
      <c r="AA58" s="1042">
        <f t="shared" si="173"/>
        <v>1075000</v>
      </c>
      <c r="AB58" s="1042">
        <f t="shared" si="144"/>
        <v>4747916.666666666</v>
      </c>
      <c r="AC58" s="1042">
        <f t="shared" si="145"/>
        <v>3852083.333333334</v>
      </c>
      <c r="AD58" s="1042">
        <f t="shared" si="174"/>
        <v>1075000</v>
      </c>
      <c r="AE58" s="1042">
        <f t="shared" si="147"/>
        <v>5822916.666666666</v>
      </c>
      <c r="AF58" s="1042">
        <f t="shared" si="148"/>
        <v>2777083.333333334</v>
      </c>
      <c r="AG58" s="1042">
        <f t="shared" si="177"/>
        <v>1075000</v>
      </c>
      <c r="AH58" s="1042">
        <f t="shared" si="167"/>
        <v>6897916.666666666</v>
      </c>
      <c r="AI58" s="1042">
        <f t="shared" si="151"/>
        <v>1702083.333333334</v>
      </c>
      <c r="AJ58" s="1042">
        <f t="shared" si="152"/>
        <v>89583.333333333328</v>
      </c>
      <c r="AK58" s="1042">
        <f t="shared" si="153"/>
        <v>6987499.9999999991</v>
      </c>
      <c r="AL58" s="1042">
        <f t="shared" si="154"/>
        <v>1612500.0000000009</v>
      </c>
      <c r="AM58" s="1042">
        <f t="shared" si="128"/>
        <v>806250</v>
      </c>
      <c r="AN58" s="1042">
        <f t="shared" si="155"/>
        <v>7704166.666666666</v>
      </c>
      <c r="AO58" s="1042">
        <f t="shared" si="156"/>
        <v>895833.33333333395</v>
      </c>
      <c r="AP58" s="1042">
        <f t="shared" si="157"/>
        <v>1075000</v>
      </c>
      <c r="AQ58" s="1042">
        <f t="shared" si="9"/>
        <v>7972916.666666666</v>
      </c>
      <c r="AR58" s="1042">
        <f t="shared" si="158"/>
        <v>627083.33333333395</v>
      </c>
      <c r="AS58" s="1042">
        <f>(F58/12)*7</f>
        <v>627083.33333333326</v>
      </c>
      <c r="AT58" s="1042">
        <f t="shared" si="10"/>
        <v>8600000</v>
      </c>
      <c r="AU58" s="1042">
        <f t="shared" si="159"/>
        <v>0</v>
      </c>
      <c r="AV58" s="1042">
        <f>(F58/12)*7</f>
        <v>627083.33333333326</v>
      </c>
      <c r="AW58" s="1042">
        <f t="shared" si="161"/>
        <v>8600000</v>
      </c>
      <c r="AX58" s="1042">
        <f t="shared" si="162"/>
        <v>0</v>
      </c>
      <c r="AY58" s="179"/>
      <c r="AZ58" s="8">
        <f t="shared" si="39"/>
        <v>0</v>
      </c>
      <c r="BB58" s="221"/>
      <c r="BC58" s="179"/>
    </row>
    <row r="59" spans="1:55" s="220" customFormat="1" ht="14.25" customHeight="1">
      <c r="A59" s="17">
        <f t="shared" si="163"/>
        <v>25</v>
      </c>
      <c r="B59" s="56" t="s">
        <v>495</v>
      </c>
      <c r="C59" s="671">
        <v>42630</v>
      </c>
      <c r="D59" s="55">
        <v>8</v>
      </c>
      <c r="E59" s="6">
        <v>15925000</v>
      </c>
      <c r="F59" s="1041">
        <f t="shared" si="130"/>
        <v>1990625</v>
      </c>
      <c r="G59" s="1046"/>
      <c r="H59" s="1046"/>
      <c r="I59" s="1046"/>
      <c r="J59" s="1046"/>
      <c r="K59" s="1046"/>
      <c r="L59" s="1046"/>
      <c r="M59" s="1053">
        <f>(F59/12)*(13-IF(C59="","",MONTH(C59)))</f>
        <v>663541.66666666663</v>
      </c>
      <c r="N59" s="1042">
        <f t="shared" si="178"/>
        <v>663541.66666666663</v>
      </c>
      <c r="O59" s="1042">
        <f t="shared" si="135"/>
        <v>15261458.333333334</v>
      </c>
      <c r="P59" s="1042">
        <f t="shared" si="171"/>
        <v>1990625</v>
      </c>
      <c r="Q59" s="1042">
        <f t="shared" si="137"/>
        <v>2654166.6666666665</v>
      </c>
      <c r="R59" s="1042">
        <f t="shared" si="138"/>
        <v>13270833.333333334</v>
      </c>
      <c r="S59" s="1042">
        <f t="shared" si="172"/>
        <v>1990625</v>
      </c>
      <c r="T59" s="1042">
        <f t="shared" si="139"/>
        <v>4644791.666666666</v>
      </c>
      <c r="U59" s="1042">
        <f t="shared" si="140"/>
        <v>11280208.333333334</v>
      </c>
      <c r="V59" s="1042">
        <f t="shared" si="176"/>
        <v>1990625</v>
      </c>
      <c r="W59" s="1042">
        <f t="shared" si="141"/>
        <v>6635416.666666666</v>
      </c>
      <c r="X59" s="1042">
        <f t="shared" si="142"/>
        <v>9289583.333333334</v>
      </c>
      <c r="Y59" s="7">
        <v>6469531.2500000028</v>
      </c>
      <c r="Z59" s="7">
        <f t="shared" si="143"/>
        <v>9455468.7499999963</v>
      </c>
      <c r="AA59" s="1042">
        <f t="shared" si="173"/>
        <v>1990625</v>
      </c>
      <c r="AB59" s="1042">
        <f t="shared" si="144"/>
        <v>8626041.666666666</v>
      </c>
      <c r="AC59" s="1042">
        <f t="shared" si="145"/>
        <v>7298958.333333334</v>
      </c>
      <c r="AD59" s="1042">
        <f t="shared" si="174"/>
        <v>1990625</v>
      </c>
      <c r="AE59" s="1042">
        <f t="shared" si="147"/>
        <v>10616666.666666666</v>
      </c>
      <c r="AF59" s="1042">
        <f t="shared" si="148"/>
        <v>5308333.333333334</v>
      </c>
      <c r="AG59" s="1042">
        <f t="shared" si="177"/>
        <v>1990625</v>
      </c>
      <c r="AH59" s="1042">
        <f t="shared" si="167"/>
        <v>12607291.666666666</v>
      </c>
      <c r="AI59" s="1042">
        <f t="shared" si="151"/>
        <v>3317708.333333334</v>
      </c>
      <c r="AJ59" s="1042">
        <f t="shared" si="152"/>
        <v>165885.41666666666</v>
      </c>
      <c r="AK59" s="1042">
        <f t="shared" si="153"/>
        <v>12773177.083333332</v>
      </c>
      <c r="AL59" s="1042">
        <f t="shared" si="154"/>
        <v>3151822.9166666679</v>
      </c>
      <c r="AM59" s="1042">
        <f t="shared" si="128"/>
        <v>1492968.75</v>
      </c>
      <c r="AN59" s="1042">
        <f t="shared" si="155"/>
        <v>14100260.416666666</v>
      </c>
      <c r="AO59" s="1042">
        <f t="shared" si="156"/>
        <v>1824739.583333334</v>
      </c>
      <c r="AP59" s="1042">
        <f t="shared" si="157"/>
        <v>1990625</v>
      </c>
      <c r="AQ59" s="1042">
        <f t="shared" si="9"/>
        <v>14597916.666666666</v>
      </c>
      <c r="AR59" s="1042">
        <f t="shared" si="158"/>
        <v>1327083.333333334</v>
      </c>
      <c r="AS59" s="1042">
        <f>(F59/12)*8</f>
        <v>1327083.3333333333</v>
      </c>
      <c r="AT59" s="1042">
        <f t="shared" si="10"/>
        <v>15925000</v>
      </c>
      <c r="AU59" s="1042">
        <f t="shared" si="159"/>
        <v>0</v>
      </c>
      <c r="AV59" s="1042">
        <f>(F59/12)*8</f>
        <v>1327083.3333333333</v>
      </c>
      <c r="AW59" s="1042">
        <f t="shared" si="161"/>
        <v>15925000</v>
      </c>
      <c r="AX59" s="1042">
        <f t="shared" si="162"/>
        <v>0</v>
      </c>
      <c r="AY59" s="179"/>
      <c r="AZ59" s="8">
        <f t="shared" si="39"/>
        <v>0</v>
      </c>
      <c r="BB59" s="221"/>
      <c r="BC59" s="179"/>
    </row>
    <row r="60" spans="1:55" s="220" customFormat="1" ht="14.25" customHeight="1">
      <c r="A60" s="17">
        <f t="shared" si="163"/>
        <v>26</v>
      </c>
      <c r="B60" s="56" t="s">
        <v>496</v>
      </c>
      <c r="C60" s="671">
        <v>42818</v>
      </c>
      <c r="D60" s="55">
        <v>8</v>
      </c>
      <c r="E60" s="6">
        <v>31272800</v>
      </c>
      <c r="F60" s="1041">
        <f t="shared" si="130"/>
        <v>3909100</v>
      </c>
      <c r="G60" s="1046"/>
      <c r="H60" s="1046"/>
      <c r="I60" s="1046"/>
      <c r="J60" s="1046"/>
      <c r="K60" s="1046"/>
      <c r="L60" s="1046"/>
      <c r="M60" s="1046"/>
      <c r="N60" s="1046"/>
      <c r="O60" s="1046"/>
      <c r="P60" s="1053">
        <f t="shared" ref="P60:P65" si="179">(F60/12)*(13-IF(C60="","",MONTH(C60)))</f>
        <v>3257583.333333333</v>
      </c>
      <c r="Q60" s="1042">
        <f t="shared" ref="Q60:Q65" si="180">N60+P60</f>
        <v>3257583.333333333</v>
      </c>
      <c r="R60" s="1042">
        <f t="shared" si="138"/>
        <v>28015216.666666668</v>
      </c>
      <c r="S60" s="1042">
        <f t="shared" si="172"/>
        <v>3909100</v>
      </c>
      <c r="T60" s="1042">
        <f t="shared" si="139"/>
        <v>7166683.333333333</v>
      </c>
      <c r="U60" s="1042">
        <f t="shared" si="140"/>
        <v>24106116.666666668</v>
      </c>
      <c r="V60" s="1042">
        <f t="shared" si="176"/>
        <v>3909100</v>
      </c>
      <c r="W60" s="1042">
        <f t="shared" si="141"/>
        <v>11075783.333333332</v>
      </c>
      <c r="X60" s="1042">
        <f t="shared" si="142"/>
        <v>20197016.666666668</v>
      </c>
      <c r="Y60" s="7">
        <v>10750025.000000002</v>
      </c>
      <c r="Z60" s="7">
        <f t="shared" si="143"/>
        <v>20522775</v>
      </c>
      <c r="AA60" s="1042">
        <f t="shared" si="173"/>
        <v>3909100</v>
      </c>
      <c r="AB60" s="1042">
        <f t="shared" si="144"/>
        <v>14984883.333333332</v>
      </c>
      <c r="AC60" s="1042">
        <f t="shared" si="145"/>
        <v>16287916.666666668</v>
      </c>
      <c r="AD60" s="1042">
        <f t="shared" si="174"/>
        <v>3909100</v>
      </c>
      <c r="AE60" s="1042">
        <f t="shared" si="147"/>
        <v>18893983.333333332</v>
      </c>
      <c r="AF60" s="1042">
        <f t="shared" si="148"/>
        <v>12378816.666666668</v>
      </c>
      <c r="AG60" s="1042">
        <f t="shared" si="177"/>
        <v>3909100</v>
      </c>
      <c r="AH60" s="1042">
        <f t="shared" si="167"/>
        <v>22803083.333333332</v>
      </c>
      <c r="AI60" s="1042">
        <f t="shared" si="151"/>
        <v>8469716.6666666679</v>
      </c>
      <c r="AJ60" s="1042">
        <f t="shared" si="152"/>
        <v>325758.33333333331</v>
      </c>
      <c r="AK60" s="1042">
        <f t="shared" si="153"/>
        <v>23128841.666666664</v>
      </c>
      <c r="AL60" s="1042">
        <f t="shared" si="154"/>
        <v>8143958.3333333358</v>
      </c>
      <c r="AM60" s="1042">
        <f t="shared" si="128"/>
        <v>2931825</v>
      </c>
      <c r="AN60" s="1042">
        <f t="shared" si="155"/>
        <v>25734908.333333332</v>
      </c>
      <c r="AO60" s="1042">
        <f t="shared" si="156"/>
        <v>5537891.6666666679</v>
      </c>
      <c r="AP60" s="1042">
        <f t="shared" si="157"/>
        <v>3909100</v>
      </c>
      <c r="AQ60" s="1042">
        <f t="shared" si="9"/>
        <v>26712183.333333332</v>
      </c>
      <c r="AR60" s="1042">
        <f t="shared" si="158"/>
        <v>4560616.6666666679</v>
      </c>
      <c r="AS60" s="1042">
        <f t="shared" ref="AS60:AS71" si="181">(F60/12)*9</f>
        <v>2931825</v>
      </c>
      <c r="AT60" s="1042">
        <f t="shared" si="10"/>
        <v>29644008.333333332</v>
      </c>
      <c r="AU60" s="1042">
        <f t="shared" si="159"/>
        <v>1628791.6666666679</v>
      </c>
      <c r="AV60" s="1042">
        <f t="shared" si="160"/>
        <v>3909100</v>
      </c>
      <c r="AW60" s="1042">
        <f t="shared" si="161"/>
        <v>30621283.333333332</v>
      </c>
      <c r="AX60" s="1042">
        <f t="shared" si="162"/>
        <v>651516.66666666791</v>
      </c>
      <c r="AY60" s="179"/>
      <c r="AZ60" s="8">
        <f t="shared" si="39"/>
        <v>0</v>
      </c>
      <c r="BB60" s="221"/>
      <c r="BC60" s="179"/>
    </row>
    <row r="61" spans="1:55" s="220" customFormat="1" ht="14.25" customHeight="1">
      <c r="A61" s="17">
        <f t="shared" si="163"/>
        <v>27</v>
      </c>
      <c r="B61" s="968" t="s">
        <v>497</v>
      </c>
      <c r="C61" s="671">
        <v>42818</v>
      </c>
      <c r="D61" s="55">
        <v>8</v>
      </c>
      <c r="E61" s="6">
        <v>130971776</v>
      </c>
      <c r="F61" s="1041">
        <f t="shared" si="130"/>
        <v>16371472</v>
      </c>
      <c r="G61" s="1046"/>
      <c r="H61" s="1046"/>
      <c r="I61" s="1046"/>
      <c r="J61" s="1046"/>
      <c r="K61" s="1046"/>
      <c r="L61" s="1046"/>
      <c r="M61" s="1046"/>
      <c r="N61" s="1046"/>
      <c r="O61" s="1046"/>
      <c r="P61" s="1053">
        <f t="shared" si="179"/>
        <v>13642893.333333332</v>
      </c>
      <c r="Q61" s="1042">
        <f t="shared" si="180"/>
        <v>13642893.333333332</v>
      </c>
      <c r="R61" s="1042">
        <f t="shared" si="138"/>
        <v>117328882.66666667</v>
      </c>
      <c r="S61" s="1042">
        <f t="shared" si="172"/>
        <v>16371472</v>
      </c>
      <c r="T61" s="1042">
        <f t="shared" si="139"/>
        <v>30014365.333333332</v>
      </c>
      <c r="U61" s="1042">
        <f t="shared" si="140"/>
        <v>100957410.66666667</v>
      </c>
      <c r="V61" s="1042">
        <f t="shared" si="176"/>
        <v>16371472</v>
      </c>
      <c r="W61" s="1042">
        <f t="shared" si="141"/>
        <v>46385837.333333328</v>
      </c>
      <c r="X61" s="1042">
        <f t="shared" si="142"/>
        <v>84585938.666666672</v>
      </c>
      <c r="Y61" s="7">
        <v>45021548.000000007</v>
      </c>
      <c r="Z61" s="7">
        <f t="shared" si="143"/>
        <v>85950228</v>
      </c>
      <c r="AA61" s="1042">
        <f t="shared" si="173"/>
        <v>16371472</v>
      </c>
      <c r="AB61" s="1042">
        <f t="shared" si="144"/>
        <v>62757309.333333328</v>
      </c>
      <c r="AC61" s="1042">
        <f t="shared" si="145"/>
        <v>68214466.666666672</v>
      </c>
      <c r="AD61" s="1042">
        <f t="shared" si="174"/>
        <v>16371472</v>
      </c>
      <c r="AE61" s="1042">
        <f t="shared" si="147"/>
        <v>79128781.333333328</v>
      </c>
      <c r="AF61" s="1042">
        <f t="shared" si="148"/>
        <v>51842994.666666672</v>
      </c>
      <c r="AG61" s="1042">
        <f t="shared" si="177"/>
        <v>16371472</v>
      </c>
      <c r="AH61" s="1042">
        <f t="shared" si="167"/>
        <v>95500253.333333328</v>
      </c>
      <c r="AI61" s="1042">
        <f t="shared" si="151"/>
        <v>35471522.666666672</v>
      </c>
      <c r="AJ61" s="1042">
        <f t="shared" si="152"/>
        <v>1364289.3333333333</v>
      </c>
      <c r="AK61" s="1042">
        <f t="shared" si="153"/>
        <v>96864542.666666657</v>
      </c>
      <c r="AL61" s="1042">
        <f t="shared" si="154"/>
        <v>34107233.333333343</v>
      </c>
      <c r="AM61" s="1042">
        <f t="shared" si="128"/>
        <v>12278604</v>
      </c>
      <c r="AN61" s="1042">
        <f t="shared" si="155"/>
        <v>107778857.33333333</v>
      </c>
      <c r="AO61" s="1042">
        <f t="shared" si="156"/>
        <v>23192918.666666672</v>
      </c>
      <c r="AP61" s="1042">
        <f t="shared" si="157"/>
        <v>16371472</v>
      </c>
      <c r="AQ61" s="1042">
        <f t="shared" si="9"/>
        <v>111871725.33333333</v>
      </c>
      <c r="AR61" s="1042">
        <f t="shared" si="158"/>
        <v>19100050.666666672</v>
      </c>
      <c r="AS61" s="1042">
        <f t="shared" si="181"/>
        <v>12278604</v>
      </c>
      <c r="AT61" s="1042">
        <f t="shared" si="10"/>
        <v>124150329.33333333</v>
      </c>
      <c r="AU61" s="1042">
        <f t="shared" si="159"/>
        <v>6821446.6666666716</v>
      </c>
      <c r="AV61" s="1042">
        <f t="shared" si="160"/>
        <v>16371472</v>
      </c>
      <c r="AW61" s="1042">
        <f t="shared" si="161"/>
        <v>128243197.33333333</v>
      </c>
      <c r="AX61" s="1042">
        <f t="shared" si="162"/>
        <v>2728578.6666666716</v>
      </c>
      <c r="AY61" s="179"/>
      <c r="AZ61" s="8">
        <f t="shared" si="39"/>
        <v>0</v>
      </c>
      <c r="BB61" s="221"/>
      <c r="BC61" s="179"/>
    </row>
    <row r="62" spans="1:55" s="220" customFormat="1" ht="14.25" customHeight="1">
      <c r="A62" s="17">
        <f t="shared" si="163"/>
        <v>28</v>
      </c>
      <c r="B62" s="56" t="s">
        <v>498</v>
      </c>
      <c r="C62" s="671">
        <v>42818</v>
      </c>
      <c r="D62" s="55">
        <v>8</v>
      </c>
      <c r="E62" s="6">
        <v>363957360</v>
      </c>
      <c r="F62" s="1041">
        <f t="shared" si="130"/>
        <v>45494670</v>
      </c>
      <c r="G62" s="1046"/>
      <c r="H62" s="1046"/>
      <c r="I62" s="1046"/>
      <c r="J62" s="1046"/>
      <c r="K62" s="1046"/>
      <c r="L62" s="1046"/>
      <c r="M62" s="1046"/>
      <c r="N62" s="1046"/>
      <c r="O62" s="1046"/>
      <c r="P62" s="1053">
        <f t="shared" si="179"/>
        <v>37912225</v>
      </c>
      <c r="Q62" s="1042">
        <f t="shared" si="180"/>
        <v>37912225</v>
      </c>
      <c r="R62" s="1042">
        <f t="shared" si="138"/>
        <v>326045135</v>
      </c>
      <c r="S62" s="1042">
        <f t="shared" si="172"/>
        <v>45494670</v>
      </c>
      <c r="T62" s="1042">
        <f t="shared" si="139"/>
        <v>83406895</v>
      </c>
      <c r="U62" s="1042">
        <f t="shared" si="140"/>
        <v>280550465</v>
      </c>
      <c r="V62" s="1042">
        <f t="shared" si="176"/>
        <v>45494670</v>
      </c>
      <c r="W62" s="1042">
        <f t="shared" si="141"/>
        <v>128901565</v>
      </c>
      <c r="X62" s="1042">
        <f t="shared" si="142"/>
        <v>235055795</v>
      </c>
      <c r="Y62" s="7">
        <v>125110342.5</v>
      </c>
      <c r="Z62" s="7">
        <f t="shared" si="143"/>
        <v>238847017.5</v>
      </c>
      <c r="AA62" s="1042">
        <f t="shared" si="173"/>
        <v>45494670</v>
      </c>
      <c r="AB62" s="1042">
        <f t="shared" si="144"/>
        <v>174396235</v>
      </c>
      <c r="AC62" s="1042">
        <f t="shared" si="145"/>
        <v>189561125</v>
      </c>
      <c r="AD62" s="1042">
        <f t="shared" si="174"/>
        <v>45494670</v>
      </c>
      <c r="AE62" s="1042">
        <f t="shared" si="147"/>
        <v>219890905</v>
      </c>
      <c r="AF62" s="1042">
        <f t="shared" si="148"/>
        <v>144066455</v>
      </c>
      <c r="AG62" s="1042">
        <f t="shared" si="177"/>
        <v>45494670</v>
      </c>
      <c r="AH62" s="1042">
        <f t="shared" si="167"/>
        <v>265385575</v>
      </c>
      <c r="AI62" s="1042">
        <f t="shared" si="151"/>
        <v>98571785</v>
      </c>
      <c r="AJ62" s="1042">
        <f t="shared" si="152"/>
        <v>3791222.5</v>
      </c>
      <c r="AK62" s="1042">
        <f t="shared" si="153"/>
        <v>269176797.5</v>
      </c>
      <c r="AL62" s="1042">
        <f t="shared" si="154"/>
        <v>94780562.5</v>
      </c>
      <c r="AM62" s="1042">
        <f t="shared" si="128"/>
        <v>34121002.5</v>
      </c>
      <c r="AN62" s="1042">
        <f t="shared" si="155"/>
        <v>299506577.5</v>
      </c>
      <c r="AO62" s="1042">
        <f t="shared" si="156"/>
        <v>64450782.5</v>
      </c>
      <c r="AP62" s="1042">
        <f t="shared" si="157"/>
        <v>45494670</v>
      </c>
      <c r="AQ62" s="1042">
        <f t="shared" si="9"/>
        <v>310880245</v>
      </c>
      <c r="AR62" s="1042">
        <f t="shared" si="158"/>
        <v>53077115</v>
      </c>
      <c r="AS62" s="1042">
        <f t="shared" si="181"/>
        <v>34121002.5</v>
      </c>
      <c r="AT62" s="1042">
        <f t="shared" si="10"/>
        <v>345001247.5</v>
      </c>
      <c r="AU62" s="1042">
        <f t="shared" si="159"/>
        <v>18956112.5</v>
      </c>
      <c r="AV62" s="1042">
        <f t="shared" si="160"/>
        <v>45494670</v>
      </c>
      <c r="AW62" s="1042">
        <f t="shared" si="161"/>
        <v>356374915</v>
      </c>
      <c r="AX62" s="1042">
        <f t="shared" si="162"/>
        <v>7582445</v>
      </c>
      <c r="AY62" s="179"/>
      <c r="AZ62" s="8">
        <f t="shared" si="39"/>
        <v>0</v>
      </c>
      <c r="BB62" s="221"/>
      <c r="BC62" s="179"/>
    </row>
    <row r="63" spans="1:55" s="220" customFormat="1" ht="14.25" customHeight="1">
      <c r="A63" s="17">
        <f t="shared" si="163"/>
        <v>29</v>
      </c>
      <c r="B63" s="968" t="s">
        <v>499</v>
      </c>
      <c r="C63" s="671">
        <v>42818</v>
      </c>
      <c r="D63" s="55">
        <v>8</v>
      </c>
      <c r="E63" s="6">
        <v>251472000</v>
      </c>
      <c r="F63" s="1041">
        <f t="shared" si="130"/>
        <v>31434000</v>
      </c>
      <c r="G63" s="1046"/>
      <c r="H63" s="1046"/>
      <c r="I63" s="1046"/>
      <c r="J63" s="1046"/>
      <c r="K63" s="1046"/>
      <c r="L63" s="1046"/>
      <c r="M63" s="1046"/>
      <c r="N63" s="1046"/>
      <c r="O63" s="1046"/>
      <c r="P63" s="1053">
        <f t="shared" si="179"/>
        <v>26195000</v>
      </c>
      <c r="Q63" s="1042">
        <f t="shared" si="180"/>
        <v>26195000</v>
      </c>
      <c r="R63" s="1042">
        <f t="shared" si="138"/>
        <v>225277000</v>
      </c>
      <c r="S63" s="1042">
        <f t="shared" si="172"/>
        <v>31434000</v>
      </c>
      <c r="T63" s="1042">
        <f t="shared" si="139"/>
        <v>57629000</v>
      </c>
      <c r="U63" s="1042">
        <f t="shared" si="140"/>
        <v>193843000</v>
      </c>
      <c r="V63" s="1042">
        <f t="shared" si="176"/>
        <v>31434000</v>
      </c>
      <c r="W63" s="1042">
        <f t="shared" si="141"/>
        <v>89063000</v>
      </c>
      <c r="X63" s="1042">
        <f t="shared" si="142"/>
        <v>162409000</v>
      </c>
      <c r="Y63" s="7">
        <v>86443500</v>
      </c>
      <c r="Z63" s="7">
        <f t="shared" si="143"/>
        <v>165028500</v>
      </c>
      <c r="AA63" s="1042">
        <f t="shared" si="173"/>
        <v>31434000</v>
      </c>
      <c r="AB63" s="1042">
        <f t="shared" si="144"/>
        <v>120497000</v>
      </c>
      <c r="AC63" s="1042">
        <f t="shared" si="145"/>
        <v>130975000</v>
      </c>
      <c r="AD63" s="1042">
        <f t="shared" si="174"/>
        <v>31434000</v>
      </c>
      <c r="AE63" s="1042">
        <f t="shared" si="147"/>
        <v>151931000</v>
      </c>
      <c r="AF63" s="1042">
        <f t="shared" si="148"/>
        <v>99541000</v>
      </c>
      <c r="AG63" s="1042">
        <f t="shared" si="177"/>
        <v>31434000</v>
      </c>
      <c r="AH63" s="1042">
        <f t="shared" si="167"/>
        <v>183365000</v>
      </c>
      <c r="AI63" s="1042">
        <f t="shared" si="151"/>
        <v>68107000</v>
      </c>
      <c r="AJ63" s="1042">
        <f t="shared" si="152"/>
        <v>2619500</v>
      </c>
      <c r="AK63" s="1042">
        <f t="shared" si="153"/>
        <v>185984500</v>
      </c>
      <c r="AL63" s="1042">
        <f t="shared" si="154"/>
        <v>65487500</v>
      </c>
      <c r="AM63" s="1042">
        <f t="shared" si="128"/>
        <v>23575500</v>
      </c>
      <c r="AN63" s="1042">
        <f t="shared" si="155"/>
        <v>206940500</v>
      </c>
      <c r="AO63" s="1042">
        <f t="shared" si="156"/>
        <v>44531500</v>
      </c>
      <c r="AP63" s="1042">
        <f t="shared" si="157"/>
        <v>31434000</v>
      </c>
      <c r="AQ63" s="1042">
        <f t="shared" si="9"/>
        <v>214799000</v>
      </c>
      <c r="AR63" s="1042">
        <f t="shared" si="158"/>
        <v>36673000</v>
      </c>
      <c r="AS63" s="1042">
        <f t="shared" si="181"/>
        <v>23575500</v>
      </c>
      <c r="AT63" s="1042">
        <f t="shared" si="10"/>
        <v>238374500</v>
      </c>
      <c r="AU63" s="1042">
        <f t="shared" si="159"/>
        <v>13097500</v>
      </c>
      <c r="AV63" s="1042">
        <f t="shared" si="160"/>
        <v>31434000</v>
      </c>
      <c r="AW63" s="1042">
        <f t="shared" si="161"/>
        <v>246233000</v>
      </c>
      <c r="AX63" s="1042">
        <f t="shared" si="162"/>
        <v>5239000</v>
      </c>
      <c r="AY63" s="179"/>
      <c r="AZ63" s="8">
        <f t="shared" si="39"/>
        <v>0</v>
      </c>
      <c r="BB63" s="221"/>
      <c r="BC63" s="179"/>
    </row>
    <row r="64" spans="1:55" s="220" customFormat="1" ht="14.25" customHeight="1">
      <c r="A64" s="17">
        <f t="shared" si="163"/>
        <v>30</v>
      </c>
      <c r="B64" s="968" t="s">
        <v>500</v>
      </c>
      <c r="C64" s="671">
        <v>42818</v>
      </c>
      <c r="D64" s="55">
        <v>8</v>
      </c>
      <c r="E64" s="6">
        <v>42937232</v>
      </c>
      <c r="F64" s="1041">
        <f t="shared" si="130"/>
        <v>5367154</v>
      </c>
      <c r="G64" s="1046"/>
      <c r="H64" s="1046"/>
      <c r="I64" s="1046"/>
      <c r="J64" s="1046"/>
      <c r="K64" s="1046"/>
      <c r="L64" s="1046"/>
      <c r="M64" s="1046"/>
      <c r="N64" s="1046"/>
      <c r="O64" s="1046"/>
      <c r="P64" s="1053">
        <f t="shared" si="179"/>
        <v>4472628.333333333</v>
      </c>
      <c r="Q64" s="1042">
        <f t="shared" si="180"/>
        <v>4472628.333333333</v>
      </c>
      <c r="R64" s="1042">
        <f t="shared" si="138"/>
        <v>38464603.666666664</v>
      </c>
      <c r="S64" s="1042">
        <f t="shared" si="172"/>
        <v>5367154</v>
      </c>
      <c r="T64" s="1042">
        <f t="shared" si="139"/>
        <v>9839782.3333333321</v>
      </c>
      <c r="U64" s="1042">
        <f t="shared" si="140"/>
        <v>33097449.666666668</v>
      </c>
      <c r="V64" s="1042">
        <f t="shared" si="176"/>
        <v>5367154</v>
      </c>
      <c r="W64" s="1042">
        <f t="shared" si="141"/>
        <v>15206936.333333332</v>
      </c>
      <c r="X64" s="1042">
        <f t="shared" si="142"/>
        <v>27730295.666666668</v>
      </c>
      <c r="Y64" s="7">
        <v>14759673.500000007</v>
      </c>
      <c r="Z64" s="7">
        <f t="shared" si="143"/>
        <v>28177558.499999993</v>
      </c>
      <c r="AA64" s="1042">
        <f t="shared" si="173"/>
        <v>5367154</v>
      </c>
      <c r="AB64" s="1042">
        <f t="shared" si="144"/>
        <v>20574090.333333332</v>
      </c>
      <c r="AC64" s="1042">
        <f t="shared" si="145"/>
        <v>22363141.666666668</v>
      </c>
      <c r="AD64" s="1042">
        <f t="shared" si="174"/>
        <v>5367154</v>
      </c>
      <c r="AE64" s="1042">
        <f t="shared" si="147"/>
        <v>25941244.333333332</v>
      </c>
      <c r="AF64" s="1042">
        <f t="shared" si="148"/>
        <v>16995987.666666668</v>
      </c>
      <c r="AG64" s="1042">
        <f t="shared" si="177"/>
        <v>5367154</v>
      </c>
      <c r="AH64" s="1042">
        <f t="shared" si="167"/>
        <v>31308398.333333332</v>
      </c>
      <c r="AI64" s="1042">
        <f t="shared" si="151"/>
        <v>11628833.666666668</v>
      </c>
      <c r="AJ64" s="1042">
        <f t="shared" si="152"/>
        <v>447262.83333333331</v>
      </c>
      <c r="AK64" s="1042">
        <f t="shared" si="153"/>
        <v>31755661.166666664</v>
      </c>
      <c r="AL64" s="1042">
        <f t="shared" si="154"/>
        <v>11181570.833333336</v>
      </c>
      <c r="AM64" s="1042">
        <f t="shared" si="128"/>
        <v>4025365.5</v>
      </c>
      <c r="AN64" s="1042">
        <f t="shared" si="155"/>
        <v>35333763.833333328</v>
      </c>
      <c r="AO64" s="1042">
        <f t="shared" si="156"/>
        <v>7603468.1666666716</v>
      </c>
      <c r="AP64" s="1042">
        <f t="shared" si="157"/>
        <v>5367154</v>
      </c>
      <c r="AQ64" s="1042">
        <f t="shared" si="9"/>
        <v>36675552.333333328</v>
      </c>
      <c r="AR64" s="1042">
        <f t="shared" si="158"/>
        <v>6261679.6666666716</v>
      </c>
      <c r="AS64" s="1042">
        <f t="shared" si="181"/>
        <v>4025365.5</v>
      </c>
      <c r="AT64" s="1042">
        <f t="shared" si="10"/>
        <v>40700917.833333328</v>
      </c>
      <c r="AU64" s="1042">
        <f t="shared" si="159"/>
        <v>2236314.1666666716</v>
      </c>
      <c r="AV64" s="1042">
        <f t="shared" si="160"/>
        <v>5367154</v>
      </c>
      <c r="AW64" s="1042">
        <f t="shared" si="161"/>
        <v>42042706.333333328</v>
      </c>
      <c r="AX64" s="1042">
        <f t="shared" si="162"/>
        <v>894525.66666667163</v>
      </c>
      <c r="AY64" s="179"/>
      <c r="AZ64" s="8">
        <f t="shared" si="39"/>
        <v>0</v>
      </c>
      <c r="BB64" s="221"/>
      <c r="BC64" s="179"/>
    </row>
    <row r="65" spans="1:55" s="220" customFormat="1" ht="14.25" customHeight="1">
      <c r="A65" s="17">
        <f t="shared" si="163"/>
        <v>31</v>
      </c>
      <c r="B65" s="56" t="s">
        <v>501</v>
      </c>
      <c r="C65" s="671">
        <v>42881</v>
      </c>
      <c r="D65" s="55">
        <v>8</v>
      </c>
      <c r="E65" s="6">
        <v>30940000</v>
      </c>
      <c r="F65" s="1041">
        <f t="shared" si="130"/>
        <v>3867500</v>
      </c>
      <c r="G65" s="1046"/>
      <c r="H65" s="1046"/>
      <c r="I65" s="1046"/>
      <c r="J65" s="1046"/>
      <c r="K65" s="1046"/>
      <c r="L65" s="1046"/>
      <c r="M65" s="1046"/>
      <c r="N65" s="1046"/>
      <c r="O65" s="1046"/>
      <c r="P65" s="1053">
        <f t="shared" si="179"/>
        <v>2578333.3333333335</v>
      </c>
      <c r="Q65" s="1042">
        <f t="shared" si="180"/>
        <v>2578333.3333333335</v>
      </c>
      <c r="R65" s="1042">
        <f t="shared" si="138"/>
        <v>28361666.666666668</v>
      </c>
      <c r="S65" s="1042">
        <f t="shared" si="172"/>
        <v>3867500</v>
      </c>
      <c r="T65" s="1042">
        <f t="shared" si="139"/>
        <v>6445833.333333334</v>
      </c>
      <c r="U65" s="1042">
        <f t="shared" si="140"/>
        <v>24494166.666666664</v>
      </c>
      <c r="V65" s="1042">
        <f t="shared" si="176"/>
        <v>3867500</v>
      </c>
      <c r="W65" s="1042">
        <f t="shared" si="141"/>
        <v>10313333.333333334</v>
      </c>
      <c r="X65" s="1042">
        <f t="shared" si="142"/>
        <v>20626666.666666664</v>
      </c>
      <c r="Y65" s="7">
        <v>9991041.6666666679</v>
      </c>
      <c r="Z65" s="7">
        <f t="shared" si="143"/>
        <v>20948958.333333332</v>
      </c>
      <c r="AA65" s="1042">
        <f t="shared" si="173"/>
        <v>3867500</v>
      </c>
      <c r="AB65" s="1042">
        <f t="shared" si="144"/>
        <v>14180833.333333334</v>
      </c>
      <c r="AC65" s="1042">
        <f t="shared" si="145"/>
        <v>16759166.666666666</v>
      </c>
      <c r="AD65" s="1042">
        <f t="shared" si="174"/>
        <v>3867500</v>
      </c>
      <c r="AE65" s="1042">
        <f t="shared" si="147"/>
        <v>18048333.333333336</v>
      </c>
      <c r="AF65" s="1042">
        <f t="shared" si="148"/>
        <v>12891666.666666664</v>
      </c>
      <c r="AG65" s="1042">
        <f t="shared" si="177"/>
        <v>3867500</v>
      </c>
      <c r="AH65" s="1042">
        <f t="shared" si="167"/>
        <v>21915833.333333336</v>
      </c>
      <c r="AI65" s="1042">
        <f t="shared" si="151"/>
        <v>9024166.6666666642</v>
      </c>
      <c r="AJ65" s="1042">
        <f t="shared" si="152"/>
        <v>322291.66666666669</v>
      </c>
      <c r="AK65" s="1042">
        <f t="shared" si="153"/>
        <v>22238125.000000004</v>
      </c>
      <c r="AL65" s="1042">
        <f t="shared" si="154"/>
        <v>8701874.9999999963</v>
      </c>
      <c r="AM65" s="1042">
        <f t="shared" si="128"/>
        <v>2900625</v>
      </c>
      <c r="AN65" s="1042">
        <f t="shared" si="155"/>
        <v>24816458.333333336</v>
      </c>
      <c r="AO65" s="1042">
        <f t="shared" si="156"/>
        <v>6123541.6666666642</v>
      </c>
      <c r="AP65" s="1042">
        <f t="shared" si="157"/>
        <v>3867500</v>
      </c>
      <c r="AQ65" s="1042">
        <f t="shared" si="9"/>
        <v>25783333.333333336</v>
      </c>
      <c r="AR65" s="1042">
        <f t="shared" si="158"/>
        <v>5156666.6666666642</v>
      </c>
      <c r="AS65" s="1042">
        <f t="shared" si="181"/>
        <v>2900625</v>
      </c>
      <c r="AT65" s="1042">
        <f t="shared" si="10"/>
        <v>28683958.333333336</v>
      </c>
      <c r="AU65" s="1042">
        <f t="shared" si="159"/>
        <v>2256041.6666666642</v>
      </c>
      <c r="AV65" s="1042">
        <f t="shared" si="160"/>
        <v>3867500</v>
      </c>
      <c r="AW65" s="1042">
        <f t="shared" si="161"/>
        <v>29650833.333333336</v>
      </c>
      <c r="AX65" s="1042">
        <f t="shared" si="162"/>
        <v>1289166.6666666642</v>
      </c>
      <c r="AY65" s="179"/>
      <c r="AZ65" s="8">
        <f t="shared" si="39"/>
        <v>0</v>
      </c>
      <c r="BB65" s="221"/>
      <c r="BC65" s="179"/>
    </row>
    <row r="66" spans="1:55" s="220" customFormat="1" ht="14.25" customHeight="1">
      <c r="A66" s="17">
        <f t="shared" si="163"/>
        <v>32</v>
      </c>
      <c r="B66" s="968" t="s">
        <v>502</v>
      </c>
      <c r="C66" s="671">
        <v>43678</v>
      </c>
      <c r="D66" s="55">
        <v>8</v>
      </c>
      <c r="E66" s="6">
        <v>244900000</v>
      </c>
      <c r="F66" s="1041">
        <f t="shared" si="130"/>
        <v>30612500</v>
      </c>
      <c r="G66" s="1046"/>
      <c r="H66" s="1046"/>
      <c r="I66" s="1046"/>
      <c r="J66" s="1046"/>
      <c r="K66" s="1046"/>
      <c r="L66" s="1046"/>
      <c r="M66" s="1046"/>
      <c r="N66" s="1046"/>
      <c r="O66" s="1046"/>
      <c r="P66" s="1046"/>
      <c r="Q66" s="1046"/>
      <c r="R66" s="1046"/>
      <c r="S66" s="1046"/>
      <c r="T66" s="1046"/>
      <c r="U66" s="1046"/>
      <c r="V66" s="1053">
        <f>(F66/12)*(13-IF(C66="","",MONTH(C66)))</f>
        <v>12755208.333333332</v>
      </c>
      <c r="W66" s="1042">
        <f t="shared" ref="W66:W68" si="182">T66+V66</f>
        <v>12755208.333333332</v>
      </c>
      <c r="X66" s="1042">
        <f t="shared" si="142"/>
        <v>232144791.66666666</v>
      </c>
      <c r="Y66" s="7">
        <v>12755208.333333332</v>
      </c>
      <c r="Z66" s="7">
        <f t="shared" si="143"/>
        <v>232144791.66666666</v>
      </c>
      <c r="AA66" s="1042">
        <f t="shared" si="173"/>
        <v>30612500</v>
      </c>
      <c r="AB66" s="1042">
        <f t="shared" si="144"/>
        <v>43367708.333333328</v>
      </c>
      <c r="AC66" s="1042">
        <f t="shared" si="145"/>
        <v>201532291.66666669</v>
      </c>
      <c r="AD66" s="1042">
        <f t="shared" si="174"/>
        <v>30612500</v>
      </c>
      <c r="AE66" s="1042">
        <f t="shared" si="147"/>
        <v>73980208.333333328</v>
      </c>
      <c r="AF66" s="1042">
        <f t="shared" si="148"/>
        <v>170919791.66666669</v>
      </c>
      <c r="AG66" s="1042">
        <f t="shared" si="177"/>
        <v>30612500</v>
      </c>
      <c r="AH66" s="1042">
        <f t="shared" si="167"/>
        <v>104592708.33333333</v>
      </c>
      <c r="AI66" s="1042">
        <f t="shared" si="151"/>
        <v>140307291.66666669</v>
      </c>
      <c r="AJ66" s="1042">
        <f t="shared" si="152"/>
        <v>2551041.6666666665</v>
      </c>
      <c r="AK66" s="1042">
        <f t="shared" si="153"/>
        <v>107143750</v>
      </c>
      <c r="AL66" s="1042">
        <f t="shared" si="154"/>
        <v>137756250</v>
      </c>
      <c r="AM66" s="1042">
        <f t="shared" si="128"/>
        <v>22959375</v>
      </c>
      <c r="AN66" s="1042">
        <f t="shared" si="155"/>
        <v>127552083.33333333</v>
      </c>
      <c r="AO66" s="1042">
        <f t="shared" si="156"/>
        <v>117347916.66666667</v>
      </c>
      <c r="AP66" s="1042">
        <f t="shared" si="157"/>
        <v>30612500</v>
      </c>
      <c r="AQ66" s="1042">
        <f t="shared" si="9"/>
        <v>135205208.33333331</v>
      </c>
      <c r="AR66" s="1042">
        <f t="shared" si="158"/>
        <v>109694791.66666669</v>
      </c>
      <c r="AS66" s="1042">
        <f t="shared" si="181"/>
        <v>22959375</v>
      </c>
      <c r="AT66" s="1042">
        <f t="shared" si="10"/>
        <v>158164583.33333331</v>
      </c>
      <c r="AU66" s="1042">
        <f t="shared" si="159"/>
        <v>86735416.666666687</v>
      </c>
      <c r="AV66" s="1042">
        <f t="shared" si="160"/>
        <v>30612500</v>
      </c>
      <c r="AW66" s="1042">
        <f t="shared" si="161"/>
        <v>165817708.33333331</v>
      </c>
      <c r="AX66" s="1042">
        <f t="shared" si="162"/>
        <v>79082291.666666687</v>
      </c>
      <c r="AY66" s="179"/>
      <c r="AZ66" s="8">
        <f t="shared" si="39"/>
        <v>0</v>
      </c>
      <c r="BB66" s="221"/>
      <c r="BC66" s="179"/>
    </row>
    <row r="67" spans="1:55" s="220" customFormat="1" ht="14.25" customHeight="1">
      <c r="A67" s="17">
        <f t="shared" si="163"/>
        <v>33</v>
      </c>
      <c r="B67" s="56" t="s">
        <v>503</v>
      </c>
      <c r="C67" s="671">
        <v>43770</v>
      </c>
      <c r="D67" s="55">
        <v>8</v>
      </c>
      <c r="E67" s="6">
        <v>1035300</v>
      </c>
      <c r="F67" s="1041">
        <f t="shared" si="130"/>
        <v>129412.5</v>
      </c>
      <c r="G67" s="1046"/>
      <c r="H67" s="1046"/>
      <c r="I67" s="1046"/>
      <c r="J67" s="1046"/>
      <c r="K67" s="1046"/>
      <c r="L67" s="1046"/>
      <c r="M67" s="1046"/>
      <c r="N67" s="1046"/>
      <c r="O67" s="1046"/>
      <c r="P67" s="1046"/>
      <c r="Q67" s="1046"/>
      <c r="R67" s="1046"/>
      <c r="S67" s="1046"/>
      <c r="T67" s="1046"/>
      <c r="U67" s="1046"/>
      <c r="V67" s="1053">
        <f>(F67/12)*(13-IF(C67="","",MONTH(C67)))</f>
        <v>21568.75</v>
      </c>
      <c r="W67" s="1042">
        <f t="shared" si="182"/>
        <v>21568.75</v>
      </c>
      <c r="X67" s="1042">
        <f t="shared" si="142"/>
        <v>1013731.25</v>
      </c>
      <c r="Y67" s="7">
        <v>21568.75</v>
      </c>
      <c r="Z67" s="7">
        <f t="shared" si="143"/>
        <v>1013731.25</v>
      </c>
      <c r="AA67" s="1042">
        <f t="shared" si="173"/>
        <v>129412.5</v>
      </c>
      <c r="AB67" s="1042">
        <f t="shared" si="144"/>
        <v>150981.25</v>
      </c>
      <c r="AC67" s="1042">
        <f t="shared" si="145"/>
        <v>884318.75</v>
      </c>
      <c r="AD67" s="1042">
        <f t="shared" si="174"/>
        <v>129412.5</v>
      </c>
      <c r="AE67" s="1042">
        <f t="shared" si="147"/>
        <v>280393.75</v>
      </c>
      <c r="AF67" s="1042">
        <f t="shared" si="148"/>
        <v>754906.25</v>
      </c>
      <c r="AG67" s="1042">
        <f t="shared" si="177"/>
        <v>129412.5</v>
      </c>
      <c r="AH67" s="1042">
        <f t="shared" si="167"/>
        <v>409806.25</v>
      </c>
      <c r="AI67" s="1042">
        <f t="shared" si="151"/>
        <v>625493.75</v>
      </c>
      <c r="AJ67" s="1042">
        <f t="shared" si="152"/>
        <v>10784.375</v>
      </c>
      <c r="AK67" s="1042">
        <f t="shared" si="153"/>
        <v>420590.625</v>
      </c>
      <c r="AL67" s="1042">
        <f t="shared" si="154"/>
        <v>614709.375</v>
      </c>
      <c r="AM67" s="1042">
        <f t="shared" si="128"/>
        <v>97059.375</v>
      </c>
      <c r="AN67" s="1042">
        <f t="shared" si="155"/>
        <v>506865.625</v>
      </c>
      <c r="AO67" s="1042">
        <f t="shared" si="156"/>
        <v>528434.375</v>
      </c>
      <c r="AP67" s="1042">
        <f t="shared" si="157"/>
        <v>129412.5</v>
      </c>
      <c r="AQ67" s="1042">
        <f t="shared" si="9"/>
        <v>539218.75</v>
      </c>
      <c r="AR67" s="1042">
        <f t="shared" si="158"/>
        <v>496081.25</v>
      </c>
      <c r="AS67" s="1042">
        <f t="shared" si="181"/>
        <v>97059.375</v>
      </c>
      <c r="AT67" s="1042">
        <f t="shared" si="10"/>
        <v>636278.125</v>
      </c>
      <c r="AU67" s="1042">
        <f t="shared" si="159"/>
        <v>399021.875</v>
      </c>
      <c r="AV67" s="1042">
        <f t="shared" si="160"/>
        <v>129412.5</v>
      </c>
      <c r="AW67" s="1042">
        <f t="shared" si="161"/>
        <v>668631.25</v>
      </c>
      <c r="AX67" s="1042">
        <f t="shared" si="162"/>
        <v>366668.75</v>
      </c>
      <c r="AY67" s="179"/>
      <c r="AZ67" s="8">
        <f t="shared" si="39"/>
        <v>0</v>
      </c>
      <c r="BB67" s="221"/>
      <c r="BC67" s="179"/>
    </row>
    <row r="68" spans="1:55" s="220" customFormat="1" ht="14.25" customHeight="1">
      <c r="A68" s="17">
        <f t="shared" si="163"/>
        <v>34</v>
      </c>
      <c r="B68" s="56" t="s">
        <v>504</v>
      </c>
      <c r="C68" s="671">
        <v>43770</v>
      </c>
      <c r="D68" s="55">
        <v>8</v>
      </c>
      <c r="E68" s="6">
        <v>4687273</v>
      </c>
      <c r="F68" s="1041">
        <f t="shared" si="130"/>
        <v>585909.125</v>
      </c>
      <c r="G68" s="1046"/>
      <c r="H68" s="1046"/>
      <c r="I68" s="1046"/>
      <c r="J68" s="1046"/>
      <c r="K68" s="1046"/>
      <c r="L68" s="1046"/>
      <c r="M68" s="1046"/>
      <c r="N68" s="1046"/>
      <c r="O68" s="1046"/>
      <c r="P68" s="1046"/>
      <c r="Q68" s="1046"/>
      <c r="R68" s="1046"/>
      <c r="S68" s="1046"/>
      <c r="T68" s="1046"/>
      <c r="U68" s="1046"/>
      <c r="V68" s="1053">
        <f>(F68/12)*(13-IF(C68="","",MONTH(C68)))</f>
        <v>97651.520833333328</v>
      </c>
      <c r="W68" s="1042">
        <f t="shared" si="182"/>
        <v>97651.520833333328</v>
      </c>
      <c r="X68" s="1042">
        <f t="shared" si="142"/>
        <v>4589621.479166667</v>
      </c>
      <c r="Y68" s="7">
        <v>97651.520833333328</v>
      </c>
      <c r="Z68" s="7">
        <f t="shared" si="143"/>
        <v>4589621.479166667</v>
      </c>
      <c r="AA68" s="1042">
        <f t="shared" si="173"/>
        <v>585909.125</v>
      </c>
      <c r="AB68" s="1042">
        <f t="shared" si="144"/>
        <v>683560.64583333337</v>
      </c>
      <c r="AC68" s="1042">
        <f t="shared" si="145"/>
        <v>4003712.3541666665</v>
      </c>
      <c r="AD68" s="1042">
        <f t="shared" si="174"/>
        <v>585909.125</v>
      </c>
      <c r="AE68" s="1042">
        <f t="shared" si="147"/>
        <v>1269469.7708333335</v>
      </c>
      <c r="AF68" s="1042">
        <f t="shared" si="148"/>
        <v>3417803.2291666665</v>
      </c>
      <c r="AG68" s="1042">
        <f t="shared" si="177"/>
        <v>585909.125</v>
      </c>
      <c r="AH68" s="1042">
        <f t="shared" si="167"/>
        <v>1855378.8958333335</v>
      </c>
      <c r="AI68" s="1042">
        <f t="shared" si="151"/>
        <v>2831894.1041666665</v>
      </c>
      <c r="AJ68" s="1042">
        <f t="shared" si="152"/>
        <v>48825.760416666664</v>
      </c>
      <c r="AK68" s="1042">
        <f t="shared" si="153"/>
        <v>1904204.6562500002</v>
      </c>
      <c r="AL68" s="1042">
        <f t="shared" si="154"/>
        <v>2783068.34375</v>
      </c>
      <c r="AM68" s="1042">
        <f t="shared" si="128"/>
        <v>439431.84375</v>
      </c>
      <c r="AN68" s="1042">
        <f t="shared" si="155"/>
        <v>2294810.7395833335</v>
      </c>
      <c r="AO68" s="1042">
        <f t="shared" si="156"/>
        <v>2392462.2604166665</v>
      </c>
      <c r="AP68" s="1042">
        <f t="shared" si="157"/>
        <v>585909.125</v>
      </c>
      <c r="AQ68" s="1042">
        <f t="shared" si="9"/>
        <v>2441288.0208333335</v>
      </c>
      <c r="AR68" s="1042">
        <f t="shared" si="158"/>
        <v>2245984.9791666665</v>
      </c>
      <c r="AS68" s="1042">
        <f t="shared" si="181"/>
        <v>439431.84375</v>
      </c>
      <c r="AT68" s="1042">
        <f t="shared" si="10"/>
        <v>2880719.8645833335</v>
      </c>
      <c r="AU68" s="1042">
        <f t="shared" si="159"/>
        <v>1806553.1354166665</v>
      </c>
      <c r="AV68" s="1042">
        <f t="shared" si="160"/>
        <v>585909.125</v>
      </c>
      <c r="AW68" s="1042">
        <f t="shared" si="161"/>
        <v>3027197.1458333335</v>
      </c>
      <c r="AX68" s="1042">
        <f t="shared" si="162"/>
        <v>1660075.8541666665</v>
      </c>
      <c r="AY68" s="179"/>
      <c r="AZ68" s="8">
        <f t="shared" si="39"/>
        <v>0</v>
      </c>
      <c r="BB68" s="221"/>
      <c r="BC68" s="179"/>
    </row>
    <row r="69" spans="1:55" s="220" customFormat="1" ht="14.25" customHeight="1">
      <c r="A69" s="17">
        <f t="shared" si="163"/>
        <v>35</v>
      </c>
      <c r="B69" s="56" t="s">
        <v>505</v>
      </c>
      <c r="C69" s="671">
        <v>43874</v>
      </c>
      <c r="D69" s="55">
        <v>8</v>
      </c>
      <c r="E69" s="1054">
        <v>4500000</v>
      </c>
      <c r="F69" s="1041">
        <f t="shared" si="130"/>
        <v>562500</v>
      </c>
      <c r="G69" s="1046"/>
      <c r="H69" s="1046"/>
      <c r="I69" s="1046"/>
      <c r="J69" s="1046"/>
      <c r="K69" s="1046"/>
      <c r="L69" s="1046"/>
      <c r="M69" s="1046"/>
      <c r="N69" s="1046"/>
      <c r="O69" s="1046"/>
      <c r="P69" s="1046"/>
      <c r="Q69" s="1046"/>
      <c r="R69" s="1046"/>
      <c r="S69" s="1046"/>
      <c r="T69" s="1046"/>
      <c r="U69" s="1046"/>
      <c r="V69" s="1046"/>
      <c r="W69" s="1046"/>
      <c r="X69" s="1046"/>
      <c r="Y69" s="219"/>
      <c r="Z69" s="7"/>
      <c r="AA69" s="1053">
        <f>(F69/12)*(13-IF(C69="","",MONTH(C69)))</f>
        <v>515625</v>
      </c>
      <c r="AB69" s="1042">
        <f t="shared" si="144"/>
        <v>515625</v>
      </c>
      <c r="AC69" s="1042">
        <f t="shared" si="145"/>
        <v>3984375</v>
      </c>
      <c r="AD69" s="1042">
        <f t="shared" si="174"/>
        <v>562500</v>
      </c>
      <c r="AE69" s="1042">
        <f t="shared" si="147"/>
        <v>1078125</v>
      </c>
      <c r="AF69" s="1042">
        <f t="shared" si="148"/>
        <v>3421875</v>
      </c>
      <c r="AG69" s="1042">
        <f t="shared" si="177"/>
        <v>562500</v>
      </c>
      <c r="AH69" s="1042">
        <f t="shared" si="167"/>
        <v>1640625</v>
      </c>
      <c r="AI69" s="1042">
        <f t="shared" si="151"/>
        <v>2859375</v>
      </c>
      <c r="AJ69" s="1042">
        <f t="shared" si="152"/>
        <v>46875</v>
      </c>
      <c r="AK69" s="1042">
        <f t="shared" si="153"/>
        <v>1687500</v>
      </c>
      <c r="AL69" s="1042">
        <f t="shared" si="154"/>
        <v>2812500</v>
      </c>
      <c r="AM69" s="1042">
        <f t="shared" si="128"/>
        <v>421875</v>
      </c>
      <c r="AN69" s="1042">
        <f t="shared" si="155"/>
        <v>2062500</v>
      </c>
      <c r="AO69" s="1042">
        <f t="shared" si="156"/>
        <v>2437500</v>
      </c>
      <c r="AP69" s="1042">
        <f t="shared" si="157"/>
        <v>562500</v>
      </c>
      <c r="AQ69" s="1042">
        <f t="shared" si="9"/>
        <v>2203125</v>
      </c>
      <c r="AR69" s="1042">
        <f t="shared" si="158"/>
        <v>2296875</v>
      </c>
      <c r="AS69" s="1042">
        <f t="shared" si="181"/>
        <v>421875</v>
      </c>
      <c r="AT69" s="1042">
        <f t="shared" si="10"/>
        <v>2625000</v>
      </c>
      <c r="AU69" s="1042">
        <f t="shared" si="159"/>
        <v>1875000</v>
      </c>
      <c r="AV69" s="1042">
        <f t="shared" si="160"/>
        <v>562500</v>
      </c>
      <c r="AW69" s="1042">
        <f t="shared" si="161"/>
        <v>2765625</v>
      </c>
      <c r="AX69" s="1042">
        <f t="shared" si="162"/>
        <v>1734375</v>
      </c>
      <c r="AY69" s="179"/>
      <c r="AZ69" s="8">
        <f t="shared" si="39"/>
        <v>0</v>
      </c>
      <c r="BB69" s="221"/>
      <c r="BC69" s="179"/>
    </row>
    <row r="70" spans="1:55" s="220" customFormat="1" ht="14.25" customHeight="1">
      <c r="A70" s="17">
        <f t="shared" si="163"/>
        <v>36</v>
      </c>
      <c r="B70" s="56" t="s">
        <v>506</v>
      </c>
      <c r="C70" s="671">
        <v>43922</v>
      </c>
      <c r="D70" s="55">
        <v>8</v>
      </c>
      <c r="E70" s="6">
        <v>1750000</v>
      </c>
      <c r="F70" s="1041">
        <f t="shared" si="130"/>
        <v>218750</v>
      </c>
      <c r="G70" s="1046"/>
      <c r="H70" s="1046"/>
      <c r="I70" s="1046"/>
      <c r="J70" s="1046"/>
      <c r="K70" s="1046"/>
      <c r="L70" s="1046"/>
      <c r="M70" s="1046"/>
      <c r="N70" s="1046"/>
      <c r="O70" s="1046"/>
      <c r="P70" s="1046"/>
      <c r="Q70" s="1046"/>
      <c r="R70" s="1046"/>
      <c r="S70" s="1046"/>
      <c r="T70" s="1046"/>
      <c r="U70" s="1046"/>
      <c r="V70" s="1046"/>
      <c r="W70" s="1046"/>
      <c r="X70" s="1046"/>
      <c r="Y70" s="219"/>
      <c r="Z70" s="7"/>
      <c r="AA70" s="1053">
        <f>(F70/12)*(13-IF(C70="","",MONTH(C70)))</f>
        <v>164062.5</v>
      </c>
      <c r="AB70" s="1042">
        <f t="shared" si="144"/>
        <v>164062.5</v>
      </c>
      <c r="AC70" s="1042">
        <f t="shared" si="145"/>
        <v>1585937.5</v>
      </c>
      <c r="AD70" s="1042">
        <f t="shared" si="174"/>
        <v>218750</v>
      </c>
      <c r="AE70" s="1042">
        <f t="shared" si="147"/>
        <v>382812.5</v>
      </c>
      <c r="AF70" s="1042">
        <f t="shared" si="148"/>
        <v>1367187.5</v>
      </c>
      <c r="AG70" s="1042">
        <f t="shared" si="177"/>
        <v>218750</v>
      </c>
      <c r="AH70" s="1042">
        <f t="shared" si="167"/>
        <v>601562.5</v>
      </c>
      <c r="AI70" s="1042">
        <f t="shared" si="151"/>
        <v>1148437.5</v>
      </c>
      <c r="AJ70" s="1042">
        <f t="shared" si="152"/>
        <v>18229.166666666668</v>
      </c>
      <c r="AK70" s="1042">
        <f t="shared" si="153"/>
        <v>619791.66666666663</v>
      </c>
      <c r="AL70" s="1042">
        <f t="shared" si="154"/>
        <v>1130208.3333333335</v>
      </c>
      <c r="AM70" s="1042">
        <f t="shared" si="128"/>
        <v>164062.5</v>
      </c>
      <c r="AN70" s="1042">
        <f t="shared" si="155"/>
        <v>765625</v>
      </c>
      <c r="AO70" s="1042">
        <f t="shared" si="156"/>
        <v>984375</v>
      </c>
      <c r="AP70" s="1042">
        <f t="shared" si="157"/>
        <v>218750</v>
      </c>
      <c r="AQ70" s="1042">
        <f t="shared" ref="AQ70:AQ133" si="183">AH70+AP70</f>
        <v>820312.5</v>
      </c>
      <c r="AR70" s="1042">
        <f t="shared" si="158"/>
        <v>929687.5</v>
      </c>
      <c r="AS70" s="1042">
        <f t="shared" si="181"/>
        <v>164062.5</v>
      </c>
      <c r="AT70" s="1042">
        <f t="shared" si="10"/>
        <v>984375</v>
      </c>
      <c r="AU70" s="1042">
        <f t="shared" si="159"/>
        <v>765625</v>
      </c>
      <c r="AV70" s="1042">
        <f t="shared" si="160"/>
        <v>218750</v>
      </c>
      <c r="AW70" s="1042">
        <f t="shared" si="161"/>
        <v>1039062.5</v>
      </c>
      <c r="AX70" s="1042">
        <f t="shared" si="162"/>
        <v>710937.5</v>
      </c>
      <c r="AY70" s="179"/>
      <c r="AZ70" s="8">
        <f t="shared" si="39"/>
        <v>0</v>
      </c>
      <c r="BB70" s="221"/>
      <c r="BC70" s="179"/>
    </row>
    <row r="71" spans="1:55" s="220" customFormat="1" ht="14.25" customHeight="1">
      <c r="A71" s="17">
        <f t="shared" si="163"/>
        <v>37</v>
      </c>
      <c r="B71" s="56" t="s">
        <v>507</v>
      </c>
      <c r="C71" s="671">
        <v>44449</v>
      </c>
      <c r="D71" s="55">
        <v>8</v>
      </c>
      <c r="E71" s="6">
        <v>7950000</v>
      </c>
      <c r="F71" s="1041">
        <f t="shared" si="130"/>
        <v>993750</v>
      </c>
      <c r="G71" s="1046"/>
      <c r="H71" s="1046"/>
      <c r="I71" s="1046"/>
      <c r="J71" s="1046"/>
      <c r="K71" s="1046"/>
      <c r="L71" s="1046"/>
      <c r="M71" s="1046"/>
      <c r="N71" s="1046"/>
      <c r="O71" s="1046"/>
      <c r="P71" s="1046"/>
      <c r="Q71" s="1046"/>
      <c r="R71" s="1046"/>
      <c r="S71" s="1046"/>
      <c r="T71" s="1046"/>
      <c r="U71" s="1046"/>
      <c r="V71" s="1046"/>
      <c r="W71" s="1046"/>
      <c r="X71" s="1046"/>
      <c r="Y71" s="219"/>
      <c r="Z71" s="7"/>
      <c r="AA71" s="1046"/>
      <c r="AB71" s="1046"/>
      <c r="AC71" s="1046"/>
      <c r="AD71" s="1053">
        <f>(F71/12)*(13-IF(C71="","",MONTH(C71)))</f>
        <v>331250</v>
      </c>
      <c r="AE71" s="1042">
        <f t="shared" ref="AE71" si="184">AB71+AD71</f>
        <v>331250</v>
      </c>
      <c r="AF71" s="1042">
        <f t="shared" si="148"/>
        <v>7618750</v>
      </c>
      <c r="AG71" s="1042">
        <f t="shared" si="177"/>
        <v>993750</v>
      </c>
      <c r="AH71" s="1042">
        <f t="shared" si="167"/>
        <v>1325000</v>
      </c>
      <c r="AI71" s="1042">
        <f t="shared" si="151"/>
        <v>6625000</v>
      </c>
      <c r="AJ71" s="1042">
        <f t="shared" si="152"/>
        <v>82812.5</v>
      </c>
      <c r="AK71" s="1042">
        <f t="shared" si="153"/>
        <v>1407812.5</v>
      </c>
      <c r="AL71" s="1042">
        <f t="shared" si="154"/>
        <v>6542187.5</v>
      </c>
      <c r="AM71" s="1042">
        <f t="shared" si="128"/>
        <v>745312.5</v>
      </c>
      <c r="AN71" s="1042">
        <f t="shared" si="155"/>
        <v>2070312.5</v>
      </c>
      <c r="AO71" s="1042">
        <f t="shared" si="156"/>
        <v>5879687.5</v>
      </c>
      <c r="AP71" s="1042">
        <f t="shared" si="157"/>
        <v>993750</v>
      </c>
      <c r="AQ71" s="1042">
        <f t="shared" si="183"/>
        <v>2318750</v>
      </c>
      <c r="AR71" s="1042">
        <f t="shared" si="158"/>
        <v>5631250</v>
      </c>
      <c r="AS71" s="1042">
        <f t="shared" si="181"/>
        <v>745312.5</v>
      </c>
      <c r="AT71" s="1042">
        <f t="shared" ref="AT71:AT134" si="185">AQ71+AS71</f>
        <v>3064062.5</v>
      </c>
      <c r="AU71" s="1042">
        <f t="shared" si="159"/>
        <v>4885937.5</v>
      </c>
      <c r="AV71" s="1042">
        <f t="shared" si="160"/>
        <v>993750</v>
      </c>
      <c r="AW71" s="1042">
        <f t="shared" si="161"/>
        <v>3312500</v>
      </c>
      <c r="AX71" s="1042">
        <f t="shared" si="162"/>
        <v>4637500</v>
      </c>
      <c r="AY71" s="179"/>
      <c r="AZ71" s="8">
        <f t="shared" si="39"/>
        <v>0</v>
      </c>
      <c r="BB71" s="221"/>
      <c r="BC71" s="179"/>
    </row>
    <row r="72" spans="1:55" s="220" customFormat="1" ht="14.25" customHeight="1">
      <c r="A72" s="190" t="s">
        <v>324</v>
      </c>
      <c r="B72" s="230" t="s">
        <v>323</v>
      </c>
      <c r="C72" s="234"/>
      <c r="D72" s="216"/>
      <c r="E72" s="217"/>
      <c r="F72" s="1045"/>
      <c r="G72" s="1046"/>
      <c r="H72" s="1046"/>
      <c r="I72" s="1046"/>
      <c r="J72" s="1046"/>
      <c r="K72" s="1046"/>
      <c r="L72" s="1046"/>
      <c r="M72" s="1046"/>
      <c r="N72" s="1046"/>
      <c r="O72" s="1046"/>
      <c r="P72" s="1046"/>
      <c r="Q72" s="1046"/>
      <c r="R72" s="1046"/>
      <c r="S72" s="1046"/>
      <c r="T72" s="1046"/>
      <c r="U72" s="1046"/>
      <c r="V72" s="1046"/>
      <c r="W72" s="1046"/>
      <c r="X72" s="1046"/>
      <c r="Y72" s="219"/>
      <c r="Z72" s="219"/>
      <c r="AA72" s="1046"/>
      <c r="AB72" s="1046"/>
      <c r="AC72" s="1046"/>
      <c r="AD72" s="1046"/>
      <c r="AE72" s="1046"/>
      <c r="AF72" s="1046"/>
      <c r="AG72" s="1046"/>
      <c r="AH72" s="1046"/>
      <c r="AI72" s="1046"/>
      <c r="AJ72" s="1046"/>
      <c r="AK72" s="1046"/>
      <c r="AL72" s="1046"/>
      <c r="AM72" s="1046"/>
      <c r="AN72" s="1046"/>
      <c r="AO72" s="1046"/>
      <c r="AP72" s="1046"/>
      <c r="AQ72" s="1046">
        <f t="shared" si="183"/>
        <v>0</v>
      </c>
      <c r="AR72" s="1046"/>
      <c r="AS72" s="1046"/>
      <c r="AT72" s="1046"/>
      <c r="AU72" s="1046"/>
      <c r="AV72" s="1046"/>
      <c r="AW72" s="1046"/>
      <c r="AX72" s="1046"/>
      <c r="AY72" s="179"/>
      <c r="AZ72" s="8">
        <f t="shared" si="39"/>
        <v>0</v>
      </c>
      <c r="BB72" s="221"/>
      <c r="BC72" s="179"/>
    </row>
    <row r="73" spans="1:55" s="220" customFormat="1" ht="14.25" customHeight="1">
      <c r="A73" s="17">
        <v>1</v>
      </c>
      <c r="B73" s="56" t="s">
        <v>508</v>
      </c>
      <c r="C73" s="671">
        <v>39448</v>
      </c>
      <c r="D73" s="55">
        <v>8</v>
      </c>
      <c r="E73" s="6">
        <v>26600000</v>
      </c>
      <c r="F73" s="1041">
        <f t="shared" ref="F73:F89" si="186">E73/D73</f>
        <v>3325000</v>
      </c>
      <c r="G73" s="1053"/>
      <c r="H73" s="1042">
        <f t="shared" ref="H73:H87" si="187">G73</f>
        <v>0</v>
      </c>
      <c r="I73" s="1042">
        <f t="shared" ref="I73:I87" si="188">E73-H73</f>
        <v>26600000</v>
      </c>
      <c r="J73" s="1042"/>
      <c r="K73" s="1042">
        <f>J73+H73</f>
        <v>0</v>
      </c>
      <c r="L73" s="1042">
        <f t="shared" ref="L73:L87" si="189">E73-K73</f>
        <v>26600000</v>
      </c>
      <c r="M73" s="1042">
        <f t="shared" ref="M73:M87" si="190">(F73/12)*12</f>
        <v>3325000</v>
      </c>
      <c r="N73" s="1042">
        <f t="shared" ref="N73:N87" si="191">M73+K73</f>
        <v>3325000</v>
      </c>
      <c r="O73" s="1042">
        <f t="shared" ref="O73:O87" si="192">E73-N73</f>
        <v>23275000</v>
      </c>
      <c r="P73" s="1042">
        <f t="shared" ref="P73:P75" si="193">(F73/12)*12</f>
        <v>3325000</v>
      </c>
      <c r="Q73" s="1042">
        <f t="shared" ref="Q73:Q87" si="194">N73+P73</f>
        <v>6650000</v>
      </c>
      <c r="R73" s="1042">
        <f t="shared" ref="R73:R87" si="195">E73-Q73</f>
        <v>19950000</v>
      </c>
      <c r="S73" s="1042">
        <f t="shared" ref="S73:S75" si="196">(F73/12)*12</f>
        <v>3325000</v>
      </c>
      <c r="T73" s="1042">
        <f t="shared" ref="T73:T87" si="197">Q73+S73</f>
        <v>9975000</v>
      </c>
      <c r="U73" s="1042">
        <f t="shared" ref="U73:U89" si="198">E73-T73</f>
        <v>16625000</v>
      </c>
      <c r="V73" s="1042">
        <f>(F73/12)*12</f>
        <v>3325000</v>
      </c>
      <c r="W73" s="1042">
        <f t="shared" ref="W73:W89" si="199">T73+V73</f>
        <v>13300000</v>
      </c>
      <c r="X73" s="1042">
        <f t="shared" ref="X73:X89" si="200">E73-W73</f>
        <v>13300000</v>
      </c>
      <c r="Y73" s="7">
        <v>13300000.000000007</v>
      </c>
      <c r="Z73" s="7">
        <f t="shared" ref="Z73:Z89" si="201">E73-Y73</f>
        <v>13299999.999999993</v>
      </c>
      <c r="AA73" s="1042">
        <f>(F73/12)*12</f>
        <v>3325000</v>
      </c>
      <c r="AB73" s="1042">
        <f t="shared" ref="AB73:AB89" si="202">W73+AA73</f>
        <v>16625000</v>
      </c>
      <c r="AC73" s="1042">
        <f t="shared" ref="AC73:AC89" si="203">E73-AB73</f>
        <v>9975000</v>
      </c>
      <c r="AD73" s="1042">
        <f t="shared" ref="AD73:AD75" si="204">(F73/12)*12</f>
        <v>3325000</v>
      </c>
      <c r="AE73" s="1042">
        <f t="shared" ref="AE73:AE89" si="205">AB73+AD73</f>
        <v>19950000</v>
      </c>
      <c r="AF73" s="1042">
        <f t="shared" ref="AF73:AF89" si="206">E73-AE73</f>
        <v>6650000</v>
      </c>
      <c r="AG73" s="1042">
        <f t="shared" ref="AG73:AG75" si="207">(F73/12)*12</f>
        <v>3325000</v>
      </c>
      <c r="AH73" s="1042">
        <f t="shared" ref="AH73:AH89" si="208">AE73+AG73</f>
        <v>23275000</v>
      </c>
      <c r="AI73" s="1042">
        <f t="shared" ref="AI73:AI89" si="209">E73-AH73</f>
        <v>3325000</v>
      </c>
      <c r="AJ73" s="1042">
        <f t="shared" ref="AJ73:AJ75" si="210">(F73/12)*1</f>
        <v>277083.33333333331</v>
      </c>
      <c r="AK73" s="1042">
        <f t="shared" ref="AK73:AK75" si="211">AH73+AJ73</f>
        <v>23552083.333333332</v>
      </c>
      <c r="AL73" s="1042">
        <f t="shared" ref="AL73:AL75" si="212">E73-AK73</f>
        <v>3047916.6666666679</v>
      </c>
      <c r="AM73" s="1042">
        <f t="shared" si="128"/>
        <v>2493750</v>
      </c>
      <c r="AN73" s="1042">
        <f t="shared" ref="AN73:AN75" si="213">AH73+AM73</f>
        <v>25768750</v>
      </c>
      <c r="AO73" s="1042">
        <f t="shared" ref="AO73:AO75" si="214">E73-AN73</f>
        <v>831250</v>
      </c>
      <c r="AP73" s="1042">
        <f t="shared" ref="AP73:AP75" si="215">(F73/12)*12</f>
        <v>3325000</v>
      </c>
      <c r="AQ73" s="1042">
        <f t="shared" si="183"/>
        <v>26600000</v>
      </c>
      <c r="AR73" s="1042">
        <f t="shared" ref="AR73:AR89" si="216">E73-AQ73</f>
        <v>0</v>
      </c>
      <c r="AS73" s="1042">
        <f t="shared" ref="AS73:AS75" si="217">(F73/12)*0</f>
        <v>0</v>
      </c>
      <c r="AT73" s="1042">
        <f t="shared" si="185"/>
        <v>26600000</v>
      </c>
      <c r="AU73" s="1042">
        <f t="shared" ref="AU73:AU75" si="218">E73-AT73</f>
        <v>0</v>
      </c>
      <c r="AV73" s="1042">
        <f>(F73/12)*0</f>
        <v>0</v>
      </c>
      <c r="AW73" s="1042">
        <f t="shared" ref="AW73:AW75" si="219">AQ73+AV73</f>
        <v>26600000</v>
      </c>
      <c r="AX73" s="1042">
        <f t="shared" ref="AX73:AX75" si="220">E73-AW73</f>
        <v>0</v>
      </c>
      <c r="AY73" s="179"/>
      <c r="AZ73" s="8">
        <f t="shared" si="39"/>
        <v>0</v>
      </c>
      <c r="BB73" s="221"/>
      <c r="BC73" s="179"/>
    </row>
    <row r="74" spans="1:55" s="220" customFormat="1" ht="14.25" customHeight="1">
      <c r="A74" s="17">
        <f>A73+1</f>
        <v>2</v>
      </c>
      <c r="B74" s="56" t="s">
        <v>509</v>
      </c>
      <c r="C74" s="671">
        <v>39814</v>
      </c>
      <c r="D74" s="55">
        <v>8</v>
      </c>
      <c r="E74" s="6">
        <v>3200000</v>
      </c>
      <c r="F74" s="1041">
        <f t="shared" si="186"/>
        <v>400000</v>
      </c>
      <c r="G74" s="1053"/>
      <c r="H74" s="1042">
        <f t="shared" si="187"/>
        <v>0</v>
      </c>
      <c r="I74" s="1042">
        <f t="shared" si="188"/>
        <v>3200000</v>
      </c>
      <c r="J74" s="1042"/>
      <c r="K74" s="1042">
        <f t="shared" ref="K74:K87" si="221">J74+H74</f>
        <v>0</v>
      </c>
      <c r="L74" s="1042">
        <f t="shared" si="189"/>
        <v>3200000</v>
      </c>
      <c r="M74" s="1042">
        <f t="shared" si="190"/>
        <v>400000</v>
      </c>
      <c r="N74" s="1042">
        <f t="shared" si="191"/>
        <v>400000</v>
      </c>
      <c r="O74" s="1042">
        <f t="shared" si="192"/>
        <v>2800000</v>
      </c>
      <c r="P74" s="1042">
        <f t="shared" si="193"/>
        <v>400000</v>
      </c>
      <c r="Q74" s="1042">
        <f t="shared" si="194"/>
        <v>800000</v>
      </c>
      <c r="R74" s="1042">
        <f t="shared" si="195"/>
        <v>2400000</v>
      </c>
      <c r="S74" s="1042">
        <f t="shared" si="196"/>
        <v>400000</v>
      </c>
      <c r="T74" s="1042">
        <f t="shared" si="197"/>
        <v>1200000</v>
      </c>
      <c r="U74" s="1042">
        <f t="shared" si="198"/>
        <v>2000000</v>
      </c>
      <c r="V74" s="1042">
        <f t="shared" ref="V74:V75" si="222">(F74/12)*12</f>
        <v>400000</v>
      </c>
      <c r="W74" s="1042">
        <f t="shared" si="199"/>
        <v>1600000</v>
      </c>
      <c r="X74" s="1042">
        <f t="shared" si="200"/>
        <v>1600000</v>
      </c>
      <c r="Y74" s="7">
        <v>1599999.9999999993</v>
      </c>
      <c r="Z74" s="7">
        <f t="shared" si="201"/>
        <v>1600000.0000000007</v>
      </c>
      <c r="AA74" s="1042">
        <f t="shared" ref="AA74:AA75" si="223">(F74/12)*12</f>
        <v>400000</v>
      </c>
      <c r="AB74" s="1042">
        <f t="shared" si="202"/>
        <v>2000000</v>
      </c>
      <c r="AC74" s="1042">
        <f t="shared" si="203"/>
        <v>1200000</v>
      </c>
      <c r="AD74" s="1042">
        <f t="shared" si="204"/>
        <v>400000</v>
      </c>
      <c r="AE74" s="1042">
        <f t="shared" si="205"/>
        <v>2400000</v>
      </c>
      <c r="AF74" s="1042">
        <f t="shared" si="206"/>
        <v>800000</v>
      </c>
      <c r="AG74" s="1042">
        <f t="shared" si="207"/>
        <v>400000</v>
      </c>
      <c r="AH74" s="1042">
        <f t="shared" si="208"/>
        <v>2800000</v>
      </c>
      <c r="AI74" s="1042">
        <f t="shared" si="209"/>
        <v>400000</v>
      </c>
      <c r="AJ74" s="1042">
        <f t="shared" si="210"/>
        <v>33333.333333333336</v>
      </c>
      <c r="AK74" s="1042">
        <f t="shared" si="211"/>
        <v>2833333.3333333335</v>
      </c>
      <c r="AL74" s="1042">
        <f t="shared" si="212"/>
        <v>366666.66666666651</v>
      </c>
      <c r="AM74" s="1042">
        <f t="shared" si="128"/>
        <v>300000</v>
      </c>
      <c r="AN74" s="1042">
        <f t="shared" si="213"/>
        <v>3100000</v>
      </c>
      <c r="AO74" s="1042">
        <f t="shared" si="214"/>
        <v>100000</v>
      </c>
      <c r="AP74" s="1042">
        <f t="shared" si="215"/>
        <v>400000</v>
      </c>
      <c r="AQ74" s="1042">
        <f t="shared" si="183"/>
        <v>3200000</v>
      </c>
      <c r="AR74" s="1042">
        <f t="shared" si="216"/>
        <v>0</v>
      </c>
      <c r="AS74" s="1042">
        <f t="shared" si="217"/>
        <v>0</v>
      </c>
      <c r="AT74" s="1042">
        <f t="shared" si="185"/>
        <v>3200000</v>
      </c>
      <c r="AU74" s="1042">
        <f t="shared" si="218"/>
        <v>0</v>
      </c>
      <c r="AV74" s="1042">
        <f>(F74/12)*0</f>
        <v>0</v>
      </c>
      <c r="AW74" s="1042">
        <f t="shared" si="219"/>
        <v>3200000</v>
      </c>
      <c r="AX74" s="1042">
        <f t="shared" si="220"/>
        <v>0</v>
      </c>
      <c r="AY74" s="179"/>
      <c r="AZ74" s="8">
        <f t="shared" si="39"/>
        <v>0</v>
      </c>
      <c r="BB74" s="221"/>
      <c r="BC74" s="179"/>
    </row>
    <row r="75" spans="1:55" s="220" customFormat="1" ht="14.25" customHeight="1">
      <c r="A75" s="17">
        <f t="shared" ref="A75:A89" si="224">A74+1</f>
        <v>3</v>
      </c>
      <c r="B75" s="56" t="s">
        <v>510</v>
      </c>
      <c r="C75" s="671">
        <v>39814</v>
      </c>
      <c r="D75" s="55">
        <v>8</v>
      </c>
      <c r="E75" s="6">
        <v>5700000</v>
      </c>
      <c r="F75" s="1041">
        <f t="shared" si="186"/>
        <v>712500</v>
      </c>
      <c r="G75" s="1053"/>
      <c r="H75" s="1042">
        <f t="shared" si="187"/>
        <v>0</v>
      </c>
      <c r="I75" s="1042">
        <f t="shared" si="188"/>
        <v>5700000</v>
      </c>
      <c r="J75" s="1042"/>
      <c r="K75" s="1042">
        <f t="shared" si="221"/>
        <v>0</v>
      </c>
      <c r="L75" s="1042">
        <f t="shared" si="189"/>
        <v>5700000</v>
      </c>
      <c r="M75" s="1042">
        <f t="shared" si="190"/>
        <v>712500</v>
      </c>
      <c r="N75" s="1042">
        <f t="shared" si="191"/>
        <v>712500</v>
      </c>
      <c r="O75" s="1042">
        <f t="shared" si="192"/>
        <v>4987500</v>
      </c>
      <c r="P75" s="1042">
        <f t="shared" si="193"/>
        <v>712500</v>
      </c>
      <c r="Q75" s="1042">
        <f t="shared" si="194"/>
        <v>1425000</v>
      </c>
      <c r="R75" s="1042">
        <f t="shared" si="195"/>
        <v>4275000</v>
      </c>
      <c r="S75" s="1042">
        <f t="shared" si="196"/>
        <v>712500</v>
      </c>
      <c r="T75" s="1042">
        <f t="shared" si="197"/>
        <v>2137500</v>
      </c>
      <c r="U75" s="1042">
        <f t="shared" si="198"/>
        <v>3562500</v>
      </c>
      <c r="V75" s="1042">
        <f t="shared" si="222"/>
        <v>712500</v>
      </c>
      <c r="W75" s="1042">
        <f t="shared" si="199"/>
        <v>2850000</v>
      </c>
      <c r="X75" s="1042">
        <f t="shared" si="200"/>
        <v>2850000</v>
      </c>
      <c r="Y75" s="7">
        <v>2850000</v>
      </c>
      <c r="Z75" s="7">
        <f t="shared" si="201"/>
        <v>2850000</v>
      </c>
      <c r="AA75" s="1042">
        <f t="shared" si="223"/>
        <v>712500</v>
      </c>
      <c r="AB75" s="1042">
        <f t="shared" si="202"/>
        <v>3562500</v>
      </c>
      <c r="AC75" s="1042">
        <f t="shared" si="203"/>
        <v>2137500</v>
      </c>
      <c r="AD75" s="1042">
        <f t="shared" si="204"/>
        <v>712500</v>
      </c>
      <c r="AE75" s="1042">
        <f t="shared" si="205"/>
        <v>4275000</v>
      </c>
      <c r="AF75" s="1042">
        <f t="shared" si="206"/>
        <v>1425000</v>
      </c>
      <c r="AG75" s="1042">
        <f t="shared" si="207"/>
        <v>712500</v>
      </c>
      <c r="AH75" s="1042">
        <f t="shared" si="208"/>
        <v>4987500</v>
      </c>
      <c r="AI75" s="1042">
        <f t="shared" si="209"/>
        <v>712500</v>
      </c>
      <c r="AJ75" s="1042">
        <f t="shared" si="210"/>
        <v>59375</v>
      </c>
      <c r="AK75" s="1042">
        <f t="shared" si="211"/>
        <v>5046875</v>
      </c>
      <c r="AL75" s="1042">
        <f t="shared" si="212"/>
        <v>653125</v>
      </c>
      <c r="AM75" s="1042">
        <f t="shared" si="128"/>
        <v>534375</v>
      </c>
      <c r="AN75" s="1042">
        <f t="shared" si="213"/>
        <v>5521875</v>
      </c>
      <c r="AO75" s="1042">
        <f t="shared" si="214"/>
        <v>178125</v>
      </c>
      <c r="AP75" s="1042">
        <f t="shared" si="215"/>
        <v>712500</v>
      </c>
      <c r="AQ75" s="1042">
        <f t="shared" si="183"/>
        <v>5700000</v>
      </c>
      <c r="AR75" s="1042">
        <f t="shared" si="216"/>
        <v>0</v>
      </c>
      <c r="AS75" s="1042">
        <f t="shared" si="217"/>
        <v>0</v>
      </c>
      <c r="AT75" s="1042">
        <f t="shared" si="185"/>
        <v>5700000</v>
      </c>
      <c r="AU75" s="1042">
        <f t="shared" si="218"/>
        <v>0</v>
      </c>
      <c r="AV75" s="1042">
        <f>(F75/12)*0</f>
        <v>0</v>
      </c>
      <c r="AW75" s="1042">
        <f t="shared" si="219"/>
        <v>5700000</v>
      </c>
      <c r="AX75" s="1042">
        <f t="shared" si="220"/>
        <v>0</v>
      </c>
      <c r="AY75" s="179"/>
      <c r="AZ75" s="8">
        <f t="shared" si="39"/>
        <v>0</v>
      </c>
      <c r="BB75" s="221"/>
      <c r="BC75" s="179"/>
    </row>
    <row r="76" spans="1:55" s="220" customFormat="1" ht="14.25" hidden="1" customHeight="1">
      <c r="A76" s="17">
        <f t="shared" si="224"/>
        <v>4</v>
      </c>
      <c r="B76" s="907" t="s">
        <v>479</v>
      </c>
      <c r="C76" s="903">
        <v>39814</v>
      </c>
      <c r="D76" s="877">
        <v>8</v>
      </c>
      <c r="E76" s="878">
        <f>102400000*0</f>
        <v>0</v>
      </c>
      <c r="F76" s="879">
        <f t="shared" si="186"/>
        <v>0</v>
      </c>
      <c r="G76" s="880">
        <f>(F76/12)*(13-IF(C76="","",MONTH(C76)))*6</f>
        <v>0</v>
      </c>
      <c r="H76" s="880">
        <f t="shared" si="187"/>
        <v>0</v>
      </c>
      <c r="I76" s="880">
        <f t="shared" si="188"/>
        <v>0</v>
      </c>
      <c r="J76" s="880">
        <f t="shared" ref="J76:J87" si="225">(F76/12)*12</f>
        <v>0</v>
      </c>
      <c r="K76" s="880">
        <f t="shared" si="221"/>
        <v>0</v>
      </c>
      <c r="L76" s="880">
        <f t="shared" si="189"/>
        <v>0</v>
      </c>
      <c r="M76" s="880">
        <f t="shared" si="190"/>
        <v>0</v>
      </c>
      <c r="N76" s="880">
        <f t="shared" si="191"/>
        <v>0</v>
      </c>
      <c r="O76" s="880">
        <f t="shared" si="192"/>
        <v>0</v>
      </c>
      <c r="P76" s="880">
        <f t="shared" ref="P76:P87" si="226">(F76/12)*12</f>
        <v>0</v>
      </c>
      <c r="Q76" s="880">
        <f t="shared" si="194"/>
        <v>0</v>
      </c>
      <c r="R76" s="880">
        <f t="shared" si="195"/>
        <v>0</v>
      </c>
      <c r="S76" s="880">
        <f>(F76/12)*12</f>
        <v>0</v>
      </c>
      <c r="T76" s="880">
        <f t="shared" si="197"/>
        <v>0</v>
      </c>
      <c r="U76" s="880">
        <f t="shared" si="198"/>
        <v>0</v>
      </c>
      <c r="V76" s="880">
        <f t="shared" ref="V76:V82" si="227">(F76/12)*12</f>
        <v>0</v>
      </c>
      <c r="W76" s="880">
        <f t="shared" si="199"/>
        <v>0</v>
      </c>
      <c r="X76" s="880">
        <f t="shared" si="200"/>
        <v>0</v>
      </c>
      <c r="Y76" s="880">
        <f>51200000*0</f>
        <v>0</v>
      </c>
      <c r="Z76" s="880">
        <f t="shared" si="201"/>
        <v>0</v>
      </c>
      <c r="AA76" s="880">
        <f t="shared" ref="AA76:AA82" si="228">(F76/12)*12</f>
        <v>0</v>
      </c>
      <c r="AB76" s="880">
        <f t="shared" si="202"/>
        <v>0</v>
      </c>
      <c r="AC76" s="880">
        <f t="shared" si="203"/>
        <v>0</v>
      </c>
      <c r="AD76" s="880">
        <f>(F76/12)*12</f>
        <v>0</v>
      </c>
      <c r="AE76" s="880">
        <f t="shared" si="205"/>
        <v>0</v>
      </c>
      <c r="AF76" s="880">
        <f t="shared" si="206"/>
        <v>0</v>
      </c>
      <c r="AG76" s="880">
        <f t="shared" ref="AG76:AG82" si="229">(F76/12)*12</f>
        <v>0</v>
      </c>
      <c r="AH76" s="880">
        <f t="shared" si="208"/>
        <v>0</v>
      </c>
      <c r="AI76" s="880">
        <f t="shared" si="209"/>
        <v>0</v>
      </c>
      <c r="AJ76" s="880"/>
      <c r="AK76" s="880"/>
      <c r="AL76" s="880"/>
      <c r="AM76" s="880"/>
      <c r="AN76" s="880"/>
      <c r="AO76" s="880"/>
      <c r="AP76" s="880">
        <f t="shared" ref="AP76:AP82" si="230">(F76/12)*7</f>
        <v>0</v>
      </c>
      <c r="AQ76" s="880">
        <f t="shared" si="183"/>
        <v>0</v>
      </c>
      <c r="AR76" s="880">
        <f t="shared" si="216"/>
        <v>0</v>
      </c>
      <c r="AS76" s="896">
        <f t="shared" ref="AS76:AS100" si="231">(F76/12)*1</f>
        <v>0</v>
      </c>
      <c r="AT76" s="896">
        <f t="shared" si="185"/>
        <v>0</v>
      </c>
      <c r="AU76" s="896"/>
      <c r="AV76" s="896"/>
      <c r="AW76" s="896"/>
      <c r="AX76" s="896"/>
      <c r="AY76" s="179"/>
      <c r="AZ76" s="8">
        <f t="shared" ref="AZ76:AZ100" si="232">E76-AQ76-AR76</f>
        <v>0</v>
      </c>
      <c r="BB76" s="221"/>
      <c r="BC76" s="179"/>
    </row>
    <row r="77" spans="1:55" s="220" customFormat="1" ht="14.25" customHeight="1">
      <c r="A77" s="17">
        <f t="shared" si="224"/>
        <v>5</v>
      </c>
      <c r="B77" s="907" t="s">
        <v>1150</v>
      </c>
      <c r="C77" s="671">
        <v>40179</v>
      </c>
      <c r="D77" s="55">
        <v>8</v>
      </c>
      <c r="E77" s="6">
        <f>9000000+102400000</f>
        <v>111400000</v>
      </c>
      <c r="F77" s="1041">
        <f t="shared" si="186"/>
        <v>13925000</v>
      </c>
      <c r="G77" s="1053"/>
      <c r="H77" s="1042">
        <f t="shared" si="187"/>
        <v>0</v>
      </c>
      <c r="I77" s="1042">
        <f t="shared" si="188"/>
        <v>111400000</v>
      </c>
      <c r="J77" s="1042"/>
      <c r="K77" s="1042">
        <f t="shared" si="221"/>
        <v>0</v>
      </c>
      <c r="L77" s="1042">
        <f t="shared" si="189"/>
        <v>111400000</v>
      </c>
      <c r="M77" s="1042">
        <f t="shared" si="190"/>
        <v>13925000</v>
      </c>
      <c r="N77" s="1042">
        <f t="shared" si="191"/>
        <v>13925000</v>
      </c>
      <c r="O77" s="1042">
        <f t="shared" si="192"/>
        <v>97475000</v>
      </c>
      <c r="P77" s="1042">
        <f t="shared" si="226"/>
        <v>13925000</v>
      </c>
      <c r="Q77" s="1042">
        <f t="shared" si="194"/>
        <v>27850000</v>
      </c>
      <c r="R77" s="1042">
        <f t="shared" si="195"/>
        <v>83550000</v>
      </c>
      <c r="S77" s="1042">
        <f t="shared" ref="S77:S87" si="233">(F77/12)*12</f>
        <v>13925000</v>
      </c>
      <c r="T77" s="1042">
        <f t="shared" si="197"/>
        <v>41775000</v>
      </c>
      <c r="U77" s="1042">
        <f t="shared" si="198"/>
        <v>69625000</v>
      </c>
      <c r="V77" s="1042">
        <f t="shared" si="227"/>
        <v>13925000</v>
      </c>
      <c r="W77" s="1042">
        <f t="shared" si="199"/>
        <v>55700000</v>
      </c>
      <c r="X77" s="1042">
        <f t="shared" si="200"/>
        <v>55700000</v>
      </c>
      <c r="Y77" s="7">
        <f>4500000+51200000</f>
        <v>55700000</v>
      </c>
      <c r="Z77" s="7">
        <f t="shared" si="201"/>
        <v>55700000</v>
      </c>
      <c r="AA77" s="1042">
        <f t="shared" si="228"/>
        <v>13925000</v>
      </c>
      <c r="AB77" s="1042">
        <f t="shared" si="202"/>
        <v>69625000</v>
      </c>
      <c r="AC77" s="1042">
        <f t="shared" si="203"/>
        <v>41775000</v>
      </c>
      <c r="AD77" s="1042">
        <f t="shared" ref="AD77" si="234">(F77/12)*12</f>
        <v>13925000</v>
      </c>
      <c r="AE77" s="1042">
        <f t="shared" si="205"/>
        <v>83550000</v>
      </c>
      <c r="AF77" s="1042">
        <f t="shared" si="206"/>
        <v>27850000</v>
      </c>
      <c r="AG77" s="1042">
        <f t="shared" si="229"/>
        <v>13925000</v>
      </c>
      <c r="AH77" s="1042">
        <f t="shared" si="208"/>
        <v>97475000</v>
      </c>
      <c r="AI77" s="1042">
        <f t="shared" si="209"/>
        <v>13925000</v>
      </c>
      <c r="AJ77" s="1042">
        <f t="shared" ref="AJ77" si="235">(F77/12)*1</f>
        <v>1160416.6666666667</v>
      </c>
      <c r="AK77" s="1042">
        <f t="shared" ref="AK77" si="236">AH77+AJ77</f>
        <v>98635416.666666672</v>
      </c>
      <c r="AL77" s="1042">
        <f t="shared" ref="AL77" si="237">E77-AK77</f>
        <v>12764583.333333328</v>
      </c>
      <c r="AM77" s="1042">
        <f t="shared" si="128"/>
        <v>10443750</v>
      </c>
      <c r="AN77" s="1042">
        <f t="shared" ref="AN77" si="238">AH77+AM77</f>
        <v>107918750</v>
      </c>
      <c r="AO77" s="1042">
        <f t="shared" ref="AO77" si="239">E77-AN77</f>
        <v>3481250</v>
      </c>
      <c r="AP77" s="1042">
        <f>(F77/12)*12</f>
        <v>13925000</v>
      </c>
      <c r="AQ77" s="1042">
        <f t="shared" si="183"/>
        <v>111400000</v>
      </c>
      <c r="AR77" s="1042">
        <f t="shared" si="216"/>
        <v>0</v>
      </c>
      <c r="AS77" s="1042">
        <f>(F77/12)*0</f>
        <v>0</v>
      </c>
      <c r="AT77" s="1042">
        <f t="shared" si="185"/>
        <v>111400000</v>
      </c>
      <c r="AU77" s="1042">
        <f t="shared" ref="AU77" si="240">E77-AT77</f>
        <v>0</v>
      </c>
      <c r="AV77" s="1042">
        <f>(F77/12)*0</f>
        <v>0</v>
      </c>
      <c r="AW77" s="1042">
        <f t="shared" ref="AW77" si="241">AQ77+AV77</f>
        <v>111400000</v>
      </c>
      <c r="AX77" s="1042">
        <f t="shared" ref="AX77" si="242">E77-AW77</f>
        <v>0</v>
      </c>
      <c r="AY77" s="179"/>
      <c r="AZ77" s="8">
        <f>E77-AW77-AX77</f>
        <v>0</v>
      </c>
      <c r="BB77" s="221"/>
      <c r="BC77" s="179"/>
    </row>
    <row r="78" spans="1:55" s="220" customFormat="1" ht="14.25" hidden="1" customHeight="1">
      <c r="A78" s="17">
        <f>A86+1</f>
        <v>7</v>
      </c>
      <c r="B78" s="902" t="s">
        <v>513</v>
      </c>
      <c r="C78" s="903">
        <v>40179</v>
      </c>
      <c r="D78" s="877">
        <v>8</v>
      </c>
      <c r="E78" s="878">
        <f>41900000*0</f>
        <v>0</v>
      </c>
      <c r="F78" s="879">
        <f t="shared" si="186"/>
        <v>0</v>
      </c>
      <c r="G78" s="880">
        <f>(F78/12)*(13-IF(C78="","",MONTH(C78)))*5</f>
        <v>0</v>
      </c>
      <c r="H78" s="880">
        <f t="shared" si="187"/>
        <v>0</v>
      </c>
      <c r="I78" s="880">
        <f t="shared" si="188"/>
        <v>0</v>
      </c>
      <c r="J78" s="880">
        <f t="shared" si="225"/>
        <v>0</v>
      </c>
      <c r="K78" s="880">
        <f t="shared" si="221"/>
        <v>0</v>
      </c>
      <c r="L78" s="880">
        <f t="shared" si="189"/>
        <v>0</v>
      </c>
      <c r="M78" s="880">
        <f t="shared" si="190"/>
        <v>0</v>
      </c>
      <c r="N78" s="880">
        <f t="shared" si="191"/>
        <v>0</v>
      </c>
      <c r="O78" s="880">
        <f t="shared" si="192"/>
        <v>0</v>
      </c>
      <c r="P78" s="880">
        <f t="shared" si="226"/>
        <v>0</v>
      </c>
      <c r="Q78" s="880">
        <f t="shared" si="194"/>
        <v>0</v>
      </c>
      <c r="R78" s="880">
        <f t="shared" si="195"/>
        <v>0</v>
      </c>
      <c r="S78" s="880">
        <f t="shared" si="233"/>
        <v>0</v>
      </c>
      <c r="T78" s="880">
        <f t="shared" si="197"/>
        <v>0</v>
      </c>
      <c r="U78" s="880">
        <f t="shared" si="198"/>
        <v>0</v>
      </c>
      <c r="V78" s="880">
        <f t="shared" si="227"/>
        <v>0</v>
      </c>
      <c r="W78" s="880">
        <f t="shared" si="199"/>
        <v>0</v>
      </c>
      <c r="X78" s="880">
        <f t="shared" si="200"/>
        <v>0</v>
      </c>
      <c r="Y78" s="880">
        <f>20950000*0</f>
        <v>0</v>
      </c>
      <c r="Z78" s="880">
        <f t="shared" si="201"/>
        <v>0</v>
      </c>
      <c r="AA78" s="880">
        <f t="shared" si="228"/>
        <v>0</v>
      </c>
      <c r="AB78" s="880">
        <f t="shared" si="202"/>
        <v>0</v>
      </c>
      <c r="AC78" s="880">
        <f t="shared" si="203"/>
        <v>0</v>
      </c>
      <c r="AD78" s="880">
        <f>(F78/12)*12</f>
        <v>0</v>
      </c>
      <c r="AE78" s="880">
        <f t="shared" si="205"/>
        <v>0</v>
      </c>
      <c r="AF78" s="880">
        <f t="shared" si="206"/>
        <v>0</v>
      </c>
      <c r="AG78" s="880">
        <f t="shared" si="229"/>
        <v>0</v>
      </c>
      <c r="AH78" s="880">
        <f t="shared" si="208"/>
        <v>0</v>
      </c>
      <c r="AI78" s="880">
        <f t="shared" si="209"/>
        <v>0</v>
      </c>
      <c r="AJ78" s="880"/>
      <c r="AK78" s="880"/>
      <c r="AL78" s="880"/>
      <c r="AM78" s="880"/>
      <c r="AN78" s="880"/>
      <c r="AO78" s="880"/>
      <c r="AP78" s="880">
        <f t="shared" si="230"/>
        <v>0</v>
      </c>
      <c r="AQ78" s="880">
        <f t="shared" si="183"/>
        <v>0</v>
      </c>
      <c r="AR78" s="880">
        <f t="shared" si="216"/>
        <v>0</v>
      </c>
      <c r="AS78" s="896">
        <f t="shared" si="231"/>
        <v>0</v>
      </c>
      <c r="AT78" s="896">
        <f t="shared" si="185"/>
        <v>0</v>
      </c>
      <c r="AU78" s="896"/>
      <c r="AV78" s="896"/>
      <c r="AW78" s="896"/>
      <c r="AX78" s="896"/>
      <c r="AY78" s="179"/>
      <c r="AZ78" s="8">
        <f t="shared" si="232"/>
        <v>0</v>
      </c>
      <c r="BB78" s="221"/>
      <c r="BC78" s="179"/>
    </row>
    <row r="79" spans="1:55" s="220" customFormat="1" ht="14.25" customHeight="1">
      <c r="A79" s="17">
        <f>A78+1</f>
        <v>8</v>
      </c>
      <c r="B79" s="56" t="s">
        <v>514</v>
      </c>
      <c r="C79" s="671">
        <v>40544</v>
      </c>
      <c r="D79" s="55">
        <v>8</v>
      </c>
      <c r="E79" s="6">
        <v>18600000</v>
      </c>
      <c r="F79" s="1041">
        <f t="shared" si="186"/>
        <v>2325000</v>
      </c>
      <c r="G79" s="1053"/>
      <c r="H79" s="1042">
        <f t="shared" si="187"/>
        <v>0</v>
      </c>
      <c r="I79" s="1042">
        <f t="shared" si="188"/>
        <v>18600000</v>
      </c>
      <c r="J79" s="1042"/>
      <c r="K79" s="1042">
        <f t="shared" si="221"/>
        <v>0</v>
      </c>
      <c r="L79" s="1042">
        <f t="shared" si="189"/>
        <v>18600000</v>
      </c>
      <c r="M79" s="1042">
        <f t="shared" si="190"/>
        <v>2325000</v>
      </c>
      <c r="N79" s="1042">
        <f t="shared" si="191"/>
        <v>2325000</v>
      </c>
      <c r="O79" s="1042">
        <f t="shared" si="192"/>
        <v>16275000</v>
      </c>
      <c r="P79" s="1042">
        <f t="shared" si="226"/>
        <v>2325000</v>
      </c>
      <c r="Q79" s="1042">
        <f t="shared" si="194"/>
        <v>4650000</v>
      </c>
      <c r="R79" s="1042">
        <f t="shared" si="195"/>
        <v>13950000</v>
      </c>
      <c r="S79" s="1042">
        <f t="shared" si="233"/>
        <v>2325000</v>
      </c>
      <c r="T79" s="1042">
        <f t="shared" si="197"/>
        <v>6975000</v>
      </c>
      <c r="U79" s="1042">
        <f t="shared" si="198"/>
        <v>11625000</v>
      </c>
      <c r="V79" s="1042">
        <f t="shared" si="227"/>
        <v>2325000</v>
      </c>
      <c r="W79" s="1042">
        <f t="shared" si="199"/>
        <v>9300000</v>
      </c>
      <c r="X79" s="1042">
        <f t="shared" si="200"/>
        <v>9300000</v>
      </c>
      <c r="Y79" s="7">
        <v>9300000</v>
      </c>
      <c r="Z79" s="7">
        <f t="shared" si="201"/>
        <v>9300000</v>
      </c>
      <c r="AA79" s="1042">
        <f t="shared" si="228"/>
        <v>2325000</v>
      </c>
      <c r="AB79" s="1042">
        <f t="shared" si="202"/>
        <v>11625000</v>
      </c>
      <c r="AC79" s="1042">
        <f t="shared" si="203"/>
        <v>6975000</v>
      </c>
      <c r="AD79" s="1042">
        <f t="shared" ref="AD79" si="243">(F79/12)*12</f>
        <v>2325000</v>
      </c>
      <c r="AE79" s="1042">
        <f t="shared" si="205"/>
        <v>13950000</v>
      </c>
      <c r="AF79" s="1042">
        <f t="shared" si="206"/>
        <v>4650000</v>
      </c>
      <c r="AG79" s="1042">
        <f t="shared" si="229"/>
        <v>2325000</v>
      </c>
      <c r="AH79" s="1042">
        <f t="shared" si="208"/>
        <v>16275000</v>
      </c>
      <c r="AI79" s="1042">
        <f t="shared" si="209"/>
        <v>2325000</v>
      </c>
      <c r="AJ79" s="1042">
        <f t="shared" ref="AJ79" si="244">(F79/12)*1</f>
        <v>193750</v>
      </c>
      <c r="AK79" s="1042">
        <f t="shared" ref="AK79" si="245">AH79+AJ79</f>
        <v>16468750</v>
      </c>
      <c r="AL79" s="1042">
        <f t="shared" ref="AL79" si="246">E79-AK79</f>
        <v>2131250</v>
      </c>
      <c r="AM79" s="1042">
        <f t="shared" si="128"/>
        <v>1743750</v>
      </c>
      <c r="AN79" s="1042">
        <f t="shared" ref="AN79" si="247">AH79+AM79</f>
        <v>18018750</v>
      </c>
      <c r="AO79" s="1042">
        <f t="shared" ref="AO79" si="248">E79-AN79</f>
        <v>581250</v>
      </c>
      <c r="AP79" s="1042">
        <f>(F79/12)*12</f>
        <v>2325000</v>
      </c>
      <c r="AQ79" s="1042">
        <f t="shared" si="183"/>
        <v>18600000</v>
      </c>
      <c r="AR79" s="1042">
        <f t="shared" si="216"/>
        <v>0</v>
      </c>
      <c r="AS79" s="1042">
        <f>(F79/12)*0</f>
        <v>0</v>
      </c>
      <c r="AT79" s="1042">
        <f t="shared" si="185"/>
        <v>18600000</v>
      </c>
      <c r="AU79" s="1042">
        <f t="shared" ref="AU79" si="249">E79-AT79</f>
        <v>0</v>
      </c>
      <c r="AV79" s="1042">
        <f>(F79/12)*0</f>
        <v>0</v>
      </c>
      <c r="AW79" s="1042">
        <f t="shared" ref="AW79" si="250">AQ79+AV79</f>
        <v>18600000</v>
      </c>
      <c r="AX79" s="1042">
        <f t="shared" ref="AX79" si="251">E79-AW79</f>
        <v>0</v>
      </c>
      <c r="AY79" s="179"/>
      <c r="AZ79" s="8">
        <f>E79-AW79-AX79</f>
        <v>0</v>
      </c>
      <c r="BB79" s="221"/>
      <c r="BC79" s="179"/>
    </row>
    <row r="80" spans="1:55" s="220" customFormat="1" ht="14.25" hidden="1" customHeight="1">
      <c r="A80" s="17">
        <f t="shared" si="224"/>
        <v>9</v>
      </c>
      <c r="B80" s="905" t="s">
        <v>515</v>
      </c>
      <c r="C80" s="903">
        <v>40544</v>
      </c>
      <c r="D80" s="877">
        <v>8</v>
      </c>
      <c r="E80" s="878">
        <f>9600000*0</f>
        <v>0</v>
      </c>
      <c r="F80" s="879">
        <f t="shared" si="186"/>
        <v>0</v>
      </c>
      <c r="G80" s="880">
        <f t="shared" ref="G80:G82" si="252">(F80/12)*(13-IF(C80="","",MONTH(C80)))*4</f>
        <v>0</v>
      </c>
      <c r="H80" s="880">
        <f t="shared" si="187"/>
        <v>0</v>
      </c>
      <c r="I80" s="880">
        <f t="shared" si="188"/>
        <v>0</v>
      </c>
      <c r="J80" s="880">
        <f t="shared" si="225"/>
        <v>0</v>
      </c>
      <c r="K80" s="880">
        <f t="shared" si="221"/>
        <v>0</v>
      </c>
      <c r="L80" s="880">
        <f t="shared" si="189"/>
        <v>0</v>
      </c>
      <c r="M80" s="880">
        <f t="shared" si="190"/>
        <v>0</v>
      </c>
      <c r="N80" s="880">
        <f t="shared" si="191"/>
        <v>0</v>
      </c>
      <c r="O80" s="880">
        <f t="shared" si="192"/>
        <v>0</v>
      </c>
      <c r="P80" s="880">
        <f t="shared" si="226"/>
        <v>0</v>
      </c>
      <c r="Q80" s="880">
        <f t="shared" si="194"/>
        <v>0</v>
      </c>
      <c r="R80" s="880">
        <f t="shared" si="195"/>
        <v>0</v>
      </c>
      <c r="S80" s="880">
        <f t="shared" si="233"/>
        <v>0</v>
      </c>
      <c r="T80" s="880">
        <f t="shared" si="197"/>
        <v>0</v>
      </c>
      <c r="U80" s="880">
        <f t="shared" si="198"/>
        <v>0</v>
      </c>
      <c r="V80" s="880">
        <f t="shared" si="227"/>
        <v>0</v>
      </c>
      <c r="W80" s="880">
        <f t="shared" si="199"/>
        <v>0</v>
      </c>
      <c r="X80" s="880">
        <f t="shared" si="200"/>
        <v>0</v>
      </c>
      <c r="Y80" s="880">
        <f>4800000*0</f>
        <v>0</v>
      </c>
      <c r="Z80" s="880">
        <f t="shared" si="201"/>
        <v>0</v>
      </c>
      <c r="AA80" s="880">
        <f t="shared" si="228"/>
        <v>0</v>
      </c>
      <c r="AB80" s="880">
        <f t="shared" si="202"/>
        <v>0</v>
      </c>
      <c r="AC80" s="880">
        <f t="shared" si="203"/>
        <v>0</v>
      </c>
      <c r="AD80" s="880">
        <f>(F80/12)*12</f>
        <v>0</v>
      </c>
      <c r="AE80" s="880">
        <f t="shared" si="205"/>
        <v>0</v>
      </c>
      <c r="AF80" s="880">
        <f t="shared" si="206"/>
        <v>0</v>
      </c>
      <c r="AG80" s="880">
        <f t="shared" si="229"/>
        <v>0</v>
      </c>
      <c r="AH80" s="880">
        <f t="shared" si="208"/>
        <v>0</v>
      </c>
      <c r="AI80" s="880">
        <f t="shared" si="209"/>
        <v>0</v>
      </c>
      <c r="AJ80" s="880"/>
      <c r="AK80" s="880"/>
      <c r="AL80" s="880"/>
      <c r="AM80" s="880"/>
      <c r="AN80" s="880"/>
      <c r="AO80" s="880"/>
      <c r="AP80" s="880">
        <f t="shared" si="230"/>
        <v>0</v>
      </c>
      <c r="AQ80" s="880">
        <f t="shared" si="183"/>
        <v>0</v>
      </c>
      <c r="AR80" s="880">
        <f t="shared" si="216"/>
        <v>0</v>
      </c>
      <c r="AS80" s="896">
        <f t="shared" si="231"/>
        <v>0</v>
      </c>
      <c r="AT80" s="896">
        <f t="shared" si="185"/>
        <v>0</v>
      </c>
      <c r="AU80" s="896"/>
      <c r="AV80" s="896"/>
      <c r="AW80" s="896"/>
      <c r="AX80" s="896"/>
      <c r="AY80" s="179"/>
      <c r="AZ80" s="8">
        <f t="shared" si="232"/>
        <v>0</v>
      </c>
      <c r="BB80" s="221"/>
      <c r="BC80" s="179"/>
    </row>
    <row r="81" spans="1:55" s="220" customFormat="1" ht="14.25" customHeight="1">
      <c r="A81" s="17">
        <f t="shared" si="224"/>
        <v>10</v>
      </c>
      <c r="B81" s="902" t="s">
        <v>516</v>
      </c>
      <c r="C81" s="671">
        <v>40544</v>
      </c>
      <c r="D81" s="55">
        <v>8</v>
      </c>
      <c r="E81" s="6">
        <f>74200000+41900000</f>
        <v>116100000</v>
      </c>
      <c r="F81" s="1041">
        <f t="shared" si="186"/>
        <v>14512500</v>
      </c>
      <c r="G81" s="1053"/>
      <c r="H81" s="1042">
        <f t="shared" si="187"/>
        <v>0</v>
      </c>
      <c r="I81" s="1042">
        <f t="shared" si="188"/>
        <v>116100000</v>
      </c>
      <c r="J81" s="1042"/>
      <c r="K81" s="1042">
        <f t="shared" si="221"/>
        <v>0</v>
      </c>
      <c r="L81" s="1042">
        <f t="shared" si="189"/>
        <v>116100000</v>
      </c>
      <c r="M81" s="1042">
        <f t="shared" si="190"/>
        <v>14512500</v>
      </c>
      <c r="N81" s="1042">
        <f t="shared" si="191"/>
        <v>14512500</v>
      </c>
      <c r="O81" s="1042">
        <f t="shared" si="192"/>
        <v>101587500</v>
      </c>
      <c r="P81" s="1042">
        <f t="shared" si="226"/>
        <v>14512500</v>
      </c>
      <c r="Q81" s="1042">
        <f t="shared" si="194"/>
        <v>29025000</v>
      </c>
      <c r="R81" s="1042">
        <f t="shared" si="195"/>
        <v>87075000</v>
      </c>
      <c r="S81" s="1042">
        <f t="shared" si="233"/>
        <v>14512500</v>
      </c>
      <c r="T81" s="1042">
        <f t="shared" si="197"/>
        <v>43537500</v>
      </c>
      <c r="U81" s="1042">
        <f t="shared" si="198"/>
        <v>72562500</v>
      </c>
      <c r="V81" s="1042">
        <f t="shared" si="227"/>
        <v>14512500</v>
      </c>
      <c r="W81" s="1042">
        <f t="shared" si="199"/>
        <v>58050000</v>
      </c>
      <c r="X81" s="1042">
        <f t="shared" si="200"/>
        <v>58050000</v>
      </c>
      <c r="Y81" s="7">
        <f>37100000+20950000</f>
        <v>58050000</v>
      </c>
      <c r="Z81" s="7">
        <f t="shared" si="201"/>
        <v>58050000</v>
      </c>
      <c r="AA81" s="1042">
        <f t="shared" si="228"/>
        <v>14512500</v>
      </c>
      <c r="AB81" s="1042">
        <f t="shared" si="202"/>
        <v>72562500</v>
      </c>
      <c r="AC81" s="1042">
        <f t="shared" si="203"/>
        <v>43537500</v>
      </c>
      <c r="AD81" s="1042">
        <f t="shared" ref="AD81" si="253">(F81/12)*12</f>
        <v>14512500</v>
      </c>
      <c r="AE81" s="1042">
        <f t="shared" si="205"/>
        <v>87075000</v>
      </c>
      <c r="AF81" s="1042">
        <f t="shared" si="206"/>
        <v>29025000</v>
      </c>
      <c r="AG81" s="1042">
        <f t="shared" si="229"/>
        <v>14512500</v>
      </c>
      <c r="AH81" s="1042">
        <f t="shared" si="208"/>
        <v>101587500</v>
      </c>
      <c r="AI81" s="1042">
        <f t="shared" si="209"/>
        <v>14512500</v>
      </c>
      <c r="AJ81" s="1042">
        <f t="shared" ref="AJ81" si="254">(F81/12)*1</f>
        <v>1209375</v>
      </c>
      <c r="AK81" s="1042">
        <f t="shared" ref="AK81" si="255">AH81+AJ81</f>
        <v>102796875</v>
      </c>
      <c r="AL81" s="1042">
        <f t="shared" ref="AL81" si="256">E81-AK81</f>
        <v>13303125</v>
      </c>
      <c r="AM81" s="1042">
        <f t="shared" si="128"/>
        <v>10884375</v>
      </c>
      <c r="AN81" s="1042">
        <f t="shared" ref="AN81" si="257">AH81+AM81</f>
        <v>112471875</v>
      </c>
      <c r="AO81" s="1042">
        <f t="shared" ref="AO81" si="258">E81-AN81</f>
        <v>3628125</v>
      </c>
      <c r="AP81" s="1042">
        <f>(F81/12)*12</f>
        <v>14512500</v>
      </c>
      <c r="AQ81" s="1042">
        <f t="shared" si="183"/>
        <v>116100000</v>
      </c>
      <c r="AR81" s="1042">
        <f t="shared" si="216"/>
        <v>0</v>
      </c>
      <c r="AS81" s="1042">
        <f>(F81/12)*0</f>
        <v>0</v>
      </c>
      <c r="AT81" s="1042">
        <f t="shared" si="185"/>
        <v>116100000</v>
      </c>
      <c r="AU81" s="1042">
        <f t="shared" ref="AU81" si="259">E81-AT81</f>
        <v>0</v>
      </c>
      <c r="AV81" s="1042">
        <f>(F81/12)*0</f>
        <v>0</v>
      </c>
      <c r="AW81" s="1042">
        <f t="shared" ref="AW81" si="260">AQ81+AV81</f>
        <v>116100000</v>
      </c>
      <c r="AX81" s="1042">
        <f t="shared" ref="AX81" si="261">E81-AW81</f>
        <v>0</v>
      </c>
      <c r="AY81" s="179"/>
      <c r="AZ81" s="8">
        <f>E81-AW81-AX81</f>
        <v>0</v>
      </c>
      <c r="BB81" s="221"/>
      <c r="BC81" s="179"/>
    </row>
    <row r="82" spans="1:55" s="220" customFormat="1" ht="14.25" hidden="1" customHeight="1">
      <c r="A82" s="17">
        <f t="shared" si="224"/>
        <v>11</v>
      </c>
      <c r="B82" s="909" t="s">
        <v>517</v>
      </c>
      <c r="C82" s="903">
        <v>40544</v>
      </c>
      <c r="D82" s="877">
        <v>8</v>
      </c>
      <c r="E82" s="878">
        <f>4800000*0</f>
        <v>0</v>
      </c>
      <c r="F82" s="879">
        <f t="shared" si="186"/>
        <v>0</v>
      </c>
      <c r="G82" s="880">
        <f t="shared" si="252"/>
        <v>0</v>
      </c>
      <c r="H82" s="880">
        <f t="shared" si="187"/>
        <v>0</v>
      </c>
      <c r="I82" s="880">
        <f t="shared" si="188"/>
        <v>0</v>
      </c>
      <c r="J82" s="880">
        <f t="shared" si="225"/>
        <v>0</v>
      </c>
      <c r="K82" s="880">
        <f t="shared" si="221"/>
        <v>0</v>
      </c>
      <c r="L82" s="880">
        <f t="shared" si="189"/>
        <v>0</v>
      </c>
      <c r="M82" s="880">
        <f t="shared" si="190"/>
        <v>0</v>
      </c>
      <c r="N82" s="880">
        <f t="shared" si="191"/>
        <v>0</v>
      </c>
      <c r="O82" s="880">
        <f t="shared" si="192"/>
        <v>0</v>
      </c>
      <c r="P82" s="880">
        <f t="shared" si="226"/>
        <v>0</v>
      </c>
      <c r="Q82" s="880">
        <f t="shared" si="194"/>
        <v>0</v>
      </c>
      <c r="R82" s="880">
        <f t="shared" si="195"/>
        <v>0</v>
      </c>
      <c r="S82" s="880">
        <f t="shared" si="233"/>
        <v>0</v>
      </c>
      <c r="T82" s="880">
        <f t="shared" si="197"/>
        <v>0</v>
      </c>
      <c r="U82" s="880">
        <f t="shared" si="198"/>
        <v>0</v>
      </c>
      <c r="V82" s="880">
        <f t="shared" si="227"/>
        <v>0</v>
      </c>
      <c r="W82" s="880">
        <f t="shared" si="199"/>
        <v>0</v>
      </c>
      <c r="X82" s="880">
        <f t="shared" si="200"/>
        <v>0</v>
      </c>
      <c r="Y82" s="880">
        <f>2400000*0</f>
        <v>0</v>
      </c>
      <c r="Z82" s="880">
        <f t="shared" si="201"/>
        <v>0</v>
      </c>
      <c r="AA82" s="880">
        <f t="shared" si="228"/>
        <v>0</v>
      </c>
      <c r="AB82" s="880">
        <f t="shared" si="202"/>
        <v>0</v>
      </c>
      <c r="AC82" s="880">
        <f t="shared" si="203"/>
        <v>0</v>
      </c>
      <c r="AD82" s="880">
        <f>(F82/12)*12</f>
        <v>0</v>
      </c>
      <c r="AE82" s="880">
        <f t="shared" si="205"/>
        <v>0</v>
      </c>
      <c r="AF82" s="880">
        <f t="shared" si="206"/>
        <v>0</v>
      </c>
      <c r="AG82" s="880">
        <f t="shared" si="229"/>
        <v>0</v>
      </c>
      <c r="AH82" s="880">
        <f t="shared" si="208"/>
        <v>0</v>
      </c>
      <c r="AI82" s="880">
        <f t="shared" si="209"/>
        <v>0</v>
      </c>
      <c r="AJ82" s="880"/>
      <c r="AK82" s="880"/>
      <c r="AL82" s="880"/>
      <c r="AM82" s="880"/>
      <c r="AN82" s="880"/>
      <c r="AO82" s="880"/>
      <c r="AP82" s="880">
        <f t="shared" si="230"/>
        <v>0</v>
      </c>
      <c r="AQ82" s="880">
        <f t="shared" si="183"/>
        <v>0</v>
      </c>
      <c r="AR82" s="880">
        <f t="shared" si="216"/>
        <v>0</v>
      </c>
      <c r="AS82" s="896">
        <f t="shared" si="231"/>
        <v>0</v>
      </c>
      <c r="AT82" s="896">
        <f t="shared" si="185"/>
        <v>0</v>
      </c>
      <c r="AU82" s="896"/>
      <c r="AV82" s="896"/>
      <c r="AW82" s="896"/>
      <c r="AX82" s="896"/>
      <c r="AY82" s="179"/>
      <c r="AZ82" s="8">
        <f t="shared" si="232"/>
        <v>0</v>
      </c>
      <c r="BB82" s="221"/>
      <c r="BC82" s="179"/>
    </row>
    <row r="83" spans="1:55" s="220" customFormat="1" ht="14.25" customHeight="1">
      <c r="A83" s="17">
        <f t="shared" si="224"/>
        <v>12</v>
      </c>
      <c r="B83" s="56" t="s">
        <v>518</v>
      </c>
      <c r="C83" s="671">
        <v>40544</v>
      </c>
      <c r="D83" s="55">
        <v>8</v>
      </c>
      <c r="E83" s="6">
        <v>14300000</v>
      </c>
      <c r="F83" s="1041">
        <f t="shared" si="186"/>
        <v>1787500</v>
      </c>
      <c r="G83" s="1053"/>
      <c r="H83" s="1042">
        <f t="shared" si="187"/>
        <v>0</v>
      </c>
      <c r="I83" s="1042">
        <f t="shared" si="188"/>
        <v>14300000</v>
      </c>
      <c r="J83" s="1042"/>
      <c r="K83" s="1042">
        <f t="shared" si="221"/>
        <v>0</v>
      </c>
      <c r="L83" s="1042">
        <f t="shared" si="189"/>
        <v>14300000</v>
      </c>
      <c r="M83" s="1042">
        <f t="shared" si="190"/>
        <v>1787500</v>
      </c>
      <c r="N83" s="1042">
        <f t="shared" si="191"/>
        <v>1787500</v>
      </c>
      <c r="O83" s="1042">
        <f t="shared" si="192"/>
        <v>12512500</v>
      </c>
      <c r="P83" s="1042">
        <f t="shared" si="226"/>
        <v>1787500</v>
      </c>
      <c r="Q83" s="1042">
        <f t="shared" si="194"/>
        <v>3575000</v>
      </c>
      <c r="R83" s="1042">
        <f t="shared" si="195"/>
        <v>10725000</v>
      </c>
      <c r="S83" s="1042">
        <f t="shared" si="233"/>
        <v>1787500</v>
      </c>
      <c r="T83" s="1042">
        <f t="shared" si="197"/>
        <v>5362500</v>
      </c>
      <c r="U83" s="1042">
        <f t="shared" si="198"/>
        <v>8937500</v>
      </c>
      <c r="V83" s="1042">
        <f t="shared" ref="V83:V85" si="262">(F83/12)*12</f>
        <v>1787500</v>
      </c>
      <c r="W83" s="1042">
        <f t="shared" si="199"/>
        <v>7150000</v>
      </c>
      <c r="X83" s="1042">
        <f t="shared" si="200"/>
        <v>7150000</v>
      </c>
      <c r="Y83" s="7">
        <v>7149999.9999999953</v>
      </c>
      <c r="Z83" s="7">
        <f t="shared" si="201"/>
        <v>7150000.0000000047</v>
      </c>
      <c r="AA83" s="1042">
        <f t="shared" ref="AA83:AA86" si="263">(F83/12)*12</f>
        <v>1787500</v>
      </c>
      <c r="AB83" s="1042">
        <f t="shared" si="202"/>
        <v>8937500</v>
      </c>
      <c r="AC83" s="1042">
        <f t="shared" si="203"/>
        <v>5362500</v>
      </c>
      <c r="AD83" s="1042">
        <f t="shared" ref="AD83:AD85" si="264">(F83/12)*12</f>
        <v>1787500</v>
      </c>
      <c r="AE83" s="1042">
        <f t="shared" si="205"/>
        <v>10725000</v>
      </c>
      <c r="AF83" s="1042">
        <f t="shared" si="206"/>
        <v>3575000</v>
      </c>
      <c r="AG83" s="1042">
        <f t="shared" ref="AG83:AG86" si="265">(F83/12)*12</f>
        <v>1787500</v>
      </c>
      <c r="AH83" s="1042">
        <f t="shared" si="208"/>
        <v>12512500</v>
      </c>
      <c r="AI83" s="1042">
        <f t="shared" si="209"/>
        <v>1787500</v>
      </c>
      <c r="AJ83" s="1042">
        <f t="shared" ref="AJ83:AJ86" si="266">(F83/12)*1</f>
        <v>148958.33333333334</v>
      </c>
      <c r="AK83" s="1042">
        <f t="shared" ref="AK83:AK86" si="267">AH83+AJ83</f>
        <v>12661458.333333334</v>
      </c>
      <c r="AL83" s="1042">
        <f t="shared" ref="AL83:AL86" si="268">E83-AK83</f>
        <v>1638541.666666666</v>
      </c>
      <c r="AM83" s="1042">
        <f t="shared" si="128"/>
        <v>1340625</v>
      </c>
      <c r="AN83" s="1042">
        <f t="shared" ref="AN83:AN86" si="269">AH83+AM83</f>
        <v>13853125</v>
      </c>
      <c r="AO83" s="1042">
        <f t="shared" ref="AO83:AO86" si="270">E83-AN83</f>
        <v>446875</v>
      </c>
      <c r="AP83" s="1042">
        <f t="shared" ref="AP83:AP86" si="271">(F83/12)*12</f>
        <v>1787500</v>
      </c>
      <c r="AQ83" s="1042">
        <f t="shared" si="183"/>
        <v>14300000</v>
      </c>
      <c r="AR83" s="1042">
        <f t="shared" si="216"/>
        <v>0</v>
      </c>
      <c r="AS83" s="1042">
        <f t="shared" ref="AS83:AS86" si="272">(F83/12)*0</f>
        <v>0</v>
      </c>
      <c r="AT83" s="1042">
        <f t="shared" si="185"/>
        <v>14300000</v>
      </c>
      <c r="AU83" s="1042">
        <f t="shared" ref="AU83:AU86" si="273">E83-AT83</f>
        <v>0</v>
      </c>
      <c r="AV83" s="1042">
        <f>(F83/12)*0</f>
        <v>0</v>
      </c>
      <c r="AW83" s="1042">
        <f t="shared" ref="AW83:AW86" si="274">AQ83+AV83</f>
        <v>14300000</v>
      </c>
      <c r="AX83" s="1042">
        <f t="shared" ref="AX83:AX86" si="275">E83-AW83</f>
        <v>0</v>
      </c>
      <c r="AY83" s="179"/>
      <c r="AZ83" s="8">
        <f t="shared" ref="AZ83:AZ86" si="276">E83-AW83-AX83</f>
        <v>0</v>
      </c>
      <c r="BB83" s="221"/>
      <c r="BC83" s="179"/>
    </row>
    <row r="84" spans="1:55" s="220" customFormat="1" ht="14.25" customHeight="1">
      <c r="A84" s="17">
        <f t="shared" si="224"/>
        <v>13</v>
      </c>
      <c r="B84" s="56" t="s">
        <v>519</v>
      </c>
      <c r="C84" s="671">
        <v>40544</v>
      </c>
      <c r="D84" s="55">
        <v>8</v>
      </c>
      <c r="E84" s="6">
        <v>15900000</v>
      </c>
      <c r="F84" s="1041">
        <f t="shared" si="186"/>
        <v>1987500</v>
      </c>
      <c r="G84" s="1053"/>
      <c r="H84" s="1042">
        <f t="shared" si="187"/>
        <v>0</v>
      </c>
      <c r="I84" s="1042">
        <f t="shared" si="188"/>
        <v>15900000</v>
      </c>
      <c r="J84" s="1042"/>
      <c r="K84" s="1042">
        <f t="shared" si="221"/>
        <v>0</v>
      </c>
      <c r="L84" s="1042">
        <f t="shared" si="189"/>
        <v>15900000</v>
      </c>
      <c r="M84" s="1042">
        <f t="shared" si="190"/>
        <v>1987500</v>
      </c>
      <c r="N84" s="1042">
        <f t="shared" si="191"/>
        <v>1987500</v>
      </c>
      <c r="O84" s="1042">
        <f t="shared" si="192"/>
        <v>13912500</v>
      </c>
      <c r="P84" s="1042">
        <f t="shared" si="226"/>
        <v>1987500</v>
      </c>
      <c r="Q84" s="1042">
        <f t="shared" si="194"/>
        <v>3975000</v>
      </c>
      <c r="R84" s="1042">
        <f t="shared" si="195"/>
        <v>11925000</v>
      </c>
      <c r="S84" s="1042">
        <f t="shared" si="233"/>
        <v>1987500</v>
      </c>
      <c r="T84" s="1042">
        <f t="shared" si="197"/>
        <v>5962500</v>
      </c>
      <c r="U84" s="1042">
        <f t="shared" si="198"/>
        <v>9937500</v>
      </c>
      <c r="V84" s="1042">
        <f t="shared" si="262"/>
        <v>1987500</v>
      </c>
      <c r="W84" s="1042">
        <f t="shared" si="199"/>
        <v>7950000</v>
      </c>
      <c r="X84" s="1042">
        <f t="shared" si="200"/>
        <v>7950000</v>
      </c>
      <c r="Y84" s="7">
        <v>7950000</v>
      </c>
      <c r="Z84" s="7">
        <f t="shared" si="201"/>
        <v>7950000</v>
      </c>
      <c r="AA84" s="1042">
        <f t="shared" si="263"/>
        <v>1987500</v>
      </c>
      <c r="AB84" s="1042">
        <f t="shared" si="202"/>
        <v>9937500</v>
      </c>
      <c r="AC84" s="1042">
        <f t="shared" si="203"/>
        <v>5962500</v>
      </c>
      <c r="AD84" s="1042">
        <f t="shared" si="264"/>
        <v>1987500</v>
      </c>
      <c r="AE84" s="1042">
        <f t="shared" si="205"/>
        <v>11925000</v>
      </c>
      <c r="AF84" s="1042">
        <f t="shared" si="206"/>
        <v>3975000</v>
      </c>
      <c r="AG84" s="1042">
        <f t="shared" si="265"/>
        <v>1987500</v>
      </c>
      <c r="AH84" s="1042">
        <f t="shared" si="208"/>
        <v>13912500</v>
      </c>
      <c r="AI84" s="1042">
        <f t="shared" si="209"/>
        <v>1987500</v>
      </c>
      <c r="AJ84" s="1042">
        <f t="shared" si="266"/>
        <v>165625</v>
      </c>
      <c r="AK84" s="1042">
        <f t="shared" si="267"/>
        <v>14078125</v>
      </c>
      <c r="AL84" s="1042">
        <f t="shared" si="268"/>
        <v>1821875</v>
      </c>
      <c r="AM84" s="1042">
        <f t="shared" si="128"/>
        <v>1490625</v>
      </c>
      <c r="AN84" s="1042">
        <f t="shared" si="269"/>
        <v>15403125</v>
      </c>
      <c r="AO84" s="1042">
        <f t="shared" si="270"/>
        <v>496875</v>
      </c>
      <c r="AP84" s="1042">
        <f t="shared" si="271"/>
        <v>1987500</v>
      </c>
      <c r="AQ84" s="1042">
        <f t="shared" si="183"/>
        <v>15900000</v>
      </c>
      <c r="AR84" s="1042">
        <f t="shared" si="216"/>
        <v>0</v>
      </c>
      <c r="AS84" s="1042">
        <f t="shared" si="272"/>
        <v>0</v>
      </c>
      <c r="AT84" s="1042">
        <f t="shared" si="185"/>
        <v>15900000</v>
      </c>
      <c r="AU84" s="1042">
        <f t="shared" si="273"/>
        <v>0</v>
      </c>
      <c r="AV84" s="1042">
        <f>(F84/12)*0</f>
        <v>0</v>
      </c>
      <c r="AW84" s="1042">
        <f t="shared" si="274"/>
        <v>15900000</v>
      </c>
      <c r="AX84" s="1042">
        <f t="shared" si="275"/>
        <v>0</v>
      </c>
      <c r="AY84" s="179"/>
      <c r="AZ84" s="8">
        <f t="shared" si="276"/>
        <v>0</v>
      </c>
      <c r="BB84" s="221"/>
      <c r="BC84" s="179"/>
    </row>
    <row r="85" spans="1:55" s="220" customFormat="1" ht="14.25" customHeight="1">
      <c r="A85" s="17">
        <f t="shared" si="224"/>
        <v>14</v>
      </c>
      <c r="B85" s="56" t="s">
        <v>520</v>
      </c>
      <c r="C85" s="671">
        <v>40544</v>
      </c>
      <c r="D85" s="55">
        <v>8</v>
      </c>
      <c r="E85" s="6">
        <v>287200000</v>
      </c>
      <c r="F85" s="1041">
        <f t="shared" si="186"/>
        <v>35900000</v>
      </c>
      <c r="G85" s="1053"/>
      <c r="H85" s="1042">
        <f t="shared" si="187"/>
        <v>0</v>
      </c>
      <c r="I85" s="1042">
        <f t="shared" si="188"/>
        <v>287200000</v>
      </c>
      <c r="J85" s="1042"/>
      <c r="K85" s="1042">
        <f t="shared" si="221"/>
        <v>0</v>
      </c>
      <c r="L85" s="1042">
        <f t="shared" si="189"/>
        <v>287200000</v>
      </c>
      <c r="M85" s="1042">
        <f t="shared" si="190"/>
        <v>35900000</v>
      </c>
      <c r="N85" s="1042">
        <f t="shared" si="191"/>
        <v>35900000</v>
      </c>
      <c r="O85" s="1042">
        <f t="shared" si="192"/>
        <v>251300000</v>
      </c>
      <c r="P85" s="1042">
        <f t="shared" si="226"/>
        <v>35900000</v>
      </c>
      <c r="Q85" s="1042">
        <f t="shared" si="194"/>
        <v>71800000</v>
      </c>
      <c r="R85" s="1042">
        <f t="shared" si="195"/>
        <v>215400000</v>
      </c>
      <c r="S85" s="1042">
        <f t="shared" si="233"/>
        <v>35900000</v>
      </c>
      <c r="T85" s="1042">
        <f t="shared" si="197"/>
        <v>107700000</v>
      </c>
      <c r="U85" s="1042">
        <f t="shared" si="198"/>
        <v>179500000</v>
      </c>
      <c r="V85" s="1042">
        <f t="shared" si="262"/>
        <v>35900000</v>
      </c>
      <c r="W85" s="1042">
        <f t="shared" si="199"/>
        <v>143600000</v>
      </c>
      <c r="X85" s="1042">
        <f t="shared" si="200"/>
        <v>143600000</v>
      </c>
      <c r="Y85" s="7">
        <v>143600000.00000006</v>
      </c>
      <c r="Z85" s="7">
        <f t="shared" si="201"/>
        <v>143599999.99999994</v>
      </c>
      <c r="AA85" s="1042">
        <f t="shared" si="263"/>
        <v>35900000</v>
      </c>
      <c r="AB85" s="1042">
        <f t="shared" si="202"/>
        <v>179500000</v>
      </c>
      <c r="AC85" s="1042">
        <f t="shared" si="203"/>
        <v>107700000</v>
      </c>
      <c r="AD85" s="1042">
        <f t="shared" si="264"/>
        <v>35900000</v>
      </c>
      <c r="AE85" s="1042">
        <f t="shared" si="205"/>
        <v>215400000</v>
      </c>
      <c r="AF85" s="1042">
        <f t="shared" si="206"/>
        <v>71800000</v>
      </c>
      <c r="AG85" s="1042">
        <f t="shared" si="265"/>
        <v>35900000</v>
      </c>
      <c r="AH85" s="1042">
        <f t="shared" si="208"/>
        <v>251300000</v>
      </c>
      <c r="AI85" s="1042">
        <f t="shared" si="209"/>
        <v>35900000</v>
      </c>
      <c r="AJ85" s="1042">
        <f t="shared" si="266"/>
        <v>2991666.6666666665</v>
      </c>
      <c r="AK85" s="1042">
        <f t="shared" si="267"/>
        <v>254291666.66666666</v>
      </c>
      <c r="AL85" s="1042">
        <f t="shared" si="268"/>
        <v>32908333.333333343</v>
      </c>
      <c r="AM85" s="1042">
        <f t="shared" si="128"/>
        <v>26925000</v>
      </c>
      <c r="AN85" s="1042">
        <f t="shared" si="269"/>
        <v>278225000</v>
      </c>
      <c r="AO85" s="1042">
        <f t="shared" si="270"/>
        <v>8975000</v>
      </c>
      <c r="AP85" s="1042">
        <f t="shared" si="271"/>
        <v>35900000</v>
      </c>
      <c r="AQ85" s="1042">
        <f t="shared" si="183"/>
        <v>287200000</v>
      </c>
      <c r="AR85" s="1042">
        <f t="shared" si="216"/>
        <v>0</v>
      </c>
      <c r="AS85" s="1042">
        <f t="shared" si="272"/>
        <v>0</v>
      </c>
      <c r="AT85" s="1042">
        <f t="shared" si="185"/>
        <v>287200000</v>
      </c>
      <c r="AU85" s="1042">
        <f t="shared" si="273"/>
        <v>0</v>
      </c>
      <c r="AV85" s="1042">
        <f>(F85/12)*0</f>
        <v>0</v>
      </c>
      <c r="AW85" s="1042">
        <f t="shared" si="274"/>
        <v>287200000</v>
      </c>
      <c r="AX85" s="1042">
        <f t="shared" si="275"/>
        <v>0</v>
      </c>
      <c r="AY85" s="179"/>
      <c r="AZ85" s="8">
        <f t="shared" si="276"/>
        <v>0</v>
      </c>
      <c r="BB85" s="221"/>
      <c r="BC85" s="179"/>
    </row>
    <row r="86" spans="1:55" s="220" customFormat="1" ht="14.25" customHeight="1">
      <c r="A86" s="17">
        <f>A77+1</f>
        <v>6</v>
      </c>
      <c r="B86" s="56" t="s">
        <v>512</v>
      </c>
      <c r="C86" s="671">
        <v>40909</v>
      </c>
      <c r="D86" s="55">
        <v>8</v>
      </c>
      <c r="E86" s="6">
        <v>92500000</v>
      </c>
      <c r="F86" s="1041">
        <f t="shared" si="186"/>
        <v>11562500</v>
      </c>
      <c r="G86" s="1053"/>
      <c r="H86" s="1042">
        <f t="shared" si="187"/>
        <v>0</v>
      </c>
      <c r="I86" s="1042">
        <f t="shared" si="188"/>
        <v>92500000</v>
      </c>
      <c r="J86" s="1042"/>
      <c r="K86" s="1042">
        <f t="shared" si="221"/>
        <v>0</v>
      </c>
      <c r="L86" s="1042">
        <f t="shared" si="189"/>
        <v>92500000</v>
      </c>
      <c r="M86" s="1042">
        <f t="shared" si="190"/>
        <v>11562500</v>
      </c>
      <c r="N86" s="1042">
        <f t="shared" si="191"/>
        <v>11562500</v>
      </c>
      <c r="O86" s="1042">
        <f t="shared" si="192"/>
        <v>80937500</v>
      </c>
      <c r="P86" s="1042">
        <f t="shared" si="226"/>
        <v>11562500</v>
      </c>
      <c r="Q86" s="1042">
        <f t="shared" si="194"/>
        <v>23125000</v>
      </c>
      <c r="R86" s="1042">
        <f t="shared" si="195"/>
        <v>69375000</v>
      </c>
      <c r="S86" s="1042">
        <f t="shared" si="233"/>
        <v>11562500</v>
      </c>
      <c r="T86" s="1042">
        <f t="shared" si="197"/>
        <v>34687500</v>
      </c>
      <c r="U86" s="1042">
        <f t="shared" si="198"/>
        <v>57812500</v>
      </c>
      <c r="V86" s="1042">
        <f>(F86/12)*12</f>
        <v>11562500</v>
      </c>
      <c r="W86" s="1042">
        <f t="shared" si="199"/>
        <v>46250000</v>
      </c>
      <c r="X86" s="1042">
        <f t="shared" si="200"/>
        <v>46250000</v>
      </c>
      <c r="Y86" s="7">
        <v>46249999.999999985</v>
      </c>
      <c r="Z86" s="7">
        <f t="shared" si="201"/>
        <v>46250000.000000015</v>
      </c>
      <c r="AA86" s="1042">
        <f t="shared" si="263"/>
        <v>11562500</v>
      </c>
      <c r="AB86" s="1042">
        <f t="shared" si="202"/>
        <v>57812500</v>
      </c>
      <c r="AC86" s="1042">
        <f t="shared" si="203"/>
        <v>34687500</v>
      </c>
      <c r="AD86" s="1042">
        <f>(F86/12)*12</f>
        <v>11562500</v>
      </c>
      <c r="AE86" s="1042">
        <f t="shared" si="205"/>
        <v>69375000</v>
      </c>
      <c r="AF86" s="1042">
        <f t="shared" si="206"/>
        <v>23125000</v>
      </c>
      <c r="AG86" s="1042">
        <f t="shared" si="265"/>
        <v>11562500</v>
      </c>
      <c r="AH86" s="1042">
        <f t="shared" si="208"/>
        <v>80937500</v>
      </c>
      <c r="AI86" s="1042">
        <f t="shared" si="209"/>
        <v>11562500</v>
      </c>
      <c r="AJ86" s="1042">
        <f t="shared" si="266"/>
        <v>963541.66666666663</v>
      </c>
      <c r="AK86" s="1042">
        <f t="shared" si="267"/>
        <v>81901041.666666672</v>
      </c>
      <c r="AL86" s="1042">
        <f t="shared" si="268"/>
        <v>10598958.333333328</v>
      </c>
      <c r="AM86" s="1042">
        <f t="shared" si="128"/>
        <v>8671875</v>
      </c>
      <c r="AN86" s="1042">
        <f t="shared" si="269"/>
        <v>89609375</v>
      </c>
      <c r="AO86" s="1042">
        <f t="shared" si="270"/>
        <v>2890625</v>
      </c>
      <c r="AP86" s="1042">
        <f t="shared" si="271"/>
        <v>11562500</v>
      </c>
      <c r="AQ86" s="1042">
        <f t="shared" si="183"/>
        <v>92500000</v>
      </c>
      <c r="AR86" s="1042">
        <f t="shared" si="216"/>
        <v>0</v>
      </c>
      <c r="AS86" s="1042">
        <f t="shared" si="272"/>
        <v>0</v>
      </c>
      <c r="AT86" s="1042">
        <f t="shared" si="185"/>
        <v>92500000</v>
      </c>
      <c r="AU86" s="1042">
        <f t="shared" si="273"/>
        <v>0</v>
      </c>
      <c r="AV86" s="1042">
        <f>(F86/12)*0</f>
        <v>0</v>
      </c>
      <c r="AW86" s="1042">
        <f t="shared" si="274"/>
        <v>92500000</v>
      </c>
      <c r="AX86" s="1042">
        <f t="shared" si="275"/>
        <v>0</v>
      </c>
      <c r="AY86" s="179"/>
      <c r="AZ86" s="8">
        <f t="shared" si="276"/>
        <v>0</v>
      </c>
      <c r="BB86" s="221"/>
      <c r="BC86" s="179"/>
    </row>
    <row r="87" spans="1:55" s="220" customFormat="1" ht="14.25" hidden="1" customHeight="1">
      <c r="A87" s="874">
        <f>A85+1</f>
        <v>15</v>
      </c>
      <c r="B87" s="905" t="s">
        <v>521</v>
      </c>
      <c r="C87" s="903">
        <v>40909</v>
      </c>
      <c r="D87" s="877">
        <v>8</v>
      </c>
      <c r="E87" s="878">
        <f>12300000*0</f>
        <v>0</v>
      </c>
      <c r="F87" s="879">
        <f t="shared" si="186"/>
        <v>0</v>
      </c>
      <c r="G87" s="880">
        <f>(F87/12)*(13-IF(C87="","",MONTH(C87)))</f>
        <v>0</v>
      </c>
      <c r="H87" s="880">
        <f t="shared" si="187"/>
        <v>0</v>
      </c>
      <c r="I87" s="880">
        <f t="shared" si="188"/>
        <v>0</v>
      </c>
      <c r="J87" s="880">
        <f t="shared" si="225"/>
        <v>0</v>
      </c>
      <c r="K87" s="880">
        <f t="shared" si="221"/>
        <v>0</v>
      </c>
      <c r="L87" s="880">
        <f t="shared" si="189"/>
        <v>0</v>
      </c>
      <c r="M87" s="880">
        <f t="shared" si="190"/>
        <v>0</v>
      </c>
      <c r="N87" s="880">
        <f t="shared" si="191"/>
        <v>0</v>
      </c>
      <c r="O87" s="880">
        <f t="shared" si="192"/>
        <v>0</v>
      </c>
      <c r="P87" s="880">
        <f t="shared" si="226"/>
        <v>0</v>
      </c>
      <c r="Q87" s="880">
        <f t="shared" si="194"/>
        <v>0</v>
      </c>
      <c r="R87" s="880">
        <f t="shared" si="195"/>
        <v>0</v>
      </c>
      <c r="S87" s="880">
        <f t="shared" si="233"/>
        <v>0</v>
      </c>
      <c r="T87" s="880">
        <f t="shared" si="197"/>
        <v>0</v>
      </c>
      <c r="U87" s="880">
        <f t="shared" si="198"/>
        <v>0</v>
      </c>
      <c r="V87" s="880">
        <f>(F87/12)*12</f>
        <v>0</v>
      </c>
      <c r="W87" s="880">
        <f t="shared" si="199"/>
        <v>0</v>
      </c>
      <c r="X87" s="880">
        <f t="shared" si="200"/>
        <v>0</v>
      </c>
      <c r="Y87" s="880">
        <f>6150000*0</f>
        <v>0</v>
      </c>
      <c r="Z87" s="880">
        <f t="shared" si="201"/>
        <v>0</v>
      </c>
      <c r="AA87" s="880">
        <f>(F87/12)*12</f>
        <v>0</v>
      </c>
      <c r="AB87" s="880">
        <f t="shared" si="202"/>
        <v>0</v>
      </c>
      <c r="AC87" s="880">
        <f t="shared" si="203"/>
        <v>0</v>
      </c>
      <c r="AD87" s="880">
        <f>(F87/12)*12</f>
        <v>0</v>
      </c>
      <c r="AE87" s="880">
        <f t="shared" si="205"/>
        <v>0</v>
      </c>
      <c r="AF87" s="880">
        <f t="shared" si="206"/>
        <v>0</v>
      </c>
      <c r="AG87" s="880">
        <f>(F87/12)*12</f>
        <v>0</v>
      </c>
      <c r="AH87" s="880">
        <f t="shared" si="208"/>
        <v>0</v>
      </c>
      <c r="AI87" s="880">
        <f t="shared" si="209"/>
        <v>0</v>
      </c>
      <c r="AJ87" s="880"/>
      <c r="AK87" s="880"/>
      <c r="AL87" s="880"/>
      <c r="AM87" s="880"/>
      <c r="AN87" s="880"/>
      <c r="AO87" s="880"/>
      <c r="AP87" s="880">
        <f>(F87/12)*7</f>
        <v>0</v>
      </c>
      <c r="AQ87" s="880">
        <f t="shared" si="183"/>
        <v>0</v>
      </c>
      <c r="AR87" s="880">
        <f t="shared" si="216"/>
        <v>0</v>
      </c>
      <c r="AS87" s="896">
        <f t="shared" si="231"/>
        <v>0</v>
      </c>
      <c r="AT87" s="896">
        <f t="shared" si="185"/>
        <v>0</v>
      </c>
      <c r="AU87" s="896"/>
      <c r="AV87" s="896"/>
      <c r="AW87" s="896"/>
      <c r="AX87" s="896"/>
      <c r="AY87" s="179"/>
      <c r="AZ87" s="8">
        <f t="shared" si="232"/>
        <v>0</v>
      </c>
      <c r="BB87" s="221"/>
      <c r="BC87" s="179"/>
    </row>
    <row r="88" spans="1:55" s="220" customFormat="1" ht="14.25" hidden="1" customHeight="1">
      <c r="A88" s="874">
        <f t="shared" si="224"/>
        <v>16</v>
      </c>
      <c r="B88" s="905" t="s">
        <v>522</v>
      </c>
      <c r="C88" s="876">
        <v>43191</v>
      </c>
      <c r="D88" s="877">
        <v>8</v>
      </c>
      <c r="E88" s="878">
        <f>7090000*0</f>
        <v>0</v>
      </c>
      <c r="F88" s="879">
        <f t="shared" si="186"/>
        <v>0</v>
      </c>
      <c r="G88" s="908"/>
      <c r="H88" s="880"/>
      <c r="I88" s="880"/>
      <c r="J88" s="908"/>
      <c r="K88" s="908"/>
      <c r="L88" s="908"/>
      <c r="M88" s="908"/>
      <c r="N88" s="908"/>
      <c r="O88" s="908"/>
      <c r="P88" s="908"/>
      <c r="Q88" s="908"/>
      <c r="R88" s="908"/>
      <c r="S88" s="910">
        <f>(F88/12)*(13-IF(C88="","",MONTH(C88)))</f>
        <v>0</v>
      </c>
      <c r="T88" s="880">
        <f t="shared" ref="T88" si="277">Q88+S88</f>
        <v>0</v>
      </c>
      <c r="U88" s="880">
        <f t="shared" si="198"/>
        <v>0</v>
      </c>
      <c r="V88" s="880">
        <f>(F88/12)*12</f>
        <v>0</v>
      </c>
      <c r="W88" s="880">
        <f t="shared" si="199"/>
        <v>0</v>
      </c>
      <c r="X88" s="880">
        <f t="shared" si="200"/>
        <v>0</v>
      </c>
      <c r="Y88" s="880">
        <f>1550937.5*0</f>
        <v>0</v>
      </c>
      <c r="Z88" s="880">
        <f t="shared" si="201"/>
        <v>0</v>
      </c>
      <c r="AA88" s="880">
        <f>(F88/12)*12</f>
        <v>0</v>
      </c>
      <c r="AB88" s="880">
        <f t="shared" si="202"/>
        <v>0</v>
      </c>
      <c r="AC88" s="880">
        <f t="shared" si="203"/>
        <v>0</v>
      </c>
      <c r="AD88" s="880">
        <f>(F88/12)*12</f>
        <v>0</v>
      </c>
      <c r="AE88" s="880">
        <f t="shared" si="205"/>
        <v>0</v>
      </c>
      <c r="AF88" s="880">
        <f t="shared" si="206"/>
        <v>0</v>
      </c>
      <c r="AG88" s="880">
        <f>(F88/12)*12</f>
        <v>0</v>
      </c>
      <c r="AH88" s="880">
        <f t="shared" si="208"/>
        <v>0</v>
      </c>
      <c r="AI88" s="880">
        <f t="shared" si="209"/>
        <v>0</v>
      </c>
      <c r="AJ88" s="880"/>
      <c r="AK88" s="880"/>
      <c r="AL88" s="880"/>
      <c r="AM88" s="880"/>
      <c r="AN88" s="880"/>
      <c r="AO88" s="880"/>
      <c r="AP88" s="880">
        <f>(F88/12)*7</f>
        <v>0</v>
      </c>
      <c r="AQ88" s="880">
        <f t="shared" si="183"/>
        <v>0</v>
      </c>
      <c r="AR88" s="880">
        <f t="shared" si="216"/>
        <v>0</v>
      </c>
      <c r="AS88" s="896">
        <f t="shared" si="231"/>
        <v>0</v>
      </c>
      <c r="AT88" s="896">
        <f t="shared" si="185"/>
        <v>0</v>
      </c>
      <c r="AU88" s="896"/>
      <c r="AV88" s="896"/>
      <c r="AW88" s="896"/>
      <c r="AX88" s="896"/>
      <c r="AY88" s="179"/>
      <c r="AZ88" s="8">
        <f t="shared" si="232"/>
        <v>0</v>
      </c>
      <c r="BB88" s="221"/>
      <c r="BC88" s="179"/>
    </row>
    <row r="89" spans="1:55" s="220" customFormat="1" ht="14.25" customHeight="1">
      <c r="A89" s="17">
        <f t="shared" si="224"/>
        <v>17</v>
      </c>
      <c r="B89" s="909" t="s">
        <v>1151</v>
      </c>
      <c r="C89" s="238">
        <v>43340</v>
      </c>
      <c r="D89" s="55">
        <v>8</v>
      </c>
      <c r="E89" s="6">
        <f>235086250+4800000</f>
        <v>239886250</v>
      </c>
      <c r="F89" s="1041">
        <f t="shared" si="186"/>
        <v>29985781.25</v>
      </c>
      <c r="G89" s="1046"/>
      <c r="H89" s="1042"/>
      <c r="I89" s="1042"/>
      <c r="J89" s="1046"/>
      <c r="K89" s="1046"/>
      <c r="L89" s="1046"/>
      <c r="M89" s="1046"/>
      <c r="N89" s="1046"/>
      <c r="O89" s="1046"/>
      <c r="P89" s="1046"/>
      <c r="Q89" s="1046"/>
      <c r="R89" s="1046"/>
      <c r="S89" s="1053">
        <f>(F89/12)*(13-IF(C89="","",MONTH(C89)))</f>
        <v>12494075.520833332</v>
      </c>
      <c r="T89" s="1042">
        <f t="shared" ref="T89" si="278">Q89+S89</f>
        <v>12494075.520833332</v>
      </c>
      <c r="U89" s="1042">
        <f t="shared" si="198"/>
        <v>227392174.47916666</v>
      </c>
      <c r="V89" s="1042">
        <f>(F89/12)*12</f>
        <v>29985781.25</v>
      </c>
      <c r="W89" s="1042">
        <f t="shared" si="199"/>
        <v>42479856.770833328</v>
      </c>
      <c r="X89" s="1042">
        <f t="shared" si="200"/>
        <v>197406393.22916669</v>
      </c>
      <c r="Y89" s="7">
        <f>41629856.7708333+2400000</f>
        <v>44029856.770833299</v>
      </c>
      <c r="Z89" s="7">
        <f t="shared" si="201"/>
        <v>195856393.22916669</v>
      </c>
      <c r="AA89" s="1042">
        <f>(F89/12)*12</f>
        <v>29985781.25</v>
      </c>
      <c r="AB89" s="1042">
        <f t="shared" si="202"/>
        <v>72465638.020833328</v>
      </c>
      <c r="AC89" s="1042">
        <f t="shared" si="203"/>
        <v>167420611.97916669</v>
      </c>
      <c r="AD89" s="1042">
        <f>(F89/12)*12</f>
        <v>29985781.25</v>
      </c>
      <c r="AE89" s="1042">
        <f t="shared" si="205"/>
        <v>102451419.27083333</v>
      </c>
      <c r="AF89" s="1042">
        <f t="shared" si="206"/>
        <v>137434830.72916669</v>
      </c>
      <c r="AG89" s="1042">
        <f>(F89/12)*12</f>
        <v>29985781.25</v>
      </c>
      <c r="AH89" s="1042">
        <f t="shared" si="208"/>
        <v>132437200.52083333</v>
      </c>
      <c r="AI89" s="1042">
        <f t="shared" si="209"/>
        <v>107449049.47916667</v>
      </c>
      <c r="AJ89" s="1042">
        <f t="shared" ref="AJ89" si="279">(F89/12)*1</f>
        <v>2498815.1041666665</v>
      </c>
      <c r="AK89" s="1042">
        <f t="shared" ref="AK89" si="280">AH89+AJ89</f>
        <v>134936015.625</v>
      </c>
      <c r="AL89" s="1042">
        <f t="shared" ref="AL89" si="281">E89-AK89</f>
        <v>104950234.375</v>
      </c>
      <c r="AM89" s="1042">
        <f t="shared" ref="AM89:AM152" si="282">(F89/12)*9</f>
        <v>22489335.9375</v>
      </c>
      <c r="AN89" s="1042">
        <f t="shared" ref="AN89" si="283">AH89+AM89</f>
        <v>154926536.45833331</v>
      </c>
      <c r="AO89" s="1042">
        <f t="shared" ref="AO89" si="284">E89-AN89</f>
        <v>84959713.541666687</v>
      </c>
      <c r="AP89" s="1042">
        <f>(F89/12)*12</f>
        <v>29985781.25</v>
      </c>
      <c r="AQ89" s="1042">
        <f t="shared" si="183"/>
        <v>162422981.77083331</v>
      </c>
      <c r="AR89" s="1042">
        <f t="shared" si="216"/>
        <v>77463268.229166687</v>
      </c>
      <c r="AS89" s="1042">
        <f>(F89/12)*9</f>
        <v>22489335.9375</v>
      </c>
      <c r="AT89" s="1042">
        <f t="shared" si="185"/>
        <v>184912317.70833331</v>
      </c>
      <c r="AU89" s="1042">
        <f t="shared" ref="AU89" si="285">E89-AT89</f>
        <v>54973932.291666687</v>
      </c>
      <c r="AV89" s="1042">
        <f t="shared" ref="AV89" si="286">(F89/12)*12</f>
        <v>29985781.25</v>
      </c>
      <c r="AW89" s="1042">
        <f t="shared" ref="AW89" si="287">AQ89+AV89</f>
        <v>192408763.02083331</v>
      </c>
      <c r="AX89" s="1042">
        <f t="shared" ref="AX89" si="288">E89-AW89</f>
        <v>47477486.979166687</v>
      </c>
      <c r="AY89" s="179"/>
      <c r="AZ89" s="8">
        <f t="shared" ref="AZ89:AZ94" si="289">E89-AW89-AX89</f>
        <v>0</v>
      </c>
      <c r="BB89" s="221"/>
      <c r="BC89" s="179"/>
    </row>
    <row r="90" spans="1:55" s="220" customFormat="1" ht="14.25" customHeight="1">
      <c r="A90" s="213" t="s">
        <v>524</v>
      </c>
      <c r="B90" s="230"/>
      <c r="C90" s="234"/>
      <c r="D90" s="216"/>
      <c r="E90" s="217"/>
      <c r="F90" s="1045"/>
      <c r="G90" s="1046"/>
      <c r="H90" s="1046"/>
      <c r="I90" s="1046"/>
      <c r="J90" s="1046"/>
      <c r="K90" s="1046"/>
      <c r="L90" s="1046"/>
      <c r="M90" s="1046"/>
      <c r="N90" s="1046"/>
      <c r="O90" s="1046"/>
      <c r="P90" s="1046"/>
      <c r="Q90" s="1046"/>
      <c r="R90" s="1046"/>
      <c r="S90" s="1046"/>
      <c r="T90" s="1046"/>
      <c r="U90" s="1046"/>
      <c r="V90" s="1046"/>
      <c r="W90" s="1046"/>
      <c r="X90" s="1046"/>
      <c r="Y90" s="219"/>
      <c r="Z90" s="219"/>
      <c r="AA90" s="1046"/>
      <c r="AB90" s="1046"/>
      <c r="AC90" s="1046"/>
      <c r="AD90" s="1046"/>
      <c r="AE90" s="1046"/>
      <c r="AF90" s="1046"/>
      <c r="AG90" s="1046"/>
      <c r="AH90" s="1046"/>
      <c r="AI90" s="1046"/>
      <c r="AJ90" s="1046"/>
      <c r="AK90" s="1046"/>
      <c r="AL90" s="1046"/>
      <c r="AM90" s="1046"/>
      <c r="AN90" s="1046"/>
      <c r="AO90" s="1046"/>
      <c r="AP90" s="1046"/>
      <c r="AQ90" s="1046">
        <f t="shared" si="183"/>
        <v>0</v>
      </c>
      <c r="AR90" s="1046"/>
      <c r="AS90" s="1046">
        <f t="shared" si="231"/>
        <v>0</v>
      </c>
      <c r="AT90" s="1046">
        <f t="shared" si="185"/>
        <v>0</v>
      </c>
      <c r="AU90" s="1046"/>
      <c r="AV90" s="1046"/>
      <c r="AW90" s="1046"/>
      <c r="AX90" s="1046"/>
      <c r="AY90" s="179"/>
      <c r="AZ90" s="8">
        <f t="shared" si="289"/>
        <v>0</v>
      </c>
      <c r="BB90" s="221"/>
      <c r="BC90" s="179"/>
    </row>
    <row r="91" spans="1:55" s="220" customFormat="1" ht="14.25" customHeight="1">
      <c r="A91" s="17">
        <v>1</v>
      </c>
      <c r="B91" s="56" t="s">
        <v>525</v>
      </c>
      <c r="C91" s="671">
        <v>38353</v>
      </c>
      <c r="D91" s="55">
        <v>8</v>
      </c>
      <c r="E91" s="6">
        <v>70800000</v>
      </c>
      <c r="F91" s="1041">
        <f t="shared" ref="F91:F122" si="290">E91/D91</f>
        <v>8850000</v>
      </c>
      <c r="G91" s="1053"/>
      <c r="H91" s="1042">
        <f>G91</f>
        <v>0</v>
      </c>
      <c r="I91" s="1042">
        <f>E91-H91</f>
        <v>70800000</v>
      </c>
      <c r="J91" s="1042">
        <f>(F91/12)*0</f>
        <v>0</v>
      </c>
      <c r="K91" s="1042">
        <f t="shared" ref="K91:K154" si="291">J91+H91</f>
        <v>0</v>
      </c>
      <c r="L91" s="1042">
        <f t="shared" ref="L91:L122" si="292">E91-K91</f>
        <v>70800000</v>
      </c>
      <c r="M91" s="1042">
        <f t="shared" ref="M91:M154" si="293">(F91/12)*12</f>
        <v>8850000</v>
      </c>
      <c r="N91" s="1042">
        <f t="shared" ref="N91:N154" si="294">M91+K91</f>
        <v>8850000</v>
      </c>
      <c r="O91" s="1042">
        <f t="shared" ref="O91:O122" si="295">E91-N91</f>
        <v>61950000</v>
      </c>
      <c r="P91" s="1042">
        <f>(F91/12)*12</f>
        <v>8850000</v>
      </c>
      <c r="Q91" s="1042">
        <f t="shared" ref="Q91:Q154" si="296">N91+P91</f>
        <v>17700000</v>
      </c>
      <c r="R91" s="1042">
        <f t="shared" ref="R91:R122" si="297">E91-Q91</f>
        <v>53100000</v>
      </c>
      <c r="S91" s="1042">
        <f>(F91/12)*12</f>
        <v>8850000</v>
      </c>
      <c r="T91" s="1042">
        <f t="shared" ref="T91:T154" si="298">Q91+S91</f>
        <v>26550000</v>
      </c>
      <c r="U91" s="1042">
        <f t="shared" ref="U91:U122" si="299">E91-T91</f>
        <v>44250000</v>
      </c>
      <c r="V91" s="1042">
        <f>(F91/12)*12</f>
        <v>8850000</v>
      </c>
      <c r="W91" s="1042">
        <f t="shared" ref="W91:W154" si="300">T91+V91</f>
        <v>35400000</v>
      </c>
      <c r="X91" s="1042">
        <f t="shared" ref="X91:X122" si="301">E91-W91</f>
        <v>35400000</v>
      </c>
      <c r="Y91" s="7">
        <v>26550000</v>
      </c>
      <c r="Z91" s="7">
        <f t="shared" ref="Z91:Z122" si="302">E91-Y91</f>
        <v>44250000</v>
      </c>
      <c r="AA91" s="1042">
        <f>(F91/12)*12</f>
        <v>8850000</v>
      </c>
      <c r="AB91" s="1042">
        <f t="shared" ref="AB91:AB154" si="303">W91+AA91</f>
        <v>44250000</v>
      </c>
      <c r="AC91" s="1042">
        <f t="shared" ref="AC91:AC122" si="304">E91-AB91</f>
        <v>26550000</v>
      </c>
      <c r="AD91" s="1042">
        <f t="shared" ref="AD91:AD145" si="305">(F91/12)*12</f>
        <v>8850000</v>
      </c>
      <c r="AE91" s="1042">
        <f t="shared" ref="AE91:AE154" si="306">AB91+AD91</f>
        <v>53100000</v>
      </c>
      <c r="AF91" s="1042">
        <f t="shared" ref="AF91:AF122" si="307">E91-AE91</f>
        <v>17700000</v>
      </c>
      <c r="AG91" s="1042">
        <f t="shared" ref="AG91:AG154" si="308">(F91/12)*12</f>
        <v>8850000</v>
      </c>
      <c r="AH91" s="1042">
        <f t="shared" ref="AH91:AH154" si="309">AE91+AG91</f>
        <v>61950000</v>
      </c>
      <c r="AI91" s="1042">
        <f t="shared" ref="AI91:AI122" si="310">E91-AH91</f>
        <v>8850000</v>
      </c>
      <c r="AJ91" s="1042">
        <f t="shared" ref="AJ91:AJ94" si="311">(F91/12)*1</f>
        <v>737500</v>
      </c>
      <c r="AK91" s="1042">
        <f t="shared" ref="AK91:AK94" si="312">AH91+AJ91</f>
        <v>62687500</v>
      </c>
      <c r="AL91" s="1042">
        <f t="shared" ref="AL91:AL94" si="313">E91-AK91</f>
        <v>8112500</v>
      </c>
      <c r="AM91" s="1042">
        <f t="shared" si="282"/>
        <v>6637500</v>
      </c>
      <c r="AN91" s="1042">
        <f t="shared" ref="AN91:AN94" si="314">AH91+AM91</f>
        <v>68587500</v>
      </c>
      <c r="AO91" s="1042">
        <f t="shared" ref="AO91:AO94" si="315">E91-AN91</f>
        <v>2212500</v>
      </c>
      <c r="AP91" s="1042">
        <f t="shared" ref="AP91:AP94" si="316">(F91/12)*12</f>
        <v>8850000</v>
      </c>
      <c r="AQ91" s="1042">
        <f t="shared" si="183"/>
        <v>70800000</v>
      </c>
      <c r="AR91" s="1042">
        <f t="shared" ref="AR91:AR122" si="317">E91-AQ91</f>
        <v>0</v>
      </c>
      <c r="AS91" s="1042">
        <f t="shared" ref="AS91:AS94" si="318">(F91/12)*0</f>
        <v>0</v>
      </c>
      <c r="AT91" s="1042">
        <f t="shared" si="185"/>
        <v>70800000</v>
      </c>
      <c r="AU91" s="1042">
        <f t="shared" ref="AU91:AU94" si="319">E91-AT91</f>
        <v>0</v>
      </c>
      <c r="AV91" s="1042">
        <f>(F91/12)*0</f>
        <v>0</v>
      </c>
      <c r="AW91" s="1042">
        <f t="shared" ref="AW91:AW94" si="320">AQ91+AV91</f>
        <v>70800000</v>
      </c>
      <c r="AX91" s="1042">
        <f t="shared" ref="AX91:AX94" si="321">E91-AW91</f>
        <v>0</v>
      </c>
      <c r="AY91" s="179"/>
      <c r="AZ91" s="8">
        <f t="shared" si="289"/>
        <v>0</v>
      </c>
      <c r="BB91" s="221"/>
      <c r="BC91" s="179"/>
    </row>
    <row r="92" spans="1:55" s="220" customFormat="1" ht="14.25" customHeight="1">
      <c r="A92" s="17">
        <f>A91+1</f>
        <v>2</v>
      </c>
      <c r="B92" s="56" t="s">
        <v>526</v>
      </c>
      <c r="C92" s="671">
        <v>38353</v>
      </c>
      <c r="D92" s="55">
        <v>8</v>
      </c>
      <c r="E92" s="6">
        <v>30700000</v>
      </c>
      <c r="F92" s="1041">
        <f t="shared" si="290"/>
        <v>3837500</v>
      </c>
      <c r="G92" s="1053"/>
      <c r="H92" s="1042">
        <f t="shared" ref="H92:H154" si="322">G92</f>
        <v>0</v>
      </c>
      <c r="I92" s="1042">
        <f t="shared" ref="I92:I154" si="323">E92-H92</f>
        <v>30700000</v>
      </c>
      <c r="J92" s="1042">
        <f t="shared" ref="J92:J104" si="324">(F92/12)*0</f>
        <v>0</v>
      </c>
      <c r="K92" s="1042">
        <f t="shared" si="291"/>
        <v>0</v>
      </c>
      <c r="L92" s="1042">
        <f t="shared" si="292"/>
        <v>30700000</v>
      </c>
      <c r="M92" s="1042">
        <f t="shared" si="293"/>
        <v>3837500</v>
      </c>
      <c r="N92" s="1042">
        <f t="shared" si="294"/>
        <v>3837500</v>
      </c>
      <c r="O92" s="1042">
        <f t="shared" si="295"/>
        <v>26862500</v>
      </c>
      <c r="P92" s="1042">
        <f t="shared" ref="P92:P154" si="325">(F92/12)*12</f>
        <v>3837500</v>
      </c>
      <c r="Q92" s="1042">
        <f t="shared" si="296"/>
        <v>7675000</v>
      </c>
      <c r="R92" s="1042">
        <f t="shared" si="297"/>
        <v>23025000</v>
      </c>
      <c r="S92" s="1042">
        <f t="shared" ref="S92:S115" si="326">(F92/12)*12</f>
        <v>3837500</v>
      </c>
      <c r="T92" s="1042">
        <f t="shared" si="298"/>
        <v>11512500</v>
      </c>
      <c r="U92" s="1042">
        <f t="shared" si="299"/>
        <v>19187500</v>
      </c>
      <c r="V92" s="1042">
        <f t="shared" ref="V92:V139" si="327">(F92/12)*12</f>
        <v>3837500</v>
      </c>
      <c r="W92" s="1042">
        <f t="shared" si="300"/>
        <v>15350000</v>
      </c>
      <c r="X92" s="1042">
        <f t="shared" si="301"/>
        <v>15350000</v>
      </c>
      <c r="Y92" s="7">
        <v>11512500.000000004</v>
      </c>
      <c r="Z92" s="7">
        <f t="shared" si="302"/>
        <v>19187499.999999996</v>
      </c>
      <c r="AA92" s="1042">
        <f t="shared" ref="AA92:AA141" si="328">(F92/12)*12</f>
        <v>3837500</v>
      </c>
      <c r="AB92" s="1042">
        <f t="shared" si="303"/>
        <v>19187500</v>
      </c>
      <c r="AC92" s="1042">
        <f t="shared" si="304"/>
        <v>11512500</v>
      </c>
      <c r="AD92" s="1042">
        <f t="shared" si="305"/>
        <v>3837500</v>
      </c>
      <c r="AE92" s="1042">
        <f t="shared" si="306"/>
        <v>23025000</v>
      </c>
      <c r="AF92" s="1042">
        <f t="shared" si="307"/>
        <v>7675000</v>
      </c>
      <c r="AG92" s="1042">
        <f t="shared" si="308"/>
        <v>3837500</v>
      </c>
      <c r="AH92" s="1042">
        <f t="shared" si="309"/>
        <v>26862500</v>
      </c>
      <c r="AI92" s="1042">
        <f t="shared" si="310"/>
        <v>3837500</v>
      </c>
      <c r="AJ92" s="1042">
        <f t="shared" si="311"/>
        <v>319791.66666666669</v>
      </c>
      <c r="AK92" s="1042">
        <f t="shared" si="312"/>
        <v>27182291.666666668</v>
      </c>
      <c r="AL92" s="1042">
        <f t="shared" si="313"/>
        <v>3517708.3333333321</v>
      </c>
      <c r="AM92" s="1042">
        <f t="shared" si="282"/>
        <v>2878125</v>
      </c>
      <c r="AN92" s="1042">
        <f t="shared" si="314"/>
        <v>29740625</v>
      </c>
      <c r="AO92" s="1042">
        <f t="shared" si="315"/>
        <v>959375</v>
      </c>
      <c r="AP92" s="1042">
        <f t="shared" si="316"/>
        <v>3837500</v>
      </c>
      <c r="AQ92" s="1042">
        <f t="shared" si="183"/>
        <v>30700000</v>
      </c>
      <c r="AR92" s="1042">
        <f t="shared" si="317"/>
        <v>0</v>
      </c>
      <c r="AS92" s="1042">
        <f t="shared" si="318"/>
        <v>0</v>
      </c>
      <c r="AT92" s="1042">
        <f t="shared" si="185"/>
        <v>30700000</v>
      </c>
      <c r="AU92" s="1042">
        <f t="shared" si="319"/>
        <v>0</v>
      </c>
      <c r="AV92" s="1042">
        <f>(F92/12)*0</f>
        <v>0</v>
      </c>
      <c r="AW92" s="1042">
        <f t="shared" si="320"/>
        <v>30700000</v>
      </c>
      <c r="AX92" s="1042">
        <f t="shared" si="321"/>
        <v>0</v>
      </c>
      <c r="AY92" s="179"/>
      <c r="AZ92" s="8">
        <f t="shared" si="289"/>
        <v>0</v>
      </c>
      <c r="BB92" s="221"/>
      <c r="BC92" s="179"/>
    </row>
    <row r="93" spans="1:55" s="220" customFormat="1" ht="14.25" customHeight="1">
      <c r="A93" s="17">
        <f t="shared" ref="A93:A156" si="329">A92+1</f>
        <v>3</v>
      </c>
      <c r="B93" s="56" t="s">
        <v>527</v>
      </c>
      <c r="C93" s="671">
        <v>38353</v>
      </c>
      <c r="D93" s="55">
        <v>8</v>
      </c>
      <c r="E93" s="6">
        <v>7500000</v>
      </c>
      <c r="F93" s="1041">
        <f t="shared" si="290"/>
        <v>937500</v>
      </c>
      <c r="G93" s="1053"/>
      <c r="H93" s="1042">
        <f t="shared" si="322"/>
        <v>0</v>
      </c>
      <c r="I93" s="1042">
        <f t="shared" si="323"/>
        <v>7500000</v>
      </c>
      <c r="J93" s="1042">
        <f t="shared" si="324"/>
        <v>0</v>
      </c>
      <c r="K93" s="1042">
        <f t="shared" si="291"/>
        <v>0</v>
      </c>
      <c r="L93" s="1042">
        <f t="shared" si="292"/>
        <v>7500000</v>
      </c>
      <c r="M93" s="1042">
        <f t="shared" si="293"/>
        <v>937500</v>
      </c>
      <c r="N93" s="1042">
        <f t="shared" si="294"/>
        <v>937500</v>
      </c>
      <c r="O93" s="1042">
        <f t="shared" si="295"/>
        <v>6562500</v>
      </c>
      <c r="P93" s="1042">
        <f t="shared" si="325"/>
        <v>937500</v>
      </c>
      <c r="Q93" s="1042">
        <f t="shared" si="296"/>
        <v>1875000</v>
      </c>
      <c r="R93" s="1042">
        <f t="shared" si="297"/>
        <v>5625000</v>
      </c>
      <c r="S93" s="1042">
        <f t="shared" si="326"/>
        <v>937500</v>
      </c>
      <c r="T93" s="1042">
        <f t="shared" si="298"/>
        <v>2812500</v>
      </c>
      <c r="U93" s="1042">
        <f t="shared" si="299"/>
        <v>4687500</v>
      </c>
      <c r="V93" s="1042">
        <f t="shared" si="327"/>
        <v>937500</v>
      </c>
      <c r="W93" s="1042">
        <f t="shared" si="300"/>
        <v>3750000</v>
      </c>
      <c r="X93" s="1042">
        <f t="shared" si="301"/>
        <v>3750000</v>
      </c>
      <c r="Y93" s="7">
        <v>2812500</v>
      </c>
      <c r="Z93" s="7">
        <f t="shared" si="302"/>
        <v>4687500</v>
      </c>
      <c r="AA93" s="1042">
        <f t="shared" si="328"/>
        <v>937500</v>
      </c>
      <c r="AB93" s="1042">
        <f t="shared" si="303"/>
        <v>4687500</v>
      </c>
      <c r="AC93" s="1042">
        <f t="shared" si="304"/>
        <v>2812500</v>
      </c>
      <c r="AD93" s="1042">
        <f t="shared" si="305"/>
        <v>937500</v>
      </c>
      <c r="AE93" s="1042">
        <f t="shared" si="306"/>
        <v>5625000</v>
      </c>
      <c r="AF93" s="1042">
        <f t="shared" si="307"/>
        <v>1875000</v>
      </c>
      <c r="AG93" s="1042">
        <f t="shared" si="308"/>
        <v>937500</v>
      </c>
      <c r="AH93" s="1042">
        <f t="shared" si="309"/>
        <v>6562500</v>
      </c>
      <c r="AI93" s="1042">
        <f t="shared" si="310"/>
        <v>937500</v>
      </c>
      <c r="AJ93" s="1042">
        <f t="shared" si="311"/>
        <v>78125</v>
      </c>
      <c r="AK93" s="1042">
        <f t="shared" si="312"/>
        <v>6640625</v>
      </c>
      <c r="AL93" s="1042">
        <f t="shared" si="313"/>
        <v>859375</v>
      </c>
      <c r="AM93" s="1042">
        <f t="shared" si="282"/>
        <v>703125</v>
      </c>
      <c r="AN93" s="1042">
        <f t="shared" si="314"/>
        <v>7265625</v>
      </c>
      <c r="AO93" s="1042">
        <f t="shared" si="315"/>
        <v>234375</v>
      </c>
      <c r="AP93" s="1042">
        <f t="shared" si="316"/>
        <v>937500</v>
      </c>
      <c r="AQ93" s="1042">
        <f t="shared" si="183"/>
        <v>7500000</v>
      </c>
      <c r="AR93" s="1042">
        <f t="shared" si="317"/>
        <v>0</v>
      </c>
      <c r="AS93" s="1042">
        <f t="shared" si="318"/>
        <v>0</v>
      </c>
      <c r="AT93" s="1042">
        <f t="shared" si="185"/>
        <v>7500000</v>
      </c>
      <c r="AU93" s="1042">
        <f t="shared" si="319"/>
        <v>0</v>
      </c>
      <c r="AV93" s="1042">
        <f>(F93/12)*0</f>
        <v>0</v>
      </c>
      <c r="AW93" s="1042">
        <f t="shared" si="320"/>
        <v>7500000</v>
      </c>
      <c r="AX93" s="1042">
        <f t="shared" si="321"/>
        <v>0</v>
      </c>
      <c r="AY93" s="179"/>
      <c r="AZ93" s="8">
        <f t="shared" si="289"/>
        <v>0</v>
      </c>
      <c r="BB93" s="221"/>
      <c r="BC93" s="179"/>
    </row>
    <row r="94" spans="1:55" s="220" customFormat="1" ht="14.25" customHeight="1">
      <c r="A94" s="17">
        <f t="shared" si="329"/>
        <v>4</v>
      </c>
      <c r="B94" s="56" t="s">
        <v>528</v>
      </c>
      <c r="C94" s="671">
        <v>38353</v>
      </c>
      <c r="D94" s="55">
        <v>8</v>
      </c>
      <c r="E94" s="6">
        <v>1200000</v>
      </c>
      <c r="F94" s="1041">
        <f t="shared" si="290"/>
        <v>150000</v>
      </c>
      <c r="G94" s="1053"/>
      <c r="H94" s="1042">
        <f t="shared" si="322"/>
        <v>0</v>
      </c>
      <c r="I94" s="1042">
        <f t="shared" si="323"/>
        <v>1200000</v>
      </c>
      <c r="J94" s="1042">
        <f t="shared" si="324"/>
        <v>0</v>
      </c>
      <c r="K94" s="1042">
        <f t="shared" si="291"/>
        <v>0</v>
      </c>
      <c r="L94" s="1042">
        <f t="shared" si="292"/>
        <v>1200000</v>
      </c>
      <c r="M94" s="1042">
        <f t="shared" si="293"/>
        <v>150000</v>
      </c>
      <c r="N94" s="1042">
        <f t="shared" si="294"/>
        <v>150000</v>
      </c>
      <c r="O94" s="1042">
        <f t="shared" si="295"/>
        <v>1050000</v>
      </c>
      <c r="P94" s="1042">
        <f t="shared" si="325"/>
        <v>150000</v>
      </c>
      <c r="Q94" s="1042">
        <f t="shared" si="296"/>
        <v>300000</v>
      </c>
      <c r="R94" s="1042">
        <f t="shared" si="297"/>
        <v>900000</v>
      </c>
      <c r="S94" s="1042">
        <f t="shared" si="326"/>
        <v>150000</v>
      </c>
      <c r="T94" s="1042">
        <f t="shared" si="298"/>
        <v>450000</v>
      </c>
      <c r="U94" s="1042">
        <f t="shared" si="299"/>
        <v>750000</v>
      </c>
      <c r="V94" s="1042">
        <f t="shared" si="327"/>
        <v>150000</v>
      </c>
      <c r="W94" s="1042">
        <f t="shared" si="300"/>
        <v>600000</v>
      </c>
      <c r="X94" s="1042">
        <f t="shared" si="301"/>
        <v>600000</v>
      </c>
      <c r="Y94" s="7">
        <v>450000</v>
      </c>
      <c r="Z94" s="7">
        <f t="shared" si="302"/>
        <v>750000</v>
      </c>
      <c r="AA94" s="1042">
        <f t="shared" si="328"/>
        <v>150000</v>
      </c>
      <c r="AB94" s="1042">
        <f t="shared" si="303"/>
        <v>750000</v>
      </c>
      <c r="AC94" s="1042">
        <f t="shared" si="304"/>
        <v>450000</v>
      </c>
      <c r="AD94" s="1042">
        <f t="shared" si="305"/>
        <v>150000</v>
      </c>
      <c r="AE94" s="1042">
        <f t="shared" si="306"/>
        <v>900000</v>
      </c>
      <c r="AF94" s="1042">
        <f t="shared" si="307"/>
        <v>300000</v>
      </c>
      <c r="AG94" s="1042">
        <f t="shared" si="308"/>
        <v>150000</v>
      </c>
      <c r="AH94" s="1042">
        <f t="shared" si="309"/>
        <v>1050000</v>
      </c>
      <c r="AI94" s="1042">
        <f t="shared" si="310"/>
        <v>150000</v>
      </c>
      <c r="AJ94" s="1042">
        <f t="shared" si="311"/>
        <v>12500</v>
      </c>
      <c r="AK94" s="1042">
        <f t="shared" si="312"/>
        <v>1062500</v>
      </c>
      <c r="AL94" s="1042">
        <f t="shared" si="313"/>
        <v>137500</v>
      </c>
      <c r="AM94" s="1042">
        <f t="shared" si="282"/>
        <v>112500</v>
      </c>
      <c r="AN94" s="1042">
        <f t="shared" si="314"/>
        <v>1162500</v>
      </c>
      <c r="AO94" s="1042">
        <f t="shared" si="315"/>
        <v>37500</v>
      </c>
      <c r="AP94" s="1042">
        <f t="shared" si="316"/>
        <v>150000</v>
      </c>
      <c r="AQ94" s="1042">
        <f t="shared" si="183"/>
        <v>1200000</v>
      </c>
      <c r="AR94" s="1042">
        <f t="shared" si="317"/>
        <v>0</v>
      </c>
      <c r="AS94" s="1042">
        <f t="shared" si="318"/>
        <v>0</v>
      </c>
      <c r="AT94" s="1042">
        <f t="shared" si="185"/>
        <v>1200000</v>
      </c>
      <c r="AU94" s="1042">
        <f t="shared" si="319"/>
        <v>0</v>
      </c>
      <c r="AV94" s="1042">
        <f>(F94/12)*0</f>
        <v>0</v>
      </c>
      <c r="AW94" s="1042">
        <f t="shared" si="320"/>
        <v>1200000</v>
      </c>
      <c r="AX94" s="1042">
        <f t="shared" si="321"/>
        <v>0</v>
      </c>
      <c r="AY94" s="179"/>
      <c r="AZ94" s="8">
        <f t="shared" si="289"/>
        <v>0</v>
      </c>
      <c r="BB94" s="221"/>
      <c r="BC94" s="179"/>
    </row>
    <row r="95" spans="1:55" s="970" customFormat="1" ht="14.25" hidden="1" customHeight="1">
      <c r="A95" s="874">
        <f t="shared" si="329"/>
        <v>5</v>
      </c>
      <c r="B95" s="909" t="s">
        <v>529</v>
      </c>
      <c r="C95" s="903">
        <v>38353</v>
      </c>
      <c r="D95" s="877">
        <v>8</v>
      </c>
      <c r="E95" s="878">
        <f>100000*0</f>
        <v>0</v>
      </c>
      <c r="F95" s="879">
        <f t="shared" si="290"/>
        <v>0</v>
      </c>
      <c r="G95" s="880"/>
      <c r="H95" s="880">
        <f t="shared" si="322"/>
        <v>0</v>
      </c>
      <c r="I95" s="880">
        <f t="shared" si="323"/>
        <v>0</v>
      </c>
      <c r="J95" s="880">
        <f t="shared" si="324"/>
        <v>0</v>
      </c>
      <c r="K95" s="880">
        <f t="shared" si="291"/>
        <v>0</v>
      </c>
      <c r="L95" s="880">
        <f t="shared" si="292"/>
        <v>0</v>
      </c>
      <c r="M95" s="880">
        <f t="shared" si="293"/>
        <v>0</v>
      </c>
      <c r="N95" s="880">
        <f t="shared" si="294"/>
        <v>0</v>
      </c>
      <c r="O95" s="880">
        <f t="shared" si="295"/>
        <v>0</v>
      </c>
      <c r="P95" s="880">
        <f t="shared" si="325"/>
        <v>0</v>
      </c>
      <c r="Q95" s="880">
        <f t="shared" si="296"/>
        <v>0</v>
      </c>
      <c r="R95" s="880">
        <f t="shared" si="297"/>
        <v>0</v>
      </c>
      <c r="S95" s="880">
        <f t="shared" si="326"/>
        <v>0</v>
      </c>
      <c r="T95" s="880">
        <f t="shared" si="298"/>
        <v>0</v>
      </c>
      <c r="U95" s="880">
        <f t="shared" si="299"/>
        <v>0</v>
      </c>
      <c r="V95" s="880">
        <f t="shared" si="327"/>
        <v>0</v>
      </c>
      <c r="W95" s="880">
        <f t="shared" si="300"/>
        <v>0</v>
      </c>
      <c r="X95" s="880">
        <f t="shared" si="301"/>
        <v>0</v>
      </c>
      <c r="Y95" s="880">
        <v>37500.000000000007</v>
      </c>
      <c r="Z95" s="880">
        <f t="shared" si="302"/>
        <v>-37500.000000000007</v>
      </c>
      <c r="AA95" s="880">
        <f t="shared" si="328"/>
        <v>0</v>
      </c>
      <c r="AB95" s="880">
        <f t="shared" si="303"/>
        <v>0</v>
      </c>
      <c r="AC95" s="880">
        <f t="shared" si="304"/>
        <v>0</v>
      </c>
      <c r="AD95" s="880">
        <f t="shared" si="305"/>
        <v>0</v>
      </c>
      <c r="AE95" s="880">
        <f t="shared" si="306"/>
        <v>0</v>
      </c>
      <c r="AF95" s="880">
        <f t="shared" si="307"/>
        <v>0</v>
      </c>
      <c r="AG95" s="880">
        <f t="shared" si="308"/>
        <v>0</v>
      </c>
      <c r="AH95" s="880">
        <f t="shared" si="309"/>
        <v>0</v>
      </c>
      <c r="AI95" s="880">
        <f t="shared" si="310"/>
        <v>0</v>
      </c>
      <c r="AJ95" s="880"/>
      <c r="AK95" s="880"/>
      <c r="AL95" s="880"/>
      <c r="AM95" s="880"/>
      <c r="AN95" s="880"/>
      <c r="AO95" s="880"/>
      <c r="AP95" s="880">
        <f t="shared" ref="AP95:AP100" si="330">(F95/12)*7</f>
        <v>0</v>
      </c>
      <c r="AQ95" s="880">
        <f t="shared" si="183"/>
        <v>0</v>
      </c>
      <c r="AR95" s="880">
        <f t="shared" si="317"/>
        <v>0</v>
      </c>
      <c r="AS95" s="896">
        <f t="shared" si="231"/>
        <v>0</v>
      </c>
      <c r="AT95" s="896">
        <f t="shared" si="185"/>
        <v>0</v>
      </c>
      <c r="AU95" s="896"/>
      <c r="AV95" s="896"/>
      <c r="AW95" s="896"/>
      <c r="AX95" s="896"/>
      <c r="AY95" s="969"/>
      <c r="AZ95" s="881">
        <f t="shared" si="232"/>
        <v>0</v>
      </c>
      <c r="BB95" s="971"/>
      <c r="BC95" s="969"/>
    </row>
    <row r="96" spans="1:55" s="220" customFormat="1" ht="14.25" customHeight="1">
      <c r="A96" s="17">
        <f t="shared" si="329"/>
        <v>6</v>
      </c>
      <c r="B96" s="56" t="s">
        <v>530</v>
      </c>
      <c r="C96" s="671">
        <v>38353</v>
      </c>
      <c r="D96" s="55">
        <v>8</v>
      </c>
      <c r="E96" s="6">
        <v>2400000</v>
      </c>
      <c r="F96" s="1041">
        <f t="shared" si="290"/>
        <v>300000</v>
      </c>
      <c r="G96" s="1053"/>
      <c r="H96" s="1042">
        <f t="shared" si="322"/>
        <v>0</v>
      </c>
      <c r="I96" s="1042">
        <f t="shared" si="323"/>
        <v>2400000</v>
      </c>
      <c r="J96" s="1042">
        <f t="shared" si="324"/>
        <v>0</v>
      </c>
      <c r="K96" s="1042">
        <f t="shared" si="291"/>
        <v>0</v>
      </c>
      <c r="L96" s="1042">
        <f t="shared" si="292"/>
        <v>2400000</v>
      </c>
      <c r="M96" s="1042">
        <f t="shared" si="293"/>
        <v>300000</v>
      </c>
      <c r="N96" s="1042">
        <f t="shared" si="294"/>
        <v>300000</v>
      </c>
      <c r="O96" s="1042">
        <f t="shared" si="295"/>
        <v>2100000</v>
      </c>
      <c r="P96" s="1042">
        <f t="shared" si="325"/>
        <v>300000</v>
      </c>
      <c r="Q96" s="1042">
        <f t="shared" si="296"/>
        <v>600000</v>
      </c>
      <c r="R96" s="1042">
        <f t="shared" si="297"/>
        <v>1800000</v>
      </c>
      <c r="S96" s="1042">
        <f t="shared" si="326"/>
        <v>300000</v>
      </c>
      <c r="T96" s="1042">
        <f t="shared" si="298"/>
        <v>900000</v>
      </c>
      <c r="U96" s="1042">
        <f t="shared" si="299"/>
        <v>1500000</v>
      </c>
      <c r="V96" s="1042">
        <f t="shared" si="327"/>
        <v>300000</v>
      </c>
      <c r="W96" s="1042">
        <f t="shared" si="300"/>
        <v>1200000</v>
      </c>
      <c r="X96" s="1042">
        <f t="shared" si="301"/>
        <v>1200000</v>
      </c>
      <c r="Y96" s="7">
        <v>900000</v>
      </c>
      <c r="Z96" s="7">
        <f t="shared" si="302"/>
        <v>1500000</v>
      </c>
      <c r="AA96" s="1042">
        <f t="shared" si="328"/>
        <v>300000</v>
      </c>
      <c r="AB96" s="1042">
        <f t="shared" si="303"/>
        <v>1500000</v>
      </c>
      <c r="AC96" s="1042">
        <f t="shared" si="304"/>
        <v>900000</v>
      </c>
      <c r="AD96" s="1042">
        <f t="shared" si="305"/>
        <v>300000</v>
      </c>
      <c r="AE96" s="1042">
        <f t="shared" si="306"/>
        <v>1800000</v>
      </c>
      <c r="AF96" s="1042">
        <f t="shared" si="307"/>
        <v>600000</v>
      </c>
      <c r="AG96" s="1042">
        <f t="shared" si="308"/>
        <v>300000</v>
      </c>
      <c r="AH96" s="1042">
        <f t="shared" si="309"/>
        <v>2100000</v>
      </c>
      <c r="AI96" s="1042">
        <f t="shared" si="310"/>
        <v>300000</v>
      </c>
      <c r="AJ96" s="1042">
        <f t="shared" ref="AJ96:AJ97" si="331">(F96/12)*1</f>
        <v>25000</v>
      </c>
      <c r="AK96" s="1042">
        <f t="shared" ref="AK96:AK97" si="332">AH96+AJ96</f>
        <v>2125000</v>
      </c>
      <c r="AL96" s="1042">
        <f t="shared" ref="AL96:AL97" si="333">E96-AK96</f>
        <v>275000</v>
      </c>
      <c r="AM96" s="1042">
        <f t="shared" si="282"/>
        <v>225000</v>
      </c>
      <c r="AN96" s="1042">
        <f t="shared" ref="AN96:AN97" si="334">AH96+AM96</f>
        <v>2325000</v>
      </c>
      <c r="AO96" s="1042">
        <f t="shared" ref="AO96:AO97" si="335">E96-AN96</f>
        <v>75000</v>
      </c>
      <c r="AP96" s="1042">
        <f t="shared" ref="AP96:AP97" si="336">(F96/12)*12</f>
        <v>300000</v>
      </c>
      <c r="AQ96" s="1042">
        <f t="shared" si="183"/>
        <v>2400000</v>
      </c>
      <c r="AR96" s="1042">
        <f t="shared" si="317"/>
        <v>0</v>
      </c>
      <c r="AS96" s="1042">
        <f t="shared" ref="AS96:AS97" si="337">(F96/12)*0</f>
        <v>0</v>
      </c>
      <c r="AT96" s="1042">
        <f t="shared" si="185"/>
        <v>2400000</v>
      </c>
      <c r="AU96" s="1042">
        <f t="shared" ref="AU96:AU97" si="338">E96-AT96</f>
        <v>0</v>
      </c>
      <c r="AV96" s="1042">
        <f>(F96/12)*0</f>
        <v>0</v>
      </c>
      <c r="AW96" s="1042">
        <f t="shared" ref="AW96:AW97" si="339">AQ96+AV96</f>
        <v>2400000</v>
      </c>
      <c r="AX96" s="1042">
        <f t="shared" ref="AX96:AX97" si="340">E96-AW96</f>
        <v>0</v>
      </c>
      <c r="AY96" s="179"/>
      <c r="AZ96" s="8">
        <f t="shared" ref="AZ96:AZ97" si="341">E96-AW96-AX96</f>
        <v>0</v>
      </c>
      <c r="BB96" s="221"/>
      <c r="BC96" s="179"/>
    </row>
    <row r="97" spans="1:55" s="220" customFormat="1" ht="14.25" customHeight="1">
      <c r="A97" s="17">
        <f>A146+1</f>
        <v>8</v>
      </c>
      <c r="B97" s="909" t="s">
        <v>1170</v>
      </c>
      <c r="C97" s="671">
        <v>38353</v>
      </c>
      <c r="D97" s="55">
        <v>8</v>
      </c>
      <c r="E97" s="6">
        <f>700000+100000 +300000</f>
        <v>1100000</v>
      </c>
      <c r="F97" s="1041">
        <f t="shared" si="290"/>
        <v>137500</v>
      </c>
      <c r="G97" s="1053"/>
      <c r="H97" s="1042">
        <f t="shared" si="322"/>
        <v>0</v>
      </c>
      <c r="I97" s="1042">
        <f t="shared" si="323"/>
        <v>1100000</v>
      </c>
      <c r="J97" s="1042">
        <f t="shared" si="324"/>
        <v>0</v>
      </c>
      <c r="K97" s="1042">
        <f t="shared" si="291"/>
        <v>0</v>
      </c>
      <c r="L97" s="1042">
        <f t="shared" si="292"/>
        <v>1100000</v>
      </c>
      <c r="M97" s="1042">
        <f t="shared" si="293"/>
        <v>137500</v>
      </c>
      <c r="N97" s="1042">
        <f t="shared" si="294"/>
        <v>137500</v>
      </c>
      <c r="O97" s="1042">
        <f t="shared" si="295"/>
        <v>962500</v>
      </c>
      <c r="P97" s="1042">
        <f t="shared" si="325"/>
        <v>137500</v>
      </c>
      <c r="Q97" s="1042">
        <f t="shared" si="296"/>
        <v>275000</v>
      </c>
      <c r="R97" s="1042">
        <f t="shared" si="297"/>
        <v>825000</v>
      </c>
      <c r="S97" s="1042">
        <f t="shared" si="326"/>
        <v>137500</v>
      </c>
      <c r="T97" s="1042">
        <f t="shared" si="298"/>
        <v>412500</v>
      </c>
      <c r="U97" s="1042">
        <f t="shared" si="299"/>
        <v>687500</v>
      </c>
      <c r="V97" s="1042">
        <f t="shared" si="327"/>
        <v>137500</v>
      </c>
      <c r="W97" s="1042">
        <f t="shared" si="300"/>
        <v>550000</v>
      </c>
      <c r="X97" s="1042">
        <f t="shared" si="301"/>
        <v>550000</v>
      </c>
      <c r="Y97" s="7">
        <v>262500</v>
      </c>
      <c r="Z97" s="7">
        <f t="shared" si="302"/>
        <v>837500</v>
      </c>
      <c r="AA97" s="1042">
        <f t="shared" si="328"/>
        <v>137500</v>
      </c>
      <c r="AB97" s="1042">
        <f t="shared" si="303"/>
        <v>687500</v>
      </c>
      <c r="AC97" s="1042">
        <f t="shared" si="304"/>
        <v>412500</v>
      </c>
      <c r="AD97" s="1042">
        <f t="shared" si="305"/>
        <v>137500</v>
      </c>
      <c r="AE97" s="1042">
        <f t="shared" si="306"/>
        <v>825000</v>
      </c>
      <c r="AF97" s="1042">
        <f t="shared" si="307"/>
        <v>275000</v>
      </c>
      <c r="AG97" s="1042">
        <f t="shared" si="308"/>
        <v>137500</v>
      </c>
      <c r="AH97" s="1042">
        <f t="shared" si="309"/>
        <v>962500</v>
      </c>
      <c r="AI97" s="1042">
        <f t="shared" si="310"/>
        <v>137500</v>
      </c>
      <c r="AJ97" s="1042">
        <f t="shared" si="331"/>
        <v>11458.333333333334</v>
      </c>
      <c r="AK97" s="1042">
        <f t="shared" si="332"/>
        <v>973958.33333333337</v>
      </c>
      <c r="AL97" s="1042">
        <f t="shared" si="333"/>
        <v>126041.66666666663</v>
      </c>
      <c r="AM97" s="1042">
        <f t="shared" si="282"/>
        <v>103125</v>
      </c>
      <c r="AN97" s="1042">
        <f t="shared" si="334"/>
        <v>1065625</v>
      </c>
      <c r="AO97" s="1042">
        <f t="shared" si="335"/>
        <v>34375</v>
      </c>
      <c r="AP97" s="1042">
        <f t="shared" si="336"/>
        <v>137500</v>
      </c>
      <c r="AQ97" s="1042">
        <f t="shared" si="183"/>
        <v>1100000</v>
      </c>
      <c r="AR97" s="1042">
        <f t="shared" si="317"/>
        <v>0</v>
      </c>
      <c r="AS97" s="1042">
        <f t="shared" si="337"/>
        <v>0</v>
      </c>
      <c r="AT97" s="1042">
        <f t="shared" si="185"/>
        <v>1100000</v>
      </c>
      <c r="AU97" s="1042">
        <f t="shared" si="338"/>
        <v>0</v>
      </c>
      <c r="AV97" s="1042">
        <f>(F97/12)*0</f>
        <v>0</v>
      </c>
      <c r="AW97" s="1042">
        <f t="shared" si="339"/>
        <v>1100000</v>
      </c>
      <c r="AX97" s="1042">
        <f t="shared" si="340"/>
        <v>0</v>
      </c>
      <c r="AY97" s="179"/>
      <c r="AZ97" s="8">
        <f t="shared" si="341"/>
        <v>0</v>
      </c>
      <c r="BB97" s="221"/>
      <c r="BC97" s="179"/>
    </row>
    <row r="98" spans="1:55" s="970" customFormat="1" ht="14.25" hidden="1" customHeight="1">
      <c r="A98" s="17">
        <f t="shared" si="329"/>
        <v>9</v>
      </c>
      <c r="B98" s="909" t="s">
        <v>532</v>
      </c>
      <c r="C98" s="903">
        <v>38353</v>
      </c>
      <c r="D98" s="877">
        <v>8</v>
      </c>
      <c r="E98" s="878">
        <f>400000*0</f>
        <v>0</v>
      </c>
      <c r="F98" s="879">
        <f t="shared" si="290"/>
        <v>0</v>
      </c>
      <c r="G98" s="880"/>
      <c r="H98" s="880">
        <f t="shared" si="322"/>
        <v>0</v>
      </c>
      <c r="I98" s="880">
        <f t="shared" si="323"/>
        <v>0</v>
      </c>
      <c r="J98" s="880">
        <f t="shared" si="324"/>
        <v>0</v>
      </c>
      <c r="K98" s="880">
        <f t="shared" si="291"/>
        <v>0</v>
      </c>
      <c r="L98" s="880">
        <f t="shared" si="292"/>
        <v>0</v>
      </c>
      <c r="M98" s="880">
        <f t="shared" si="293"/>
        <v>0</v>
      </c>
      <c r="N98" s="880">
        <f t="shared" si="294"/>
        <v>0</v>
      </c>
      <c r="O98" s="880">
        <f t="shared" si="295"/>
        <v>0</v>
      </c>
      <c r="P98" s="880">
        <f t="shared" si="325"/>
        <v>0</v>
      </c>
      <c r="Q98" s="880">
        <f t="shared" si="296"/>
        <v>0</v>
      </c>
      <c r="R98" s="880">
        <f t="shared" si="297"/>
        <v>0</v>
      </c>
      <c r="S98" s="880">
        <f t="shared" si="326"/>
        <v>0</v>
      </c>
      <c r="T98" s="880">
        <f t="shared" si="298"/>
        <v>0</v>
      </c>
      <c r="U98" s="880">
        <f t="shared" si="299"/>
        <v>0</v>
      </c>
      <c r="V98" s="880">
        <f t="shared" si="327"/>
        <v>0</v>
      </c>
      <c r="W98" s="880">
        <f t="shared" si="300"/>
        <v>0</v>
      </c>
      <c r="X98" s="880">
        <f t="shared" si="301"/>
        <v>0</v>
      </c>
      <c r="Y98" s="7">
        <v>150000.00000000003</v>
      </c>
      <c r="Z98" s="7">
        <f t="shared" si="302"/>
        <v>-150000.00000000003</v>
      </c>
      <c r="AA98" s="880">
        <f t="shared" si="328"/>
        <v>0</v>
      </c>
      <c r="AB98" s="880">
        <f t="shared" si="303"/>
        <v>0</v>
      </c>
      <c r="AC98" s="880">
        <f t="shared" si="304"/>
        <v>0</v>
      </c>
      <c r="AD98" s="880">
        <f t="shared" si="305"/>
        <v>0</v>
      </c>
      <c r="AE98" s="880">
        <f t="shared" si="306"/>
        <v>0</v>
      </c>
      <c r="AF98" s="880">
        <f t="shared" si="307"/>
        <v>0</v>
      </c>
      <c r="AG98" s="880">
        <f t="shared" si="308"/>
        <v>0</v>
      </c>
      <c r="AH98" s="880">
        <f t="shared" si="309"/>
        <v>0</v>
      </c>
      <c r="AI98" s="880">
        <f t="shared" si="310"/>
        <v>0</v>
      </c>
      <c r="AJ98" s="880"/>
      <c r="AK98" s="880"/>
      <c r="AL98" s="880"/>
      <c r="AM98" s="880"/>
      <c r="AN98" s="880"/>
      <c r="AO98" s="880"/>
      <c r="AP98" s="880">
        <f t="shared" si="330"/>
        <v>0</v>
      </c>
      <c r="AQ98" s="880">
        <f t="shared" si="183"/>
        <v>0</v>
      </c>
      <c r="AR98" s="880">
        <f t="shared" si="317"/>
        <v>0</v>
      </c>
      <c r="AS98" s="896">
        <f t="shared" si="231"/>
        <v>0</v>
      </c>
      <c r="AT98" s="896">
        <f t="shared" si="185"/>
        <v>0</v>
      </c>
      <c r="AU98" s="896"/>
      <c r="AV98" s="896"/>
      <c r="AW98" s="896"/>
      <c r="AX98" s="896"/>
      <c r="AY98" s="969"/>
      <c r="AZ98" s="881">
        <f t="shared" si="232"/>
        <v>0</v>
      </c>
      <c r="BB98" s="971"/>
      <c r="BC98" s="969"/>
    </row>
    <row r="99" spans="1:55" s="220" customFormat="1" ht="14.25" customHeight="1">
      <c r="A99" s="17">
        <f t="shared" si="329"/>
        <v>10</v>
      </c>
      <c r="B99" s="909" t="s">
        <v>532</v>
      </c>
      <c r="C99" s="671">
        <v>38353</v>
      </c>
      <c r="D99" s="55">
        <v>8</v>
      </c>
      <c r="E99" s="6">
        <f>300000+400000</f>
        <v>700000</v>
      </c>
      <c r="F99" s="1041">
        <f t="shared" si="290"/>
        <v>87500</v>
      </c>
      <c r="G99" s="1053"/>
      <c r="H99" s="1042">
        <f t="shared" si="322"/>
        <v>0</v>
      </c>
      <c r="I99" s="1042">
        <f t="shared" si="323"/>
        <v>700000</v>
      </c>
      <c r="J99" s="1042">
        <f t="shared" si="324"/>
        <v>0</v>
      </c>
      <c r="K99" s="1042">
        <f t="shared" si="291"/>
        <v>0</v>
      </c>
      <c r="L99" s="1042">
        <f t="shared" si="292"/>
        <v>700000</v>
      </c>
      <c r="M99" s="1042">
        <f t="shared" si="293"/>
        <v>87500</v>
      </c>
      <c r="N99" s="1042">
        <f t="shared" si="294"/>
        <v>87500</v>
      </c>
      <c r="O99" s="1042">
        <f t="shared" si="295"/>
        <v>612500</v>
      </c>
      <c r="P99" s="1042">
        <f t="shared" si="325"/>
        <v>87500</v>
      </c>
      <c r="Q99" s="1042">
        <f t="shared" si="296"/>
        <v>175000</v>
      </c>
      <c r="R99" s="1042">
        <f t="shared" si="297"/>
        <v>525000</v>
      </c>
      <c r="S99" s="1042">
        <f t="shared" si="326"/>
        <v>87500</v>
      </c>
      <c r="T99" s="1042">
        <f t="shared" si="298"/>
        <v>262500</v>
      </c>
      <c r="U99" s="1042">
        <f t="shared" si="299"/>
        <v>437500</v>
      </c>
      <c r="V99" s="1042">
        <f t="shared" si="327"/>
        <v>87500</v>
      </c>
      <c r="W99" s="1042">
        <f t="shared" si="300"/>
        <v>350000</v>
      </c>
      <c r="X99" s="1042">
        <f t="shared" si="301"/>
        <v>350000</v>
      </c>
      <c r="Y99" s="7">
        <v>112500</v>
      </c>
      <c r="Z99" s="7">
        <f t="shared" si="302"/>
        <v>587500</v>
      </c>
      <c r="AA99" s="1042">
        <f t="shared" si="328"/>
        <v>87500</v>
      </c>
      <c r="AB99" s="1042">
        <f t="shared" si="303"/>
        <v>437500</v>
      </c>
      <c r="AC99" s="1042">
        <f t="shared" si="304"/>
        <v>262500</v>
      </c>
      <c r="AD99" s="1042">
        <f t="shared" si="305"/>
        <v>87500</v>
      </c>
      <c r="AE99" s="1042">
        <f t="shared" si="306"/>
        <v>525000</v>
      </c>
      <c r="AF99" s="1042">
        <f t="shared" si="307"/>
        <v>175000</v>
      </c>
      <c r="AG99" s="1042">
        <f t="shared" si="308"/>
        <v>87500</v>
      </c>
      <c r="AH99" s="1042">
        <f t="shared" si="309"/>
        <v>612500</v>
      </c>
      <c r="AI99" s="1042">
        <f t="shared" si="310"/>
        <v>87500</v>
      </c>
      <c r="AJ99" s="1042">
        <f t="shared" ref="AJ99" si="342">(F99/12)*1</f>
        <v>7291.666666666667</v>
      </c>
      <c r="AK99" s="1042">
        <f t="shared" ref="AK99" si="343">AH99+AJ99</f>
        <v>619791.66666666663</v>
      </c>
      <c r="AL99" s="1042">
        <f t="shared" ref="AL99" si="344">E99-AK99</f>
        <v>80208.333333333372</v>
      </c>
      <c r="AM99" s="1042">
        <f t="shared" si="282"/>
        <v>65625</v>
      </c>
      <c r="AN99" s="1042">
        <f t="shared" ref="AN99" si="345">AH99+AM99</f>
        <v>678125</v>
      </c>
      <c r="AO99" s="1042">
        <f t="shared" ref="AO99" si="346">E99-AN99</f>
        <v>21875</v>
      </c>
      <c r="AP99" s="1042">
        <f>(F99/12)*12</f>
        <v>87500</v>
      </c>
      <c r="AQ99" s="1042">
        <f t="shared" si="183"/>
        <v>700000</v>
      </c>
      <c r="AR99" s="1042">
        <f t="shared" si="317"/>
        <v>0</v>
      </c>
      <c r="AS99" s="1042">
        <f>(F99/12)*0</f>
        <v>0</v>
      </c>
      <c r="AT99" s="1042">
        <f t="shared" si="185"/>
        <v>700000</v>
      </c>
      <c r="AU99" s="1042">
        <f t="shared" ref="AU99" si="347">E99-AT99</f>
        <v>0</v>
      </c>
      <c r="AV99" s="1042">
        <f>(F99/12)*0</f>
        <v>0</v>
      </c>
      <c r="AW99" s="1042">
        <f t="shared" ref="AW99" si="348">AQ99+AV99</f>
        <v>700000</v>
      </c>
      <c r="AX99" s="1042">
        <f t="shared" ref="AX99" si="349">E99-AW99</f>
        <v>0</v>
      </c>
      <c r="AY99" s="179"/>
      <c r="AZ99" s="8">
        <f>E99-AW99-AX99</f>
        <v>0</v>
      </c>
      <c r="BB99" s="221"/>
      <c r="BC99" s="179"/>
    </row>
    <row r="100" spans="1:55" s="970" customFormat="1" ht="14.25" hidden="1" customHeight="1">
      <c r="A100" s="17">
        <f t="shared" si="329"/>
        <v>11</v>
      </c>
      <c r="B100" s="909" t="s">
        <v>533</v>
      </c>
      <c r="C100" s="903">
        <v>38353</v>
      </c>
      <c r="D100" s="877">
        <v>8</v>
      </c>
      <c r="E100" s="878">
        <f>300000*0</f>
        <v>0</v>
      </c>
      <c r="F100" s="879">
        <f t="shared" si="290"/>
        <v>0</v>
      </c>
      <c r="G100" s="880"/>
      <c r="H100" s="880">
        <f t="shared" si="322"/>
        <v>0</v>
      </c>
      <c r="I100" s="880">
        <f t="shared" si="323"/>
        <v>0</v>
      </c>
      <c r="J100" s="880">
        <f t="shared" si="324"/>
        <v>0</v>
      </c>
      <c r="K100" s="880">
        <f t="shared" si="291"/>
        <v>0</v>
      </c>
      <c r="L100" s="880">
        <f t="shared" si="292"/>
        <v>0</v>
      </c>
      <c r="M100" s="880">
        <f t="shared" si="293"/>
        <v>0</v>
      </c>
      <c r="N100" s="880">
        <f t="shared" si="294"/>
        <v>0</v>
      </c>
      <c r="O100" s="880">
        <f t="shared" si="295"/>
        <v>0</v>
      </c>
      <c r="P100" s="880">
        <f t="shared" si="325"/>
        <v>0</v>
      </c>
      <c r="Q100" s="880">
        <f t="shared" si="296"/>
        <v>0</v>
      </c>
      <c r="R100" s="880">
        <f t="shared" si="297"/>
        <v>0</v>
      </c>
      <c r="S100" s="880">
        <f t="shared" si="326"/>
        <v>0</v>
      </c>
      <c r="T100" s="880">
        <f t="shared" si="298"/>
        <v>0</v>
      </c>
      <c r="U100" s="880">
        <f t="shared" si="299"/>
        <v>0</v>
      </c>
      <c r="V100" s="880">
        <f t="shared" si="327"/>
        <v>0</v>
      </c>
      <c r="W100" s="880">
        <f t="shared" si="300"/>
        <v>0</v>
      </c>
      <c r="X100" s="880">
        <f t="shared" si="301"/>
        <v>0</v>
      </c>
      <c r="Y100" s="880">
        <v>112500</v>
      </c>
      <c r="Z100" s="880">
        <f t="shared" si="302"/>
        <v>-112500</v>
      </c>
      <c r="AA100" s="880">
        <f t="shared" si="328"/>
        <v>0</v>
      </c>
      <c r="AB100" s="880">
        <f t="shared" si="303"/>
        <v>0</v>
      </c>
      <c r="AC100" s="880">
        <f t="shared" si="304"/>
        <v>0</v>
      </c>
      <c r="AD100" s="880">
        <f t="shared" si="305"/>
        <v>0</v>
      </c>
      <c r="AE100" s="880">
        <f t="shared" si="306"/>
        <v>0</v>
      </c>
      <c r="AF100" s="880">
        <f t="shared" si="307"/>
        <v>0</v>
      </c>
      <c r="AG100" s="880">
        <f t="shared" si="308"/>
        <v>0</v>
      </c>
      <c r="AH100" s="880">
        <f t="shared" si="309"/>
        <v>0</v>
      </c>
      <c r="AI100" s="880">
        <f t="shared" si="310"/>
        <v>0</v>
      </c>
      <c r="AJ100" s="880"/>
      <c r="AK100" s="880"/>
      <c r="AL100" s="880"/>
      <c r="AM100" s="880"/>
      <c r="AN100" s="880"/>
      <c r="AO100" s="880"/>
      <c r="AP100" s="880">
        <f t="shared" si="330"/>
        <v>0</v>
      </c>
      <c r="AQ100" s="880">
        <f t="shared" si="183"/>
        <v>0</v>
      </c>
      <c r="AR100" s="880">
        <f t="shared" si="317"/>
        <v>0</v>
      </c>
      <c r="AS100" s="896">
        <f t="shared" si="231"/>
        <v>0</v>
      </c>
      <c r="AT100" s="896">
        <f t="shared" si="185"/>
        <v>0</v>
      </c>
      <c r="AU100" s="896"/>
      <c r="AV100" s="896"/>
      <c r="AW100" s="896"/>
      <c r="AX100" s="896"/>
      <c r="AY100" s="969"/>
      <c r="AZ100" s="881">
        <f t="shared" si="232"/>
        <v>0</v>
      </c>
      <c r="BB100" s="971"/>
      <c r="BC100" s="969"/>
    </row>
    <row r="101" spans="1:55" s="220" customFormat="1" ht="14.25" customHeight="1">
      <c r="A101" s="17">
        <f t="shared" si="329"/>
        <v>12</v>
      </c>
      <c r="B101" s="56" t="s">
        <v>534</v>
      </c>
      <c r="C101" s="671">
        <v>38353</v>
      </c>
      <c r="D101" s="55">
        <v>8</v>
      </c>
      <c r="E101" s="6">
        <v>7300000</v>
      </c>
      <c r="F101" s="1041">
        <f t="shared" si="290"/>
        <v>912500</v>
      </c>
      <c r="G101" s="1053"/>
      <c r="H101" s="1042">
        <f t="shared" si="322"/>
        <v>0</v>
      </c>
      <c r="I101" s="1042">
        <f t="shared" si="323"/>
        <v>7300000</v>
      </c>
      <c r="J101" s="1042">
        <f t="shared" si="324"/>
        <v>0</v>
      </c>
      <c r="K101" s="1042">
        <f t="shared" si="291"/>
        <v>0</v>
      </c>
      <c r="L101" s="1042">
        <f t="shared" si="292"/>
        <v>7300000</v>
      </c>
      <c r="M101" s="1042">
        <f t="shared" si="293"/>
        <v>912500</v>
      </c>
      <c r="N101" s="1042">
        <f t="shared" si="294"/>
        <v>912500</v>
      </c>
      <c r="O101" s="1042">
        <f t="shared" si="295"/>
        <v>6387500</v>
      </c>
      <c r="P101" s="1042">
        <f t="shared" si="325"/>
        <v>912500</v>
      </c>
      <c r="Q101" s="1042">
        <f t="shared" si="296"/>
        <v>1825000</v>
      </c>
      <c r="R101" s="1042">
        <f t="shared" si="297"/>
        <v>5475000</v>
      </c>
      <c r="S101" s="1042">
        <f t="shared" si="326"/>
        <v>912500</v>
      </c>
      <c r="T101" s="1042">
        <f t="shared" si="298"/>
        <v>2737500</v>
      </c>
      <c r="U101" s="1042">
        <f t="shared" si="299"/>
        <v>4562500</v>
      </c>
      <c r="V101" s="1042">
        <f t="shared" si="327"/>
        <v>912500</v>
      </c>
      <c r="W101" s="1042">
        <f t="shared" si="300"/>
        <v>3650000</v>
      </c>
      <c r="X101" s="1042">
        <f t="shared" si="301"/>
        <v>3650000</v>
      </c>
      <c r="Y101" s="7">
        <v>2737500.0000000009</v>
      </c>
      <c r="Z101" s="7">
        <f t="shared" si="302"/>
        <v>4562499.9999999991</v>
      </c>
      <c r="AA101" s="1042">
        <f t="shared" si="328"/>
        <v>912500</v>
      </c>
      <c r="AB101" s="1042">
        <f t="shared" si="303"/>
        <v>4562500</v>
      </c>
      <c r="AC101" s="1042">
        <f t="shared" si="304"/>
        <v>2737500</v>
      </c>
      <c r="AD101" s="1042">
        <f t="shared" si="305"/>
        <v>912500</v>
      </c>
      <c r="AE101" s="1042">
        <f t="shared" si="306"/>
        <v>5475000</v>
      </c>
      <c r="AF101" s="1042">
        <f t="shared" si="307"/>
        <v>1825000</v>
      </c>
      <c r="AG101" s="1042">
        <f t="shared" si="308"/>
        <v>912500</v>
      </c>
      <c r="AH101" s="1042">
        <f t="shared" si="309"/>
        <v>6387500</v>
      </c>
      <c r="AI101" s="1042">
        <f t="shared" si="310"/>
        <v>912500</v>
      </c>
      <c r="AJ101" s="1042">
        <f t="shared" ref="AJ101:AJ154" si="350">(F101/12)*1</f>
        <v>76041.666666666672</v>
      </c>
      <c r="AK101" s="1042">
        <f t="shared" ref="AK101:AK154" si="351">AH101+AJ101</f>
        <v>6463541.666666667</v>
      </c>
      <c r="AL101" s="1042">
        <f t="shared" ref="AL101:AL154" si="352">E101-AK101</f>
        <v>836458.33333333302</v>
      </c>
      <c r="AM101" s="1042">
        <f t="shared" si="282"/>
        <v>684375</v>
      </c>
      <c r="AN101" s="1042">
        <f t="shared" ref="AN101:AN154" si="353">AH101+AM101</f>
        <v>7071875</v>
      </c>
      <c r="AO101" s="1042">
        <f t="shared" ref="AO101:AO154" si="354">E101-AN101</f>
        <v>228125</v>
      </c>
      <c r="AP101" s="1042">
        <f t="shared" ref="AP101:AP154" si="355">(F101/12)*12</f>
        <v>912500</v>
      </c>
      <c r="AQ101" s="1042">
        <f t="shared" si="183"/>
        <v>7300000</v>
      </c>
      <c r="AR101" s="1042">
        <f t="shared" si="317"/>
        <v>0</v>
      </c>
      <c r="AS101" s="1042">
        <f t="shared" ref="AS101:AS154" si="356">(F101/12)*0</f>
        <v>0</v>
      </c>
      <c r="AT101" s="1042">
        <f t="shared" si="185"/>
        <v>7300000</v>
      </c>
      <c r="AU101" s="1042">
        <f t="shared" ref="AU101:AU154" si="357">E101-AT101</f>
        <v>0</v>
      </c>
      <c r="AV101" s="1042">
        <f t="shared" ref="AV101:AV132" si="358">(F101/12)*0</f>
        <v>0</v>
      </c>
      <c r="AW101" s="1042">
        <f t="shared" ref="AW101:AW154" si="359">AQ101+AV101</f>
        <v>7300000</v>
      </c>
      <c r="AX101" s="1042">
        <f t="shared" ref="AX101:AX154" si="360">E101-AW101</f>
        <v>0</v>
      </c>
      <c r="AY101" s="179"/>
      <c r="AZ101" s="8">
        <f t="shared" ref="AZ101:AZ154" si="361">E101-AW101-AX101</f>
        <v>0</v>
      </c>
      <c r="BB101" s="221"/>
      <c r="BC101" s="179"/>
    </row>
    <row r="102" spans="1:55" s="220" customFormat="1" ht="14.25" customHeight="1">
      <c r="A102" s="17">
        <f t="shared" si="329"/>
        <v>13</v>
      </c>
      <c r="B102" s="56" t="s">
        <v>535</v>
      </c>
      <c r="C102" s="671">
        <v>38353</v>
      </c>
      <c r="D102" s="55">
        <v>8</v>
      </c>
      <c r="E102" s="6">
        <v>600000</v>
      </c>
      <c r="F102" s="1041">
        <f t="shared" si="290"/>
        <v>75000</v>
      </c>
      <c r="G102" s="1053"/>
      <c r="H102" s="1042">
        <f t="shared" si="322"/>
        <v>0</v>
      </c>
      <c r="I102" s="1042">
        <f t="shared" si="323"/>
        <v>600000</v>
      </c>
      <c r="J102" s="1042">
        <f t="shared" si="324"/>
        <v>0</v>
      </c>
      <c r="K102" s="1042">
        <f t="shared" si="291"/>
        <v>0</v>
      </c>
      <c r="L102" s="1042">
        <f t="shared" si="292"/>
        <v>600000</v>
      </c>
      <c r="M102" s="1042">
        <f t="shared" si="293"/>
        <v>75000</v>
      </c>
      <c r="N102" s="1042">
        <f t="shared" si="294"/>
        <v>75000</v>
      </c>
      <c r="O102" s="1042">
        <f t="shared" si="295"/>
        <v>525000</v>
      </c>
      <c r="P102" s="1042">
        <f t="shared" si="325"/>
        <v>75000</v>
      </c>
      <c r="Q102" s="1042">
        <f t="shared" si="296"/>
        <v>150000</v>
      </c>
      <c r="R102" s="1042">
        <f t="shared" si="297"/>
        <v>450000</v>
      </c>
      <c r="S102" s="1042">
        <f t="shared" si="326"/>
        <v>75000</v>
      </c>
      <c r="T102" s="1042">
        <f t="shared" si="298"/>
        <v>225000</v>
      </c>
      <c r="U102" s="1042">
        <f t="shared" si="299"/>
        <v>375000</v>
      </c>
      <c r="V102" s="1042">
        <f t="shared" si="327"/>
        <v>75000</v>
      </c>
      <c r="W102" s="1042">
        <f t="shared" si="300"/>
        <v>300000</v>
      </c>
      <c r="X102" s="1042">
        <f t="shared" si="301"/>
        <v>300000</v>
      </c>
      <c r="Y102" s="7">
        <v>225000</v>
      </c>
      <c r="Z102" s="7">
        <f t="shared" si="302"/>
        <v>375000</v>
      </c>
      <c r="AA102" s="1042">
        <f t="shared" si="328"/>
        <v>75000</v>
      </c>
      <c r="AB102" s="1042">
        <f t="shared" si="303"/>
        <v>375000</v>
      </c>
      <c r="AC102" s="1042">
        <f t="shared" si="304"/>
        <v>225000</v>
      </c>
      <c r="AD102" s="1042">
        <f t="shared" si="305"/>
        <v>75000</v>
      </c>
      <c r="AE102" s="1042">
        <f t="shared" si="306"/>
        <v>450000</v>
      </c>
      <c r="AF102" s="1042">
        <f t="shared" si="307"/>
        <v>150000</v>
      </c>
      <c r="AG102" s="1042">
        <f t="shared" si="308"/>
        <v>75000</v>
      </c>
      <c r="AH102" s="1042">
        <f t="shared" si="309"/>
        <v>525000</v>
      </c>
      <c r="AI102" s="1042">
        <f t="shared" si="310"/>
        <v>75000</v>
      </c>
      <c r="AJ102" s="1042">
        <f t="shared" si="350"/>
        <v>6250</v>
      </c>
      <c r="AK102" s="1042">
        <f t="shared" si="351"/>
        <v>531250</v>
      </c>
      <c r="AL102" s="1042">
        <f t="shared" si="352"/>
        <v>68750</v>
      </c>
      <c r="AM102" s="1042">
        <f t="shared" si="282"/>
        <v>56250</v>
      </c>
      <c r="AN102" s="1042">
        <f t="shared" si="353"/>
        <v>581250</v>
      </c>
      <c r="AO102" s="1042">
        <f t="shared" si="354"/>
        <v>18750</v>
      </c>
      <c r="AP102" s="1042">
        <f t="shared" si="355"/>
        <v>75000</v>
      </c>
      <c r="AQ102" s="1042">
        <f t="shared" si="183"/>
        <v>600000</v>
      </c>
      <c r="AR102" s="1042">
        <f t="shared" si="317"/>
        <v>0</v>
      </c>
      <c r="AS102" s="1042">
        <f t="shared" si="356"/>
        <v>0</v>
      </c>
      <c r="AT102" s="1042">
        <f t="shared" si="185"/>
        <v>600000</v>
      </c>
      <c r="AU102" s="1042">
        <f t="shared" si="357"/>
        <v>0</v>
      </c>
      <c r="AV102" s="1042">
        <f t="shared" si="358"/>
        <v>0</v>
      </c>
      <c r="AW102" s="1042">
        <f t="shared" si="359"/>
        <v>600000</v>
      </c>
      <c r="AX102" s="1042">
        <f t="shared" si="360"/>
        <v>0</v>
      </c>
      <c r="AY102" s="179"/>
      <c r="AZ102" s="8">
        <f t="shared" si="361"/>
        <v>0</v>
      </c>
      <c r="BB102" s="221"/>
      <c r="BC102" s="179"/>
    </row>
    <row r="103" spans="1:55" s="220" customFormat="1" ht="14.25" customHeight="1">
      <c r="A103" s="17">
        <f t="shared" si="329"/>
        <v>14</v>
      </c>
      <c r="B103" s="56" t="s">
        <v>536</v>
      </c>
      <c r="C103" s="671">
        <v>38353</v>
      </c>
      <c r="D103" s="55">
        <v>8</v>
      </c>
      <c r="E103" s="6">
        <v>1500000</v>
      </c>
      <c r="F103" s="1041">
        <f t="shared" si="290"/>
        <v>187500</v>
      </c>
      <c r="G103" s="1053"/>
      <c r="H103" s="1042">
        <f t="shared" si="322"/>
        <v>0</v>
      </c>
      <c r="I103" s="1042">
        <f t="shared" si="323"/>
        <v>1500000</v>
      </c>
      <c r="J103" s="1042">
        <f t="shared" si="324"/>
        <v>0</v>
      </c>
      <c r="K103" s="1042">
        <f t="shared" si="291"/>
        <v>0</v>
      </c>
      <c r="L103" s="1042">
        <f t="shared" si="292"/>
        <v>1500000</v>
      </c>
      <c r="M103" s="1042">
        <f t="shared" si="293"/>
        <v>187500</v>
      </c>
      <c r="N103" s="1042">
        <f t="shared" si="294"/>
        <v>187500</v>
      </c>
      <c r="O103" s="1042">
        <f t="shared" si="295"/>
        <v>1312500</v>
      </c>
      <c r="P103" s="1042">
        <f t="shared" si="325"/>
        <v>187500</v>
      </c>
      <c r="Q103" s="1042">
        <f t="shared" si="296"/>
        <v>375000</v>
      </c>
      <c r="R103" s="1042">
        <f t="shared" si="297"/>
        <v>1125000</v>
      </c>
      <c r="S103" s="1042">
        <f t="shared" si="326"/>
        <v>187500</v>
      </c>
      <c r="T103" s="1042">
        <f t="shared" si="298"/>
        <v>562500</v>
      </c>
      <c r="U103" s="1042">
        <f t="shared" si="299"/>
        <v>937500</v>
      </c>
      <c r="V103" s="1042">
        <f t="shared" si="327"/>
        <v>187500</v>
      </c>
      <c r="W103" s="1042">
        <f t="shared" si="300"/>
        <v>750000</v>
      </c>
      <c r="X103" s="1042">
        <f t="shared" si="301"/>
        <v>750000</v>
      </c>
      <c r="Y103" s="7">
        <v>562500</v>
      </c>
      <c r="Z103" s="7">
        <f t="shared" si="302"/>
        <v>937500</v>
      </c>
      <c r="AA103" s="1042">
        <f t="shared" si="328"/>
        <v>187500</v>
      </c>
      <c r="AB103" s="1042">
        <f t="shared" si="303"/>
        <v>937500</v>
      </c>
      <c r="AC103" s="1042">
        <f t="shared" si="304"/>
        <v>562500</v>
      </c>
      <c r="AD103" s="1042">
        <f t="shared" si="305"/>
        <v>187500</v>
      </c>
      <c r="AE103" s="1042">
        <f t="shared" si="306"/>
        <v>1125000</v>
      </c>
      <c r="AF103" s="1042">
        <f t="shared" si="307"/>
        <v>375000</v>
      </c>
      <c r="AG103" s="1042">
        <f t="shared" si="308"/>
        <v>187500</v>
      </c>
      <c r="AH103" s="1042">
        <f t="shared" si="309"/>
        <v>1312500</v>
      </c>
      <c r="AI103" s="1042">
        <f t="shared" si="310"/>
        <v>187500</v>
      </c>
      <c r="AJ103" s="1042">
        <f t="shared" si="350"/>
        <v>15625</v>
      </c>
      <c r="AK103" s="1042">
        <f t="shared" si="351"/>
        <v>1328125</v>
      </c>
      <c r="AL103" s="1042">
        <f t="shared" si="352"/>
        <v>171875</v>
      </c>
      <c r="AM103" s="1042">
        <f t="shared" si="282"/>
        <v>140625</v>
      </c>
      <c r="AN103" s="1042">
        <f t="shared" si="353"/>
        <v>1453125</v>
      </c>
      <c r="AO103" s="1042">
        <f t="shared" si="354"/>
        <v>46875</v>
      </c>
      <c r="AP103" s="1042">
        <f t="shared" si="355"/>
        <v>187500</v>
      </c>
      <c r="AQ103" s="1042">
        <f t="shared" si="183"/>
        <v>1500000</v>
      </c>
      <c r="AR103" s="1042">
        <f t="shared" si="317"/>
        <v>0</v>
      </c>
      <c r="AS103" s="1042">
        <f t="shared" si="356"/>
        <v>0</v>
      </c>
      <c r="AT103" s="1042">
        <f t="shared" si="185"/>
        <v>1500000</v>
      </c>
      <c r="AU103" s="1042">
        <f t="shared" si="357"/>
        <v>0</v>
      </c>
      <c r="AV103" s="1042">
        <f t="shared" si="358"/>
        <v>0</v>
      </c>
      <c r="AW103" s="1042">
        <f t="shared" si="359"/>
        <v>1500000</v>
      </c>
      <c r="AX103" s="1042">
        <f t="shared" si="360"/>
        <v>0</v>
      </c>
      <c r="AY103" s="179"/>
      <c r="AZ103" s="8">
        <f t="shared" si="361"/>
        <v>0</v>
      </c>
      <c r="BB103" s="221"/>
      <c r="BC103" s="179"/>
    </row>
    <row r="104" spans="1:55" s="220" customFormat="1" ht="14.25" customHeight="1">
      <c r="A104" s="17">
        <f>A113+1</f>
        <v>26</v>
      </c>
      <c r="B104" s="56" t="s">
        <v>546</v>
      </c>
      <c r="C104" s="671">
        <v>38353</v>
      </c>
      <c r="D104" s="55">
        <v>8</v>
      </c>
      <c r="E104" s="6">
        <v>8200000</v>
      </c>
      <c r="F104" s="1041">
        <f t="shared" si="290"/>
        <v>1025000</v>
      </c>
      <c r="G104" s="1053"/>
      <c r="H104" s="1042">
        <f t="shared" si="322"/>
        <v>0</v>
      </c>
      <c r="I104" s="1042">
        <f t="shared" si="323"/>
        <v>8200000</v>
      </c>
      <c r="J104" s="1042">
        <f t="shared" si="324"/>
        <v>0</v>
      </c>
      <c r="K104" s="1042">
        <f t="shared" si="291"/>
        <v>0</v>
      </c>
      <c r="L104" s="1042">
        <f t="shared" si="292"/>
        <v>8200000</v>
      </c>
      <c r="M104" s="1042">
        <f t="shared" si="293"/>
        <v>1025000</v>
      </c>
      <c r="N104" s="1042">
        <f t="shared" si="294"/>
        <v>1025000</v>
      </c>
      <c r="O104" s="1042">
        <f t="shared" si="295"/>
        <v>7175000</v>
      </c>
      <c r="P104" s="1042">
        <f t="shared" si="325"/>
        <v>1025000</v>
      </c>
      <c r="Q104" s="1042">
        <f t="shared" si="296"/>
        <v>2050000</v>
      </c>
      <c r="R104" s="1042">
        <f t="shared" si="297"/>
        <v>6150000</v>
      </c>
      <c r="S104" s="1042">
        <f t="shared" si="326"/>
        <v>1025000</v>
      </c>
      <c r="T104" s="1042">
        <f t="shared" si="298"/>
        <v>3075000</v>
      </c>
      <c r="U104" s="1042">
        <f t="shared" si="299"/>
        <v>5125000</v>
      </c>
      <c r="V104" s="1042">
        <f t="shared" si="327"/>
        <v>1025000</v>
      </c>
      <c r="W104" s="1042">
        <f t="shared" si="300"/>
        <v>4100000</v>
      </c>
      <c r="X104" s="1042">
        <f t="shared" si="301"/>
        <v>4100000</v>
      </c>
      <c r="Y104" s="7">
        <v>3075000.0000000009</v>
      </c>
      <c r="Z104" s="7">
        <f t="shared" si="302"/>
        <v>5124999.9999999991</v>
      </c>
      <c r="AA104" s="1042">
        <f t="shared" si="328"/>
        <v>1025000</v>
      </c>
      <c r="AB104" s="1042">
        <f t="shared" si="303"/>
        <v>5125000</v>
      </c>
      <c r="AC104" s="1042">
        <f t="shared" si="304"/>
        <v>3075000</v>
      </c>
      <c r="AD104" s="1042">
        <f t="shared" si="305"/>
        <v>1025000</v>
      </c>
      <c r="AE104" s="1042">
        <f t="shared" si="306"/>
        <v>6150000</v>
      </c>
      <c r="AF104" s="1042">
        <f t="shared" si="307"/>
        <v>2050000</v>
      </c>
      <c r="AG104" s="1042">
        <f t="shared" si="308"/>
        <v>1025000</v>
      </c>
      <c r="AH104" s="1042">
        <f t="shared" si="309"/>
        <v>7175000</v>
      </c>
      <c r="AI104" s="1042">
        <f t="shared" si="310"/>
        <v>1025000</v>
      </c>
      <c r="AJ104" s="1042">
        <f t="shared" si="350"/>
        <v>85416.666666666672</v>
      </c>
      <c r="AK104" s="1042">
        <f t="shared" si="351"/>
        <v>7260416.666666667</v>
      </c>
      <c r="AL104" s="1042">
        <f t="shared" si="352"/>
        <v>939583.33333333302</v>
      </c>
      <c r="AM104" s="1042">
        <f t="shared" si="282"/>
        <v>768750</v>
      </c>
      <c r="AN104" s="1042">
        <f t="shared" si="353"/>
        <v>7943750</v>
      </c>
      <c r="AO104" s="1042">
        <f t="shared" si="354"/>
        <v>256250</v>
      </c>
      <c r="AP104" s="1042">
        <f t="shared" si="355"/>
        <v>1025000</v>
      </c>
      <c r="AQ104" s="1042">
        <f t="shared" si="183"/>
        <v>8200000</v>
      </c>
      <c r="AR104" s="1042">
        <f t="shared" si="317"/>
        <v>0</v>
      </c>
      <c r="AS104" s="1042">
        <f t="shared" si="356"/>
        <v>0</v>
      </c>
      <c r="AT104" s="1042">
        <f t="shared" si="185"/>
        <v>8200000</v>
      </c>
      <c r="AU104" s="1042">
        <f t="shared" si="357"/>
        <v>0</v>
      </c>
      <c r="AV104" s="1042">
        <f t="shared" si="358"/>
        <v>0</v>
      </c>
      <c r="AW104" s="1042">
        <f t="shared" si="359"/>
        <v>8200000</v>
      </c>
      <c r="AX104" s="1042">
        <f t="shared" si="360"/>
        <v>0</v>
      </c>
      <c r="AY104" s="179"/>
      <c r="AZ104" s="8">
        <f t="shared" si="361"/>
        <v>0</v>
      </c>
      <c r="BB104" s="221"/>
      <c r="BC104" s="179"/>
    </row>
    <row r="105" spans="1:55" s="220" customFormat="1" ht="14.25" customHeight="1">
      <c r="A105" s="17">
        <f>A103+1</f>
        <v>15</v>
      </c>
      <c r="B105" s="56" t="s">
        <v>537</v>
      </c>
      <c r="C105" s="671">
        <v>39448</v>
      </c>
      <c r="D105" s="55">
        <v>8</v>
      </c>
      <c r="E105" s="6">
        <v>1000000</v>
      </c>
      <c r="F105" s="1041">
        <f t="shared" si="290"/>
        <v>125000</v>
      </c>
      <c r="G105" s="1053"/>
      <c r="H105" s="1042">
        <f t="shared" si="322"/>
        <v>0</v>
      </c>
      <c r="I105" s="1042">
        <f t="shared" si="323"/>
        <v>1000000</v>
      </c>
      <c r="J105" s="1042"/>
      <c r="K105" s="1042">
        <f t="shared" si="291"/>
        <v>0</v>
      </c>
      <c r="L105" s="1042">
        <f t="shared" si="292"/>
        <v>1000000</v>
      </c>
      <c r="M105" s="1042">
        <f t="shared" si="293"/>
        <v>125000</v>
      </c>
      <c r="N105" s="1042">
        <f t="shared" si="294"/>
        <v>125000</v>
      </c>
      <c r="O105" s="1042">
        <f t="shared" si="295"/>
        <v>875000</v>
      </c>
      <c r="P105" s="1042">
        <f t="shared" si="325"/>
        <v>125000</v>
      </c>
      <c r="Q105" s="1042">
        <f t="shared" si="296"/>
        <v>250000</v>
      </c>
      <c r="R105" s="1042">
        <f t="shared" si="297"/>
        <v>750000</v>
      </c>
      <c r="S105" s="1042">
        <f t="shared" si="326"/>
        <v>125000</v>
      </c>
      <c r="T105" s="1042">
        <f t="shared" si="298"/>
        <v>375000</v>
      </c>
      <c r="U105" s="1042">
        <f t="shared" si="299"/>
        <v>625000</v>
      </c>
      <c r="V105" s="1042">
        <f t="shared" si="327"/>
        <v>125000</v>
      </c>
      <c r="W105" s="1042">
        <f t="shared" si="300"/>
        <v>500000</v>
      </c>
      <c r="X105" s="1042">
        <f t="shared" si="301"/>
        <v>500000</v>
      </c>
      <c r="Y105" s="7">
        <v>374999.99999999988</v>
      </c>
      <c r="Z105" s="7">
        <f t="shared" si="302"/>
        <v>625000.00000000012</v>
      </c>
      <c r="AA105" s="1042">
        <f t="shared" si="328"/>
        <v>125000</v>
      </c>
      <c r="AB105" s="1042">
        <f t="shared" si="303"/>
        <v>625000</v>
      </c>
      <c r="AC105" s="1042">
        <f t="shared" si="304"/>
        <v>375000</v>
      </c>
      <c r="AD105" s="1042">
        <f t="shared" si="305"/>
        <v>125000</v>
      </c>
      <c r="AE105" s="1042">
        <f t="shared" si="306"/>
        <v>750000</v>
      </c>
      <c r="AF105" s="1042">
        <f t="shared" si="307"/>
        <v>250000</v>
      </c>
      <c r="AG105" s="1042">
        <f t="shared" si="308"/>
        <v>125000</v>
      </c>
      <c r="AH105" s="1042">
        <f t="shared" si="309"/>
        <v>875000</v>
      </c>
      <c r="AI105" s="1042">
        <f t="shared" si="310"/>
        <v>125000</v>
      </c>
      <c r="AJ105" s="1042">
        <f t="shared" si="350"/>
        <v>10416.666666666666</v>
      </c>
      <c r="AK105" s="1042">
        <f t="shared" si="351"/>
        <v>885416.66666666663</v>
      </c>
      <c r="AL105" s="1042">
        <f t="shared" si="352"/>
        <v>114583.33333333337</v>
      </c>
      <c r="AM105" s="1042">
        <f t="shared" si="282"/>
        <v>93750</v>
      </c>
      <c r="AN105" s="1042">
        <f t="shared" si="353"/>
        <v>968750</v>
      </c>
      <c r="AO105" s="1042">
        <f t="shared" si="354"/>
        <v>31250</v>
      </c>
      <c r="AP105" s="1042">
        <f t="shared" si="355"/>
        <v>125000</v>
      </c>
      <c r="AQ105" s="1042">
        <f t="shared" si="183"/>
        <v>1000000</v>
      </c>
      <c r="AR105" s="1042">
        <f t="shared" si="317"/>
        <v>0</v>
      </c>
      <c r="AS105" s="1042">
        <f t="shared" si="356"/>
        <v>0</v>
      </c>
      <c r="AT105" s="1042">
        <f t="shared" si="185"/>
        <v>1000000</v>
      </c>
      <c r="AU105" s="1042">
        <f t="shared" si="357"/>
        <v>0</v>
      </c>
      <c r="AV105" s="1042">
        <f t="shared" si="358"/>
        <v>0</v>
      </c>
      <c r="AW105" s="1042">
        <f t="shared" si="359"/>
        <v>1000000</v>
      </c>
      <c r="AX105" s="1042">
        <f t="shared" si="360"/>
        <v>0</v>
      </c>
      <c r="AY105" s="179"/>
      <c r="AZ105" s="8">
        <f t="shared" si="361"/>
        <v>0</v>
      </c>
      <c r="BB105" s="221"/>
      <c r="BC105" s="179"/>
    </row>
    <row r="106" spans="1:55" s="220" customFormat="1" ht="14.25" customHeight="1">
      <c r="A106" s="17">
        <f>A147+1</f>
        <v>17</v>
      </c>
      <c r="B106" s="56" t="s">
        <v>538</v>
      </c>
      <c r="C106" s="671">
        <v>39448</v>
      </c>
      <c r="D106" s="55">
        <v>8</v>
      </c>
      <c r="E106" s="6">
        <v>2000000</v>
      </c>
      <c r="F106" s="1041">
        <f t="shared" si="290"/>
        <v>250000</v>
      </c>
      <c r="G106" s="1053"/>
      <c r="H106" s="1042">
        <f t="shared" si="322"/>
        <v>0</v>
      </c>
      <c r="I106" s="1042">
        <f t="shared" si="323"/>
        <v>2000000</v>
      </c>
      <c r="J106" s="1042"/>
      <c r="K106" s="1042">
        <f t="shared" si="291"/>
        <v>0</v>
      </c>
      <c r="L106" s="1042">
        <f t="shared" si="292"/>
        <v>2000000</v>
      </c>
      <c r="M106" s="1042">
        <f t="shared" si="293"/>
        <v>250000</v>
      </c>
      <c r="N106" s="1042">
        <f t="shared" si="294"/>
        <v>250000</v>
      </c>
      <c r="O106" s="1042">
        <f t="shared" si="295"/>
        <v>1750000</v>
      </c>
      <c r="P106" s="1042">
        <f t="shared" si="325"/>
        <v>250000</v>
      </c>
      <c r="Q106" s="1042">
        <f t="shared" si="296"/>
        <v>500000</v>
      </c>
      <c r="R106" s="1042">
        <f t="shared" si="297"/>
        <v>1500000</v>
      </c>
      <c r="S106" s="1042">
        <f t="shared" si="326"/>
        <v>250000</v>
      </c>
      <c r="T106" s="1042">
        <f t="shared" si="298"/>
        <v>750000</v>
      </c>
      <c r="U106" s="1042">
        <f t="shared" si="299"/>
        <v>1250000</v>
      </c>
      <c r="V106" s="1042">
        <f t="shared" si="327"/>
        <v>250000</v>
      </c>
      <c r="W106" s="1042">
        <f t="shared" si="300"/>
        <v>1000000</v>
      </c>
      <c r="X106" s="1042">
        <f t="shared" si="301"/>
        <v>1000000</v>
      </c>
      <c r="Y106" s="7">
        <v>749999.99999999977</v>
      </c>
      <c r="Z106" s="7">
        <f t="shared" si="302"/>
        <v>1250000.0000000002</v>
      </c>
      <c r="AA106" s="1042">
        <f t="shared" si="328"/>
        <v>250000</v>
      </c>
      <c r="AB106" s="1042">
        <f t="shared" si="303"/>
        <v>1250000</v>
      </c>
      <c r="AC106" s="1042">
        <f t="shared" si="304"/>
        <v>750000</v>
      </c>
      <c r="AD106" s="1042">
        <f t="shared" si="305"/>
        <v>250000</v>
      </c>
      <c r="AE106" s="1042">
        <f t="shared" si="306"/>
        <v>1500000</v>
      </c>
      <c r="AF106" s="1042">
        <f t="shared" si="307"/>
        <v>500000</v>
      </c>
      <c r="AG106" s="1042">
        <f t="shared" si="308"/>
        <v>250000</v>
      </c>
      <c r="AH106" s="1042">
        <f t="shared" si="309"/>
        <v>1750000</v>
      </c>
      <c r="AI106" s="1042">
        <f t="shared" si="310"/>
        <v>250000</v>
      </c>
      <c r="AJ106" s="1042">
        <f t="shared" si="350"/>
        <v>20833.333333333332</v>
      </c>
      <c r="AK106" s="1042">
        <f t="shared" si="351"/>
        <v>1770833.3333333333</v>
      </c>
      <c r="AL106" s="1042">
        <f t="shared" si="352"/>
        <v>229166.66666666674</v>
      </c>
      <c r="AM106" s="1042">
        <f t="shared" si="282"/>
        <v>187500</v>
      </c>
      <c r="AN106" s="1042">
        <f t="shared" si="353"/>
        <v>1937500</v>
      </c>
      <c r="AO106" s="1042">
        <f t="shared" si="354"/>
        <v>62500</v>
      </c>
      <c r="AP106" s="1042">
        <f t="shared" si="355"/>
        <v>250000</v>
      </c>
      <c r="AQ106" s="1042">
        <f t="shared" si="183"/>
        <v>2000000</v>
      </c>
      <c r="AR106" s="1042">
        <f t="shared" si="317"/>
        <v>0</v>
      </c>
      <c r="AS106" s="1042">
        <f t="shared" si="356"/>
        <v>0</v>
      </c>
      <c r="AT106" s="1042">
        <f t="shared" si="185"/>
        <v>2000000</v>
      </c>
      <c r="AU106" s="1042">
        <f t="shared" si="357"/>
        <v>0</v>
      </c>
      <c r="AV106" s="1042">
        <f t="shared" si="358"/>
        <v>0</v>
      </c>
      <c r="AW106" s="1042">
        <f t="shared" si="359"/>
        <v>2000000</v>
      </c>
      <c r="AX106" s="1042">
        <f t="shared" si="360"/>
        <v>0</v>
      </c>
      <c r="AY106" s="179"/>
      <c r="AZ106" s="8">
        <f t="shared" si="361"/>
        <v>0</v>
      </c>
      <c r="BB106" s="221"/>
      <c r="BC106" s="179"/>
    </row>
    <row r="107" spans="1:55" s="220" customFormat="1" ht="14.25" customHeight="1">
      <c r="A107" s="17">
        <f t="shared" si="329"/>
        <v>18</v>
      </c>
      <c r="B107" s="56" t="s">
        <v>539</v>
      </c>
      <c r="C107" s="671">
        <v>39448</v>
      </c>
      <c r="D107" s="55">
        <v>8</v>
      </c>
      <c r="E107" s="6">
        <v>228800000</v>
      </c>
      <c r="F107" s="1041">
        <f t="shared" si="290"/>
        <v>28600000</v>
      </c>
      <c r="G107" s="1053"/>
      <c r="H107" s="1042">
        <f t="shared" si="322"/>
        <v>0</v>
      </c>
      <c r="I107" s="1042">
        <f t="shared" si="323"/>
        <v>228800000</v>
      </c>
      <c r="J107" s="1042"/>
      <c r="K107" s="1042">
        <f t="shared" si="291"/>
        <v>0</v>
      </c>
      <c r="L107" s="1042">
        <f t="shared" si="292"/>
        <v>228800000</v>
      </c>
      <c r="M107" s="1042">
        <f t="shared" si="293"/>
        <v>28600000</v>
      </c>
      <c r="N107" s="1042">
        <f t="shared" si="294"/>
        <v>28600000</v>
      </c>
      <c r="O107" s="1042">
        <f t="shared" si="295"/>
        <v>200200000</v>
      </c>
      <c r="P107" s="1042">
        <f t="shared" si="325"/>
        <v>28600000</v>
      </c>
      <c r="Q107" s="1042">
        <f t="shared" si="296"/>
        <v>57200000</v>
      </c>
      <c r="R107" s="1042">
        <f t="shared" si="297"/>
        <v>171600000</v>
      </c>
      <c r="S107" s="1042">
        <f t="shared" si="326"/>
        <v>28600000</v>
      </c>
      <c r="T107" s="1042">
        <f t="shared" si="298"/>
        <v>85800000</v>
      </c>
      <c r="U107" s="1042">
        <f t="shared" si="299"/>
        <v>143000000</v>
      </c>
      <c r="V107" s="1042">
        <f t="shared" si="327"/>
        <v>28600000</v>
      </c>
      <c r="W107" s="1042">
        <f t="shared" si="300"/>
        <v>114400000</v>
      </c>
      <c r="X107" s="1042">
        <f t="shared" si="301"/>
        <v>114400000</v>
      </c>
      <c r="Y107" s="7">
        <v>85800000.000000015</v>
      </c>
      <c r="Z107" s="7">
        <f t="shared" si="302"/>
        <v>143000000</v>
      </c>
      <c r="AA107" s="1042">
        <f t="shared" si="328"/>
        <v>28600000</v>
      </c>
      <c r="AB107" s="1042">
        <f t="shared" si="303"/>
        <v>143000000</v>
      </c>
      <c r="AC107" s="1042">
        <f t="shared" si="304"/>
        <v>85800000</v>
      </c>
      <c r="AD107" s="1042">
        <f t="shared" si="305"/>
        <v>28600000</v>
      </c>
      <c r="AE107" s="1042">
        <f t="shared" si="306"/>
        <v>171600000</v>
      </c>
      <c r="AF107" s="1042">
        <f t="shared" si="307"/>
        <v>57200000</v>
      </c>
      <c r="AG107" s="1042">
        <f t="shared" si="308"/>
        <v>28600000</v>
      </c>
      <c r="AH107" s="1042">
        <f t="shared" si="309"/>
        <v>200200000</v>
      </c>
      <c r="AI107" s="1042">
        <f t="shared" si="310"/>
        <v>28600000</v>
      </c>
      <c r="AJ107" s="1042">
        <f t="shared" si="350"/>
        <v>2383333.3333333335</v>
      </c>
      <c r="AK107" s="1042">
        <f t="shared" si="351"/>
        <v>202583333.33333334</v>
      </c>
      <c r="AL107" s="1042">
        <f t="shared" si="352"/>
        <v>26216666.666666657</v>
      </c>
      <c r="AM107" s="1042">
        <f t="shared" si="282"/>
        <v>21450000</v>
      </c>
      <c r="AN107" s="1042">
        <f t="shared" si="353"/>
        <v>221650000</v>
      </c>
      <c r="AO107" s="1042">
        <f t="shared" si="354"/>
        <v>7150000</v>
      </c>
      <c r="AP107" s="1042">
        <f t="shared" si="355"/>
        <v>28600000</v>
      </c>
      <c r="AQ107" s="1042">
        <f t="shared" si="183"/>
        <v>228800000</v>
      </c>
      <c r="AR107" s="1042">
        <f t="shared" si="317"/>
        <v>0</v>
      </c>
      <c r="AS107" s="1042">
        <f t="shared" si="356"/>
        <v>0</v>
      </c>
      <c r="AT107" s="1042">
        <f t="shared" si="185"/>
        <v>228800000</v>
      </c>
      <c r="AU107" s="1042">
        <f t="shared" si="357"/>
        <v>0</v>
      </c>
      <c r="AV107" s="1042">
        <f t="shared" si="358"/>
        <v>0</v>
      </c>
      <c r="AW107" s="1042">
        <f t="shared" si="359"/>
        <v>228800000</v>
      </c>
      <c r="AX107" s="1042">
        <f t="shared" si="360"/>
        <v>0</v>
      </c>
      <c r="AY107" s="179"/>
      <c r="AZ107" s="8">
        <f t="shared" si="361"/>
        <v>0</v>
      </c>
      <c r="BB107" s="221"/>
      <c r="BC107" s="179"/>
    </row>
    <row r="108" spans="1:55" s="220" customFormat="1" ht="14.25" customHeight="1">
      <c r="A108" s="17">
        <f t="shared" si="329"/>
        <v>19</v>
      </c>
      <c r="B108" s="56" t="s">
        <v>540</v>
      </c>
      <c r="C108" s="671">
        <v>39814</v>
      </c>
      <c r="D108" s="55">
        <v>8</v>
      </c>
      <c r="E108" s="6">
        <v>4900000</v>
      </c>
      <c r="F108" s="1041">
        <f t="shared" si="290"/>
        <v>612500</v>
      </c>
      <c r="G108" s="1053"/>
      <c r="H108" s="1042">
        <f t="shared" si="322"/>
        <v>0</v>
      </c>
      <c r="I108" s="1042">
        <f t="shared" si="323"/>
        <v>4900000</v>
      </c>
      <c r="J108" s="1042"/>
      <c r="K108" s="1042">
        <f t="shared" si="291"/>
        <v>0</v>
      </c>
      <c r="L108" s="1042">
        <f t="shared" si="292"/>
        <v>4900000</v>
      </c>
      <c r="M108" s="1042">
        <f t="shared" si="293"/>
        <v>612500</v>
      </c>
      <c r="N108" s="1042">
        <f t="shared" si="294"/>
        <v>612500</v>
      </c>
      <c r="O108" s="1042">
        <f t="shared" si="295"/>
        <v>4287500</v>
      </c>
      <c r="P108" s="1042">
        <f t="shared" si="325"/>
        <v>612500</v>
      </c>
      <c r="Q108" s="1042">
        <f t="shared" si="296"/>
        <v>1225000</v>
      </c>
      <c r="R108" s="1042">
        <f t="shared" si="297"/>
        <v>3675000</v>
      </c>
      <c r="S108" s="1042">
        <f t="shared" si="326"/>
        <v>612500</v>
      </c>
      <c r="T108" s="1042">
        <f t="shared" si="298"/>
        <v>1837500</v>
      </c>
      <c r="U108" s="1042">
        <f t="shared" si="299"/>
        <v>3062500</v>
      </c>
      <c r="V108" s="1042">
        <f t="shared" si="327"/>
        <v>612500</v>
      </c>
      <c r="W108" s="1042">
        <f t="shared" si="300"/>
        <v>2450000</v>
      </c>
      <c r="X108" s="1042">
        <f t="shared" si="301"/>
        <v>2450000</v>
      </c>
      <c r="Y108" s="7">
        <v>1837500</v>
      </c>
      <c r="Z108" s="7">
        <f t="shared" si="302"/>
        <v>3062500</v>
      </c>
      <c r="AA108" s="1042">
        <f t="shared" si="328"/>
        <v>612500</v>
      </c>
      <c r="AB108" s="1042">
        <f t="shared" si="303"/>
        <v>3062500</v>
      </c>
      <c r="AC108" s="1042">
        <f t="shared" si="304"/>
        <v>1837500</v>
      </c>
      <c r="AD108" s="1042">
        <f t="shared" si="305"/>
        <v>612500</v>
      </c>
      <c r="AE108" s="1042">
        <f t="shared" si="306"/>
        <v>3675000</v>
      </c>
      <c r="AF108" s="1042">
        <f t="shared" si="307"/>
        <v>1225000</v>
      </c>
      <c r="AG108" s="1042">
        <f t="shared" si="308"/>
        <v>612500</v>
      </c>
      <c r="AH108" s="1042">
        <f t="shared" si="309"/>
        <v>4287500</v>
      </c>
      <c r="AI108" s="1042">
        <f t="shared" si="310"/>
        <v>612500</v>
      </c>
      <c r="AJ108" s="1042">
        <f t="shared" si="350"/>
        <v>51041.666666666664</v>
      </c>
      <c r="AK108" s="1042">
        <f t="shared" si="351"/>
        <v>4338541.666666667</v>
      </c>
      <c r="AL108" s="1042">
        <f t="shared" si="352"/>
        <v>561458.33333333302</v>
      </c>
      <c r="AM108" s="1042">
        <f t="shared" si="282"/>
        <v>459375</v>
      </c>
      <c r="AN108" s="1042">
        <f t="shared" si="353"/>
        <v>4746875</v>
      </c>
      <c r="AO108" s="1042">
        <f t="shared" si="354"/>
        <v>153125</v>
      </c>
      <c r="AP108" s="1042">
        <f t="shared" si="355"/>
        <v>612500</v>
      </c>
      <c r="AQ108" s="1042">
        <f t="shared" si="183"/>
        <v>4900000</v>
      </c>
      <c r="AR108" s="1042">
        <f t="shared" si="317"/>
        <v>0</v>
      </c>
      <c r="AS108" s="1042">
        <f t="shared" si="356"/>
        <v>0</v>
      </c>
      <c r="AT108" s="1042">
        <f t="shared" si="185"/>
        <v>4900000</v>
      </c>
      <c r="AU108" s="1042">
        <f t="shared" si="357"/>
        <v>0</v>
      </c>
      <c r="AV108" s="1042">
        <f t="shared" si="358"/>
        <v>0</v>
      </c>
      <c r="AW108" s="1042">
        <f t="shared" si="359"/>
        <v>4900000</v>
      </c>
      <c r="AX108" s="1042">
        <f t="shared" si="360"/>
        <v>0</v>
      </c>
      <c r="AY108" s="179"/>
      <c r="AZ108" s="8">
        <f t="shared" si="361"/>
        <v>0</v>
      </c>
      <c r="BB108" s="221"/>
      <c r="BC108" s="179"/>
    </row>
    <row r="109" spans="1:55" s="220" customFormat="1" ht="14.25" customHeight="1">
      <c r="A109" s="17">
        <f t="shared" si="329"/>
        <v>20</v>
      </c>
      <c r="B109" s="56" t="s">
        <v>541</v>
      </c>
      <c r="C109" s="671">
        <v>39814</v>
      </c>
      <c r="D109" s="55">
        <v>8</v>
      </c>
      <c r="E109" s="6">
        <v>9300000</v>
      </c>
      <c r="F109" s="1041">
        <f t="shared" si="290"/>
        <v>1162500</v>
      </c>
      <c r="G109" s="1053"/>
      <c r="H109" s="1042">
        <f t="shared" si="322"/>
        <v>0</v>
      </c>
      <c r="I109" s="1042">
        <f t="shared" si="323"/>
        <v>9300000</v>
      </c>
      <c r="J109" s="1042"/>
      <c r="K109" s="1042">
        <f t="shared" si="291"/>
        <v>0</v>
      </c>
      <c r="L109" s="1042">
        <f t="shared" si="292"/>
        <v>9300000</v>
      </c>
      <c r="M109" s="1042">
        <f t="shared" si="293"/>
        <v>1162500</v>
      </c>
      <c r="N109" s="1042">
        <f t="shared" si="294"/>
        <v>1162500</v>
      </c>
      <c r="O109" s="1042">
        <f t="shared" si="295"/>
        <v>8137500</v>
      </c>
      <c r="P109" s="1042">
        <f t="shared" si="325"/>
        <v>1162500</v>
      </c>
      <c r="Q109" s="1042">
        <f t="shared" si="296"/>
        <v>2325000</v>
      </c>
      <c r="R109" s="1042">
        <f t="shared" si="297"/>
        <v>6975000</v>
      </c>
      <c r="S109" s="1042">
        <f t="shared" si="326"/>
        <v>1162500</v>
      </c>
      <c r="T109" s="1042">
        <f t="shared" si="298"/>
        <v>3487500</v>
      </c>
      <c r="U109" s="1042">
        <f t="shared" si="299"/>
        <v>5812500</v>
      </c>
      <c r="V109" s="1042">
        <f t="shared" si="327"/>
        <v>1162500</v>
      </c>
      <c r="W109" s="1042">
        <f t="shared" si="300"/>
        <v>4650000</v>
      </c>
      <c r="X109" s="1042">
        <f t="shared" si="301"/>
        <v>4650000</v>
      </c>
      <c r="Y109" s="7">
        <v>3487500</v>
      </c>
      <c r="Z109" s="7">
        <f t="shared" si="302"/>
        <v>5812500</v>
      </c>
      <c r="AA109" s="1042">
        <f t="shared" si="328"/>
        <v>1162500</v>
      </c>
      <c r="AB109" s="1042">
        <f t="shared" si="303"/>
        <v>5812500</v>
      </c>
      <c r="AC109" s="1042">
        <f t="shared" si="304"/>
        <v>3487500</v>
      </c>
      <c r="AD109" s="1042">
        <f t="shared" si="305"/>
        <v>1162500</v>
      </c>
      <c r="AE109" s="1042">
        <f t="shared" si="306"/>
        <v>6975000</v>
      </c>
      <c r="AF109" s="1042">
        <f t="shared" si="307"/>
        <v>2325000</v>
      </c>
      <c r="AG109" s="1042">
        <f t="shared" si="308"/>
        <v>1162500</v>
      </c>
      <c r="AH109" s="1042">
        <f t="shared" si="309"/>
        <v>8137500</v>
      </c>
      <c r="AI109" s="1042">
        <f t="shared" si="310"/>
        <v>1162500</v>
      </c>
      <c r="AJ109" s="1042">
        <f t="shared" si="350"/>
        <v>96875</v>
      </c>
      <c r="AK109" s="1042">
        <f t="shared" si="351"/>
        <v>8234375</v>
      </c>
      <c r="AL109" s="1042">
        <f t="shared" si="352"/>
        <v>1065625</v>
      </c>
      <c r="AM109" s="1042">
        <f t="shared" si="282"/>
        <v>871875</v>
      </c>
      <c r="AN109" s="1042">
        <f t="shared" si="353"/>
        <v>9009375</v>
      </c>
      <c r="AO109" s="1042">
        <f t="shared" si="354"/>
        <v>290625</v>
      </c>
      <c r="AP109" s="1042">
        <f t="shared" si="355"/>
        <v>1162500</v>
      </c>
      <c r="AQ109" s="1042">
        <f t="shared" si="183"/>
        <v>9300000</v>
      </c>
      <c r="AR109" s="1042">
        <f t="shared" si="317"/>
        <v>0</v>
      </c>
      <c r="AS109" s="1042">
        <f t="shared" si="356"/>
        <v>0</v>
      </c>
      <c r="AT109" s="1042">
        <f t="shared" si="185"/>
        <v>9300000</v>
      </c>
      <c r="AU109" s="1042">
        <f t="shared" si="357"/>
        <v>0</v>
      </c>
      <c r="AV109" s="1042">
        <f t="shared" si="358"/>
        <v>0</v>
      </c>
      <c r="AW109" s="1042">
        <f t="shared" si="359"/>
        <v>9300000</v>
      </c>
      <c r="AX109" s="1042">
        <f t="shared" si="360"/>
        <v>0</v>
      </c>
      <c r="AY109" s="179"/>
      <c r="AZ109" s="8">
        <f t="shared" si="361"/>
        <v>0</v>
      </c>
      <c r="BB109" s="221"/>
      <c r="BC109" s="179"/>
    </row>
    <row r="110" spans="1:55" s="220" customFormat="1" ht="14.25" customHeight="1">
      <c r="A110" s="17">
        <f t="shared" si="329"/>
        <v>21</v>
      </c>
      <c r="B110" s="56" t="s">
        <v>542</v>
      </c>
      <c r="C110" s="671">
        <v>39814</v>
      </c>
      <c r="D110" s="55">
        <v>8</v>
      </c>
      <c r="E110" s="6">
        <v>25300000</v>
      </c>
      <c r="F110" s="1041">
        <f t="shared" si="290"/>
        <v>3162500</v>
      </c>
      <c r="G110" s="1053"/>
      <c r="H110" s="1042">
        <f t="shared" si="322"/>
        <v>0</v>
      </c>
      <c r="I110" s="1042">
        <f t="shared" si="323"/>
        <v>25300000</v>
      </c>
      <c r="J110" s="1042"/>
      <c r="K110" s="1042">
        <f t="shared" si="291"/>
        <v>0</v>
      </c>
      <c r="L110" s="1042">
        <f t="shared" si="292"/>
        <v>25300000</v>
      </c>
      <c r="M110" s="1042">
        <f t="shared" si="293"/>
        <v>3162500</v>
      </c>
      <c r="N110" s="1042">
        <f t="shared" si="294"/>
        <v>3162500</v>
      </c>
      <c r="O110" s="1042">
        <f t="shared" si="295"/>
        <v>22137500</v>
      </c>
      <c r="P110" s="1042">
        <f t="shared" si="325"/>
        <v>3162500</v>
      </c>
      <c r="Q110" s="1042">
        <f t="shared" si="296"/>
        <v>6325000</v>
      </c>
      <c r="R110" s="1042">
        <f t="shared" si="297"/>
        <v>18975000</v>
      </c>
      <c r="S110" s="1042">
        <f t="shared" si="326"/>
        <v>3162500</v>
      </c>
      <c r="T110" s="1042">
        <f t="shared" si="298"/>
        <v>9487500</v>
      </c>
      <c r="U110" s="1042">
        <f t="shared" si="299"/>
        <v>15812500</v>
      </c>
      <c r="V110" s="1042">
        <f t="shared" si="327"/>
        <v>3162500</v>
      </c>
      <c r="W110" s="1042">
        <f t="shared" si="300"/>
        <v>12650000</v>
      </c>
      <c r="X110" s="1042">
        <f t="shared" si="301"/>
        <v>12650000</v>
      </c>
      <c r="Y110" s="7">
        <v>9487500.0000000019</v>
      </c>
      <c r="Z110" s="7">
        <f t="shared" si="302"/>
        <v>15812499.999999998</v>
      </c>
      <c r="AA110" s="1042">
        <f t="shared" si="328"/>
        <v>3162500</v>
      </c>
      <c r="AB110" s="1042">
        <f t="shared" si="303"/>
        <v>15812500</v>
      </c>
      <c r="AC110" s="1042">
        <f t="shared" si="304"/>
        <v>9487500</v>
      </c>
      <c r="AD110" s="1042">
        <f t="shared" si="305"/>
        <v>3162500</v>
      </c>
      <c r="AE110" s="1042">
        <f t="shared" si="306"/>
        <v>18975000</v>
      </c>
      <c r="AF110" s="1042">
        <f t="shared" si="307"/>
        <v>6325000</v>
      </c>
      <c r="AG110" s="1042">
        <f t="shared" si="308"/>
        <v>3162500</v>
      </c>
      <c r="AH110" s="1042">
        <f t="shared" si="309"/>
        <v>22137500</v>
      </c>
      <c r="AI110" s="1042">
        <f t="shared" si="310"/>
        <v>3162500</v>
      </c>
      <c r="AJ110" s="1042">
        <f t="shared" si="350"/>
        <v>263541.66666666669</v>
      </c>
      <c r="AK110" s="1042">
        <f t="shared" si="351"/>
        <v>22401041.666666668</v>
      </c>
      <c r="AL110" s="1042">
        <f t="shared" si="352"/>
        <v>2898958.3333333321</v>
      </c>
      <c r="AM110" s="1042">
        <f t="shared" si="282"/>
        <v>2371875</v>
      </c>
      <c r="AN110" s="1042">
        <f t="shared" si="353"/>
        <v>24509375</v>
      </c>
      <c r="AO110" s="1042">
        <f t="shared" si="354"/>
        <v>790625</v>
      </c>
      <c r="AP110" s="1042">
        <f t="shared" si="355"/>
        <v>3162500</v>
      </c>
      <c r="AQ110" s="1042">
        <f t="shared" si="183"/>
        <v>25300000</v>
      </c>
      <c r="AR110" s="1042">
        <f t="shared" si="317"/>
        <v>0</v>
      </c>
      <c r="AS110" s="1042">
        <f t="shared" si="356"/>
        <v>0</v>
      </c>
      <c r="AT110" s="1042">
        <f t="shared" si="185"/>
        <v>25300000</v>
      </c>
      <c r="AU110" s="1042">
        <f t="shared" si="357"/>
        <v>0</v>
      </c>
      <c r="AV110" s="1042">
        <f t="shared" si="358"/>
        <v>0</v>
      </c>
      <c r="AW110" s="1042">
        <f t="shared" si="359"/>
        <v>25300000</v>
      </c>
      <c r="AX110" s="1042">
        <f t="shared" si="360"/>
        <v>0</v>
      </c>
      <c r="AY110" s="179"/>
      <c r="AZ110" s="8">
        <f t="shared" si="361"/>
        <v>0</v>
      </c>
      <c r="BB110" s="221"/>
      <c r="BC110" s="179"/>
    </row>
    <row r="111" spans="1:55" s="220" customFormat="1" ht="14.25" customHeight="1">
      <c r="A111" s="17">
        <f>A137+1</f>
        <v>23</v>
      </c>
      <c r="B111" s="56" t="s">
        <v>409</v>
      </c>
      <c r="C111" s="671">
        <v>39814</v>
      </c>
      <c r="D111" s="55">
        <v>8</v>
      </c>
      <c r="E111" s="6">
        <v>1000000</v>
      </c>
      <c r="F111" s="1041">
        <f t="shared" si="290"/>
        <v>125000</v>
      </c>
      <c r="G111" s="1053"/>
      <c r="H111" s="1042">
        <f t="shared" si="322"/>
        <v>0</v>
      </c>
      <c r="I111" s="1042">
        <f t="shared" si="323"/>
        <v>1000000</v>
      </c>
      <c r="J111" s="1042"/>
      <c r="K111" s="1042">
        <f t="shared" si="291"/>
        <v>0</v>
      </c>
      <c r="L111" s="1042">
        <f t="shared" si="292"/>
        <v>1000000</v>
      </c>
      <c r="M111" s="1042">
        <f t="shared" si="293"/>
        <v>125000</v>
      </c>
      <c r="N111" s="1042">
        <f t="shared" si="294"/>
        <v>125000</v>
      </c>
      <c r="O111" s="1042">
        <f t="shared" si="295"/>
        <v>875000</v>
      </c>
      <c r="P111" s="1042">
        <f t="shared" si="325"/>
        <v>125000</v>
      </c>
      <c r="Q111" s="1042">
        <f t="shared" si="296"/>
        <v>250000</v>
      </c>
      <c r="R111" s="1042">
        <f t="shared" si="297"/>
        <v>750000</v>
      </c>
      <c r="S111" s="1042">
        <f t="shared" si="326"/>
        <v>125000</v>
      </c>
      <c r="T111" s="1042">
        <f t="shared" si="298"/>
        <v>375000</v>
      </c>
      <c r="U111" s="1042">
        <f t="shared" si="299"/>
        <v>625000</v>
      </c>
      <c r="V111" s="1042">
        <f t="shared" si="327"/>
        <v>125000</v>
      </c>
      <c r="W111" s="1042">
        <f t="shared" si="300"/>
        <v>500000</v>
      </c>
      <c r="X111" s="1042">
        <f t="shared" si="301"/>
        <v>500000</v>
      </c>
      <c r="Y111" s="7">
        <v>374999.99999999988</v>
      </c>
      <c r="Z111" s="7">
        <f t="shared" si="302"/>
        <v>625000.00000000012</v>
      </c>
      <c r="AA111" s="1042">
        <f t="shared" si="328"/>
        <v>125000</v>
      </c>
      <c r="AB111" s="1042">
        <f t="shared" si="303"/>
        <v>625000</v>
      </c>
      <c r="AC111" s="1042">
        <f t="shared" si="304"/>
        <v>375000</v>
      </c>
      <c r="AD111" s="1042">
        <f t="shared" si="305"/>
        <v>125000</v>
      </c>
      <c r="AE111" s="1042">
        <f t="shared" si="306"/>
        <v>750000</v>
      </c>
      <c r="AF111" s="1042">
        <f t="shared" si="307"/>
        <v>250000</v>
      </c>
      <c r="AG111" s="1042">
        <f t="shared" si="308"/>
        <v>125000</v>
      </c>
      <c r="AH111" s="1042">
        <f t="shared" si="309"/>
        <v>875000</v>
      </c>
      <c r="AI111" s="1042">
        <f t="shared" si="310"/>
        <v>125000</v>
      </c>
      <c r="AJ111" s="1042">
        <f t="shared" si="350"/>
        <v>10416.666666666666</v>
      </c>
      <c r="AK111" s="1042">
        <f t="shared" si="351"/>
        <v>885416.66666666663</v>
      </c>
      <c r="AL111" s="1042">
        <f t="shared" si="352"/>
        <v>114583.33333333337</v>
      </c>
      <c r="AM111" s="1042">
        <f t="shared" si="282"/>
        <v>93750</v>
      </c>
      <c r="AN111" s="1042">
        <f t="shared" si="353"/>
        <v>968750</v>
      </c>
      <c r="AO111" s="1042">
        <f t="shared" si="354"/>
        <v>31250</v>
      </c>
      <c r="AP111" s="1042">
        <f t="shared" si="355"/>
        <v>125000</v>
      </c>
      <c r="AQ111" s="1042">
        <f t="shared" si="183"/>
        <v>1000000</v>
      </c>
      <c r="AR111" s="1042">
        <f t="shared" si="317"/>
        <v>0</v>
      </c>
      <c r="AS111" s="1042">
        <f t="shared" si="356"/>
        <v>0</v>
      </c>
      <c r="AT111" s="1042">
        <f t="shared" si="185"/>
        <v>1000000</v>
      </c>
      <c r="AU111" s="1042">
        <f t="shared" si="357"/>
        <v>0</v>
      </c>
      <c r="AV111" s="1042">
        <f t="shared" si="358"/>
        <v>0</v>
      </c>
      <c r="AW111" s="1042">
        <f t="shared" si="359"/>
        <v>1000000</v>
      </c>
      <c r="AX111" s="1042">
        <f t="shared" si="360"/>
        <v>0</v>
      </c>
      <c r="AY111" s="179"/>
      <c r="AZ111" s="8">
        <f t="shared" si="361"/>
        <v>0</v>
      </c>
      <c r="BB111" s="221"/>
      <c r="BC111" s="179"/>
    </row>
    <row r="112" spans="1:55" s="220" customFormat="1" ht="14.25" customHeight="1">
      <c r="A112" s="17">
        <f t="shared" si="329"/>
        <v>24</v>
      </c>
      <c r="B112" s="56" t="s">
        <v>544</v>
      </c>
      <c r="C112" s="671">
        <v>39814</v>
      </c>
      <c r="D112" s="55">
        <v>8</v>
      </c>
      <c r="E112" s="6">
        <v>53400000</v>
      </c>
      <c r="F112" s="1041">
        <f t="shared" si="290"/>
        <v>6675000</v>
      </c>
      <c r="G112" s="1053"/>
      <c r="H112" s="1042">
        <f t="shared" si="322"/>
        <v>0</v>
      </c>
      <c r="I112" s="1042">
        <f t="shared" si="323"/>
        <v>53400000</v>
      </c>
      <c r="J112" s="1042"/>
      <c r="K112" s="1042">
        <f t="shared" si="291"/>
        <v>0</v>
      </c>
      <c r="L112" s="1042">
        <f t="shared" si="292"/>
        <v>53400000</v>
      </c>
      <c r="M112" s="1042">
        <f t="shared" si="293"/>
        <v>6675000</v>
      </c>
      <c r="N112" s="1042">
        <f t="shared" si="294"/>
        <v>6675000</v>
      </c>
      <c r="O112" s="1042">
        <f t="shared" si="295"/>
        <v>46725000</v>
      </c>
      <c r="P112" s="1042">
        <f t="shared" si="325"/>
        <v>6675000</v>
      </c>
      <c r="Q112" s="1042">
        <f t="shared" si="296"/>
        <v>13350000</v>
      </c>
      <c r="R112" s="1042">
        <f t="shared" si="297"/>
        <v>40050000</v>
      </c>
      <c r="S112" s="1042">
        <f t="shared" si="326"/>
        <v>6675000</v>
      </c>
      <c r="T112" s="1042">
        <f t="shared" si="298"/>
        <v>20025000</v>
      </c>
      <c r="U112" s="1042">
        <f t="shared" si="299"/>
        <v>33375000</v>
      </c>
      <c r="V112" s="1042">
        <f t="shared" si="327"/>
        <v>6675000</v>
      </c>
      <c r="W112" s="1042">
        <f t="shared" si="300"/>
        <v>26700000</v>
      </c>
      <c r="X112" s="1042">
        <f t="shared" si="301"/>
        <v>26700000</v>
      </c>
      <c r="Y112" s="7">
        <v>20025000</v>
      </c>
      <c r="Z112" s="7">
        <f t="shared" si="302"/>
        <v>33375000</v>
      </c>
      <c r="AA112" s="1042">
        <f t="shared" si="328"/>
        <v>6675000</v>
      </c>
      <c r="AB112" s="1042">
        <f t="shared" si="303"/>
        <v>33375000</v>
      </c>
      <c r="AC112" s="1042">
        <f t="shared" si="304"/>
        <v>20025000</v>
      </c>
      <c r="AD112" s="1042">
        <f t="shared" si="305"/>
        <v>6675000</v>
      </c>
      <c r="AE112" s="1042">
        <f t="shared" si="306"/>
        <v>40050000</v>
      </c>
      <c r="AF112" s="1042">
        <f t="shared" si="307"/>
        <v>13350000</v>
      </c>
      <c r="AG112" s="1042">
        <f t="shared" si="308"/>
        <v>6675000</v>
      </c>
      <c r="AH112" s="1042">
        <f t="shared" si="309"/>
        <v>46725000</v>
      </c>
      <c r="AI112" s="1042">
        <f t="shared" si="310"/>
        <v>6675000</v>
      </c>
      <c r="AJ112" s="1042">
        <f t="shared" si="350"/>
        <v>556250</v>
      </c>
      <c r="AK112" s="1042">
        <f t="shared" si="351"/>
        <v>47281250</v>
      </c>
      <c r="AL112" s="1042">
        <f t="shared" si="352"/>
        <v>6118750</v>
      </c>
      <c r="AM112" s="1042">
        <f t="shared" si="282"/>
        <v>5006250</v>
      </c>
      <c r="AN112" s="1042">
        <f t="shared" si="353"/>
        <v>51731250</v>
      </c>
      <c r="AO112" s="1042">
        <f t="shared" si="354"/>
        <v>1668750</v>
      </c>
      <c r="AP112" s="1042">
        <f t="shared" si="355"/>
        <v>6675000</v>
      </c>
      <c r="AQ112" s="1042">
        <f t="shared" si="183"/>
        <v>53400000</v>
      </c>
      <c r="AR112" s="1042">
        <f t="shared" si="317"/>
        <v>0</v>
      </c>
      <c r="AS112" s="1042">
        <f t="shared" si="356"/>
        <v>0</v>
      </c>
      <c r="AT112" s="1042">
        <f t="shared" si="185"/>
        <v>53400000</v>
      </c>
      <c r="AU112" s="1042">
        <f t="shared" si="357"/>
        <v>0</v>
      </c>
      <c r="AV112" s="1042">
        <f t="shared" si="358"/>
        <v>0</v>
      </c>
      <c r="AW112" s="1042">
        <f t="shared" si="359"/>
        <v>53400000</v>
      </c>
      <c r="AX112" s="1042">
        <f t="shared" si="360"/>
        <v>0</v>
      </c>
      <c r="AY112" s="179"/>
      <c r="AZ112" s="8">
        <f t="shared" si="361"/>
        <v>0</v>
      </c>
      <c r="BB112" s="221"/>
      <c r="BC112" s="179"/>
    </row>
    <row r="113" spans="1:55" s="220" customFormat="1" ht="14.25" customHeight="1">
      <c r="A113" s="17">
        <f t="shared" si="329"/>
        <v>25</v>
      </c>
      <c r="B113" s="56" t="s">
        <v>545</v>
      </c>
      <c r="C113" s="671">
        <v>39814</v>
      </c>
      <c r="D113" s="55">
        <v>8</v>
      </c>
      <c r="E113" s="6">
        <v>2300000</v>
      </c>
      <c r="F113" s="1041">
        <f t="shared" si="290"/>
        <v>287500</v>
      </c>
      <c r="G113" s="1053"/>
      <c r="H113" s="1042">
        <f t="shared" si="322"/>
        <v>0</v>
      </c>
      <c r="I113" s="1042">
        <f t="shared" si="323"/>
        <v>2300000</v>
      </c>
      <c r="J113" s="1042"/>
      <c r="K113" s="1042">
        <f t="shared" si="291"/>
        <v>0</v>
      </c>
      <c r="L113" s="1042">
        <f t="shared" si="292"/>
        <v>2300000</v>
      </c>
      <c r="M113" s="1042">
        <f t="shared" si="293"/>
        <v>287500</v>
      </c>
      <c r="N113" s="1042">
        <f t="shared" si="294"/>
        <v>287500</v>
      </c>
      <c r="O113" s="1042">
        <f t="shared" si="295"/>
        <v>2012500</v>
      </c>
      <c r="P113" s="1042">
        <f t="shared" si="325"/>
        <v>287500</v>
      </c>
      <c r="Q113" s="1042">
        <f t="shared" si="296"/>
        <v>575000</v>
      </c>
      <c r="R113" s="1042">
        <f t="shared" si="297"/>
        <v>1725000</v>
      </c>
      <c r="S113" s="1042">
        <f t="shared" si="326"/>
        <v>287500</v>
      </c>
      <c r="T113" s="1042">
        <f t="shared" si="298"/>
        <v>862500</v>
      </c>
      <c r="U113" s="1042">
        <f t="shared" si="299"/>
        <v>1437500</v>
      </c>
      <c r="V113" s="1042">
        <f t="shared" si="327"/>
        <v>287500</v>
      </c>
      <c r="W113" s="1042">
        <f t="shared" si="300"/>
        <v>1150000</v>
      </c>
      <c r="X113" s="1042">
        <f t="shared" si="301"/>
        <v>1150000</v>
      </c>
      <c r="Y113" s="7">
        <v>862499.99999999988</v>
      </c>
      <c r="Z113" s="7">
        <f t="shared" si="302"/>
        <v>1437500</v>
      </c>
      <c r="AA113" s="1042">
        <f t="shared" si="328"/>
        <v>287500</v>
      </c>
      <c r="AB113" s="1042">
        <f t="shared" si="303"/>
        <v>1437500</v>
      </c>
      <c r="AC113" s="1042">
        <f t="shared" si="304"/>
        <v>862500</v>
      </c>
      <c r="AD113" s="1042">
        <f t="shared" si="305"/>
        <v>287500</v>
      </c>
      <c r="AE113" s="1042">
        <f t="shared" si="306"/>
        <v>1725000</v>
      </c>
      <c r="AF113" s="1042">
        <f t="shared" si="307"/>
        <v>575000</v>
      </c>
      <c r="AG113" s="1042">
        <f t="shared" si="308"/>
        <v>287500</v>
      </c>
      <c r="AH113" s="1042">
        <f t="shared" si="309"/>
        <v>2012500</v>
      </c>
      <c r="AI113" s="1042">
        <f t="shared" si="310"/>
        <v>287500</v>
      </c>
      <c r="AJ113" s="1042">
        <f t="shared" si="350"/>
        <v>23958.333333333332</v>
      </c>
      <c r="AK113" s="1042">
        <f t="shared" si="351"/>
        <v>2036458.3333333333</v>
      </c>
      <c r="AL113" s="1042">
        <f t="shared" si="352"/>
        <v>263541.66666666674</v>
      </c>
      <c r="AM113" s="1042">
        <f t="shared" si="282"/>
        <v>215625</v>
      </c>
      <c r="AN113" s="1042">
        <f t="shared" si="353"/>
        <v>2228125</v>
      </c>
      <c r="AO113" s="1042">
        <f t="shared" si="354"/>
        <v>71875</v>
      </c>
      <c r="AP113" s="1042">
        <f t="shared" si="355"/>
        <v>287500</v>
      </c>
      <c r="AQ113" s="1042">
        <f t="shared" si="183"/>
        <v>2300000</v>
      </c>
      <c r="AR113" s="1042">
        <f t="shared" si="317"/>
        <v>0</v>
      </c>
      <c r="AS113" s="1042">
        <f t="shared" si="356"/>
        <v>0</v>
      </c>
      <c r="AT113" s="1042">
        <f t="shared" si="185"/>
        <v>2300000</v>
      </c>
      <c r="AU113" s="1042">
        <f t="shared" si="357"/>
        <v>0</v>
      </c>
      <c r="AV113" s="1042">
        <f t="shared" si="358"/>
        <v>0</v>
      </c>
      <c r="AW113" s="1042">
        <f t="shared" si="359"/>
        <v>2300000</v>
      </c>
      <c r="AX113" s="1042">
        <f t="shared" si="360"/>
        <v>0</v>
      </c>
      <c r="AY113" s="179"/>
      <c r="AZ113" s="8">
        <f t="shared" si="361"/>
        <v>0</v>
      </c>
      <c r="BB113" s="221"/>
      <c r="BC113" s="179"/>
    </row>
    <row r="114" spans="1:55" s="220" customFormat="1" ht="14.25" customHeight="1">
      <c r="A114" s="17">
        <f>A104+1</f>
        <v>27</v>
      </c>
      <c r="B114" s="56" t="s">
        <v>547</v>
      </c>
      <c r="C114" s="671">
        <v>40179</v>
      </c>
      <c r="D114" s="55">
        <v>8</v>
      </c>
      <c r="E114" s="6">
        <v>10500000</v>
      </c>
      <c r="F114" s="1041">
        <f t="shared" si="290"/>
        <v>1312500</v>
      </c>
      <c r="G114" s="1053"/>
      <c r="H114" s="1042">
        <f t="shared" si="322"/>
        <v>0</v>
      </c>
      <c r="I114" s="1042">
        <f t="shared" si="323"/>
        <v>10500000</v>
      </c>
      <c r="J114" s="1042"/>
      <c r="K114" s="1042">
        <f t="shared" si="291"/>
        <v>0</v>
      </c>
      <c r="L114" s="1042">
        <f t="shared" si="292"/>
        <v>10500000</v>
      </c>
      <c r="M114" s="1042">
        <f t="shared" si="293"/>
        <v>1312500</v>
      </c>
      <c r="N114" s="1042">
        <f t="shared" si="294"/>
        <v>1312500</v>
      </c>
      <c r="O114" s="1042">
        <f t="shared" si="295"/>
        <v>9187500</v>
      </c>
      <c r="P114" s="1042">
        <f t="shared" si="325"/>
        <v>1312500</v>
      </c>
      <c r="Q114" s="1042">
        <f t="shared" si="296"/>
        <v>2625000</v>
      </c>
      <c r="R114" s="1042">
        <f t="shared" si="297"/>
        <v>7875000</v>
      </c>
      <c r="S114" s="1042">
        <f t="shared" si="326"/>
        <v>1312500</v>
      </c>
      <c r="T114" s="1042">
        <f t="shared" si="298"/>
        <v>3937500</v>
      </c>
      <c r="U114" s="1042">
        <f t="shared" si="299"/>
        <v>6562500</v>
      </c>
      <c r="V114" s="1042">
        <f t="shared" si="327"/>
        <v>1312500</v>
      </c>
      <c r="W114" s="1042">
        <f t="shared" si="300"/>
        <v>5250000</v>
      </c>
      <c r="X114" s="1042">
        <f t="shared" si="301"/>
        <v>5250000</v>
      </c>
      <c r="Y114" s="7">
        <v>3937500</v>
      </c>
      <c r="Z114" s="7">
        <f t="shared" si="302"/>
        <v>6562500</v>
      </c>
      <c r="AA114" s="1042">
        <f t="shared" si="328"/>
        <v>1312500</v>
      </c>
      <c r="AB114" s="1042">
        <f t="shared" si="303"/>
        <v>6562500</v>
      </c>
      <c r="AC114" s="1042">
        <f t="shared" si="304"/>
        <v>3937500</v>
      </c>
      <c r="AD114" s="1042">
        <f t="shared" si="305"/>
        <v>1312500</v>
      </c>
      <c r="AE114" s="1042">
        <f t="shared" si="306"/>
        <v>7875000</v>
      </c>
      <c r="AF114" s="1042">
        <f t="shared" si="307"/>
        <v>2625000</v>
      </c>
      <c r="AG114" s="1042">
        <f t="shared" si="308"/>
        <v>1312500</v>
      </c>
      <c r="AH114" s="1042">
        <f t="shared" si="309"/>
        <v>9187500</v>
      </c>
      <c r="AI114" s="1042">
        <f t="shared" si="310"/>
        <v>1312500</v>
      </c>
      <c r="AJ114" s="1042">
        <f t="shared" si="350"/>
        <v>109375</v>
      </c>
      <c r="AK114" s="1042">
        <f t="shared" si="351"/>
        <v>9296875</v>
      </c>
      <c r="AL114" s="1042">
        <f t="shared" si="352"/>
        <v>1203125</v>
      </c>
      <c r="AM114" s="1042">
        <f t="shared" si="282"/>
        <v>984375</v>
      </c>
      <c r="AN114" s="1042">
        <f t="shared" si="353"/>
        <v>10171875</v>
      </c>
      <c r="AO114" s="1042">
        <f t="shared" si="354"/>
        <v>328125</v>
      </c>
      <c r="AP114" s="1042">
        <f t="shared" si="355"/>
        <v>1312500</v>
      </c>
      <c r="AQ114" s="1042">
        <f t="shared" si="183"/>
        <v>10500000</v>
      </c>
      <c r="AR114" s="1042">
        <f t="shared" si="317"/>
        <v>0</v>
      </c>
      <c r="AS114" s="1042">
        <f t="shared" si="356"/>
        <v>0</v>
      </c>
      <c r="AT114" s="1042">
        <f t="shared" si="185"/>
        <v>10500000</v>
      </c>
      <c r="AU114" s="1042">
        <f t="shared" si="357"/>
        <v>0</v>
      </c>
      <c r="AV114" s="1042">
        <f t="shared" si="358"/>
        <v>0</v>
      </c>
      <c r="AW114" s="1042">
        <f t="shared" si="359"/>
        <v>10500000</v>
      </c>
      <c r="AX114" s="1042">
        <f t="shared" si="360"/>
        <v>0</v>
      </c>
      <c r="AY114" s="179"/>
      <c r="AZ114" s="8">
        <f t="shared" si="361"/>
        <v>0</v>
      </c>
      <c r="BB114" s="221"/>
      <c r="BC114" s="179"/>
    </row>
    <row r="115" spans="1:55" s="220" customFormat="1" ht="14.25" customHeight="1">
      <c r="A115" s="17">
        <f t="shared" si="329"/>
        <v>28</v>
      </c>
      <c r="B115" s="56" t="s">
        <v>548</v>
      </c>
      <c r="C115" s="671">
        <v>40179</v>
      </c>
      <c r="D115" s="55">
        <v>8</v>
      </c>
      <c r="E115" s="6">
        <v>9800000</v>
      </c>
      <c r="F115" s="1041">
        <f t="shared" si="290"/>
        <v>1225000</v>
      </c>
      <c r="G115" s="1053"/>
      <c r="H115" s="1042">
        <f t="shared" si="322"/>
        <v>0</v>
      </c>
      <c r="I115" s="1042">
        <f t="shared" si="323"/>
        <v>9800000</v>
      </c>
      <c r="J115" s="1042"/>
      <c r="K115" s="1042">
        <f t="shared" si="291"/>
        <v>0</v>
      </c>
      <c r="L115" s="1042">
        <f t="shared" si="292"/>
        <v>9800000</v>
      </c>
      <c r="M115" s="1042">
        <f t="shared" si="293"/>
        <v>1225000</v>
      </c>
      <c r="N115" s="1042">
        <f t="shared" si="294"/>
        <v>1225000</v>
      </c>
      <c r="O115" s="1042">
        <f t="shared" si="295"/>
        <v>8575000</v>
      </c>
      <c r="P115" s="1042">
        <f t="shared" si="325"/>
        <v>1225000</v>
      </c>
      <c r="Q115" s="1042">
        <f t="shared" si="296"/>
        <v>2450000</v>
      </c>
      <c r="R115" s="1042">
        <f t="shared" si="297"/>
        <v>7350000</v>
      </c>
      <c r="S115" s="1042">
        <f t="shared" si="326"/>
        <v>1225000</v>
      </c>
      <c r="T115" s="1042">
        <f t="shared" si="298"/>
        <v>3675000</v>
      </c>
      <c r="U115" s="1042">
        <f t="shared" si="299"/>
        <v>6125000</v>
      </c>
      <c r="V115" s="1042">
        <f t="shared" si="327"/>
        <v>1225000</v>
      </c>
      <c r="W115" s="1042">
        <f t="shared" si="300"/>
        <v>4900000</v>
      </c>
      <c r="X115" s="1042">
        <f t="shared" si="301"/>
        <v>4900000</v>
      </c>
      <c r="Y115" s="7">
        <v>3675000</v>
      </c>
      <c r="Z115" s="7">
        <f t="shared" si="302"/>
        <v>6125000</v>
      </c>
      <c r="AA115" s="1042">
        <f t="shared" si="328"/>
        <v>1225000</v>
      </c>
      <c r="AB115" s="1042">
        <f t="shared" si="303"/>
        <v>6125000</v>
      </c>
      <c r="AC115" s="1042">
        <f t="shared" si="304"/>
        <v>3675000</v>
      </c>
      <c r="AD115" s="1042">
        <f t="shared" si="305"/>
        <v>1225000</v>
      </c>
      <c r="AE115" s="1042">
        <f t="shared" si="306"/>
        <v>7350000</v>
      </c>
      <c r="AF115" s="1042">
        <f t="shared" si="307"/>
        <v>2450000</v>
      </c>
      <c r="AG115" s="1042">
        <f t="shared" si="308"/>
        <v>1225000</v>
      </c>
      <c r="AH115" s="1042">
        <f t="shared" si="309"/>
        <v>8575000</v>
      </c>
      <c r="AI115" s="1042">
        <f t="shared" si="310"/>
        <v>1225000</v>
      </c>
      <c r="AJ115" s="1042">
        <f t="shared" si="350"/>
        <v>102083.33333333333</v>
      </c>
      <c r="AK115" s="1042">
        <f t="shared" si="351"/>
        <v>8677083.333333334</v>
      </c>
      <c r="AL115" s="1042">
        <f t="shared" si="352"/>
        <v>1122916.666666666</v>
      </c>
      <c r="AM115" s="1042">
        <f t="shared" si="282"/>
        <v>918750</v>
      </c>
      <c r="AN115" s="1042">
        <f t="shared" si="353"/>
        <v>9493750</v>
      </c>
      <c r="AO115" s="1042">
        <f t="shared" si="354"/>
        <v>306250</v>
      </c>
      <c r="AP115" s="1042">
        <f t="shared" si="355"/>
        <v>1225000</v>
      </c>
      <c r="AQ115" s="1042">
        <f t="shared" si="183"/>
        <v>9800000</v>
      </c>
      <c r="AR115" s="1042">
        <f t="shared" si="317"/>
        <v>0</v>
      </c>
      <c r="AS115" s="1042">
        <f t="shared" si="356"/>
        <v>0</v>
      </c>
      <c r="AT115" s="1042">
        <f t="shared" si="185"/>
        <v>9800000</v>
      </c>
      <c r="AU115" s="1042">
        <f t="shared" si="357"/>
        <v>0</v>
      </c>
      <c r="AV115" s="1042">
        <f t="shared" si="358"/>
        <v>0</v>
      </c>
      <c r="AW115" s="1042">
        <f t="shared" si="359"/>
        <v>9800000</v>
      </c>
      <c r="AX115" s="1042">
        <f t="shared" si="360"/>
        <v>0</v>
      </c>
      <c r="AY115" s="179"/>
      <c r="AZ115" s="8">
        <f t="shared" si="361"/>
        <v>0</v>
      </c>
      <c r="BB115" s="221"/>
      <c r="BC115" s="179"/>
    </row>
    <row r="116" spans="1:55" s="220" customFormat="1" ht="14.25" customHeight="1">
      <c r="A116" s="17">
        <f t="shared" si="329"/>
        <v>29</v>
      </c>
      <c r="B116" s="56" t="s">
        <v>549</v>
      </c>
      <c r="C116" s="671">
        <v>40544</v>
      </c>
      <c r="D116" s="55">
        <v>8</v>
      </c>
      <c r="E116" s="6">
        <v>14500000</v>
      </c>
      <c r="F116" s="1041">
        <f t="shared" si="290"/>
        <v>1812500</v>
      </c>
      <c r="G116" s="1053"/>
      <c r="H116" s="1042">
        <f t="shared" si="322"/>
        <v>0</v>
      </c>
      <c r="I116" s="1042">
        <f t="shared" si="323"/>
        <v>14500000</v>
      </c>
      <c r="J116" s="1042"/>
      <c r="K116" s="1042">
        <f t="shared" si="291"/>
        <v>0</v>
      </c>
      <c r="L116" s="1042">
        <f t="shared" si="292"/>
        <v>14500000</v>
      </c>
      <c r="M116" s="1042">
        <f t="shared" si="293"/>
        <v>1812500</v>
      </c>
      <c r="N116" s="1042">
        <f t="shared" si="294"/>
        <v>1812500</v>
      </c>
      <c r="O116" s="1042">
        <f t="shared" si="295"/>
        <v>12687500</v>
      </c>
      <c r="P116" s="1042">
        <f t="shared" si="325"/>
        <v>1812500</v>
      </c>
      <c r="Q116" s="1042">
        <f t="shared" si="296"/>
        <v>3625000</v>
      </c>
      <c r="R116" s="1042">
        <f t="shared" si="297"/>
        <v>10875000</v>
      </c>
      <c r="S116" s="1042">
        <f t="shared" ref="S116:S147" si="362">(F116/12)*12</f>
        <v>1812500</v>
      </c>
      <c r="T116" s="1042">
        <f t="shared" si="298"/>
        <v>5437500</v>
      </c>
      <c r="U116" s="1042">
        <f t="shared" si="299"/>
        <v>9062500</v>
      </c>
      <c r="V116" s="1042">
        <f t="shared" si="327"/>
        <v>1812500</v>
      </c>
      <c r="W116" s="1042">
        <f t="shared" si="300"/>
        <v>7250000</v>
      </c>
      <c r="X116" s="1042">
        <f t="shared" si="301"/>
        <v>7250000</v>
      </c>
      <c r="Y116" s="7">
        <v>5437499.9999999981</v>
      </c>
      <c r="Z116" s="7">
        <f t="shared" si="302"/>
        <v>9062500.0000000019</v>
      </c>
      <c r="AA116" s="1042">
        <f t="shared" si="328"/>
        <v>1812500</v>
      </c>
      <c r="AB116" s="1042">
        <f t="shared" si="303"/>
        <v>9062500</v>
      </c>
      <c r="AC116" s="1042">
        <f t="shared" si="304"/>
        <v>5437500</v>
      </c>
      <c r="AD116" s="1042">
        <f t="shared" si="305"/>
        <v>1812500</v>
      </c>
      <c r="AE116" s="1042">
        <f t="shared" si="306"/>
        <v>10875000</v>
      </c>
      <c r="AF116" s="1042">
        <f t="shared" si="307"/>
        <v>3625000</v>
      </c>
      <c r="AG116" s="1042">
        <f t="shared" si="308"/>
        <v>1812500</v>
      </c>
      <c r="AH116" s="1042">
        <f t="shared" si="309"/>
        <v>12687500</v>
      </c>
      <c r="AI116" s="1042">
        <f t="shared" si="310"/>
        <v>1812500</v>
      </c>
      <c r="AJ116" s="1042">
        <f t="shared" si="350"/>
        <v>151041.66666666666</v>
      </c>
      <c r="AK116" s="1042">
        <f t="shared" si="351"/>
        <v>12838541.666666666</v>
      </c>
      <c r="AL116" s="1042">
        <f t="shared" si="352"/>
        <v>1661458.333333334</v>
      </c>
      <c r="AM116" s="1042">
        <f t="shared" si="282"/>
        <v>1359375</v>
      </c>
      <c r="AN116" s="1042">
        <f t="shared" si="353"/>
        <v>14046875</v>
      </c>
      <c r="AO116" s="1042">
        <f t="shared" si="354"/>
        <v>453125</v>
      </c>
      <c r="AP116" s="1042">
        <f t="shared" si="355"/>
        <v>1812500</v>
      </c>
      <c r="AQ116" s="1042">
        <f t="shared" si="183"/>
        <v>14500000</v>
      </c>
      <c r="AR116" s="1042">
        <f t="shared" si="317"/>
        <v>0</v>
      </c>
      <c r="AS116" s="1042">
        <f t="shared" si="356"/>
        <v>0</v>
      </c>
      <c r="AT116" s="1042">
        <f t="shared" si="185"/>
        <v>14500000</v>
      </c>
      <c r="AU116" s="1042">
        <f t="shared" si="357"/>
        <v>0</v>
      </c>
      <c r="AV116" s="1042">
        <f t="shared" si="358"/>
        <v>0</v>
      </c>
      <c r="AW116" s="1042">
        <f t="shared" si="359"/>
        <v>14500000</v>
      </c>
      <c r="AX116" s="1042">
        <f t="shared" si="360"/>
        <v>0</v>
      </c>
      <c r="AY116" s="179"/>
      <c r="AZ116" s="8">
        <f t="shared" si="361"/>
        <v>0</v>
      </c>
      <c r="BB116" s="221"/>
      <c r="BC116" s="179"/>
    </row>
    <row r="117" spans="1:55" s="220" customFormat="1" ht="14.25" customHeight="1">
      <c r="A117" s="17">
        <f t="shared" si="329"/>
        <v>30</v>
      </c>
      <c r="B117" s="56" t="s">
        <v>550</v>
      </c>
      <c r="C117" s="671">
        <v>40544</v>
      </c>
      <c r="D117" s="55">
        <v>8</v>
      </c>
      <c r="E117" s="6">
        <v>188400000</v>
      </c>
      <c r="F117" s="1041">
        <f t="shared" si="290"/>
        <v>23550000</v>
      </c>
      <c r="G117" s="1053"/>
      <c r="H117" s="1042">
        <f t="shared" si="322"/>
        <v>0</v>
      </c>
      <c r="I117" s="1042">
        <f t="shared" si="323"/>
        <v>188400000</v>
      </c>
      <c r="J117" s="1042"/>
      <c r="K117" s="1042">
        <f t="shared" si="291"/>
        <v>0</v>
      </c>
      <c r="L117" s="1042">
        <f t="shared" si="292"/>
        <v>188400000</v>
      </c>
      <c r="M117" s="1042">
        <f t="shared" si="293"/>
        <v>23550000</v>
      </c>
      <c r="N117" s="1042">
        <f t="shared" si="294"/>
        <v>23550000</v>
      </c>
      <c r="O117" s="1042">
        <f t="shared" si="295"/>
        <v>164850000</v>
      </c>
      <c r="P117" s="1042">
        <f t="shared" si="325"/>
        <v>23550000</v>
      </c>
      <c r="Q117" s="1042">
        <f t="shared" si="296"/>
        <v>47100000</v>
      </c>
      <c r="R117" s="1042">
        <f t="shared" si="297"/>
        <v>141300000</v>
      </c>
      <c r="S117" s="1042">
        <f t="shared" si="362"/>
        <v>23550000</v>
      </c>
      <c r="T117" s="1042">
        <f t="shared" si="298"/>
        <v>70650000</v>
      </c>
      <c r="U117" s="1042">
        <f t="shared" si="299"/>
        <v>117750000</v>
      </c>
      <c r="V117" s="1042">
        <f t="shared" si="327"/>
        <v>23550000</v>
      </c>
      <c r="W117" s="1042">
        <f t="shared" si="300"/>
        <v>94200000</v>
      </c>
      <c r="X117" s="1042">
        <f t="shared" si="301"/>
        <v>94200000</v>
      </c>
      <c r="Y117" s="7">
        <v>70650000</v>
      </c>
      <c r="Z117" s="7">
        <f t="shared" si="302"/>
        <v>117750000</v>
      </c>
      <c r="AA117" s="1042">
        <f t="shared" si="328"/>
        <v>23550000</v>
      </c>
      <c r="AB117" s="1042">
        <f t="shared" si="303"/>
        <v>117750000</v>
      </c>
      <c r="AC117" s="1042">
        <f t="shared" si="304"/>
        <v>70650000</v>
      </c>
      <c r="AD117" s="1042">
        <f t="shared" si="305"/>
        <v>23550000</v>
      </c>
      <c r="AE117" s="1042">
        <f t="shared" si="306"/>
        <v>141300000</v>
      </c>
      <c r="AF117" s="1042">
        <f t="shared" si="307"/>
        <v>47100000</v>
      </c>
      <c r="AG117" s="1042">
        <f t="shared" si="308"/>
        <v>23550000</v>
      </c>
      <c r="AH117" s="1042">
        <f t="shared" si="309"/>
        <v>164850000</v>
      </c>
      <c r="AI117" s="1042">
        <f t="shared" si="310"/>
        <v>23550000</v>
      </c>
      <c r="AJ117" s="1042">
        <f t="shared" si="350"/>
        <v>1962500</v>
      </c>
      <c r="AK117" s="1042">
        <f t="shared" si="351"/>
        <v>166812500</v>
      </c>
      <c r="AL117" s="1042">
        <f t="shared" si="352"/>
        <v>21587500</v>
      </c>
      <c r="AM117" s="1042">
        <f t="shared" si="282"/>
        <v>17662500</v>
      </c>
      <c r="AN117" s="1042">
        <f t="shared" si="353"/>
        <v>182512500</v>
      </c>
      <c r="AO117" s="1042">
        <f t="shared" si="354"/>
        <v>5887500</v>
      </c>
      <c r="AP117" s="1042">
        <f t="shared" si="355"/>
        <v>23550000</v>
      </c>
      <c r="AQ117" s="1042">
        <f t="shared" si="183"/>
        <v>188400000</v>
      </c>
      <c r="AR117" s="1042">
        <f t="shared" si="317"/>
        <v>0</v>
      </c>
      <c r="AS117" s="1042">
        <f t="shared" si="356"/>
        <v>0</v>
      </c>
      <c r="AT117" s="1042">
        <f t="shared" si="185"/>
        <v>188400000</v>
      </c>
      <c r="AU117" s="1042">
        <f t="shared" si="357"/>
        <v>0</v>
      </c>
      <c r="AV117" s="1042">
        <f t="shared" si="358"/>
        <v>0</v>
      </c>
      <c r="AW117" s="1042">
        <f t="shared" si="359"/>
        <v>188400000</v>
      </c>
      <c r="AX117" s="1042">
        <f t="shared" si="360"/>
        <v>0</v>
      </c>
      <c r="AY117" s="179"/>
      <c r="AZ117" s="8">
        <f t="shared" si="361"/>
        <v>0</v>
      </c>
      <c r="BB117" s="221"/>
      <c r="BC117" s="179"/>
    </row>
    <row r="118" spans="1:55" s="220" customFormat="1" ht="14.25" customHeight="1">
      <c r="A118" s="17">
        <f t="shared" si="329"/>
        <v>31</v>
      </c>
      <c r="B118" s="56" t="s">
        <v>551</v>
      </c>
      <c r="C118" s="671">
        <v>40544</v>
      </c>
      <c r="D118" s="55">
        <v>8</v>
      </c>
      <c r="E118" s="6">
        <v>47800000</v>
      </c>
      <c r="F118" s="1041">
        <f t="shared" si="290"/>
        <v>5975000</v>
      </c>
      <c r="G118" s="1053"/>
      <c r="H118" s="1042">
        <f t="shared" si="322"/>
        <v>0</v>
      </c>
      <c r="I118" s="1042">
        <f t="shared" si="323"/>
        <v>47800000</v>
      </c>
      <c r="J118" s="1042"/>
      <c r="K118" s="1042">
        <f t="shared" si="291"/>
        <v>0</v>
      </c>
      <c r="L118" s="1042">
        <f t="shared" si="292"/>
        <v>47800000</v>
      </c>
      <c r="M118" s="1042">
        <f t="shared" si="293"/>
        <v>5975000</v>
      </c>
      <c r="N118" s="1042">
        <f t="shared" si="294"/>
        <v>5975000</v>
      </c>
      <c r="O118" s="1042">
        <f t="shared" si="295"/>
        <v>41825000</v>
      </c>
      <c r="P118" s="1042">
        <f t="shared" si="325"/>
        <v>5975000</v>
      </c>
      <c r="Q118" s="1042">
        <f t="shared" si="296"/>
        <v>11950000</v>
      </c>
      <c r="R118" s="1042">
        <f t="shared" si="297"/>
        <v>35850000</v>
      </c>
      <c r="S118" s="1042">
        <f t="shared" si="362"/>
        <v>5975000</v>
      </c>
      <c r="T118" s="1042">
        <f t="shared" si="298"/>
        <v>17925000</v>
      </c>
      <c r="U118" s="1042">
        <f>E118-T118</f>
        <v>29875000</v>
      </c>
      <c r="V118" s="1042">
        <f t="shared" si="327"/>
        <v>5975000</v>
      </c>
      <c r="W118" s="1042">
        <f t="shared" si="300"/>
        <v>23900000</v>
      </c>
      <c r="X118" s="1042">
        <f t="shared" si="301"/>
        <v>23900000</v>
      </c>
      <c r="Y118" s="7">
        <v>17925000</v>
      </c>
      <c r="Z118" s="7">
        <f t="shared" si="302"/>
        <v>29875000</v>
      </c>
      <c r="AA118" s="1042">
        <f t="shared" si="328"/>
        <v>5975000</v>
      </c>
      <c r="AB118" s="1042">
        <f t="shared" si="303"/>
        <v>29875000</v>
      </c>
      <c r="AC118" s="1042">
        <f t="shared" si="304"/>
        <v>17925000</v>
      </c>
      <c r="AD118" s="1042">
        <f t="shared" si="305"/>
        <v>5975000</v>
      </c>
      <c r="AE118" s="1042">
        <f t="shared" si="306"/>
        <v>35850000</v>
      </c>
      <c r="AF118" s="1042">
        <f t="shared" si="307"/>
        <v>11950000</v>
      </c>
      <c r="AG118" s="1042">
        <f t="shared" si="308"/>
        <v>5975000</v>
      </c>
      <c r="AH118" s="1042">
        <f t="shared" si="309"/>
        <v>41825000</v>
      </c>
      <c r="AI118" s="1042">
        <f t="shared" si="310"/>
        <v>5975000</v>
      </c>
      <c r="AJ118" s="1042">
        <f t="shared" si="350"/>
        <v>497916.66666666669</v>
      </c>
      <c r="AK118" s="1042">
        <f t="shared" si="351"/>
        <v>42322916.666666664</v>
      </c>
      <c r="AL118" s="1042">
        <f t="shared" si="352"/>
        <v>5477083.3333333358</v>
      </c>
      <c r="AM118" s="1042">
        <f t="shared" si="282"/>
        <v>4481250</v>
      </c>
      <c r="AN118" s="1042">
        <f t="shared" si="353"/>
        <v>46306250</v>
      </c>
      <c r="AO118" s="1042">
        <f t="shared" si="354"/>
        <v>1493750</v>
      </c>
      <c r="AP118" s="1042">
        <f t="shared" si="355"/>
        <v>5975000</v>
      </c>
      <c r="AQ118" s="1042">
        <f t="shared" si="183"/>
        <v>47800000</v>
      </c>
      <c r="AR118" s="1042">
        <f t="shared" si="317"/>
        <v>0</v>
      </c>
      <c r="AS118" s="1042">
        <f t="shared" si="356"/>
        <v>0</v>
      </c>
      <c r="AT118" s="1042">
        <f t="shared" si="185"/>
        <v>47800000</v>
      </c>
      <c r="AU118" s="1042">
        <f t="shared" si="357"/>
        <v>0</v>
      </c>
      <c r="AV118" s="1042">
        <f t="shared" si="358"/>
        <v>0</v>
      </c>
      <c r="AW118" s="1042">
        <f t="shared" si="359"/>
        <v>47800000</v>
      </c>
      <c r="AX118" s="1042">
        <f t="shared" si="360"/>
        <v>0</v>
      </c>
      <c r="AY118" s="179"/>
      <c r="AZ118" s="8">
        <f t="shared" si="361"/>
        <v>0</v>
      </c>
      <c r="BB118" s="221"/>
      <c r="BC118" s="179"/>
    </row>
    <row r="119" spans="1:55" s="220" customFormat="1" ht="14.25" customHeight="1">
      <c r="A119" s="17">
        <f t="shared" si="329"/>
        <v>32</v>
      </c>
      <c r="B119" s="56" t="s">
        <v>552</v>
      </c>
      <c r="C119" s="671">
        <v>40544</v>
      </c>
      <c r="D119" s="55">
        <v>8</v>
      </c>
      <c r="E119" s="6">
        <v>88300000</v>
      </c>
      <c r="F119" s="1041">
        <f t="shared" si="290"/>
        <v>11037500</v>
      </c>
      <c r="G119" s="1053"/>
      <c r="H119" s="1042">
        <f t="shared" si="322"/>
        <v>0</v>
      </c>
      <c r="I119" s="1042">
        <f t="shared" si="323"/>
        <v>88300000</v>
      </c>
      <c r="J119" s="1042"/>
      <c r="K119" s="1042">
        <f t="shared" si="291"/>
        <v>0</v>
      </c>
      <c r="L119" s="1042">
        <f t="shared" si="292"/>
        <v>88300000</v>
      </c>
      <c r="M119" s="1042">
        <f t="shared" si="293"/>
        <v>11037500</v>
      </c>
      <c r="N119" s="1042">
        <f t="shared" si="294"/>
        <v>11037500</v>
      </c>
      <c r="O119" s="1042">
        <f t="shared" si="295"/>
        <v>77262500</v>
      </c>
      <c r="P119" s="1042">
        <f t="shared" si="325"/>
        <v>11037500</v>
      </c>
      <c r="Q119" s="1042">
        <f t="shared" si="296"/>
        <v>22075000</v>
      </c>
      <c r="R119" s="1042">
        <f t="shared" si="297"/>
        <v>66225000</v>
      </c>
      <c r="S119" s="1042">
        <f t="shared" si="362"/>
        <v>11037500</v>
      </c>
      <c r="T119" s="1042">
        <f t="shared" si="298"/>
        <v>33112500</v>
      </c>
      <c r="U119" s="1042">
        <f t="shared" si="299"/>
        <v>55187500</v>
      </c>
      <c r="V119" s="1042">
        <f t="shared" si="327"/>
        <v>11037500</v>
      </c>
      <c r="W119" s="1042">
        <f t="shared" si="300"/>
        <v>44150000</v>
      </c>
      <c r="X119" s="1042">
        <f t="shared" si="301"/>
        <v>44150000</v>
      </c>
      <c r="Y119" s="7">
        <v>33112500.000000004</v>
      </c>
      <c r="Z119" s="7">
        <f t="shared" si="302"/>
        <v>55187500</v>
      </c>
      <c r="AA119" s="1042">
        <f t="shared" si="328"/>
        <v>11037500</v>
      </c>
      <c r="AB119" s="1042">
        <f t="shared" si="303"/>
        <v>55187500</v>
      </c>
      <c r="AC119" s="1042">
        <f t="shared" si="304"/>
        <v>33112500</v>
      </c>
      <c r="AD119" s="1042">
        <f t="shared" si="305"/>
        <v>11037500</v>
      </c>
      <c r="AE119" s="1042">
        <f t="shared" si="306"/>
        <v>66225000</v>
      </c>
      <c r="AF119" s="1042">
        <f t="shared" si="307"/>
        <v>22075000</v>
      </c>
      <c r="AG119" s="1042">
        <f t="shared" si="308"/>
        <v>11037500</v>
      </c>
      <c r="AH119" s="1042">
        <f t="shared" si="309"/>
        <v>77262500</v>
      </c>
      <c r="AI119" s="1042">
        <f t="shared" si="310"/>
        <v>11037500</v>
      </c>
      <c r="AJ119" s="1042">
        <f t="shared" si="350"/>
        <v>919791.66666666663</v>
      </c>
      <c r="AK119" s="1042">
        <f t="shared" si="351"/>
        <v>78182291.666666672</v>
      </c>
      <c r="AL119" s="1042">
        <f t="shared" si="352"/>
        <v>10117708.333333328</v>
      </c>
      <c r="AM119" s="1042">
        <f t="shared" si="282"/>
        <v>8278125</v>
      </c>
      <c r="AN119" s="1042">
        <f t="shared" si="353"/>
        <v>85540625</v>
      </c>
      <c r="AO119" s="1042">
        <f t="shared" si="354"/>
        <v>2759375</v>
      </c>
      <c r="AP119" s="1042">
        <f t="shared" si="355"/>
        <v>11037500</v>
      </c>
      <c r="AQ119" s="1042">
        <f t="shared" si="183"/>
        <v>88300000</v>
      </c>
      <c r="AR119" s="1042">
        <f t="shared" si="317"/>
        <v>0</v>
      </c>
      <c r="AS119" s="1042">
        <f t="shared" si="356"/>
        <v>0</v>
      </c>
      <c r="AT119" s="1042">
        <f t="shared" si="185"/>
        <v>88300000</v>
      </c>
      <c r="AU119" s="1042">
        <f t="shared" si="357"/>
        <v>0</v>
      </c>
      <c r="AV119" s="1042">
        <f t="shared" si="358"/>
        <v>0</v>
      </c>
      <c r="AW119" s="1042">
        <f t="shared" si="359"/>
        <v>88300000</v>
      </c>
      <c r="AX119" s="1042">
        <f t="shared" si="360"/>
        <v>0</v>
      </c>
      <c r="AY119" s="179"/>
      <c r="AZ119" s="8">
        <f t="shared" si="361"/>
        <v>0</v>
      </c>
      <c r="BB119" s="221"/>
      <c r="BC119" s="179"/>
    </row>
    <row r="120" spans="1:55" s="220" customFormat="1" ht="14.25" customHeight="1">
      <c r="A120" s="17">
        <f t="shared" si="329"/>
        <v>33</v>
      </c>
      <c r="B120" s="56" t="s">
        <v>553</v>
      </c>
      <c r="C120" s="671">
        <v>40544</v>
      </c>
      <c r="D120" s="55">
        <v>8</v>
      </c>
      <c r="E120" s="6">
        <v>12500000</v>
      </c>
      <c r="F120" s="1041">
        <f t="shared" si="290"/>
        <v>1562500</v>
      </c>
      <c r="G120" s="1053"/>
      <c r="H120" s="1042">
        <f t="shared" si="322"/>
        <v>0</v>
      </c>
      <c r="I120" s="1042">
        <f t="shared" si="323"/>
        <v>12500000</v>
      </c>
      <c r="J120" s="1042"/>
      <c r="K120" s="1042">
        <f t="shared" si="291"/>
        <v>0</v>
      </c>
      <c r="L120" s="1042">
        <f t="shared" si="292"/>
        <v>12500000</v>
      </c>
      <c r="M120" s="1042">
        <f t="shared" si="293"/>
        <v>1562500</v>
      </c>
      <c r="N120" s="1042">
        <f t="shared" si="294"/>
        <v>1562500</v>
      </c>
      <c r="O120" s="1042">
        <f t="shared" si="295"/>
        <v>10937500</v>
      </c>
      <c r="P120" s="1042">
        <f t="shared" si="325"/>
        <v>1562500</v>
      </c>
      <c r="Q120" s="1042">
        <f t="shared" si="296"/>
        <v>3125000</v>
      </c>
      <c r="R120" s="1042">
        <f t="shared" si="297"/>
        <v>9375000</v>
      </c>
      <c r="S120" s="1042">
        <f t="shared" si="362"/>
        <v>1562500</v>
      </c>
      <c r="T120" s="1042">
        <f t="shared" si="298"/>
        <v>4687500</v>
      </c>
      <c r="U120" s="1042">
        <f t="shared" si="299"/>
        <v>7812500</v>
      </c>
      <c r="V120" s="1042">
        <f t="shared" si="327"/>
        <v>1562500</v>
      </c>
      <c r="W120" s="1042">
        <f t="shared" si="300"/>
        <v>6250000</v>
      </c>
      <c r="X120" s="1042">
        <f t="shared" si="301"/>
        <v>6250000</v>
      </c>
      <c r="Y120" s="7">
        <v>4687500</v>
      </c>
      <c r="Z120" s="7">
        <f t="shared" si="302"/>
        <v>7812500</v>
      </c>
      <c r="AA120" s="1042">
        <f t="shared" si="328"/>
        <v>1562500</v>
      </c>
      <c r="AB120" s="1042">
        <f t="shared" si="303"/>
        <v>7812500</v>
      </c>
      <c r="AC120" s="1042">
        <f t="shared" si="304"/>
        <v>4687500</v>
      </c>
      <c r="AD120" s="1042">
        <f t="shared" si="305"/>
        <v>1562500</v>
      </c>
      <c r="AE120" s="1042">
        <f t="shared" si="306"/>
        <v>9375000</v>
      </c>
      <c r="AF120" s="1042">
        <f t="shared" si="307"/>
        <v>3125000</v>
      </c>
      <c r="AG120" s="1042">
        <f t="shared" si="308"/>
        <v>1562500</v>
      </c>
      <c r="AH120" s="1042">
        <f t="shared" si="309"/>
        <v>10937500</v>
      </c>
      <c r="AI120" s="1042">
        <f t="shared" si="310"/>
        <v>1562500</v>
      </c>
      <c r="AJ120" s="1042">
        <f t="shared" si="350"/>
        <v>130208.33333333333</v>
      </c>
      <c r="AK120" s="1042">
        <f t="shared" si="351"/>
        <v>11067708.333333334</v>
      </c>
      <c r="AL120" s="1042">
        <f t="shared" si="352"/>
        <v>1432291.666666666</v>
      </c>
      <c r="AM120" s="1042">
        <f t="shared" si="282"/>
        <v>1171875</v>
      </c>
      <c r="AN120" s="1042">
        <f t="shared" si="353"/>
        <v>12109375</v>
      </c>
      <c r="AO120" s="1042">
        <f t="shared" si="354"/>
        <v>390625</v>
      </c>
      <c r="AP120" s="1042">
        <f t="shared" si="355"/>
        <v>1562500</v>
      </c>
      <c r="AQ120" s="1042">
        <f t="shared" si="183"/>
        <v>12500000</v>
      </c>
      <c r="AR120" s="1042">
        <f t="shared" si="317"/>
        <v>0</v>
      </c>
      <c r="AS120" s="1042">
        <f t="shared" si="356"/>
        <v>0</v>
      </c>
      <c r="AT120" s="1042">
        <f t="shared" si="185"/>
        <v>12500000</v>
      </c>
      <c r="AU120" s="1042">
        <f t="shared" si="357"/>
        <v>0</v>
      </c>
      <c r="AV120" s="1042">
        <f t="shared" si="358"/>
        <v>0</v>
      </c>
      <c r="AW120" s="1042">
        <f t="shared" si="359"/>
        <v>12500000</v>
      </c>
      <c r="AX120" s="1042">
        <f t="shared" si="360"/>
        <v>0</v>
      </c>
      <c r="AY120" s="179"/>
      <c r="AZ120" s="8">
        <f t="shared" si="361"/>
        <v>0</v>
      </c>
      <c r="BB120" s="221"/>
      <c r="BC120" s="179"/>
    </row>
    <row r="121" spans="1:55" s="220" customFormat="1" ht="14.25" customHeight="1">
      <c r="A121" s="17">
        <f t="shared" si="329"/>
        <v>34</v>
      </c>
      <c r="B121" s="56" t="s">
        <v>554</v>
      </c>
      <c r="C121" s="671">
        <v>40544</v>
      </c>
      <c r="D121" s="55">
        <v>8</v>
      </c>
      <c r="E121" s="6">
        <v>12500000</v>
      </c>
      <c r="F121" s="1041">
        <f t="shared" si="290"/>
        <v>1562500</v>
      </c>
      <c r="G121" s="1053"/>
      <c r="H121" s="1042">
        <f t="shared" si="322"/>
        <v>0</v>
      </c>
      <c r="I121" s="1042">
        <f t="shared" si="323"/>
        <v>12500000</v>
      </c>
      <c r="J121" s="1042"/>
      <c r="K121" s="1042">
        <f t="shared" si="291"/>
        <v>0</v>
      </c>
      <c r="L121" s="1042">
        <f t="shared" si="292"/>
        <v>12500000</v>
      </c>
      <c r="M121" s="1042">
        <f t="shared" si="293"/>
        <v>1562500</v>
      </c>
      <c r="N121" s="1042">
        <f t="shared" si="294"/>
        <v>1562500</v>
      </c>
      <c r="O121" s="1042">
        <f t="shared" si="295"/>
        <v>10937500</v>
      </c>
      <c r="P121" s="1042">
        <f t="shared" si="325"/>
        <v>1562500</v>
      </c>
      <c r="Q121" s="1042">
        <f t="shared" si="296"/>
        <v>3125000</v>
      </c>
      <c r="R121" s="1042">
        <f t="shared" si="297"/>
        <v>9375000</v>
      </c>
      <c r="S121" s="1042">
        <f t="shared" si="362"/>
        <v>1562500</v>
      </c>
      <c r="T121" s="1042">
        <f t="shared" si="298"/>
        <v>4687500</v>
      </c>
      <c r="U121" s="1042">
        <f t="shared" si="299"/>
        <v>7812500</v>
      </c>
      <c r="V121" s="1042">
        <f t="shared" si="327"/>
        <v>1562500</v>
      </c>
      <c r="W121" s="1042">
        <f t="shared" si="300"/>
        <v>6250000</v>
      </c>
      <c r="X121" s="1042">
        <f t="shared" si="301"/>
        <v>6250000</v>
      </c>
      <c r="Y121" s="7">
        <v>4687500</v>
      </c>
      <c r="Z121" s="7">
        <f t="shared" si="302"/>
        <v>7812500</v>
      </c>
      <c r="AA121" s="1042">
        <f t="shared" si="328"/>
        <v>1562500</v>
      </c>
      <c r="AB121" s="1042">
        <f t="shared" si="303"/>
        <v>7812500</v>
      </c>
      <c r="AC121" s="1042">
        <f t="shared" si="304"/>
        <v>4687500</v>
      </c>
      <c r="AD121" s="1042">
        <f t="shared" si="305"/>
        <v>1562500</v>
      </c>
      <c r="AE121" s="1042">
        <f t="shared" si="306"/>
        <v>9375000</v>
      </c>
      <c r="AF121" s="1042">
        <f t="shared" si="307"/>
        <v>3125000</v>
      </c>
      <c r="AG121" s="1042">
        <f t="shared" si="308"/>
        <v>1562500</v>
      </c>
      <c r="AH121" s="1042">
        <f t="shared" si="309"/>
        <v>10937500</v>
      </c>
      <c r="AI121" s="1042">
        <f t="shared" si="310"/>
        <v>1562500</v>
      </c>
      <c r="AJ121" s="1042">
        <f t="shared" si="350"/>
        <v>130208.33333333333</v>
      </c>
      <c r="AK121" s="1042">
        <f t="shared" si="351"/>
        <v>11067708.333333334</v>
      </c>
      <c r="AL121" s="1042">
        <f t="shared" si="352"/>
        <v>1432291.666666666</v>
      </c>
      <c r="AM121" s="1042">
        <f t="shared" si="282"/>
        <v>1171875</v>
      </c>
      <c r="AN121" s="1042">
        <f t="shared" si="353"/>
        <v>12109375</v>
      </c>
      <c r="AO121" s="1042">
        <f t="shared" si="354"/>
        <v>390625</v>
      </c>
      <c r="AP121" s="1042">
        <f t="shared" si="355"/>
        <v>1562500</v>
      </c>
      <c r="AQ121" s="1042">
        <f t="shared" si="183"/>
        <v>12500000</v>
      </c>
      <c r="AR121" s="1042">
        <f t="shared" si="317"/>
        <v>0</v>
      </c>
      <c r="AS121" s="1042">
        <f t="shared" si="356"/>
        <v>0</v>
      </c>
      <c r="AT121" s="1042">
        <f t="shared" si="185"/>
        <v>12500000</v>
      </c>
      <c r="AU121" s="1042">
        <f t="shared" si="357"/>
        <v>0</v>
      </c>
      <c r="AV121" s="1042">
        <f t="shared" si="358"/>
        <v>0</v>
      </c>
      <c r="AW121" s="1042">
        <f>AQ121+AV121</f>
        <v>12500000</v>
      </c>
      <c r="AX121" s="1042">
        <f t="shared" si="360"/>
        <v>0</v>
      </c>
      <c r="AY121" s="179"/>
      <c r="AZ121" s="8">
        <f t="shared" si="361"/>
        <v>0</v>
      </c>
      <c r="BB121" s="221"/>
      <c r="BC121" s="179"/>
    </row>
    <row r="122" spans="1:55" s="220" customFormat="1" ht="14.25" customHeight="1">
      <c r="A122" s="17">
        <f t="shared" si="329"/>
        <v>35</v>
      </c>
      <c r="B122" s="56" t="s">
        <v>555</v>
      </c>
      <c r="C122" s="671">
        <v>40544</v>
      </c>
      <c r="D122" s="55">
        <v>8</v>
      </c>
      <c r="E122" s="6">
        <v>277800000</v>
      </c>
      <c r="F122" s="1041">
        <f t="shared" si="290"/>
        <v>34725000</v>
      </c>
      <c r="G122" s="1053"/>
      <c r="H122" s="1042">
        <f t="shared" si="322"/>
        <v>0</v>
      </c>
      <c r="I122" s="1042">
        <f t="shared" si="323"/>
        <v>277800000</v>
      </c>
      <c r="J122" s="1042"/>
      <c r="K122" s="1042">
        <f t="shared" si="291"/>
        <v>0</v>
      </c>
      <c r="L122" s="1042">
        <f t="shared" si="292"/>
        <v>277800000</v>
      </c>
      <c r="M122" s="1042">
        <f t="shared" si="293"/>
        <v>34725000</v>
      </c>
      <c r="N122" s="1042">
        <f t="shared" si="294"/>
        <v>34725000</v>
      </c>
      <c r="O122" s="1042">
        <f t="shared" si="295"/>
        <v>243075000</v>
      </c>
      <c r="P122" s="1042">
        <f t="shared" si="325"/>
        <v>34725000</v>
      </c>
      <c r="Q122" s="1042">
        <f t="shared" si="296"/>
        <v>69450000</v>
      </c>
      <c r="R122" s="1042">
        <f t="shared" si="297"/>
        <v>208350000</v>
      </c>
      <c r="S122" s="1042">
        <f t="shared" si="362"/>
        <v>34725000</v>
      </c>
      <c r="T122" s="1042">
        <f t="shared" si="298"/>
        <v>104175000</v>
      </c>
      <c r="U122" s="1042">
        <f t="shared" si="299"/>
        <v>173625000</v>
      </c>
      <c r="V122" s="1042">
        <f t="shared" si="327"/>
        <v>34725000</v>
      </c>
      <c r="W122" s="1042">
        <f t="shared" si="300"/>
        <v>138900000</v>
      </c>
      <c r="X122" s="1042">
        <f t="shared" si="301"/>
        <v>138900000</v>
      </c>
      <c r="Y122" s="7">
        <v>104175000</v>
      </c>
      <c r="Z122" s="7">
        <f t="shared" si="302"/>
        <v>173625000</v>
      </c>
      <c r="AA122" s="1042">
        <f t="shared" si="328"/>
        <v>34725000</v>
      </c>
      <c r="AB122" s="1042">
        <f t="shared" si="303"/>
        <v>173625000</v>
      </c>
      <c r="AC122" s="1042">
        <f t="shared" si="304"/>
        <v>104175000</v>
      </c>
      <c r="AD122" s="1042">
        <f t="shared" si="305"/>
        <v>34725000</v>
      </c>
      <c r="AE122" s="1042">
        <f t="shared" si="306"/>
        <v>208350000</v>
      </c>
      <c r="AF122" s="1042">
        <f t="shared" si="307"/>
        <v>69450000</v>
      </c>
      <c r="AG122" s="1042">
        <f t="shared" si="308"/>
        <v>34725000</v>
      </c>
      <c r="AH122" s="1042">
        <f t="shared" si="309"/>
        <v>243075000</v>
      </c>
      <c r="AI122" s="1042">
        <f t="shared" si="310"/>
        <v>34725000</v>
      </c>
      <c r="AJ122" s="1042">
        <f t="shared" si="350"/>
        <v>2893750</v>
      </c>
      <c r="AK122" s="1042">
        <f t="shared" si="351"/>
        <v>245968750</v>
      </c>
      <c r="AL122" s="1042">
        <f t="shared" si="352"/>
        <v>31831250</v>
      </c>
      <c r="AM122" s="1042">
        <f t="shared" si="282"/>
        <v>26043750</v>
      </c>
      <c r="AN122" s="1042">
        <f t="shared" si="353"/>
        <v>269118750</v>
      </c>
      <c r="AO122" s="1042">
        <f t="shared" si="354"/>
        <v>8681250</v>
      </c>
      <c r="AP122" s="1042">
        <f t="shared" si="355"/>
        <v>34725000</v>
      </c>
      <c r="AQ122" s="1042">
        <f t="shared" si="183"/>
        <v>277800000</v>
      </c>
      <c r="AR122" s="1042">
        <f t="shared" si="317"/>
        <v>0</v>
      </c>
      <c r="AS122" s="1042">
        <f t="shared" si="356"/>
        <v>0</v>
      </c>
      <c r="AT122" s="1042">
        <f t="shared" si="185"/>
        <v>277800000</v>
      </c>
      <c r="AU122" s="1042">
        <f t="shared" si="357"/>
        <v>0</v>
      </c>
      <c r="AV122" s="1042">
        <f t="shared" si="358"/>
        <v>0</v>
      </c>
      <c r="AW122" s="1042">
        <f>AQ122+AV122</f>
        <v>277800000</v>
      </c>
      <c r="AX122" s="1042">
        <f t="shared" si="360"/>
        <v>0</v>
      </c>
      <c r="AY122" s="179"/>
      <c r="AZ122" s="8">
        <f t="shared" si="361"/>
        <v>0</v>
      </c>
      <c r="BB122" s="221"/>
      <c r="BC122" s="179"/>
    </row>
    <row r="123" spans="1:55" s="220" customFormat="1" ht="14.25" customHeight="1">
      <c r="A123" s="17">
        <f t="shared" si="329"/>
        <v>36</v>
      </c>
      <c r="B123" s="56" t="s">
        <v>556</v>
      </c>
      <c r="C123" s="671">
        <v>40544</v>
      </c>
      <c r="D123" s="55">
        <v>8</v>
      </c>
      <c r="E123" s="6">
        <v>9600000</v>
      </c>
      <c r="F123" s="1041">
        <f t="shared" ref="F123:F154" si="363">E123/D123</f>
        <v>1200000</v>
      </c>
      <c r="G123" s="1053"/>
      <c r="H123" s="1042">
        <f t="shared" si="322"/>
        <v>0</v>
      </c>
      <c r="I123" s="1042">
        <f t="shared" si="323"/>
        <v>9600000</v>
      </c>
      <c r="J123" s="1042"/>
      <c r="K123" s="1042">
        <f t="shared" si="291"/>
        <v>0</v>
      </c>
      <c r="L123" s="1042">
        <f t="shared" ref="L123:L154" si="364">E123-K123</f>
        <v>9600000</v>
      </c>
      <c r="M123" s="1042">
        <f t="shared" si="293"/>
        <v>1200000</v>
      </c>
      <c r="N123" s="1042">
        <f t="shared" si="294"/>
        <v>1200000</v>
      </c>
      <c r="O123" s="1042">
        <f t="shared" ref="O123:O154" si="365">E123-N123</f>
        <v>8400000</v>
      </c>
      <c r="P123" s="1042">
        <f t="shared" si="325"/>
        <v>1200000</v>
      </c>
      <c r="Q123" s="1042">
        <f t="shared" si="296"/>
        <v>2400000</v>
      </c>
      <c r="R123" s="1042">
        <f t="shared" ref="R123:R154" si="366">E123-Q123</f>
        <v>7200000</v>
      </c>
      <c r="S123" s="1042">
        <f t="shared" si="362"/>
        <v>1200000</v>
      </c>
      <c r="T123" s="1042">
        <f t="shared" si="298"/>
        <v>3600000</v>
      </c>
      <c r="U123" s="1042">
        <f t="shared" ref="U123:U154" si="367">E123-T123</f>
        <v>6000000</v>
      </c>
      <c r="V123" s="1042">
        <f t="shared" si="327"/>
        <v>1200000</v>
      </c>
      <c r="W123" s="1042">
        <f t="shared" si="300"/>
        <v>4800000</v>
      </c>
      <c r="X123" s="1042">
        <f t="shared" ref="X123:X154" si="368">E123-W123</f>
        <v>4800000</v>
      </c>
      <c r="Y123" s="7">
        <v>3600000</v>
      </c>
      <c r="Z123" s="7">
        <f t="shared" ref="Z123:Z154" si="369">E123-Y123</f>
        <v>6000000</v>
      </c>
      <c r="AA123" s="1042">
        <f t="shared" si="328"/>
        <v>1200000</v>
      </c>
      <c r="AB123" s="1042">
        <f t="shared" si="303"/>
        <v>6000000</v>
      </c>
      <c r="AC123" s="1042">
        <f t="shared" ref="AC123:AC154" si="370">E123-AB123</f>
        <v>3600000</v>
      </c>
      <c r="AD123" s="1042">
        <f t="shared" si="305"/>
        <v>1200000</v>
      </c>
      <c r="AE123" s="1042">
        <f t="shared" si="306"/>
        <v>7200000</v>
      </c>
      <c r="AF123" s="1042">
        <f t="shared" ref="AF123:AF154" si="371">E123-AE123</f>
        <v>2400000</v>
      </c>
      <c r="AG123" s="1042">
        <f t="shared" si="308"/>
        <v>1200000</v>
      </c>
      <c r="AH123" s="1042">
        <f t="shared" si="309"/>
        <v>8400000</v>
      </c>
      <c r="AI123" s="1042">
        <f t="shared" ref="AI123:AI154" si="372">E123-AH123</f>
        <v>1200000</v>
      </c>
      <c r="AJ123" s="1042">
        <f t="shared" si="350"/>
        <v>100000</v>
      </c>
      <c r="AK123" s="1042">
        <f t="shared" si="351"/>
        <v>8500000</v>
      </c>
      <c r="AL123" s="1042">
        <f t="shared" si="352"/>
        <v>1100000</v>
      </c>
      <c r="AM123" s="1042">
        <f t="shared" si="282"/>
        <v>900000</v>
      </c>
      <c r="AN123" s="1042">
        <f t="shared" si="353"/>
        <v>9300000</v>
      </c>
      <c r="AO123" s="1042">
        <f t="shared" si="354"/>
        <v>300000</v>
      </c>
      <c r="AP123" s="1042">
        <f t="shared" si="355"/>
        <v>1200000</v>
      </c>
      <c r="AQ123" s="1042">
        <f t="shared" si="183"/>
        <v>9600000</v>
      </c>
      <c r="AR123" s="1042">
        <f t="shared" ref="AR123:AR154" si="373">E123-AQ123</f>
        <v>0</v>
      </c>
      <c r="AS123" s="1042">
        <f t="shared" si="356"/>
        <v>0</v>
      </c>
      <c r="AT123" s="1042">
        <f t="shared" si="185"/>
        <v>9600000</v>
      </c>
      <c r="AU123" s="1042">
        <f t="shared" si="357"/>
        <v>0</v>
      </c>
      <c r="AV123" s="1042">
        <f t="shared" si="358"/>
        <v>0</v>
      </c>
      <c r="AW123" s="1042">
        <f t="shared" si="359"/>
        <v>9600000</v>
      </c>
      <c r="AX123" s="1042">
        <f t="shared" si="360"/>
        <v>0</v>
      </c>
      <c r="AY123" s="179"/>
      <c r="AZ123" s="8">
        <f t="shared" si="361"/>
        <v>0</v>
      </c>
      <c r="BB123" s="221"/>
      <c r="BC123" s="179"/>
    </row>
    <row r="124" spans="1:55" s="220" customFormat="1" ht="14.25" customHeight="1">
      <c r="A124" s="17">
        <f t="shared" si="329"/>
        <v>37</v>
      </c>
      <c r="B124" s="56" t="s">
        <v>557</v>
      </c>
      <c r="C124" s="671">
        <v>40544</v>
      </c>
      <c r="D124" s="55">
        <v>8</v>
      </c>
      <c r="E124" s="6">
        <v>45900000</v>
      </c>
      <c r="F124" s="1041">
        <f t="shared" si="363"/>
        <v>5737500</v>
      </c>
      <c r="G124" s="1053"/>
      <c r="H124" s="1042">
        <f t="shared" si="322"/>
        <v>0</v>
      </c>
      <c r="I124" s="1042">
        <f t="shared" si="323"/>
        <v>45900000</v>
      </c>
      <c r="J124" s="1042"/>
      <c r="K124" s="1042">
        <f t="shared" si="291"/>
        <v>0</v>
      </c>
      <c r="L124" s="1042">
        <f t="shared" si="364"/>
        <v>45900000</v>
      </c>
      <c r="M124" s="1042">
        <f t="shared" si="293"/>
        <v>5737500</v>
      </c>
      <c r="N124" s="1042">
        <f t="shared" si="294"/>
        <v>5737500</v>
      </c>
      <c r="O124" s="1042">
        <f t="shared" si="365"/>
        <v>40162500</v>
      </c>
      <c r="P124" s="1042">
        <f t="shared" si="325"/>
        <v>5737500</v>
      </c>
      <c r="Q124" s="1042">
        <f t="shared" si="296"/>
        <v>11475000</v>
      </c>
      <c r="R124" s="1042">
        <f t="shared" si="366"/>
        <v>34425000</v>
      </c>
      <c r="S124" s="1042">
        <f t="shared" si="362"/>
        <v>5737500</v>
      </c>
      <c r="T124" s="1042">
        <f t="shared" si="298"/>
        <v>17212500</v>
      </c>
      <c r="U124" s="1042">
        <f t="shared" si="367"/>
        <v>28687500</v>
      </c>
      <c r="V124" s="1042">
        <f t="shared" si="327"/>
        <v>5737500</v>
      </c>
      <c r="W124" s="1042">
        <f t="shared" si="300"/>
        <v>22950000</v>
      </c>
      <c r="X124" s="1042">
        <f t="shared" si="368"/>
        <v>22950000</v>
      </c>
      <c r="Y124" s="7">
        <v>17212500</v>
      </c>
      <c r="Z124" s="7">
        <f t="shared" si="369"/>
        <v>28687500</v>
      </c>
      <c r="AA124" s="1042">
        <f t="shared" si="328"/>
        <v>5737500</v>
      </c>
      <c r="AB124" s="1042">
        <f t="shared" si="303"/>
        <v>28687500</v>
      </c>
      <c r="AC124" s="1042">
        <f t="shared" si="370"/>
        <v>17212500</v>
      </c>
      <c r="AD124" s="1042">
        <f t="shared" si="305"/>
        <v>5737500</v>
      </c>
      <c r="AE124" s="1042">
        <f t="shared" si="306"/>
        <v>34425000</v>
      </c>
      <c r="AF124" s="1042">
        <f t="shared" si="371"/>
        <v>11475000</v>
      </c>
      <c r="AG124" s="1042">
        <f t="shared" si="308"/>
        <v>5737500</v>
      </c>
      <c r="AH124" s="1042">
        <f t="shared" si="309"/>
        <v>40162500</v>
      </c>
      <c r="AI124" s="1042">
        <f t="shared" si="372"/>
        <v>5737500</v>
      </c>
      <c r="AJ124" s="1042">
        <f t="shared" si="350"/>
        <v>478125</v>
      </c>
      <c r="AK124" s="1042">
        <f t="shared" si="351"/>
        <v>40640625</v>
      </c>
      <c r="AL124" s="1042">
        <f t="shared" si="352"/>
        <v>5259375</v>
      </c>
      <c r="AM124" s="1042">
        <f t="shared" si="282"/>
        <v>4303125</v>
      </c>
      <c r="AN124" s="1042">
        <f t="shared" si="353"/>
        <v>44465625</v>
      </c>
      <c r="AO124" s="1042">
        <f t="shared" si="354"/>
        <v>1434375</v>
      </c>
      <c r="AP124" s="1042">
        <f t="shared" si="355"/>
        <v>5737500</v>
      </c>
      <c r="AQ124" s="1042">
        <f t="shared" si="183"/>
        <v>45900000</v>
      </c>
      <c r="AR124" s="1042">
        <f t="shared" si="373"/>
        <v>0</v>
      </c>
      <c r="AS124" s="1042">
        <f t="shared" si="356"/>
        <v>0</v>
      </c>
      <c r="AT124" s="1042">
        <f t="shared" si="185"/>
        <v>45900000</v>
      </c>
      <c r="AU124" s="1042">
        <f t="shared" si="357"/>
        <v>0</v>
      </c>
      <c r="AV124" s="1042">
        <f t="shared" si="358"/>
        <v>0</v>
      </c>
      <c r="AW124" s="1042">
        <f t="shared" si="359"/>
        <v>45900000</v>
      </c>
      <c r="AX124" s="1042">
        <f t="shared" si="360"/>
        <v>0</v>
      </c>
      <c r="AY124" s="179"/>
      <c r="AZ124" s="8">
        <f t="shared" si="361"/>
        <v>0</v>
      </c>
      <c r="BB124" s="221"/>
      <c r="BC124" s="179"/>
    </row>
    <row r="125" spans="1:55" s="220" customFormat="1" ht="14.25" customHeight="1">
      <c r="A125" s="17">
        <f t="shared" si="329"/>
        <v>38</v>
      </c>
      <c r="B125" s="56" t="s">
        <v>558</v>
      </c>
      <c r="C125" s="671">
        <v>40544</v>
      </c>
      <c r="D125" s="55">
        <v>8</v>
      </c>
      <c r="E125" s="6">
        <v>15200000</v>
      </c>
      <c r="F125" s="1041">
        <f t="shared" si="363"/>
        <v>1900000</v>
      </c>
      <c r="G125" s="1053"/>
      <c r="H125" s="1042">
        <f t="shared" si="322"/>
        <v>0</v>
      </c>
      <c r="I125" s="1042">
        <f t="shared" si="323"/>
        <v>15200000</v>
      </c>
      <c r="J125" s="1042"/>
      <c r="K125" s="1042">
        <f t="shared" si="291"/>
        <v>0</v>
      </c>
      <c r="L125" s="1042">
        <f t="shared" si="364"/>
        <v>15200000</v>
      </c>
      <c r="M125" s="1042">
        <f t="shared" si="293"/>
        <v>1900000</v>
      </c>
      <c r="N125" s="1042">
        <f t="shared" si="294"/>
        <v>1900000</v>
      </c>
      <c r="O125" s="1042">
        <f t="shared" si="365"/>
        <v>13300000</v>
      </c>
      <c r="P125" s="1042">
        <f t="shared" si="325"/>
        <v>1900000</v>
      </c>
      <c r="Q125" s="1042">
        <f t="shared" si="296"/>
        <v>3800000</v>
      </c>
      <c r="R125" s="1042">
        <f t="shared" si="366"/>
        <v>11400000</v>
      </c>
      <c r="S125" s="1042">
        <f t="shared" si="362"/>
        <v>1900000</v>
      </c>
      <c r="T125" s="1042">
        <f t="shared" si="298"/>
        <v>5700000</v>
      </c>
      <c r="U125" s="1042">
        <f t="shared" si="367"/>
        <v>9500000</v>
      </c>
      <c r="V125" s="1042">
        <f t="shared" si="327"/>
        <v>1900000</v>
      </c>
      <c r="W125" s="1042">
        <f t="shared" si="300"/>
        <v>7600000</v>
      </c>
      <c r="X125" s="1042">
        <f t="shared" si="368"/>
        <v>7600000</v>
      </c>
      <c r="Y125" s="7">
        <v>5700000.0000000019</v>
      </c>
      <c r="Z125" s="7">
        <f t="shared" si="369"/>
        <v>9499999.9999999981</v>
      </c>
      <c r="AA125" s="1042">
        <f t="shared" si="328"/>
        <v>1900000</v>
      </c>
      <c r="AB125" s="1042">
        <f t="shared" si="303"/>
        <v>9500000</v>
      </c>
      <c r="AC125" s="1042">
        <f t="shared" si="370"/>
        <v>5700000</v>
      </c>
      <c r="AD125" s="1042">
        <f t="shared" si="305"/>
        <v>1900000</v>
      </c>
      <c r="AE125" s="1042">
        <f t="shared" si="306"/>
        <v>11400000</v>
      </c>
      <c r="AF125" s="1042">
        <f t="shared" si="371"/>
        <v>3800000</v>
      </c>
      <c r="AG125" s="1042">
        <f t="shared" si="308"/>
        <v>1900000</v>
      </c>
      <c r="AH125" s="1042">
        <f t="shared" si="309"/>
        <v>13300000</v>
      </c>
      <c r="AI125" s="1042">
        <f t="shared" si="372"/>
        <v>1900000</v>
      </c>
      <c r="AJ125" s="1042">
        <f t="shared" si="350"/>
        <v>158333.33333333334</v>
      </c>
      <c r="AK125" s="1042">
        <f t="shared" si="351"/>
        <v>13458333.333333334</v>
      </c>
      <c r="AL125" s="1042">
        <f t="shared" si="352"/>
        <v>1741666.666666666</v>
      </c>
      <c r="AM125" s="1042">
        <f t="shared" si="282"/>
        <v>1425000</v>
      </c>
      <c r="AN125" s="1042">
        <f t="shared" si="353"/>
        <v>14725000</v>
      </c>
      <c r="AO125" s="1042">
        <f t="shared" si="354"/>
        <v>475000</v>
      </c>
      <c r="AP125" s="1042">
        <f t="shared" si="355"/>
        <v>1900000</v>
      </c>
      <c r="AQ125" s="1042">
        <f t="shared" si="183"/>
        <v>15200000</v>
      </c>
      <c r="AR125" s="1042">
        <f t="shared" si="373"/>
        <v>0</v>
      </c>
      <c r="AS125" s="1042">
        <f t="shared" si="356"/>
        <v>0</v>
      </c>
      <c r="AT125" s="1042">
        <f t="shared" si="185"/>
        <v>15200000</v>
      </c>
      <c r="AU125" s="1042">
        <f t="shared" si="357"/>
        <v>0</v>
      </c>
      <c r="AV125" s="1042">
        <f t="shared" si="358"/>
        <v>0</v>
      </c>
      <c r="AW125" s="1042">
        <f t="shared" si="359"/>
        <v>15200000</v>
      </c>
      <c r="AX125" s="1042">
        <f t="shared" si="360"/>
        <v>0</v>
      </c>
      <c r="AY125" s="179"/>
      <c r="AZ125" s="8">
        <f t="shared" si="361"/>
        <v>0</v>
      </c>
      <c r="BB125" s="221"/>
      <c r="BC125" s="179"/>
    </row>
    <row r="126" spans="1:55" s="220" customFormat="1" ht="14.25" customHeight="1">
      <c r="A126" s="17">
        <f t="shared" si="329"/>
        <v>39</v>
      </c>
      <c r="B126" s="56" t="s">
        <v>559</v>
      </c>
      <c r="C126" s="671">
        <v>40544</v>
      </c>
      <c r="D126" s="55">
        <v>8</v>
      </c>
      <c r="E126" s="6">
        <v>6200000</v>
      </c>
      <c r="F126" s="1041">
        <f t="shared" si="363"/>
        <v>775000</v>
      </c>
      <c r="G126" s="1053"/>
      <c r="H126" s="1042">
        <f t="shared" si="322"/>
        <v>0</v>
      </c>
      <c r="I126" s="1042">
        <f t="shared" si="323"/>
        <v>6200000</v>
      </c>
      <c r="J126" s="1042"/>
      <c r="K126" s="1042">
        <f t="shared" si="291"/>
        <v>0</v>
      </c>
      <c r="L126" s="1042">
        <f t="shared" si="364"/>
        <v>6200000</v>
      </c>
      <c r="M126" s="1042">
        <f t="shared" si="293"/>
        <v>775000</v>
      </c>
      <c r="N126" s="1042">
        <f t="shared" si="294"/>
        <v>775000</v>
      </c>
      <c r="O126" s="1042">
        <f t="shared" si="365"/>
        <v>5425000</v>
      </c>
      <c r="P126" s="1042">
        <f t="shared" si="325"/>
        <v>775000</v>
      </c>
      <c r="Q126" s="1042">
        <f t="shared" si="296"/>
        <v>1550000</v>
      </c>
      <c r="R126" s="1042">
        <f t="shared" si="366"/>
        <v>4650000</v>
      </c>
      <c r="S126" s="1042">
        <f t="shared" si="362"/>
        <v>775000</v>
      </c>
      <c r="T126" s="1042">
        <f t="shared" si="298"/>
        <v>2325000</v>
      </c>
      <c r="U126" s="1042">
        <f t="shared" si="367"/>
        <v>3875000</v>
      </c>
      <c r="V126" s="1042">
        <f t="shared" si="327"/>
        <v>775000</v>
      </c>
      <c r="W126" s="1042">
        <f t="shared" si="300"/>
        <v>3100000</v>
      </c>
      <c r="X126" s="1042">
        <f t="shared" si="368"/>
        <v>3100000</v>
      </c>
      <c r="Y126" s="7">
        <v>2325000</v>
      </c>
      <c r="Z126" s="7">
        <f t="shared" si="369"/>
        <v>3875000</v>
      </c>
      <c r="AA126" s="1042">
        <f t="shared" si="328"/>
        <v>775000</v>
      </c>
      <c r="AB126" s="1042">
        <f t="shared" si="303"/>
        <v>3875000</v>
      </c>
      <c r="AC126" s="1042">
        <f t="shared" si="370"/>
        <v>2325000</v>
      </c>
      <c r="AD126" s="1042">
        <f t="shared" si="305"/>
        <v>775000</v>
      </c>
      <c r="AE126" s="1042">
        <f t="shared" si="306"/>
        <v>4650000</v>
      </c>
      <c r="AF126" s="1042">
        <f t="shared" si="371"/>
        <v>1550000</v>
      </c>
      <c r="AG126" s="1042">
        <f t="shared" si="308"/>
        <v>775000</v>
      </c>
      <c r="AH126" s="1042">
        <f t="shared" si="309"/>
        <v>5425000</v>
      </c>
      <c r="AI126" s="1042">
        <f t="shared" si="372"/>
        <v>775000</v>
      </c>
      <c r="AJ126" s="1042">
        <f t="shared" si="350"/>
        <v>64583.333333333336</v>
      </c>
      <c r="AK126" s="1042">
        <f t="shared" si="351"/>
        <v>5489583.333333333</v>
      </c>
      <c r="AL126" s="1042">
        <f t="shared" si="352"/>
        <v>710416.66666666698</v>
      </c>
      <c r="AM126" s="1042">
        <f t="shared" si="282"/>
        <v>581250</v>
      </c>
      <c r="AN126" s="1042">
        <f t="shared" si="353"/>
        <v>6006250</v>
      </c>
      <c r="AO126" s="1042">
        <f t="shared" si="354"/>
        <v>193750</v>
      </c>
      <c r="AP126" s="1042">
        <f t="shared" si="355"/>
        <v>775000</v>
      </c>
      <c r="AQ126" s="1042">
        <f t="shared" si="183"/>
        <v>6200000</v>
      </c>
      <c r="AR126" s="1042">
        <f t="shared" si="373"/>
        <v>0</v>
      </c>
      <c r="AS126" s="1042">
        <f t="shared" si="356"/>
        <v>0</v>
      </c>
      <c r="AT126" s="1042">
        <f t="shared" si="185"/>
        <v>6200000</v>
      </c>
      <c r="AU126" s="1042">
        <f t="shared" si="357"/>
        <v>0</v>
      </c>
      <c r="AV126" s="1042">
        <f t="shared" si="358"/>
        <v>0</v>
      </c>
      <c r="AW126" s="1042">
        <f t="shared" si="359"/>
        <v>6200000</v>
      </c>
      <c r="AX126" s="1042">
        <f t="shared" si="360"/>
        <v>0</v>
      </c>
      <c r="AY126" s="179"/>
      <c r="AZ126" s="8">
        <f t="shared" si="361"/>
        <v>0</v>
      </c>
      <c r="BB126" s="221"/>
      <c r="BC126" s="179"/>
    </row>
    <row r="127" spans="1:55" s="220" customFormat="1" ht="14.25" customHeight="1">
      <c r="A127" s="17">
        <f t="shared" si="329"/>
        <v>40</v>
      </c>
      <c r="B127" s="56" t="s">
        <v>560</v>
      </c>
      <c r="C127" s="671">
        <v>40544</v>
      </c>
      <c r="D127" s="55">
        <v>8</v>
      </c>
      <c r="E127" s="6">
        <v>19100000</v>
      </c>
      <c r="F127" s="1041">
        <f t="shared" si="363"/>
        <v>2387500</v>
      </c>
      <c r="G127" s="1053"/>
      <c r="H127" s="1042">
        <f t="shared" si="322"/>
        <v>0</v>
      </c>
      <c r="I127" s="1042">
        <f t="shared" si="323"/>
        <v>19100000</v>
      </c>
      <c r="J127" s="1042"/>
      <c r="K127" s="1042">
        <f t="shared" si="291"/>
        <v>0</v>
      </c>
      <c r="L127" s="1042">
        <f t="shared" si="364"/>
        <v>19100000</v>
      </c>
      <c r="M127" s="1042">
        <f t="shared" si="293"/>
        <v>2387500</v>
      </c>
      <c r="N127" s="1042">
        <f t="shared" si="294"/>
        <v>2387500</v>
      </c>
      <c r="O127" s="1042">
        <f t="shared" si="365"/>
        <v>16712500</v>
      </c>
      <c r="P127" s="1042">
        <f t="shared" si="325"/>
        <v>2387500</v>
      </c>
      <c r="Q127" s="1042">
        <f t="shared" si="296"/>
        <v>4775000</v>
      </c>
      <c r="R127" s="1042">
        <f t="shared" si="366"/>
        <v>14325000</v>
      </c>
      <c r="S127" s="1042">
        <f t="shared" si="362"/>
        <v>2387500</v>
      </c>
      <c r="T127" s="1042">
        <f t="shared" si="298"/>
        <v>7162500</v>
      </c>
      <c r="U127" s="1042">
        <f t="shared" si="367"/>
        <v>11937500</v>
      </c>
      <c r="V127" s="1042">
        <f t="shared" si="327"/>
        <v>2387500</v>
      </c>
      <c r="W127" s="1042">
        <f t="shared" si="300"/>
        <v>9550000</v>
      </c>
      <c r="X127" s="1042">
        <f t="shared" si="368"/>
        <v>9550000</v>
      </c>
      <c r="Y127" s="7">
        <v>7162500.0000000009</v>
      </c>
      <c r="Z127" s="7">
        <f t="shared" si="369"/>
        <v>11937500</v>
      </c>
      <c r="AA127" s="1042">
        <f t="shared" si="328"/>
        <v>2387500</v>
      </c>
      <c r="AB127" s="1042">
        <f t="shared" si="303"/>
        <v>11937500</v>
      </c>
      <c r="AC127" s="1042">
        <f t="shared" si="370"/>
        <v>7162500</v>
      </c>
      <c r="AD127" s="1042">
        <f t="shared" si="305"/>
        <v>2387500</v>
      </c>
      <c r="AE127" s="1042">
        <f t="shared" si="306"/>
        <v>14325000</v>
      </c>
      <c r="AF127" s="1042">
        <f t="shared" si="371"/>
        <v>4775000</v>
      </c>
      <c r="AG127" s="1042">
        <f t="shared" si="308"/>
        <v>2387500</v>
      </c>
      <c r="AH127" s="1042">
        <f t="shared" si="309"/>
        <v>16712500</v>
      </c>
      <c r="AI127" s="1042">
        <f t="shared" si="372"/>
        <v>2387500</v>
      </c>
      <c r="AJ127" s="1042">
        <f t="shared" si="350"/>
        <v>198958.33333333334</v>
      </c>
      <c r="AK127" s="1042">
        <f t="shared" si="351"/>
        <v>16911458.333333332</v>
      </c>
      <c r="AL127" s="1042">
        <f t="shared" si="352"/>
        <v>2188541.6666666679</v>
      </c>
      <c r="AM127" s="1042">
        <f t="shared" si="282"/>
        <v>1790625</v>
      </c>
      <c r="AN127" s="1042">
        <f t="shared" si="353"/>
        <v>18503125</v>
      </c>
      <c r="AO127" s="1042">
        <f t="shared" si="354"/>
        <v>596875</v>
      </c>
      <c r="AP127" s="1042">
        <f t="shared" si="355"/>
        <v>2387500</v>
      </c>
      <c r="AQ127" s="1042">
        <f t="shared" si="183"/>
        <v>19100000</v>
      </c>
      <c r="AR127" s="1042">
        <f t="shared" si="373"/>
        <v>0</v>
      </c>
      <c r="AS127" s="1042">
        <f t="shared" si="356"/>
        <v>0</v>
      </c>
      <c r="AT127" s="1042">
        <f t="shared" si="185"/>
        <v>19100000</v>
      </c>
      <c r="AU127" s="1042">
        <f t="shared" si="357"/>
        <v>0</v>
      </c>
      <c r="AV127" s="1042">
        <f t="shared" si="358"/>
        <v>0</v>
      </c>
      <c r="AW127" s="1042">
        <f t="shared" si="359"/>
        <v>19100000</v>
      </c>
      <c r="AX127" s="1042">
        <f t="shared" si="360"/>
        <v>0</v>
      </c>
      <c r="AY127" s="179"/>
      <c r="AZ127" s="8">
        <f t="shared" si="361"/>
        <v>0</v>
      </c>
      <c r="BB127" s="221"/>
      <c r="BC127" s="179"/>
    </row>
    <row r="128" spans="1:55" s="220" customFormat="1" ht="14.25" customHeight="1">
      <c r="A128" s="17">
        <f t="shared" si="329"/>
        <v>41</v>
      </c>
      <c r="B128" s="56" t="s">
        <v>561</v>
      </c>
      <c r="C128" s="671">
        <v>40544</v>
      </c>
      <c r="D128" s="55">
        <v>8</v>
      </c>
      <c r="E128" s="6">
        <v>10000000</v>
      </c>
      <c r="F128" s="1041">
        <f t="shared" si="363"/>
        <v>1250000</v>
      </c>
      <c r="G128" s="1053"/>
      <c r="H128" s="1042">
        <f t="shared" si="322"/>
        <v>0</v>
      </c>
      <c r="I128" s="1042">
        <f t="shared" si="323"/>
        <v>10000000</v>
      </c>
      <c r="J128" s="1042"/>
      <c r="K128" s="1042">
        <f t="shared" si="291"/>
        <v>0</v>
      </c>
      <c r="L128" s="1042">
        <f t="shared" si="364"/>
        <v>10000000</v>
      </c>
      <c r="M128" s="1042">
        <f t="shared" si="293"/>
        <v>1250000</v>
      </c>
      <c r="N128" s="1042">
        <f t="shared" si="294"/>
        <v>1250000</v>
      </c>
      <c r="O128" s="1042">
        <f t="shared" si="365"/>
        <v>8750000</v>
      </c>
      <c r="P128" s="1042">
        <f t="shared" si="325"/>
        <v>1250000</v>
      </c>
      <c r="Q128" s="1042">
        <f t="shared" si="296"/>
        <v>2500000</v>
      </c>
      <c r="R128" s="1042">
        <f t="shared" si="366"/>
        <v>7500000</v>
      </c>
      <c r="S128" s="1042">
        <f t="shared" si="362"/>
        <v>1250000</v>
      </c>
      <c r="T128" s="1042">
        <f t="shared" si="298"/>
        <v>3750000</v>
      </c>
      <c r="U128" s="1042">
        <f t="shared" si="367"/>
        <v>6250000</v>
      </c>
      <c r="V128" s="1042">
        <f t="shared" si="327"/>
        <v>1250000</v>
      </c>
      <c r="W128" s="1042">
        <f t="shared" si="300"/>
        <v>5000000</v>
      </c>
      <c r="X128" s="1042">
        <f t="shared" si="368"/>
        <v>5000000</v>
      </c>
      <c r="Y128" s="7">
        <v>3750000</v>
      </c>
      <c r="Z128" s="7">
        <f t="shared" si="369"/>
        <v>6250000</v>
      </c>
      <c r="AA128" s="1042">
        <f t="shared" si="328"/>
        <v>1250000</v>
      </c>
      <c r="AB128" s="1042">
        <f t="shared" si="303"/>
        <v>6250000</v>
      </c>
      <c r="AC128" s="1042">
        <f t="shared" si="370"/>
        <v>3750000</v>
      </c>
      <c r="AD128" s="1042">
        <f t="shared" si="305"/>
        <v>1250000</v>
      </c>
      <c r="AE128" s="1042">
        <f t="shared" si="306"/>
        <v>7500000</v>
      </c>
      <c r="AF128" s="1042">
        <f t="shared" si="371"/>
        <v>2500000</v>
      </c>
      <c r="AG128" s="1042">
        <f t="shared" si="308"/>
        <v>1250000</v>
      </c>
      <c r="AH128" s="1042">
        <f t="shared" si="309"/>
        <v>8750000</v>
      </c>
      <c r="AI128" s="1042">
        <f t="shared" si="372"/>
        <v>1250000</v>
      </c>
      <c r="AJ128" s="1042">
        <f t="shared" si="350"/>
        <v>104166.66666666667</v>
      </c>
      <c r="AK128" s="1042">
        <f t="shared" si="351"/>
        <v>8854166.666666666</v>
      </c>
      <c r="AL128" s="1042">
        <f t="shared" si="352"/>
        <v>1145833.333333334</v>
      </c>
      <c r="AM128" s="1042">
        <f t="shared" si="282"/>
        <v>937500</v>
      </c>
      <c r="AN128" s="1042">
        <f t="shared" si="353"/>
        <v>9687500</v>
      </c>
      <c r="AO128" s="1042">
        <f t="shared" si="354"/>
        <v>312500</v>
      </c>
      <c r="AP128" s="1042">
        <f t="shared" si="355"/>
        <v>1250000</v>
      </c>
      <c r="AQ128" s="1042">
        <f t="shared" si="183"/>
        <v>10000000</v>
      </c>
      <c r="AR128" s="1042">
        <f t="shared" si="373"/>
        <v>0</v>
      </c>
      <c r="AS128" s="1042">
        <f t="shared" si="356"/>
        <v>0</v>
      </c>
      <c r="AT128" s="1042">
        <f t="shared" si="185"/>
        <v>10000000</v>
      </c>
      <c r="AU128" s="1042">
        <f t="shared" si="357"/>
        <v>0</v>
      </c>
      <c r="AV128" s="1042">
        <f t="shared" si="358"/>
        <v>0</v>
      </c>
      <c r="AW128" s="1042">
        <f t="shared" si="359"/>
        <v>10000000</v>
      </c>
      <c r="AX128" s="1042">
        <f t="shared" si="360"/>
        <v>0</v>
      </c>
      <c r="AY128" s="179"/>
      <c r="AZ128" s="8">
        <f t="shared" si="361"/>
        <v>0</v>
      </c>
      <c r="BB128" s="221"/>
      <c r="BC128" s="179"/>
    </row>
    <row r="129" spans="1:55" s="220" customFormat="1" ht="14.25" customHeight="1">
      <c r="A129" s="17">
        <f t="shared" si="329"/>
        <v>42</v>
      </c>
      <c r="B129" s="56" t="s">
        <v>562</v>
      </c>
      <c r="C129" s="671">
        <v>40544</v>
      </c>
      <c r="D129" s="55">
        <v>8</v>
      </c>
      <c r="E129" s="6">
        <v>237700000</v>
      </c>
      <c r="F129" s="1041">
        <f t="shared" si="363"/>
        <v>29712500</v>
      </c>
      <c r="G129" s="1053"/>
      <c r="H129" s="1042">
        <f t="shared" si="322"/>
        <v>0</v>
      </c>
      <c r="I129" s="1042">
        <f t="shared" si="323"/>
        <v>237700000</v>
      </c>
      <c r="J129" s="1042"/>
      <c r="K129" s="1042">
        <f t="shared" si="291"/>
        <v>0</v>
      </c>
      <c r="L129" s="1042">
        <f t="shared" si="364"/>
        <v>237700000</v>
      </c>
      <c r="M129" s="1042">
        <f t="shared" si="293"/>
        <v>29712500</v>
      </c>
      <c r="N129" s="1042">
        <f t="shared" si="294"/>
        <v>29712500</v>
      </c>
      <c r="O129" s="1042">
        <f t="shared" si="365"/>
        <v>207987500</v>
      </c>
      <c r="P129" s="1042">
        <f t="shared" si="325"/>
        <v>29712500</v>
      </c>
      <c r="Q129" s="1042">
        <f t="shared" si="296"/>
        <v>59425000</v>
      </c>
      <c r="R129" s="1042">
        <f t="shared" si="366"/>
        <v>178275000</v>
      </c>
      <c r="S129" s="1042">
        <f t="shared" si="362"/>
        <v>29712500</v>
      </c>
      <c r="T129" s="1042">
        <f t="shared" si="298"/>
        <v>89137500</v>
      </c>
      <c r="U129" s="1042">
        <f t="shared" si="367"/>
        <v>148562500</v>
      </c>
      <c r="V129" s="1042">
        <f t="shared" si="327"/>
        <v>29712500</v>
      </c>
      <c r="W129" s="1042">
        <f t="shared" si="300"/>
        <v>118850000</v>
      </c>
      <c r="X129" s="1042">
        <f t="shared" si="368"/>
        <v>118850000</v>
      </c>
      <c r="Y129" s="7">
        <v>89137499.99999997</v>
      </c>
      <c r="Z129" s="7">
        <f t="shared" si="369"/>
        <v>148562500.00000003</v>
      </c>
      <c r="AA129" s="1042">
        <f t="shared" si="328"/>
        <v>29712500</v>
      </c>
      <c r="AB129" s="1042">
        <f t="shared" si="303"/>
        <v>148562500</v>
      </c>
      <c r="AC129" s="1042">
        <f t="shared" si="370"/>
        <v>89137500</v>
      </c>
      <c r="AD129" s="1042">
        <f t="shared" si="305"/>
        <v>29712500</v>
      </c>
      <c r="AE129" s="1042">
        <f t="shared" si="306"/>
        <v>178275000</v>
      </c>
      <c r="AF129" s="1042">
        <f t="shared" si="371"/>
        <v>59425000</v>
      </c>
      <c r="AG129" s="1042">
        <f t="shared" si="308"/>
        <v>29712500</v>
      </c>
      <c r="AH129" s="1042">
        <f t="shared" si="309"/>
        <v>207987500</v>
      </c>
      <c r="AI129" s="1042">
        <f t="shared" si="372"/>
        <v>29712500</v>
      </c>
      <c r="AJ129" s="1042">
        <f t="shared" si="350"/>
        <v>2476041.6666666665</v>
      </c>
      <c r="AK129" s="1042">
        <f t="shared" si="351"/>
        <v>210463541.66666666</v>
      </c>
      <c r="AL129" s="1042">
        <f t="shared" si="352"/>
        <v>27236458.333333343</v>
      </c>
      <c r="AM129" s="1042">
        <f t="shared" si="282"/>
        <v>22284375</v>
      </c>
      <c r="AN129" s="1042">
        <f t="shared" si="353"/>
        <v>230271875</v>
      </c>
      <c r="AO129" s="1042">
        <f t="shared" si="354"/>
        <v>7428125</v>
      </c>
      <c r="AP129" s="1042">
        <f t="shared" si="355"/>
        <v>29712500</v>
      </c>
      <c r="AQ129" s="1042">
        <f t="shared" si="183"/>
        <v>237700000</v>
      </c>
      <c r="AR129" s="1042">
        <f t="shared" si="373"/>
        <v>0</v>
      </c>
      <c r="AS129" s="1042">
        <f t="shared" si="356"/>
        <v>0</v>
      </c>
      <c r="AT129" s="1042">
        <f t="shared" si="185"/>
        <v>237700000</v>
      </c>
      <c r="AU129" s="1042">
        <f t="shared" si="357"/>
        <v>0</v>
      </c>
      <c r="AV129" s="1042">
        <f t="shared" si="358"/>
        <v>0</v>
      </c>
      <c r="AW129" s="1042">
        <f t="shared" si="359"/>
        <v>237700000</v>
      </c>
      <c r="AX129" s="1042">
        <f t="shared" si="360"/>
        <v>0</v>
      </c>
      <c r="AY129" s="179"/>
      <c r="AZ129" s="8">
        <f t="shared" si="361"/>
        <v>0</v>
      </c>
      <c r="BB129" s="221"/>
      <c r="BC129" s="179"/>
    </row>
    <row r="130" spans="1:55" s="220" customFormat="1" ht="14.25" customHeight="1">
      <c r="A130" s="17">
        <f t="shared" si="329"/>
        <v>43</v>
      </c>
      <c r="B130" s="56" t="s">
        <v>563</v>
      </c>
      <c r="C130" s="671">
        <v>40544</v>
      </c>
      <c r="D130" s="55">
        <v>8</v>
      </c>
      <c r="E130" s="6">
        <v>20900000</v>
      </c>
      <c r="F130" s="1041">
        <f t="shared" si="363"/>
        <v>2612500</v>
      </c>
      <c r="G130" s="1053"/>
      <c r="H130" s="1042">
        <f t="shared" si="322"/>
        <v>0</v>
      </c>
      <c r="I130" s="1042">
        <f t="shared" si="323"/>
        <v>20900000</v>
      </c>
      <c r="J130" s="1042"/>
      <c r="K130" s="1042">
        <f t="shared" si="291"/>
        <v>0</v>
      </c>
      <c r="L130" s="1042">
        <f t="shared" si="364"/>
        <v>20900000</v>
      </c>
      <c r="M130" s="1042">
        <f t="shared" si="293"/>
        <v>2612500</v>
      </c>
      <c r="N130" s="1042">
        <f t="shared" si="294"/>
        <v>2612500</v>
      </c>
      <c r="O130" s="1042">
        <f t="shared" si="365"/>
        <v>18287500</v>
      </c>
      <c r="P130" s="1042">
        <f t="shared" si="325"/>
        <v>2612500</v>
      </c>
      <c r="Q130" s="1042">
        <f t="shared" si="296"/>
        <v>5225000</v>
      </c>
      <c r="R130" s="1042">
        <f t="shared" si="366"/>
        <v>15675000</v>
      </c>
      <c r="S130" s="1042">
        <f t="shared" si="362"/>
        <v>2612500</v>
      </c>
      <c r="T130" s="1042">
        <f t="shared" si="298"/>
        <v>7837500</v>
      </c>
      <c r="U130" s="1042">
        <f t="shared" si="367"/>
        <v>13062500</v>
      </c>
      <c r="V130" s="1042">
        <f t="shared" si="327"/>
        <v>2612500</v>
      </c>
      <c r="W130" s="1042">
        <f t="shared" si="300"/>
        <v>10450000</v>
      </c>
      <c r="X130" s="1042">
        <f t="shared" si="368"/>
        <v>10450000</v>
      </c>
      <c r="Y130" s="7">
        <v>7837500</v>
      </c>
      <c r="Z130" s="7">
        <f t="shared" si="369"/>
        <v>13062500</v>
      </c>
      <c r="AA130" s="1042">
        <f t="shared" si="328"/>
        <v>2612500</v>
      </c>
      <c r="AB130" s="1042">
        <f t="shared" si="303"/>
        <v>13062500</v>
      </c>
      <c r="AC130" s="1042">
        <f t="shared" si="370"/>
        <v>7837500</v>
      </c>
      <c r="AD130" s="1042">
        <f t="shared" si="305"/>
        <v>2612500</v>
      </c>
      <c r="AE130" s="1042">
        <f t="shared" si="306"/>
        <v>15675000</v>
      </c>
      <c r="AF130" s="1042">
        <f t="shared" si="371"/>
        <v>5225000</v>
      </c>
      <c r="AG130" s="1042">
        <f t="shared" si="308"/>
        <v>2612500</v>
      </c>
      <c r="AH130" s="1042">
        <f t="shared" si="309"/>
        <v>18287500</v>
      </c>
      <c r="AI130" s="1042">
        <f t="shared" si="372"/>
        <v>2612500</v>
      </c>
      <c r="AJ130" s="1042">
        <f t="shared" si="350"/>
        <v>217708.33333333334</v>
      </c>
      <c r="AK130" s="1042">
        <f t="shared" si="351"/>
        <v>18505208.333333332</v>
      </c>
      <c r="AL130" s="1042">
        <f t="shared" si="352"/>
        <v>2394791.6666666679</v>
      </c>
      <c r="AM130" s="1042">
        <f t="shared" si="282"/>
        <v>1959375</v>
      </c>
      <c r="AN130" s="1042">
        <f t="shared" si="353"/>
        <v>20246875</v>
      </c>
      <c r="AO130" s="1042">
        <f t="shared" si="354"/>
        <v>653125</v>
      </c>
      <c r="AP130" s="1042">
        <f t="shared" si="355"/>
        <v>2612500</v>
      </c>
      <c r="AQ130" s="1042">
        <f t="shared" si="183"/>
        <v>20900000</v>
      </c>
      <c r="AR130" s="1042">
        <f t="shared" si="373"/>
        <v>0</v>
      </c>
      <c r="AS130" s="1042">
        <f t="shared" si="356"/>
        <v>0</v>
      </c>
      <c r="AT130" s="1042">
        <f t="shared" si="185"/>
        <v>20900000</v>
      </c>
      <c r="AU130" s="1042">
        <f t="shared" si="357"/>
        <v>0</v>
      </c>
      <c r="AV130" s="1042">
        <f t="shared" si="358"/>
        <v>0</v>
      </c>
      <c r="AW130" s="1042">
        <f t="shared" si="359"/>
        <v>20900000</v>
      </c>
      <c r="AX130" s="1042">
        <f t="shared" si="360"/>
        <v>0</v>
      </c>
      <c r="AY130" s="179"/>
      <c r="AZ130" s="8">
        <f t="shared" si="361"/>
        <v>0</v>
      </c>
      <c r="BB130" s="221"/>
      <c r="BC130" s="179"/>
    </row>
    <row r="131" spans="1:55" s="220" customFormat="1" ht="14.25" customHeight="1">
      <c r="A131" s="17">
        <f t="shared" si="329"/>
        <v>44</v>
      </c>
      <c r="B131" s="56" t="s">
        <v>564</v>
      </c>
      <c r="C131" s="671">
        <v>40544</v>
      </c>
      <c r="D131" s="55">
        <v>8</v>
      </c>
      <c r="E131" s="6">
        <v>17100000</v>
      </c>
      <c r="F131" s="1041">
        <f t="shared" si="363"/>
        <v>2137500</v>
      </c>
      <c r="G131" s="1053"/>
      <c r="H131" s="1042">
        <f t="shared" si="322"/>
        <v>0</v>
      </c>
      <c r="I131" s="1042">
        <f t="shared" si="323"/>
        <v>17100000</v>
      </c>
      <c r="J131" s="1042"/>
      <c r="K131" s="1042">
        <f t="shared" si="291"/>
        <v>0</v>
      </c>
      <c r="L131" s="1042">
        <f t="shared" si="364"/>
        <v>17100000</v>
      </c>
      <c r="M131" s="1042">
        <f t="shared" si="293"/>
        <v>2137500</v>
      </c>
      <c r="N131" s="1042">
        <f t="shared" si="294"/>
        <v>2137500</v>
      </c>
      <c r="O131" s="1042">
        <f t="shared" si="365"/>
        <v>14962500</v>
      </c>
      <c r="P131" s="1042">
        <f t="shared" si="325"/>
        <v>2137500</v>
      </c>
      <c r="Q131" s="1042">
        <f t="shared" si="296"/>
        <v>4275000</v>
      </c>
      <c r="R131" s="1042">
        <f t="shared" si="366"/>
        <v>12825000</v>
      </c>
      <c r="S131" s="1042">
        <f t="shared" si="362"/>
        <v>2137500</v>
      </c>
      <c r="T131" s="1042">
        <f t="shared" si="298"/>
        <v>6412500</v>
      </c>
      <c r="U131" s="1042">
        <f t="shared" si="367"/>
        <v>10687500</v>
      </c>
      <c r="V131" s="1042">
        <f t="shared" si="327"/>
        <v>2137500</v>
      </c>
      <c r="W131" s="1042">
        <f t="shared" si="300"/>
        <v>8550000</v>
      </c>
      <c r="X131" s="1042">
        <f t="shared" si="368"/>
        <v>8550000</v>
      </c>
      <c r="Y131" s="7">
        <v>6412500</v>
      </c>
      <c r="Z131" s="7">
        <f t="shared" si="369"/>
        <v>10687500</v>
      </c>
      <c r="AA131" s="1042">
        <f t="shared" si="328"/>
        <v>2137500</v>
      </c>
      <c r="AB131" s="1042">
        <f t="shared" si="303"/>
        <v>10687500</v>
      </c>
      <c r="AC131" s="1042">
        <f t="shared" si="370"/>
        <v>6412500</v>
      </c>
      <c r="AD131" s="1042">
        <f t="shared" si="305"/>
        <v>2137500</v>
      </c>
      <c r="AE131" s="1042">
        <f t="shared" si="306"/>
        <v>12825000</v>
      </c>
      <c r="AF131" s="1042">
        <f t="shared" si="371"/>
        <v>4275000</v>
      </c>
      <c r="AG131" s="1042">
        <f t="shared" si="308"/>
        <v>2137500</v>
      </c>
      <c r="AH131" s="1042">
        <f t="shared" si="309"/>
        <v>14962500</v>
      </c>
      <c r="AI131" s="1042">
        <f t="shared" si="372"/>
        <v>2137500</v>
      </c>
      <c r="AJ131" s="1042">
        <f t="shared" si="350"/>
        <v>178125</v>
      </c>
      <c r="AK131" s="1042">
        <f t="shared" si="351"/>
        <v>15140625</v>
      </c>
      <c r="AL131" s="1042">
        <f t="shared" si="352"/>
        <v>1959375</v>
      </c>
      <c r="AM131" s="1042">
        <f t="shared" si="282"/>
        <v>1603125</v>
      </c>
      <c r="AN131" s="1042">
        <f t="shared" si="353"/>
        <v>16565625</v>
      </c>
      <c r="AO131" s="1042">
        <f t="shared" si="354"/>
        <v>534375</v>
      </c>
      <c r="AP131" s="1042">
        <f t="shared" si="355"/>
        <v>2137500</v>
      </c>
      <c r="AQ131" s="1042">
        <f t="shared" si="183"/>
        <v>17100000</v>
      </c>
      <c r="AR131" s="1042">
        <f t="shared" si="373"/>
        <v>0</v>
      </c>
      <c r="AS131" s="1042">
        <f t="shared" si="356"/>
        <v>0</v>
      </c>
      <c r="AT131" s="1042">
        <f t="shared" si="185"/>
        <v>17100000</v>
      </c>
      <c r="AU131" s="1042">
        <f t="shared" si="357"/>
        <v>0</v>
      </c>
      <c r="AV131" s="1042">
        <f t="shared" si="358"/>
        <v>0</v>
      </c>
      <c r="AW131" s="1042">
        <f t="shared" si="359"/>
        <v>17100000</v>
      </c>
      <c r="AX131" s="1042">
        <f t="shared" si="360"/>
        <v>0</v>
      </c>
      <c r="AY131" s="179"/>
      <c r="AZ131" s="8">
        <f t="shared" si="361"/>
        <v>0</v>
      </c>
      <c r="BB131" s="221"/>
      <c r="BC131" s="179"/>
    </row>
    <row r="132" spans="1:55" s="220" customFormat="1" ht="14.25" customHeight="1">
      <c r="A132" s="17">
        <f t="shared" si="329"/>
        <v>45</v>
      </c>
      <c r="B132" s="56" t="s">
        <v>565</v>
      </c>
      <c r="C132" s="671">
        <v>40544</v>
      </c>
      <c r="D132" s="55">
        <v>8</v>
      </c>
      <c r="E132" s="6">
        <v>18100000</v>
      </c>
      <c r="F132" s="1041">
        <f t="shared" si="363"/>
        <v>2262500</v>
      </c>
      <c r="G132" s="1053"/>
      <c r="H132" s="1042">
        <f t="shared" si="322"/>
        <v>0</v>
      </c>
      <c r="I132" s="1042">
        <f t="shared" si="323"/>
        <v>18100000</v>
      </c>
      <c r="J132" s="1042"/>
      <c r="K132" s="1042">
        <f t="shared" si="291"/>
        <v>0</v>
      </c>
      <c r="L132" s="1042">
        <f t="shared" si="364"/>
        <v>18100000</v>
      </c>
      <c r="M132" s="1042">
        <f t="shared" si="293"/>
        <v>2262500</v>
      </c>
      <c r="N132" s="1042">
        <f t="shared" si="294"/>
        <v>2262500</v>
      </c>
      <c r="O132" s="1042">
        <f t="shared" si="365"/>
        <v>15837500</v>
      </c>
      <c r="P132" s="1042">
        <f t="shared" si="325"/>
        <v>2262500</v>
      </c>
      <c r="Q132" s="1042">
        <f t="shared" si="296"/>
        <v>4525000</v>
      </c>
      <c r="R132" s="1042">
        <f t="shared" si="366"/>
        <v>13575000</v>
      </c>
      <c r="S132" s="1042">
        <f t="shared" si="362"/>
        <v>2262500</v>
      </c>
      <c r="T132" s="1042">
        <f t="shared" si="298"/>
        <v>6787500</v>
      </c>
      <c r="U132" s="1042">
        <f t="shared" si="367"/>
        <v>11312500</v>
      </c>
      <c r="V132" s="1042">
        <f t="shared" si="327"/>
        <v>2262500</v>
      </c>
      <c r="W132" s="1042">
        <f t="shared" si="300"/>
        <v>9050000</v>
      </c>
      <c r="X132" s="1042">
        <f t="shared" si="368"/>
        <v>9050000</v>
      </c>
      <c r="Y132" s="7">
        <v>6787499.9999999991</v>
      </c>
      <c r="Z132" s="7">
        <f t="shared" si="369"/>
        <v>11312500</v>
      </c>
      <c r="AA132" s="1042">
        <f t="shared" si="328"/>
        <v>2262500</v>
      </c>
      <c r="AB132" s="1042">
        <f t="shared" si="303"/>
        <v>11312500</v>
      </c>
      <c r="AC132" s="1042">
        <f t="shared" si="370"/>
        <v>6787500</v>
      </c>
      <c r="AD132" s="1042">
        <f t="shared" si="305"/>
        <v>2262500</v>
      </c>
      <c r="AE132" s="1042">
        <f t="shared" si="306"/>
        <v>13575000</v>
      </c>
      <c r="AF132" s="1042">
        <f t="shared" si="371"/>
        <v>4525000</v>
      </c>
      <c r="AG132" s="1042">
        <f t="shared" si="308"/>
        <v>2262500</v>
      </c>
      <c r="AH132" s="1042">
        <f t="shared" si="309"/>
        <v>15837500</v>
      </c>
      <c r="AI132" s="1042">
        <f t="shared" si="372"/>
        <v>2262500</v>
      </c>
      <c r="AJ132" s="1042">
        <f t="shared" si="350"/>
        <v>188541.66666666666</v>
      </c>
      <c r="AK132" s="1042">
        <f t="shared" si="351"/>
        <v>16026041.666666666</v>
      </c>
      <c r="AL132" s="1042">
        <f t="shared" si="352"/>
        <v>2073958.333333334</v>
      </c>
      <c r="AM132" s="1042">
        <f t="shared" si="282"/>
        <v>1696875</v>
      </c>
      <c r="AN132" s="1042">
        <f t="shared" si="353"/>
        <v>17534375</v>
      </c>
      <c r="AO132" s="1042">
        <f t="shared" si="354"/>
        <v>565625</v>
      </c>
      <c r="AP132" s="1042">
        <f t="shared" si="355"/>
        <v>2262500</v>
      </c>
      <c r="AQ132" s="1042">
        <f t="shared" si="183"/>
        <v>18100000</v>
      </c>
      <c r="AR132" s="1042">
        <f t="shared" si="373"/>
        <v>0</v>
      </c>
      <c r="AS132" s="1042">
        <f t="shared" si="356"/>
        <v>0</v>
      </c>
      <c r="AT132" s="1042">
        <f t="shared" si="185"/>
        <v>18100000</v>
      </c>
      <c r="AU132" s="1042">
        <f t="shared" si="357"/>
        <v>0</v>
      </c>
      <c r="AV132" s="1042">
        <f t="shared" si="358"/>
        <v>0</v>
      </c>
      <c r="AW132" s="1042">
        <f t="shared" si="359"/>
        <v>18100000</v>
      </c>
      <c r="AX132" s="1042">
        <f t="shared" si="360"/>
        <v>0</v>
      </c>
      <c r="AY132" s="179"/>
      <c r="AZ132" s="8">
        <f t="shared" si="361"/>
        <v>0</v>
      </c>
      <c r="BB132" s="221"/>
      <c r="BC132" s="179"/>
    </row>
    <row r="133" spans="1:55" s="220" customFormat="1" ht="14.25" customHeight="1">
      <c r="A133" s="17">
        <f t="shared" si="329"/>
        <v>46</v>
      </c>
      <c r="B133" s="56" t="s">
        <v>566</v>
      </c>
      <c r="C133" s="671">
        <v>40544</v>
      </c>
      <c r="D133" s="55">
        <v>8</v>
      </c>
      <c r="E133" s="6">
        <v>36500000</v>
      </c>
      <c r="F133" s="1041">
        <f t="shared" si="363"/>
        <v>4562500</v>
      </c>
      <c r="G133" s="1053"/>
      <c r="H133" s="1042">
        <f t="shared" si="322"/>
        <v>0</v>
      </c>
      <c r="I133" s="1042">
        <f t="shared" si="323"/>
        <v>36500000</v>
      </c>
      <c r="J133" s="1042"/>
      <c r="K133" s="1042">
        <f t="shared" si="291"/>
        <v>0</v>
      </c>
      <c r="L133" s="1042">
        <f t="shared" si="364"/>
        <v>36500000</v>
      </c>
      <c r="M133" s="1042">
        <f t="shared" si="293"/>
        <v>4562500</v>
      </c>
      <c r="N133" s="1042">
        <f t="shared" si="294"/>
        <v>4562500</v>
      </c>
      <c r="O133" s="1042">
        <f t="shared" si="365"/>
        <v>31937500</v>
      </c>
      <c r="P133" s="1042">
        <f t="shared" si="325"/>
        <v>4562500</v>
      </c>
      <c r="Q133" s="1042">
        <f t="shared" si="296"/>
        <v>9125000</v>
      </c>
      <c r="R133" s="1042">
        <f t="shared" si="366"/>
        <v>27375000</v>
      </c>
      <c r="S133" s="1042">
        <f t="shared" si="362"/>
        <v>4562500</v>
      </c>
      <c r="T133" s="1042">
        <f t="shared" si="298"/>
        <v>13687500</v>
      </c>
      <c r="U133" s="1042">
        <f t="shared" si="367"/>
        <v>22812500</v>
      </c>
      <c r="V133" s="1042">
        <f t="shared" si="327"/>
        <v>4562500</v>
      </c>
      <c r="W133" s="1042">
        <f t="shared" si="300"/>
        <v>18250000</v>
      </c>
      <c r="X133" s="1042">
        <f t="shared" si="368"/>
        <v>18250000</v>
      </c>
      <c r="Y133" s="7">
        <v>13687499.999999998</v>
      </c>
      <c r="Z133" s="7">
        <f t="shared" si="369"/>
        <v>22812500</v>
      </c>
      <c r="AA133" s="1042">
        <f t="shared" si="328"/>
        <v>4562500</v>
      </c>
      <c r="AB133" s="1042">
        <f t="shared" si="303"/>
        <v>22812500</v>
      </c>
      <c r="AC133" s="1042">
        <f t="shared" si="370"/>
        <v>13687500</v>
      </c>
      <c r="AD133" s="1042">
        <f t="shared" si="305"/>
        <v>4562500</v>
      </c>
      <c r="AE133" s="1042">
        <f t="shared" si="306"/>
        <v>27375000</v>
      </c>
      <c r="AF133" s="1042">
        <f t="shared" si="371"/>
        <v>9125000</v>
      </c>
      <c r="AG133" s="1042">
        <f t="shared" si="308"/>
        <v>4562500</v>
      </c>
      <c r="AH133" s="1042">
        <f t="shared" si="309"/>
        <v>31937500</v>
      </c>
      <c r="AI133" s="1042">
        <f t="shared" si="372"/>
        <v>4562500</v>
      </c>
      <c r="AJ133" s="1042">
        <f t="shared" si="350"/>
        <v>380208.33333333331</v>
      </c>
      <c r="AK133" s="1042">
        <f t="shared" si="351"/>
        <v>32317708.333333332</v>
      </c>
      <c r="AL133" s="1042">
        <f t="shared" si="352"/>
        <v>4182291.6666666679</v>
      </c>
      <c r="AM133" s="1042">
        <f t="shared" si="282"/>
        <v>3421875</v>
      </c>
      <c r="AN133" s="1042">
        <f t="shared" si="353"/>
        <v>35359375</v>
      </c>
      <c r="AO133" s="1042">
        <f t="shared" si="354"/>
        <v>1140625</v>
      </c>
      <c r="AP133" s="1042">
        <f t="shared" si="355"/>
        <v>4562500</v>
      </c>
      <c r="AQ133" s="1042">
        <f t="shared" si="183"/>
        <v>36500000</v>
      </c>
      <c r="AR133" s="1042">
        <f t="shared" si="373"/>
        <v>0</v>
      </c>
      <c r="AS133" s="1042">
        <f t="shared" si="356"/>
        <v>0</v>
      </c>
      <c r="AT133" s="1042">
        <f t="shared" si="185"/>
        <v>36500000</v>
      </c>
      <c r="AU133" s="1042">
        <f t="shared" si="357"/>
        <v>0</v>
      </c>
      <c r="AV133" s="1042">
        <f t="shared" ref="AV133:AV154" si="374">(F133/12)*0</f>
        <v>0</v>
      </c>
      <c r="AW133" s="1042">
        <f t="shared" si="359"/>
        <v>36500000</v>
      </c>
      <c r="AX133" s="1042">
        <f t="shared" si="360"/>
        <v>0</v>
      </c>
      <c r="AY133" s="179"/>
      <c r="AZ133" s="8">
        <f t="shared" si="361"/>
        <v>0</v>
      </c>
      <c r="BB133" s="221"/>
      <c r="BC133" s="179"/>
    </row>
    <row r="134" spans="1:55" s="220" customFormat="1" ht="14.25" customHeight="1">
      <c r="A134" s="17">
        <f t="shared" si="329"/>
        <v>47</v>
      </c>
      <c r="B134" s="56" t="s">
        <v>567</v>
      </c>
      <c r="C134" s="671">
        <v>40544</v>
      </c>
      <c r="D134" s="55">
        <v>8</v>
      </c>
      <c r="E134" s="6">
        <v>7400000</v>
      </c>
      <c r="F134" s="1041">
        <f t="shared" si="363"/>
        <v>925000</v>
      </c>
      <c r="G134" s="1053"/>
      <c r="H134" s="1042">
        <f t="shared" si="322"/>
        <v>0</v>
      </c>
      <c r="I134" s="1042">
        <f t="shared" si="323"/>
        <v>7400000</v>
      </c>
      <c r="J134" s="1042"/>
      <c r="K134" s="1042">
        <f t="shared" si="291"/>
        <v>0</v>
      </c>
      <c r="L134" s="1042">
        <f t="shared" si="364"/>
        <v>7400000</v>
      </c>
      <c r="M134" s="1042">
        <f t="shared" si="293"/>
        <v>925000</v>
      </c>
      <c r="N134" s="1042">
        <f t="shared" si="294"/>
        <v>925000</v>
      </c>
      <c r="O134" s="1042">
        <f t="shared" si="365"/>
        <v>6475000</v>
      </c>
      <c r="P134" s="1042">
        <f t="shared" si="325"/>
        <v>925000</v>
      </c>
      <c r="Q134" s="1042">
        <f t="shared" si="296"/>
        <v>1850000</v>
      </c>
      <c r="R134" s="1042">
        <f t="shared" si="366"/>
        <v>5550000</v>
      </c>
      <c r="S134" s="1042">
        <f t="shared" si="362"/>
        <v>925000</v>
      </c>
      <c r="T134" s="1042">
        <f t="shared" si="298"/>
        <v>2775000</v>
      </c>
      <c r="U134" s="1042">
        <f t="shared" si="367"/>
        <v>4625000</v>
      </c>
      <c r="V134" s="1042">
        <f t="shared" si="327"/>
        <v>925000</v>
      </c>
      <c r="W134" s="1042">
        <f t="shared" si="300"/>
        <v>3700000</v>
      </c>
      <c r="X134" s="1042">
        <f t="shared" si="368"/>
        <v>3700000</v>
      </c>
      <c r="Y134" s="7">
        <v>2774999.9999999991</v>
      </c>
      <c r="Z134" s="7">
        <f t="shared" si="369"/>
        <v>4625000.0000000009</v>
      </c>
      <c r="AA134" s="1042">
        <f t="shared" si="328"/>
        <v>925000</v>
      </c>
      <c r="AB134" s="1042">
        <f t="shared" si="303"/>
        <v>4625000</v>
      </c>
      <c r="AC134" s="1042">
        <f t="shared" si="370"/>
        <v>2775000</v>
      </c>
      <c r="AD134" s="1042">
        <f t="shared" si="305"/>
        <v>925000</v>
      </c>
      <c r="AE134" s="1042">
        <f t="shared" si="306"/>
        <v>5550000</v>
      </c>
      <c r="AF134" s="1042">
        <f t="shared" si="371"/>
        <v>1850000</v>
      </c>
      <c r="AG134" s="1042">
        <f t="shared" si="308"/>
        <v>925000</v>
      </c>
      <c r="AH134" s="1042">
        <f t="shared" si="309"/>
        <v>6475000</v>
      </c>
      <c r="AI134" s="1042">
        <f t="shared" si="372"/>
        <v>925000</v>
      </c>
      <c r="AJ134" s="1042">
        <f t="shared" si="350"/>
        <v>77083.333333333328</v>
      </c>
      <c r="AK134" s="1042">
        <f t="shared" si="351"/>
        <v>6552083.333333333</v>
      </c>
      <c r="AL134" s="1042">
        <f t="shared" si="352"/>
        <v>847916.66666666698</v>
      </c>
      <c r="AM134" s="1042">
        <f t="shared" si="282"/>
        <v>693750</v>
      </c>
      <c r="AN134" s="1042">
        <f t="shared" si="353"/>
        <v>7168750</v>
      </c>
      <c r="AO134" s="1042">
        <f t="shared" si="354"/>
        <v>231250</v>
      </c>
      <c r="AP134" s="1042">
        <f t="shared" si="355"/>
        <v>925000</v>
      </c>
      <c r="AQ134" s="1042">
        <f t="shared" ref="AQ134:AQ197" si="375">AH134+AP134</f>
        <v>7400000</v>
      </c>
      <c r="AR134" s="1042">
        <f t="shared" si="373"/>
        <v>0</v>
      </c>
      <c r="AS134" s="1042">
        <f t="shared" si="356"/>
        <v>0</v>
      </c>
      <c r="AT134" s="1042">
        <f t="shared" si="185"/>
        <v>7400000</v>
      </c>
      <c r="AU134" s="1042">
        <f t="shared" si="357"/>
        <v>0</v>
      </c>
      <c r="AV134" s="1042">
        <f t="shared" si="374"/>
        <v>0</v>
      </c>
      <c r="AW134" s="1042">
        <f t="shared" si="359"/>
        <v>7400000</v>
      </c>
      <c r="AX134" s="1042">
        <f t="shared" si="360"/>
        <v>0</v>
      </c>
      <c r="AY134" s="179"/>
      <c r="AZ134" s="8">
        <f t="shared" si="361"/>
        <v>0</v>
      </c>
      <c r="BB134" s="221"/>
      <c r="BC134" s="179"/>
    </row>
    <row r="135" spans="1:55" s="220" customFormat="1" ht="14.25" customHeight="1">
      <c r="A135" s="17">
        <f t="shared" si="329"/>
        <v>48</v>
      </c>
      <c r="B135" s="56" t="s">
        <v>568</v>
      </c>
      <c r="C135" s="671">
        <v>40544</v>
      </c>
      <c r="D135" s="55">
        <v>8</v>
      </c>
      <c r="E135" s="6">
        <v>6900000</v>
      </c>
      <c r="F135" s="1041">
        <f t="shared" si="363"/>
        <v>862500</v>
      </c>
      <c r="G135" s="1053"/>
      <c r="H135" s="1042">
        <f t="shared" si="322"/>
        <v>0</v>
      </c>
      <c r="I135" s="1042">
        <f t="shared" si="323"/>
        <v>6900000</v>
      </c>
      <c r="J135" s="1042"/>
      <c r="K135" s="1042">
        <f t="shared" si="291"/>
        <v>0</v>
      </c>
      <c r="L135" s="1042">
        <f t="shared" si="364"/>
        <v>6900000</v>
      </c>
      <c r="M135" s="1042">
        <f t="shared" si="293"/>
        <v>862500</v>
      </c>
      <c r="N135" s="1042">
        <f t="shared" si="294"/>
        <v>862500</v>
      </c>
      <c r="O135" s="1042">
        <f t="shared" si="365"/>
        <v>6037500</v>
      </c>
      <c r="P135" s="1042">
        <f t="shared" si="325"/>
        <v>862500</v>
      </c>
      <c r="Q135" s="1042">
        <f t="shared" si="296"/>
        <v>1725000</v>
      </c>
      <c r="R135" s="1042">
        <f t="shared" si="366"/>
        <v>5175000</v>
      </c>
      <c r="S135" s="1042">
        <f t="shared" si="362"/>
        <v>862500</v>
      </c>
      <c r="T135" s="1042">
        <f t="shared" si="298"/>
        <v>2587500</v>
      </c>
      <c r="U135" s="1042">
        <f t="shared" si="367"/>
        <v>4312500</v>
      </c>
      <c r="V135" s="1042">
        <f t="shared" si="327"/>
        <v>862500</v>
      </c>
      <c r="W135" s="1042">
        <f t="shared" si="300"/>
        <v>3450000</v>
      </c>
      <c r="X135" s="1042">
        <f t="shared" si="368"/>
        <v>3450000</v>
      </c>
      <c r="Y135" s="7">
        <v>2587500</v>
      </c>
      <c r="Z135" s="7">
        <f t="shared" si="369"/>
        <v>4312500</v>
      </c>
      <c r="AA135" s="1042">
        <f t="shared" si="328"/>
        <v>862500</v>
      </c>
      <c r="AB135" s="1042">
        <f t="shared" si="303"/>
        <v>4312500</v>
      </c>
      <c r="AC135" s="1042">
        <f t="shared" si="370"/>
        <v>2587500</v>
      </c>
      <c r="AD135" s="1042">
        <f t="shared" si="305"/>
        <v>862500</v>
      </c>
      <c r="AE135" s="1042">
        <f t="shared" si="306"/>
        <v>5175000</v>
      </c>
      <c r="AF135" s="1042">
        <f t="shared" si="371"/>
        <v>1725000</v>
      </c>
      <c r="AG135" s="1042">
        <f t="shared" si="308"/>
        <v>862500</v>
      </c>
      <c r="AH135" s="1042">
        <f t="shared" si="309"/>
        <v>6037500</v>
      </c>
      <c r="AI135" s="1042">
        <f t="shared" si="372"/>
        <v>862500</v>
      </c>
      <c r="AJ135" s="1042">
        <f t="shared" si="350"/>
        <v>71875</v>
      </c>
      <c r="AK135" s="1042">
        <f t="shared" si="351"/>
        <v>6109375</v>
      </c>
      <c r="AL135" s="1042">
        <f t="shared" si="352"/>
        <v>790625</v>
      </c>
      <c r="AM135" s="1042">
        <f t="shared" si="282"/>
        <v>646875</v>
      </c>
      <c r="AN135" s="1042">
        <f t="shared" si="353"/>
        <v>6684375</v>
      </c>
      <c r="AO135" s="1042">
        <f t="shared" si="354"/>
        <v>215625</v>
      </c>
      <c r="AP135" s="1042">
        <f t="shared" si="355"/>
        <v>862500</v>
      </c>
      <c r="AQ135" s="1042">
        <f t="shared" si="375"/>
        <v>6900000</v>
      </c>
      <c r="AR135" s="1042">
        <f t="shared" si="373"/>
        <v>0</v>
      </c>
      <c r="AS135" s="1042">
        <f t="shared" si="356"/>
        <v>0</v>
      </c>
      <c r="AT135" s="1042">
        <f t="shared" ref="AT135:AT198" si="376">AQ135+AS135</f>
        <v>6900000</v>
      </c>
      <c r="AU135" s="1042">
        <f t="shared" si="357"/>
        <v>0</v>
      </c>
      <c r="AV135" s="1042">
        <f t="shared" si="374"/>
        <v>0</v>
      </c>
      <c r="AW135" s="1042">
        <f t="shared" si="359"/>
        <v>6900000</v>
      </c>
      <c r="AX135" s="1042">
        <f t="shared" si="360"/>
        <v>0</v>
      </c>
      <c r="AY135" s="179"/>
      <c r="AZ135" s="8">
        <f t="shared" si="361"/>
        <v>0</v>
      </c>
      <c r="BB135" s="221"/>
      <c r="BC135" s="179"/>
    </row>
    <row r="136" spans="1:55" s="220" customFormat="1" ht="14.25" customHeight="1">
      <c r="A136" s="17">
        <f t="shared" si="329"/>
        <v>49</v>
      </c>
      <c r="B136" s="56" t="s">
        <v>569</v>
      </c>
      <c r="C136" s="671">
        <v>40544</v>
      </c>
      <c r="D136" s="55">
        <v>8</v>
      </c>
      <c r="E136" s="6">
        <v>41500000</v>
      </c>
      <c r="F136" s="1041">
        <f t="shared" si="363"/>
        <v>5187500</v>
      </c>
      <c r="G136" s="1053"/>
      <c r="H136" s="1042">
        <f t="shared" si="322"/>
        <v>0</v>
      </c>
      <c r="I136" s="1042">
        <f t="shared" si="323"/>
        <v>41500000</v>
      </c>
      <c r="J136" s="1042"/>
      <c r="K136" s="1042">
        <f t="shared" si="291"/>
        <v>0</v>
      </c>
      <c r="L136" s="1042">
        <f t="shared" si="364"/>
        <v>41500000</v>
      </c>
      <c r="M136" s="1042">
        <f t="shared" si="293"/>
        <v>5187500</v>
      </c>
      <c r="N136" s="1042">
        <f t="shared" si="294"/>
        <v>5187500</v>
      </c>
      <c r="O136" s="1042">
        <f t="shared" si="365"/>
        <v>36312500</v>
      </c>
      <c r="P136" s="1042">
        <f t="shared" si="325"/>
        <v>5187500</v>
      </c>
      <c r="Q136" s="1042">
        <f t="shared" si="296"/>
        <v>10375000</v>
      </c>
      <c r="R136" s="1042">
        <f t="shared" si="366"/>
        <v>31125000</v>
      </c>
      <c r="S136" s="1042">
        <f t="shared" si="362"/>
        <v>5187500</v>
      </c>
      <c r="T136" s="1042">
        <f t="shared" si="298"/>
        <v>15562500</v>
      </c>
      <c r="U136" s="1042">
        <f t="shared" si="367"/>
        <v>25937500</v>
      </c>
      <c r="V136" s="1042">
        <f t="shared" si="327"/>
        <v>5187500</v>
      </c>
      <c r="W136" s="1042">
        <f t="shared" si="300"/>
        <v>20750000</v>
      </c>
      <c r="X136" s="1042">
        <f t="shared" si="368"/>
        <v>20750000</v>
      </c>
      <c r="Y136" s="7">
        <v>15562500</v>
      </c>
      <c r="Z136" s="7">
        <f t="shared" si="369"/>
        <v>25937500</v>
      </c>
      <c r="AA136" s="1042">
        <f t="shared" si="328"/>
        <v>5187500</v>
      </c>
      <c r="AB136" s="1042">
        <f t="shared" si="303"/>
        <v>25937500</v>
      </c>
      <c r="AC136" s="1042">
        <f t="shared" si="370"/>
        <v>15562500</v>
      </c>
      <c r="AD136" s="1042">
        <f t="shared" si="305"/>
        <v>5187500</v>
      </c>
      <c r="AE136" s="1042">
        <f t="shared" si="306"/>
        <v>31125000</v>
      </c>
      <c r="AF136" s="1042">
        <f t="shared" si="371"/>
        <v>10375000</v>
      </c>
      <c r="AG136" s="1042">
        <f t="shared" si="308"/>
        <v>5187500</v>
      </c>
      <c r="AH136" s="1042">
        <f t="shared" si="309"/>
        <v>36312500</v>
      </c>
      <c r="AI136" s="1042">
        <f t="shared" si="372"/>
        <v>5187500</v>
      </c>
      <c r="AJ136" s="1042">
        <f t="shared" si="350"/>
        <v>432291.66666666669</v>
      </c>
      <c r="AK136" s="1042">
        <f t="shared" si="351"/>
        <v>36744791.666666664</v>
      </c>
      <c r="AL136" s="1042">
        <f t="shared" si="352"/>
        <v>4755208.3333333358</v>
      </c>
      <c r="AM136" s="1042">
        <f t="shared" si="282"/>
        <v>3890625</v>
      </c>
      <c r="AN136" s="1042">
        <f t="shared" si="353"/>
        <v>40203125</v>
      </c>
      <c r="AO136" s="1042">
        <f t="shared" si="354"/>
        <v>1296875</v>
      </c>
      <c r="AP136" s="1042">
        <f t="shared" si="355"/>
        <v>5187500</v>
      </c>
      <c r="AQ136" s="1042">
        <f t="shared" si="375"/>
        <v>41500000</v>
      </c>
      <c r="AR136" s="1042">
        <f t="shared" si="373"/>
        <v>0</v>
      </c>
      <c r="AS136" s="1042">
        <f t="shared" si="356"/>
        <v>0</v>
      </c>
      <c r="AT136" s="1042">
        <f t="shared" si="376"/>
        <v>41500000</v>
      </c>
      <c r="AU136" s="1042">
        <f t="shared" si="357"/>
        <v>0</v>
      </c>
      <c r="AV136" s="1042">
        <f t="shared" si="374"/>
        <v>0</v>
      </c>
      <c r="AW136" s="1042">
        <f t="shared" si="359"/>
        <v>41500000</v>
      </c>
      <c r="AX136" s="1042">
        <f t="shared" si="360"/>
        <v>0</v>
      </c>
      <c r="AY136" s="179"/>
      <c r="AZ136" s="8">
        <f t="shared" si="361"/>
        <v>0</v>
      </c>
      <c r="BB136" s="221"/>
      <c r="BC136" s="179"/>
    </row>
    <row r="137" spans="1:55" s="220" customFormat="1" ht="14.25" customHeight="1">
      <c r="A137" s="17">
        <f>A110+1</f>
        <v>22</v>
      </c>
      <c r="B137" s="56" t="s">
        <v>543</v>
      </c>
      <c r="C137" s="671">
        <v>40544</v>
      </c>
      <c r="D137" s="55">
        <v>8</v>
      </c>
      <c r="E137" s="6">
        <v>4500000</v>
      </c>
      <c r="F137" s="1041">
        <f t="shared" si="363"/>
        <v>562500</v>
      </c>
      <c r="G137" s="1053"/>
      <c r="H137" s="1042">
        <f t="shared" si="322"/>
        <v>0</v>
      </c>
      <c r="I137" s="1042">
        <f t="shared" si="323"/>
        <v>4500000</v>
      </c>
      <c r="J137" s="1042"/>
      <c r="K137" s="1042">
        <f t="shared" si="291"/>
        <v>0</v>
      </c>
      <c r="L137" s="1042">
        <f t="shared" si="364"/>
        <v>4500000</v>
      </c>
      <c r="M137" s="1042">
        <f t="shared" si="293"/>
        <v>562500</v>
      </c>
      <c r="N137" s="1042">
        <f t="shared" si="294"/>
        <v>562500</v>
      </c>
      <c r="O137" s="1042">
        <f t="shared" si="365"/>
        <v>3937500</v>
      </c>
      <c r="P137" s="1042">
        <f t="shared" si="325"/>
        <v>562500</v>
      </c>
      <c r="Q137" s="1042">
        <f t="shared" si="296"/>
        <v>1125000</v>
      </c>
      <c r="R137" s="1042">
        <f t="shared" si="366"/>
        <v>3375000</v>
      </c>
      <c r="S137" s="1042">
        <f t="shared" si="362"/>
        <v>562500</v>
      </c>
      <c r="T137" s="1042">
        <f t="shared" si="298"/>
        <v>1687500</v>
      </c>
      <c r="U137" s="1042">
        <f t="shared" si="367"/>
        <v>2812500</v>
      </c>
      <c r="V137" s="1042">
        <f t="shared" si="327"/>
        <v>562500</v>
      </c>
      <c r="W137" s="1042">
        <f t="shared" si="300"/>
        <v>2250000</v>
      </c>
      <c r="X137" s="1042">
        <f t="shared" si="368"/>
        <v>2250000</v>
      </c>
      <c r="Y137" s="7">
        <v>1687500</v>
      </c>
      <c r="Z137" s="7">
        <f t="shared" si="369"/>
        <v>2812500</v>
      </c>
      <c r="AA137" s="1042">
        <f t="shared" si="328"/>
        <v>562500</v>
      </c>
      <c r="AB137" s="1042">
        <f t="shared" si="303"/>
        <v>2812500</v>
      </c>
      <c r="AC137" s="1042">
        <f t="shared" si="370"/>
        <v>1687500</v>
      </c>
      <c r="AD137" s="1042">
        <f t="shared" si="305"/>
        <v>562500</v>
      </c>
      <c r="AE137" s="1042">
        <f t="shared" si="306"/>
        <v>3375000</v>
      </c>
      <c r="AF137" s="1042">
        <f t="shared" si="371"/>
        <v>1125000</v>
      </c>
      <c r="AG137" s="1042">
        <f t="shared" si="308"/>
        <v>562500</v>
      </c>
      <c r="AH137" s="1042">
        <f t="shared" si="309"/>
        <v>3937500</v>
      </c>
      <c r="AI137" s="1042">
        <f t="shared" si="372"/>
        <v>562500</v>
      </c>
      <c r="AJ137" s="1042">
        <f t="shared" si="350"/>
        <v>46875</v>
      </c>
      <c r="AK137" s="1042">
        <f t="shared" si="351"/>
        <v>3984375</v>
      </c>
      <c r="AL137" s="1042">
        <f t="shared" si="352"/>
        <v>515625</v>
      </c>
      <c r="AM137" s="1042">
        <f t="shared" si="282"/>
        <v>421875</v>
      </c>
      <c r="AN137" s="1042">
        <f t="shared" si="353"/>
        <v>4359375</v>
      </c>
      <c r="AO137" s="1042">
        <f t="shared" si="354"/>
        <v>140625</v>
      </c>
      <c r="AP137" s="1042">
        <f t="shared" si="355"/>
        <v>562500</v>
      </c>
      <c r="AQ137" s="1042">
        <f t="shared" si="375"/>
        <v>4500000</v>
      </c>
      <c r="AR137" s="1042">
        <f t="shared" si="373"/>
        <v>0</v>
      </c>
      <c r="AS137" s="1042">
        <f t="shared" si="356"/>
        <v>0</v>
      </c>
      <c r="AT137" s="1042">
        <f t="shared" si="376"/>
        <v>4500000</v>
      </c>
      <c r="AU137" s="1042">
        <f t="shared" si="357"/>
        <v>0</v>
      </c>
      <c r="AV137" s="1042">
        <f t="shared" si="374"/>
        <v>0</v>
      </c>
      <c r="AW137" s="1042">
        <f t="shared" si="359"/>
        <v>4500000</v>
      </c>
      <c r="AX137" s="1042">
        <f t="shared" si="360"/>
        <v>0</v>
      </c>
      <c r="AY137" s="179"/>
      <c r="AZ137" s="8">
        <f t="shared" si="361"/>
        <v>0</v>
      </c>
      <c r="BB137" s="221"/>
      <c r="BC137" s="179"/>
    </row>
    <row r="138" spans="1:55" s="220" customFormat="1" ht="14.25" customHeight="1">
      <c r="A138" s="17">
        <f>A149+1</f>
        <v>52</v>
      </c>
      <c r="B138" s="56" t="s">
        <v>570</v>
      </c>
      <c r="C138" s="671">
        <v>40544</v>
      </c>
      <c r="D138" s="55">
        <v>8</v>
      </c>
      <c r="E138" s="6">
        <v>32600000</v>
      </c>
      <c r="F138" s="1041">
        <f t="shared" si="363"/>
        <v>4075000</v>
      </c>
      <c r="G138" s="1053"/>
      <c r="H138" s="1042">
        <f t="shared" si="322"/>
        <v>0</v>
      </c>
      <c r="I138" s="1042">
        <f t="shared" si="323"/>
        <v>32600000</v>
      </c>
      <c r="J138" s="1042"/>
      <c r="K138" s="1042">
        <f t="shared" si="291"/>
        <v>0</v>
      </c>
      <c r="L138" s="1042">
        <f t="shared" si="364"/>
        <v>32600000</v>
      </c>
      <c r="M138" s="1042">
        <f t="shared" si="293"/>
        <v>4075000</v>
      </c>
      <c r="N138" s="1042">
        <f t="shared" si="294"/>
        <v>4075000</v>
      </c>
      <c r="O138" s="1042">
        <f t="shared" si="365"/>
        <v>28525000</v>
      </c>
      <c r="P138" s="1042">
        <f t="shared" si="325"/>
        <v>4075000</v>
      </c>
      <c r="Q138" s="1042">
        <f t="shared" si="296"/>
        <v>8150000</v>
      </c>
      <c r="R138" s="1042">
        <f t="shared" si="366"/>
        <v>24450000</v>
      </c>
      <c r="S138" s="1042">
        <f t="shared" si="362"/>
        <v>4075000</v>
      </c>
      <c r="T138" s="1042">
        <f t="shared" si="298"/>
        <v>12225000</v>
      </c>
      <c r="U138" s="1042">
        <f t="shared" si="367"/>
        <v>20375000</v>
      </c>
      <c r="V138" s="1042">
        <f t="shared" si="327"/>
        <v>4075000</v>
      </c>
      <c r="W138" s="1042">
        <f t="shared" si="300"/>
        <v>16300000</v>
      </c>
      <c r="X138" s="1042">
        <f t="shared" si="368"/>
        <v>16300000</v>
      </c>
      <c r="Y138" s="7">
        <v>12224999.999999996</v>
      </c>
      <c r="Z138" s="7">
        <f t="shared" si="369"/>
        <v>20375000.000000004</v>
      </c>
      <c r="AA138" s="1042">
        <f t="shared" si="328"/>
        <v>4075000</v>
      </c>
      <c r="AB138" s="1042">
        <f t="shared" si="303"/>
        <v>20375000</v>
      </c>
      <c r="AC138" s="1042">
        <f t="shared" si="370"/>
        <v>12225000</v>
      </c>
      <c r="AD138" s="1042">
        <f t="shared" si="305"/>
        <v>4075000</v>
      </c>
      <c r="AE138" s="1042">
        <f t="shared" si="306"/>
        <v>24450000</v>
      </c>
      <c r="AF138" s="1042">
        <f t="shared" si="371"/>
        <v>8150000</v>
      </c>
      <c r="AG138" s="1042">
        <f t="shared" si="308"/>
        <v>4075000</v>
      </c>
      <c r="AH138" s="1042">
        <f t="shared" si="309"/>
        <v>28525000</v>
      </c>
      <c r="AI138" s="1042">
        <f t="shared" si="372"/>
        <v>4075000</v>
      </c>
      <c r="AJ138" s="1042">
        <f t="shared" si="350"/>
        <v>339583.33333333331</v>
      </c>
      <c r="AK138" s="1042">
        <f t="shared" si="351"/>
        <v>28864583.333333332</v>
      </c>
      <c r="AL138" s="1042">
        <f t="shared" si="352"/>
        <v>3735416.6666666679</v>
      </c>
      <c r="AM138" s="1042">
        <f t="shared" si="282"/>
        <v>3056250</v>
      </c>
      <c r="AN138" s="1042">
        <f t="shared" si="353"/>
        <v>31581250</v>
      </c>
      <c r="AO138" s="1042">
        <f t="shared" si="354"/>
        <v>1018750</v>
      </c>
      <c r="AP138" s="1042">
        <f t="shared" si="355"/>
        <v>4075000</v>
      </c>
      <c r="AQ138" s="1042">
        <f t="shared" si="375"/>
        <v>32600000</v>
      </c>
      <c r="AR138" s="1042">
        <f t="shared" si="373"/>
        <v>0</v>
      </c>
      <c r="AS138" s="1042">
        <f t="shared" si="356"/>
        <v>0</v>
      </c>
      <c r="AT138" s="1042">
        <f t="shared" si="376"/>
        <v>32600000</v>
      </c>
      <c r="AU138" s="1042">
        <f t="shared" si="357"/>
        <v>0</v>
      </c>
      <c r="AV138" s="1042">
        <f t="shared" si="374"/>
        <v>0</v>
      </c>
      <c r="AW138" s="1042">
        <f t="shared" si="359"/>
        <v>32600000</v>
      </c>
      <c r="AX138" s="1042">
        <f t="shared" si="360"/>
        <v>0</v>
      </c>
      <c r="AY138" s="179"/>
      <c r="AZ138" s="8">
        <f t="shared" si="361"/>
        <v>0</v>
      </c>
      <c r="BB138" s="221"/>
      <c r="BC138" s="179"/>
    </row>
    <row r="139" spans="1:55" s="220" customFormat="1" ht="14.25" customHeight="1">
      <c r="A139" s="17">
        <f t="shared" si="329"/>
        <v>53</v>
      </c>
      <c r="B139" s="56" t="s">
        <v>571</v>
      </c>
      <c r="C139" s="671">
        <v>40544</v>
      </c>
      <c r="D139" s="55">
        <v>8</v>
      </c>
      <c r="E139" s="6">
        <v>19800000</v>
      </c>
      <c r="F139" s="1041">
        <f t="shared" si="363"/>
        <v>2475000</v>
      </c>
      <c r="G139" s="1053"/>
      <c r="H139" s="1042">
        <f t="shared" si="322"/>
        <v>0</v>
      </c>
      <c r="I139" s="1042">
        <f t="shared" si="323"/>
        <v>19800000</v>
      </c>
      <c r="J139" s="1042"/>
      <c r="K139" s="1042">
        <f t="shared" si="291"/>
        <v>0</v>
      </c>
      <c r="L139" s="1042">
        <f t="shared" si="364"/>
        <v>19800000</v>
      </c>
      <c r="M139" s="1042">
        <f t="shared" si="293"/>
        <v>2475000</v>
      </c>
      <c r="N139" s="1042">
        <f t="shared" si="294"/>
        <v>2475000</v>
      </c>
      <c r="O139" s="1042">
        <f t="shared" si="365"/>
        <v>17325000</v>
      </c>
      <c r="P139" s="1042">
        <f t="shared" si="325"/>
        <v>2475000</v>
      </c>
      <c r="Q139" s="1042">
        <f t="shared" si="296"/>
        <v>4950000</v>
      </c>
      <c r="R139" s="1042">
        <f t="shared" si="366"/>
        <v>14850000</v>
      </c>
      <c r="S139" s="1042">
        <f t="shared" si="362"/>
        <v>2475000</v>
      </c>
      <c r="T139" s="1042">
        <f t="shared" si="298"/>
        <v>7425000</v>
      </c>
      <c r="U139" s="1042">
        <f t="shared" si="367"/>
        <v>12375000</v>
      </c>
      <c r="V139" s="1042">
        <f t="shared" si="327"/>
        <v>2475000</v>
      </c>
      <c r="W139" s="1042">
        <f t="shared" si="300"/>
        <v>9900000</v>
      </c>
      <c r="X139" s="1042">
        <f t="shared" si="368"/>
        <v>9900000</v>
      </c>
      <c r="Y139" s="7">
        <v>7425000</v>
      </c>
      <c r="Z139" s="7">
        <f t="shared" si="369"/>
        <v>12375000</v>
      </c>
      <c r="AA139" s="1042">
        <f t="shared" si="328"/>
        <v>2475000</v>
      </c>
      <c r="AB139" s="1042">
        <f t="shared" si="303"/>
        <v>12375000</v>
      </c>
      <c r="AC139" s="1042">
        <f t="shared" si="370"/>
        <v>7425000</v>
      </c>
      <c r="AD139" s="1042">
        <f t="shared" si="305"/>
        <v>2475000</v>
      </c>
      <c r="AE139" s="1042">
        <f t="shared" si="306"/>
        <v>14850000</v>
      </c>
      <c r="AF139" s="1042">
        <f t="shared" si="371"/>
        <v>4950000</v>
      </c>
      <c r="AG139" s="1042">
        <f t="shared" si="308"/>
        <v>2475000</v>
      </c>
      <c r="AH139" s="1042">
        <f t="shared" si="309"/>
        <v>17325000</v>
      </c>
      <c r="AI139" s="1042">
        <f t="shared" si="372"/>
        <v>2475000</v>
      </c>
      <c r="AJ139" s="1042">
        <f t="shared" si="350"/>
        <v>206250</v>
      </c>
      <c r="AK139" s="1042">
        <f t="shared" si="351"/>
        <v>17531250</v>
      </c>
      <c r="AL139" s="1042">
        <f t="shared" si="352"/>
        <v>2268750</v>
      </c>
      <c r="AM139" s="1042">
        <f t="shared" si="282"/>
        <v>1856250</v>
      </c>
      <c r="AN139" s="1042">
        <f t="shared" si="353"/>
        <v>19181250</v>
      </c>
      <c r="AO139" s="1042">
        <f t="shared" si="354"/>
        <v>618750</v>
      </c>
      <c r="AP139" s="1042">
        <f t="shared" si="355"/>
        <v>2475000</v>
      </c>
      <c r="AQ139" s="1042">
        <f t="shared" si="375"/>
        <v>19800000</v>
      </c>
      <c r="AR139" s="1042">
        <f t="shared" si="373"/>
        <v>0</v>
      </c>
      <c r="AS139" s="1042">
        <f t="shared" si="356"/>
        <v>0</v>
      </c>
      <c r="AT139" s="1042">
        <f t="shared" si="376"/>
        <v>19800000</v>
      </c>
      <c r="AU139" s="1042">
        <f t="shared" si="357"/>
        <v>0</v>
      </c>
      <c r="AV139" s="1042">
        <f t="shared" si="374"/>
        <v>0</v>
      </c>
      <c r="AW139" s="1042">
        <f t="shared" si="359"/>
        <v>19800000</v>
      </c>
      <c r="AX139" s="1042">
        <f t="shared" si="360"/>
        <v>0</v>
      </c>
      <c r="AY139" s="179"/>
      <c r="AZ139" s="8">
        <f t="shared" si="361"/>
        <v>0</v>
      </c>
      <c r="BB139" s="221"/>
      <c r="BC139" s="179"/>
    </row>
    <row r="140" spans="1:55" s="220" customFormat="1" ht="14.25" customHeight="1">
      <c r="A140" s="17">
        <f t="shared" si="329"/>
        <v>54</v>
      </c>
      <c r="B140" s="56" t="s">
        <v>572</v>
      </c>
      <c r="C140" s="671">
        <v>40909</v>
      </c>
      <c r="D140" s="55">
        <v>8</v>
      </c>
      <c r="E140" s="6">
        <v>21700000</v>
      </c>
      <c r="F140" s="1041">
        <f t="shared" si="363"/>
        <v>2712500</v>
      </c>
      <c r="G140" s="1053"/>
      <c r="H140" s="1042">
        <f t="shared" si="322"/>
        <v>0</v>
      </c>
      <c r="I140" s="1042">
        <f t="shared" si="323"/>
        <v>21700000</v>
      </c>
      <c r="J140" s="1042"/>
      <c r="K140" s="1042">
        <f t="shared" si="291"/>
        <v>0</v>
      </c>
      <c r="L140" s="1042">
        <f t="shared" si="364"/>
        <v>21700000</v>
      </c>
      <c r="M140" s="1042">
        <f t="shared" si="293"/>
        <v>2712500</v>
      </c>
      <c r="N140" s="1042">
        <f t="shared" si="294"/>
        <v>2712500</v>
      </c>
      <c r="O140" s="1042">
        <f t="shared" si="365"/>
        <v>18987500</v>
      </c>
      <c r="P140" s="1042">
        <f t="shared" si="325"/>
        <v>2712500</v>
      </c>
      <c r="Q140" s="1042">
        <f t="shared" si="296"/>
        <v>5425000</v>
      </c>
      <c r="R140" s="1042">
        <f t="shared" si="366"/>
        <v>16275000</v>
      </c>
      <c r="S140" s="1042">
        <f t="shared" si="362"/>
        <v>2712500</v>
      </c>
      <c r="T140" s="1042">
        <f t="shared" si="298"/>
        <v>8137500</v>
      </c>
      <c r="U140" s="1042">
        <f t="shared" si="367"/>
        <v>13562500</v>
      </c>
      <c r="V140" s="1042">
        <f t="shared" ref="V140:V171" si="377">(F140/12)*12</f>
        <v>2712500</v>
      </c>
      <c r="W140" s="1042">
        <f t="shared" si="300"/>
        <v>10850000</v>
      </c>
      <c r="X140" s="1042">
        <f t="shared" si="368"/>
        <v>10850000</v>
      </c>
      <c r="Y140" s="7">
        <v>8137500.0000000009</v>
      </c>
      <c r="Z140" s="7">
        <f t="shared" si="369"/>
        <v>13562500</v>
      </c>
      <c r="AA140" s="1042">
        <f t="shared" si="328"/>
        <v>2712500</v>
      </c>
      <c r="AB140" s="1042">
        <f t="shared" si="303"/>
        <v>13562500</v>
      </c>
      <c r="AC140" s="1042">
        <f t="shared" si="370"/>
        <v>8137500</v>
      </c>
      <c r="AD140" s="1042">
        <f t="shared" si="305"/>
        <v>2712500</v>
      </c>
      <c r="AE140" s="1042">
        <f t="shared" si="306"/>
        <v>16275000</v>
      </c>
      <c r="AF140" s="1042">
        <f t="shared" si="371"/>
        <v>5425000</v>
      </c>
      <c r="AG140" s="1042">
        <f t="shared" si="308"/>
        <v>2712500</v>
      </c>
      <c r="AH140" s="1042">
        <f t="shared" si="309"/>
        <v>18987500</v>
      </c>
      <c r="AI140" s="1042">
        <f t="shared" si="372"/>
        <v>2712500</v>
      </c>
      <c r="AJ140" s="1042">
        <f t="shared" si="350"/>
        <v>226041.66666666666</v>
      </c>
      <c r="AK140" s="1042">
        <f t="shared" si="351"/>
        <v>19213541.666666668</v>
      </c>
      <c r="AL140" s="1042">
        <f t="shared" si="352"/>
        <v>2486458.3333333321</v>
      </c>
      <c r="AM140" s="1042">
        <f t="shared" si="282"/>
        <v>2034375</v>
      </c>
      <c r="AN140" s="1042">
        <f t="shared" si="353"/>
        <v>21021875</v>
      </c>
      <c r="AO140" s="1042">
        <f t="shared" si="354"/>
        <v>678125</v>
      </c>
      <c r="AP140" s="1042">
        <f t="shared" si="355"/>
        <v>2712500</v>
      </c>
      <c r="AQ140" s="1042">
        <f t="shared" si="375"/>
        <v>21700000</v>
      </c>
      <c r="AR140" s="1042">
        <f t="shared" si="373"/>
        <v>0</v>
      </c>
      <c r="AS140" s="1042">
        <f t="shared" si="356"/>
        <v>0</v>
      </c>
      <c r="AT140" s="1042">
        <f t="shared" si="376"/>
        <v>21700000</v>
      </c>
      <c r="AU140" s="1042">
        <f t="shared" si="357"/>
        <v>0</v>
      </c>
      <c r="AV140" s="1042">
        <f t="shared" si="374"/>
        <v>0</v>
      </c>
      <c r="AW140" s="1042">
        <f t="shared" si="359"/>
        <v>21700000</v>
      </c>
      <c r="AX140" s="1042">
        <f t="shared" si="360"/>
        <v>0</v>
      </c>
      <c r="AY140" s="179"/>
      <c r="AZ140" s="8">
        <f t="shared" si="361"/>
        <v>0</v>
      </c>
      <c r="BB140" s="221"/>
      <c r="BC140" s="179"/>
    </row>
    <row r="141" spans="1:55" s="220" customFormat="1" ht="14.25" customHeight="1">
      <c r="A141" s="17">
        <f t="shared" si="329"/>
        <v>55</v>
      </c>
      <c r="B141" s="56" t="s">
        <v>573</v>
      </c>
      <c r="C141" s="671">
        <v>40909</v>
      </c>
      <c r="D141" s="55">
        <v>8</v>
      </c>
      <c r="E141" s="6">
        <v>262100000</v>
      </c>
      <c r="F141" s="1041">
        <f t="shared" si="363"/>
        <v>32762500</v>
      </c>
      <c r="G141" s="1053"/>
      <c r="H141" s="1042">
        <f t="shared" si="322"/>
        <v>0</v>
      </c>
      <c r="I141" s="1042">
        <f t="shared" si="323"/>
        <v>262100000</v>
      </c>
      <c r="J141" s="1042"/>
      <c r="K141" s="1042">
        <f t="shared" si="291"/>
        <v>0</v>
      </c>
      <c r="L141" s="1042">
        <f t="shared" si="364"/>
        <v>262100000</v>
      </c>
      <c r="M141" s="1042">
        <f t="shared" si="293"/>
        <v>32762500</v>
      </c>
      <c r="N141" s="1042">
        <f t="shared" si="294"/>
        <v>32762500</v>
      </c>
      <c r="O141" s="1042">
        <f t="shared" si="365"/>
        <v>229337500</v>
      </c>
      <c r="P141" s="1042">
        <f t="shared" si="325"/>
        <v>32762500</v>
      </c>
      <c r="Q141" s="1042">
        <f t="shared" si="296"/>
        <v>65525000</v>
      </c>
      <c r="R141" s="1042">
        <f t="shared" si="366"/>
        <v>196575000</v>
      </c>
      <c r="S141" s="1042">
        <f t="shared" si="362"/>
        <v>32762500</v>
      </c>
      <c r="T141" s="1042">
        <f t="shared" si="298"/>
        <v>98287500</v>
      </c>
      <c r="U141" s="1042">
        <f t="shared" si="367"/>
        <v>163812500</v>
      </c>
      <c r="V141" s="1042">
        <f t="shared" si="377"/>
        <v>32762500</v>
      </c>
      <c r="W141" s="1042">
        <f t="shared" si="300"/>
        <v>131050000</v>
      </c>
      <c r="X141" s="1042">
        <f t="shared" si="368"/>
        <v>131050000</v>
      </c>
      <c r="Y141" s="7">
        <v>98287500.00000003</v>
      </c>
      <c r="Z141" s="7">
        <f t="shared" si="369"/>
        <v>163812499.99999997</v>
      </c>
      <c r="AA141" s="1042">
        <f t="shared" si="328"/>
        <v>32762500</v>
      </c>
      <c r="AB141" s="1042">
        <f t="shared" si="303"/>
        <v>163812500</v>
      </c>
      <c r="AC141" s="1042">
        <f t="shared" si="370"/>
        <v>98287500</v>
      </c>
      <c r="AD141" s="1042">
        <f t="shared" si="305"/>
        <v>32762500</v>
      </c>
      <c r="AE141" s="1042">
        <f t="shared" si="306"/>
        <v>196575000</v>
      </c>
      <c r="AF141" s="1042">
        <f t="shared" si="371"/>
        <v>65525000</v>
      </c>
      <c r="AG141" s="1042">
        <f t="shared" si="308"/>
        <v>32762500</v>
      </c>
      <c r="AH141" s="1042">
        <f t="shared" si="309"/>
        <v>229337500</v>
      </c>
      <c r="AI141" s="1042">
        <f t="shared" si="372"/>
        <v>32762500</v>
      </c>
      <c r="AJ141" s="1042">
        <f t="shared" si="350"/>
        <v>2730208.3333333335</v>
      </c>
      <c r="AK141" s="1042">
        <f t="shared" si="351"/>
        <v>232067708.33333334</v>
      </c>
      <c r="AL141" s="1042">
        <f t="shared" si="352"/>
        <v>30032291.666666657</v>
      </c>
      <c r="AM141" s="1042">
        <f t="shared" si="282"/>
        <v>24571875</v>
      </c>
      <c r="AN141" s="1042">
        <f t="shared" si="353"/>
        <v>253909375</v>
      </c>
      <c r="AO141" s="1042">
        <f t="shared" si="354"/>
        <v>8190625</v>
      </c>
      <c r="AP141" s="1042">
        <f t="shared" si="355"/>
        <v>32762500</v>
      </c>
      <c r="AQ141" s="1042">
        <f t="shared" si="375"/>
        <v>262100000</v>
      </c>
      <c r="AR141" s="1042">
        <f t="shared" si="373"/>
        <v>0</v>
      </c>
      <c r="AS141" s="1042">
        <f t="shared" si="356"/>
        <v>0</v>
      </c>
      <c r="AT141" s="1042">
        <f t="shared" si="376"/>
        <v>262100000</v>
      </c>
      <c r="AU141" s="1042">
        <f t="shared" si="357"/>
        <v>0</v>
      </c>
      <c r="AV141" s="1042">
        <f t="shared" si="374"/>
        <v>0</v>
      </c>
      <c r="AW141" s="1042">
        <f t="shared" si="359"/>
        <v>262100000</v>
      </c>
      <c r="AX141" s="1042">
        <f t="shared" si="360"/>
        <v>0</v>
      </c>
      <c r="AY141" s="179"/>
      <c r="AZ141" s="8">
        <f t="shared" si="361"/>
        <v>0</v>
      </c>
      <c r="BB141" s="221"/>
      <c r="BC141" s="179"/>
    </row>
    <row r="142" spans="1:55" s="220" customFormat="1" ht="14.25" customHeight="1">
      <c r="A142" s="17">
        <f>A150+1</f>
        <v>57</v>
      </c>
      <c r="B142" s="56" t="s">
        <v>574</v>
      </c>
      <c r="C142" s="671">
        <v>41275</v>
      </c>
      <c r="D142" s="55">
        <v>8</v>
      </c>
      <c r="E142" s="6">
        <v>11400000</v>
      </c>
      <c r="F142" s="1041">
        <f t="shared" si="363"/>
        <v>1425000</v>
      </c>
      <c r="G142" s="1053"/>
      <c r="H142" s="1042">
        <f t="shared" si="322"/>
        <v>0</v>
      </c>
      <c r="I142" s="1042">
        <f t="shared" si="323"/>
        <v>11400000</v>
      </c>
      <c r="J142" s="1042"/>
      <c r="K142" s="1042">
        <f t="shared" si="291"/>
        <v>0</v>
      </c>
      <c r="L142" s="1042">
        <f t="shared" si="364"/>
        <v>11400000</v>
      </c>
      <c r="M142" s="1042">
        <f t="shared" si="293"/>
        <v>1425000</v>
      </c>
      <c r="N142" s="1042">
        <f t="shared" si="294"/>
        <v>1425000</v>
      </c>
      <c r="O142" s="1042">
        <f t="shared" si="365"/>
        <v>9975000</v>
      </c>
      <c r="P142" s="1042">
        <f t="shared" si="325"/>
        <v>1425000</v>
      </c>
      <c r="Q142" s="1042">
        <f t="shared" si="296"/>
        <v>2850000</v>
      </c>
      <c r="R142" s="1042">
        <f t="shared" si="366"/>
        <v>8550000</v>
      </c>
      <c r="S142" s="1042">
        <f t="shared" si="362"/>
        <v>1425000</v>
      </c>
      <c r="T142" s="1042">
        <f t="shared" si="298"/>
        <v>4275000</v>
      </c>
      <c r="U142" s="1042">
        <f t="shared" si="367"/>
        <v>7125000</v>
      </c>
      <c r="V142" s="1042">
        <f t="shared" si="377"/>
        <v>1425000</v>
      </c>
      <c r="W142" s="1042">
        <f t="shared" si="300"/>
        <v>5700000</v>
      </c>
      <c r="X142" s="1042">
        <f t="shared" si="368"/>
        <v>5700000</v>
      </c>
      <c r="Y142" s="7">
        <v>4275000</v>
      </c>
      <c r="Z142" s="7">
        <f t="shared" si="369"/>
        <v>7125000</v>
      </c>
      <c r="AA142" s="1042">
        <f t="shared" ref="AA142:AA173" si="378">(F142/12)*12</f>
        <v>1425000</v>
      </c>
      <c r="AB142" s="1042">
        <f t="shared" si="303"/>
        <v>7125000</v>
      </c>
      <c r="AC142" s="1042">
        <f t="shared" si="370"/>
        <v>4275000</v>
      </c>
      <c r="AD142" s="1042">
        <f t="shared" si="305"/>
        <v>1425000</v>
      </c>
      <c r="AE142" s="1042">
        <f t="shared" si="306"/>
        <v>8550000</v>
      </c>
      <c r="AF142" s="1042">
        <f t="shared" si="371"/>
        <v>2850000</v>
      </c>
      <c r="AG142" s="1042">
        <f t="shared" si="308"/>
        <v>1425000</v>
      </c>
      <c r="AH142" s="1042">
        <f t="shared" si="309"/>
        <v>9975000</v>
      </c>
      <c r="AI142" s="1042">
        <f t="shared" si="372"/>
        <v>1425000</v>
      </c>
      <c r="AJ142" s="1042">
        <f t="shared" si="350"/>
        <v>118750</v>
      </c>
      <c r="AK142" s="1042">
        <f t="shared" si="351"/>
        <v>10093750</v>
      </c>
      <c r="AL142" s="1042">
        <f t="shared" si="352"/>
        <v>1306250</v>
      </c>
      <c r="AM142" s="1042">
        <f t="shared" si="282"/>
        <v>1068750</v>
      </c>
      <c r="AN142" s="1042">
        <f t="shared" si="353"/>
        <v>11043750</v>
      </c>
      <c r="AO142" s="1042">
        <f t="shared" si="354"/>
        <v>356250</v>
      </c>
      <c r="AP142" s="1042">
        <f t="shared" si="355"/>
        <v>1425000</v>
      </c>
      <c r="AQ142" s="1042">
        <f t="shared" si="375"/>
        <v>11400000</v>
      </c>
      <c r="AR142" s="1042">
        <f t="shared" si="373"/>
        <v>0</v>
      </c>
      <c r="AS142" s="1042">
        <f t="shared" si="356"/>
        <v>0</v>
      </c>
      <c r="AT142" s="1042">
        <f t="shared" si="376"/>
        <v>11400000</v>
      </c>
      <c r="AU142" s="1042">
        <f t="shared" si="357"/>
        <v>0</v>
      </c>
      <c r="AV142" s="1042">
        <f t="shared" si="374"/>
        <v>0</v>
      </c>
      <c r="AW142" s="1042">
        <f t="shared" si="359"/>
        <v>11400000</v>
      </c>
      <c r="AX142" s="1042">
        <f t="shared" si="360"/>
        <v>0</v>
      </c>
      <c r="AY142" s="179"/>
      <c r="AZ142" s="8">
        <f t="shared" si="361"/>
        <v>0</v>
      </c>
      <c r="BB142" s="221"/>
      <c r="BC142" s="179"/>
    </row>
    <row r="143" spans="1:55" s="220" customFormat="1" ht="14.25" customHeight="1">
      <c r="A143" s="17">
        <f t="shared" si="329"/>
        <v>58</v>
      </c>
      <c r="B143" s="56" t="s">
        <v>575</v>
      </c>
      <c r="C143" s="671">
        <v>41275</v>
      </c>
      <c r="D143" s="55">
        <v>8</v>
      </c>
      <c r="E143" s="6">
        <v>181200000</v>
      </c>
      <c r="F143" s="1041">
        <f t="shared" si="363"/>
        <v>22650000</v>
      </c>
      <c r="G143" s="1053"/>
      <c r="H143" s="1042">
        <f t="shared" si="322"/>
        <v>0</v>
      </c>
      <c r="I143" s="1042">
        <f t="shared" si="323"/>
        <v>181200000</v>
      </c>
      <c r="J143" s="1042"/>
      <c r="K143" s="1042">
        <f t="shared" si="291"/>
        <v>0</v>
      </c>
      <c r="L143" s="1042">
        <f t="shared" si="364"/>
        <v>181200000</v>
      </c>
      <c r="M143" s="1042">
        <f t="shared" si="293"/>
        <v>22650000</v>
      </c>
      <c r="N143" s="1042">
        <f t="shared" si="294"/>
        <v>22650000</v>
      </c>
      <c r="O143" s="1042">
        <f t="shared" si="365"/>
        <v>158550000</v>
      </c>
      <c r="P143" s="1042">
        <f t="shared" si="325"/>
        <v>22650000</v>
      </c>
      <c r="Q143" s="1042">
        <f t="shared" si="296"/>
        <v>45300000</v>
      </c>
      <c r="R143" s="1042">
        <f t="shared" si="366"/>
        <v>135900000</v>
      </c>
      <c r="S143" s="1042">
        <f t="shared" si="362"/>
        <v>22650000</v>
      </c>
      <c r="T143" s="1042">
        <f t="shared" si="298"/>
        <v>67950000</v>
      </c>
      <c r="U143" s="1042">
        <f t="shared" si="367"/>
        <v>113250000</v>
      </c>
      <c r="V143" s="1042">
        <f t="shared" si="377"/>
        <v>22650000</v>
      </c>
      <c r="W143" s="1042">
        <f t="shared" si="300"/>
        <v>90600000</v>
      </c>
      <c r="X143" s="1042">
        <f t="shared" si="368"/>
        <v>90600000</v>
      </c>
      <c r="Y143" s="7">
        <v>67950000</v>
      </c>
      <c r="Z143" s="7">
        <f t="shared" si="369"/>
        <v>113250000</v>
      </c>
      <c r="AA143" s="1042">
        <f t="shared" si="378"/>
        <v>22650000</v>
      </c>
      <c r="AB143" s="1042">
        <f t="shared" si="303"/>
        <v>113250000</v>
      </c>
      <c r="AC143" s="1042">
        <f t="shared" si="370"/>
        <v>67950000</v>
      </c>
      <c r="AD143" s="1042">
        <f t="shared" si="305"/>
        <v>22650000</v>
      </c>
      <c r="AE143" s="1042">
        <f t="shared" si="306"/>
        <v>135900000</v>
      </c>
      <c r="AF143" s="1042">
        <f t="shared" si="371"/>
        <v>45300000</v>
      </c>
      <c r="AG143" s="1042">
        <f t="shared" si="308"/>
        <v>22650000</v>
      </c>
      <c r="AH143" s="1042">
        <f t="shared" si="309"/>
        <v>158550000</v>
      </c>
      <c r="AI143" s="1042">
        <f t="shared" si="372"/>
        <v>22650000</v>
      </c>
      <c r="AJ143" s="1042">
        <f t="shared" si="350"/>
        <v>1887500</v>
      </c>
      <c r="AK143" s="1042">
        <f t="shared" si="351"/>
        <v>160437500</v>
      </c>
      <c r="AL143" s="1042">
        <f t="shared" si="352"/>
        <v>20762500</v>
      </c>
      <c r="AM143" s="1042">
        <f t="shared" si="282"/>
        <v>16987500</v>
      </c>
      <c r="AN143" s="1042">
        <f t="shared" si="353"/>
        <v>175537500</v>
      </c>
      <c r="AO143" s="1042">
        <f t="shared" si="354"/>
        <v>5662500</v>
      </c>
      <c r="AP143" s="1042">
        <f t="shared" si="355"/>
        <v>22650000</v>
      </c>
      <c r="AQ143" s="1042">
        <f t="shared" si="375"/>
        <v>181200000</v>
      </c>
      <c r="AR143" s="1042">
        <f t="shared" si="373"/>
        <v>0</v>
      </c>
      <c r="AS143" s="1042">
        <f t="shared" si="356"/>
        <v>0</v>
      </c>
      <c r="AT143" s="1042">
        <f t="shared" si="376"/>
        <v>181200000</v>
      </c>
      <c r="AU143" s="1042">
        <f t="shared" si="357"/>
        <v>0</v>
      </c>
      <c r="AV143" s="1042">
        <f t="shared" si="374"/>
        <v>0</v>
      </c>
      <c r="AW143" s="1042">
        <f t="shared" si="359"/>
        <v>181200000</v>
      </c>
      <c r="AX143" s="1042">
        <f t="shared" si="360"/>
        <v>0</v>
      </c>
      <c r="AY143" s="179"/>
      <c r="AZ143" s="8">
        <f t="shared" si="361"/>
        <v>0</v>
      </c>
      <c r="BB143" s="221"/>
      <c r="BC143" s="179"/>
    </row>
    <row r="144" spans="1:55" s="220" customFormat="1" ht="14.25" customHeight="1">
      <c r="A144" s="17">
        <f t="shared" si="329"/>
        <v>59</v>
      </c>
      <c r="B144" s="56" t="s">
        <v>558</v>
      </c>
      <c r="C144" s="671">
        <v>41275</v>
      </c>
      <c r="D144" s="55">
        <v>8</v>
      </c>
      <c r="E144" s="6">
        <v>145800000</v>
      </c>
      <c r="F144" s="1041">
        <f t="shared" si="363"/>
        <v>18225000</v>
      </c>
      <c r="G144" s="1053"/>
      <c r="H144" s="1042">
        <f t="shared" si="322"/>
        <v>0</v>
      </c>
      <c r="I144" s="1042">
        <f t="shared" si="323"/>
        <v>145800000</v>
      </c>
      <c r="J144" s="1042"/>
      <c r="K144" s="1042">
        <f t="shared" si="291"/>
        <v>0</v>
      </c>
      <c r="L144" s="1042">
        <f t="shared" si="364"/>
        <v>145800000</v>
      </c>
      <c r="M144" s="1042">
        <f t="shared" si="293"/>
        <v>18225000</v>
      </c>
      <c r="N144" s="1042">
        <f t="shared" si="294"/>
        <v>18225000</v>
      </c>
      <c r="O144" s="1042">
        <f t="shared" si="365"/>
        <v>127575000</v>
      </c>
      <c r="P144" s="1042">
        <f t="shared" si="325"/>
        <v>18225000</v>
      </c>
      <c r="Q144" s="1042">
        <f t="shared" si="296"/>
        <v>36450000</v>
      </c>
      <c r="R144" s="1042">
        <f t="shared" si="366"/>
        <v>109350000</v>
      </c>
      <c r="S144" s="1042">
        <f t="shared" si="362"/>
        <v>18225000</v>
      </c>
      <c r="T144" s="1042">
        <f t="shared" si="298"/>
        <v>54675000</v>
      </c>
      <c r="U144" s="1042">
        <f t="shared" si="367"/>
        <v>91125000</v>
      </c>
      <c r="V144" s="1042">
        <f t="shared" si="377"/>
        <v>18225000</v>
      </c>
      <c r="W144" s="1042">
        <f t="shared" si="300"/>
        <v>72900000</v>
      </c>
      <c r="X144" s="1042">
        <f t="shared" si="368"/>
        <v>72900000</v>
      </c>
      <c r="Y144" s="7">
        <v>54675000</v>
      </c>
      <c r="Z144" s="7">
        <f t="shared" si="369"/>
        <v>91125000</v>
      </c>
      <c r="AA144" s="1042">
        <f t="shared" si="378"/>
        <v>18225000</v>
      </c>
      <c r="AB144" s="1042">
        <f t="shared" si="303"/>
        <v>91125000</v>
      </c>
      <c r="AC144" s="1042">
        <f t="shared" si="370"/>
        <v>54675000</v>
      </c>
      <c r="AD144" s="1042">
        <f t="shared" si="305"/>
        <v>18225000</v>
      </c>
      <c r="AE144" s="1042">
        <f t="shared" si="306"/>
        <v>109350000</v>
      </c>
      <c r="AF144" s="1042">
        <f t="shared" si="371"/>
        <v>36450000</v>
      </c>
      <c r="AG144" s="1042">
        <f t="shared" si="308"/>
        <v>18225000</v>
      </c>
      <c r="AH144" s="1042">
        <f t="shared" si="309"/>
        <v>127575000</v>
      </c>
      <c r="AI144" s="1042">
        <f t="shared" si="372"/>
        <v>18225000</v>
      </c>
      <c r="AJ144" s="1042">
        <f t="shared" si="350"/>
        <v>1518750</v>
      </c>
      <c r="AK144" s="1042">
        <f t="shared" si="351"/>
        <v>129093750</v>
      </c>
      <c r="AL144" s="1042">
        <f t="shared" si="352"/>
        <v>16706250</v>
      </c>
      <c r="AM144" s="1042">
        <f t="shared" si="282"/>
        <v>13668750</v>
      </c>
      <c r="AN144" s="1042">
        <f t="shared" si="353"/>
        <v>141243750</v>
      </c>
      <c r="AO144" s="1042">
        <f t="shared" si="354"/>
        <v>4556250</v>
      </c>
      <c r="AP144" s="1042">
        <f t="shared" si="355"/>
        <v>18225000</v>
      </c>
      <c r="AQ144" s="1042">
        <f t="shared" si="375"/>
        <v>145800000</v>
      </c>
      <c r="AR144" s="1042">
        <f t="shared" si="373"/>
        <v>0</v>
      </c>
      <c r="AS144" s="1042">
        <f t="shared" si="356"/>
        <v>0</v>
      </c>
      <c r="AT144" s="1042">
        <f t="shared" si="376"/>
        <v>145800000</v>
      </c>
      <c r="AU144" s="1042">
        <f t="shared" si="357"/>
        <v>0</v>
      </c>
      <c r="AV144" s="1042">
        <f t="shared" si="374"/>
        <v>0</v>
      </c>
      <c r="AW144" s="1042">
        <f t="shared" si="359"/>
        <v>145800000</v>
      </c>
      <c r="AX144" s="1042">
        <f t="shared" si="360"/>
        <v>0</v>
      </c>
      <c r="AY144" s="179"/>
      <c r="AZ144" s="8">
        <f t="shared" si="361"/>
        <v>0</v>
      </c>
      <c r="BB144" s="221"/>
      <c r="BC144" s="179"/>
    </row>
    <row r="145" spans="1:55" s="220" customFormat="1" ht="14.25" customHeight="1">
      <c r="A145" s="17">
        <f t="shared" si="329"/>
        <v>60</v>
      </c>
      <c r="B145" s="56" t="s">
        <v>576</v>
      </c>
      <c r="C145" s="671">
        <v>41275</v>
      </c>
      <c r="D145" s="55">
        <v>8</v>
      </c>
      <c r="E145" s="6">
        <v>8300000</v>
      </c>
      <c r="F145" s="1041">
        <f t="shared" si="363"/>
        <v>1037500</v>
      </c>
      <c r="G145" s="1053"/>
      <c r="H145" s="1042">
        <f t="shared" si="322"/>
        <v>0</v>
      </c>
      <c r="I145" s="1042">
        <f t="shared" si="323"/>
        <v>8300000</v>
      </c>
      <c r="J145" s="1042"/>
      <c r="K145" s="1042">
        <f t="shared" si="291"/>
        <v>0</v>
      </c>
      <c r="L145" s="1042">
        <f t="shared" si="364"/>
        <v>8300000</v>
      </c>
      <c r="M145" s="1042">
        <f t="shared" si="293"/>
        <v>1037500</v>
      </c>
      <c r="N145" s="1042">
        <f t="shared" si="294"/>
        <v>1037500</v>
      </c>
      <c r="O145" s="1042">
        <f t="shared" si="365"/>
        <v>7262500</v>
      </c>
      <c r="P145" s="1042">
        <f t="shared" si="325"/>
        <v>1037500</v>
      </c>
      <c r="Q145" s="1042">
        <f t="shared" si="296"/>
        <v>2075000</v>
      </c>
      <c r="R145" s="1042">
        <f t="shared" si="366"/>
        <v>6225000</v>
      </c>
      <c r="S145" s="1042">
        <f t="shared" si="362"/>
        <v>1037500</v>
      </c>
      <c r="T145" s="1042">
        <f t="shared" si="298"/>
        <v>3112500</v>
      </c>
      <c r="U145" s="1042">
        <f t="shared" si="367"/>
        <v>5187500</v>
      </c>
      <c r="V145" s="1042">
        <f t="shared" si="377"/>
        <v>1037500</v>
      </c>
      <c r="W145" s="1042">
        <f t="shared" si="300"/>
        <v>4150000</v>
      </c>
      <c r="X145" s="1042">
        <f t="shared" si="368"/>
        <v>4150000</v>
      </c>
      <c r="Y145" s="7">
        <v>3112499.9999999991</v>
      </c>
      <c r="Z145" s="7">
        <f t="shared" si="369"/>
        <v>5187500.0000000009</v>
      </c>
      <c r="AA145" s="1042">
        <f t="shared" si="378"/>
        <v>1037500</v>
      </c>
      <c r="AB145" s="1042">
        <f t="shared" si="303"/>
        <v>5187500</v>
      </c>
      <c r="AC145" s="1042">
        <f t="shared" si="370"/>
        <v>3112500</v>
      </c>
      <c r="AD145" s="1042">
        <f t="shared" si="305"/>
        <v>1037500</v>
      </c>
      <c r="AE145" s="1042">
        <f t="shared" si="306"/>
        <v>6225000</v>
      </c>
      <c r="AF145" s="1042">
        <f t="shared" si="371"/>
        <v>2075000</v>
      </c>
      <c r="AG145" s="1042">
        <f t="shared" si="308"/>
        <v>1037500</v>
      </c>
      <c r="AH145" s="1042">
        <f t="shared" si="309"/>
        <v>7262500</v>
      </c>
      <c r="AI145" s="1042">
        <f t="shared" si="372"/>
        <v>1037500</v>
      </c>
      <c r="AJ145" s="1042">
        <f t="shared" si="350"/>
        <v>86458.333333333328</v>
      </c>
      <c r="AK145" s="1042">
        <f t="shared" si="351"/>
        <v>7348958.333333333</v>
      </c>
      <c r="AL145" s="1042">
        <f t="shared" si="352"/>
        <v>951041.66666666698</v>
      </c>
      <c r="AM145" s="1042">
        <f t="shared" si="282"/>
        <v>778125</v>
      </c>
      <c r="AN145" s="1042">
        <f t="shared" si="353"/>
        <v>8040625</v>
      </c>
      <c r="AO145" s="1042">
        <f t="shared" si="354"/>
        <v>259375</v>
      </c>
      <c r="AP145" s="1042">
        <f t="shared" si="355"/>
        <v>1037500</v>
      </c>
      <c r="AQ145" s="1042">
        <f t="shared" si="375"/>
        <v>8300000</v>
      </c>
      <c r="AR145" s="1042">
        <f t="shared" si="373"/>
        <v>0</v>
      </c>
      <c r="AS145" s="1042">
        <f t="shared" si="356"/>
        <v>0</v>
      </c>
      <c r="AT145" s="1042">
        <f t="shared" si="376"/>
        <v>8300000</v>
      </c>
      <c r="AU145" s="1042">
        <f t="shared" si="357"/>
        <v>0</v>
      </c>
      <c r="AV145" s="1042">
        <f t="shared" si="374"/>
        <v>0</v>
      </c>
      <c r="AW145" s="1042">
        <f t="shared" si="359"/>
        <v>8300000</v>
      </c>
      <c r="AX145" s="1042">
        <f t="shared" si="360"/>
        <v>0</v>
      </c>
      <c r="AY145" s="179"/>
      <c r="AZ145" s="8">
        <f t="shared" si="361"/>
        <v>0</v>
      </c>
      <c r="BB145" s="221"/>
      <c r="BC145" s="179"/>
    </row>
    <row r="146" spans="1:55" s="220" customFormat="1" ht="14.25" customHeight="1">
      <c r="A146" s="17">
        <f>A96+1</f>
        <v>7</v>
      </c>
      <c r="B146" s="56" t="s">
        <v>530</v>
      </c>
      <c r="C146" s="671">
        <v>41640</v>
      </c>
      <c r="D146" s="55">
        <v>8</v>
      </c>
      <c r="E146" s="6">
        <v>7300000</v>
      </c>
      <c r="F146" s="1041">
        <f t="shared" si="363"/>
        <v>912500</v>
      </c>
      <c r="G146" s="1053"/>
      <c r="H146" s="1042">
        <f t="shared" si="322"/>
        <v>0</v>
      </c>
      <c r="I146" s="1042">
        <f t="shared" si="323"/>
        <v>7300000</v>
      </c>
      <c r="J146" s="1042"/>
      <c r="K146" s="1042">
        <f t="shared" si="291"/>
        <v>0</v>
      </c>
      <c r="L146" s="1042">
        <f t="shared" si="364"/>
        <v>7300000</v>
      </c>
      <c r="M146" s="1042">
        <f t="shared" si="293"/>
        <v>912500</v>
      </c>
      <c r="N146" s="1042">
        <f t="shared" si="294"/>
        <v>912500</v>
      </c>
      <c r="O146" s="1042">
        <f t="shared" si="365"/>
        <v>6387500</v>
      </c>
      <c r="P146" s="1042">
        <f t="shared" si="325"/>
        <v>912500</v>
      </c>
      <c r="Q146" s="1042">
        <f t="shared" si="296"/>
        <v>1825000</v>
      </c>
      <c r="R146" s="1042">
        <f t="shared" si="366"/>
        <v>5475000</v>
      </c>
      <c r="S146" s="1042">
        <f t="shared" si="362"/>
        <v>912500</v>
      </c>
      <c r="T146" s="1042">
        <f t="shared" si="298"/>
        <v>2737500</v>
      </c>
      <c r="U146" s="1042">
        <f t="shared" si="367"/>
        <v>4562500</v>
      </c>
      <c r="V146" s="1042">
        <f t="shared" si="377"/>
        <v>912500</v>
      </c>
      <c r="W146" s="1042">
        <f t="shared" si="300"/>
        <v>3650000</v>
      </c>
      <c r="X146" s="1042">
        <f t="shared" si="368"/>
        <v>3650000</v>
      </c>
      <c r="Y146" s="7">
        <v>2737500.0000000009</v>
      </c>
      <c r="Z146" s="7">
        <f t="shared" si="369"/>
        <v>4562499.9999999991</v>
      </c>
      <c r="AA146" s="1042">
        <f t="shared" si="378"/>
        <v>912500</v>
      </c>
      <c r="AB146" s="1042">
        <f t="shared" si="303"/>
        <v>4562500</v>
      </c>
      <c r="AC146" s="1042">
        <f t="shared" si="370"/>
        <v>2737500</v>
      </c>
      <c r="AD146" s="1042">
        <f t="shared" ref="AD146:AD177" si="379">(F146/12)*12</f>
        <v>912500</v>
      </c>
      <c r="AE146" s="1042">
        <f t="shared" si="306"/>
        <v>5475000</v>
      </c>
      <c r="AF146" s="1042">
        <f t="shared" si="371"/>
        <v>1825000</v>
      </c>
      <c r="AG146" s="1042">
        <f t="shared" si="308"/>
        <v>912500</v>
      </c>
      <c r="AH146" s="1042">
        <f t="shared" si="309"/>
        <v>6387500</v>
      </c>
      <c r="AI146" s="1042">
        <f t="shared" si="372"/>
        <v>912500</v>
      </c>
      <c r="AJ146" s="1042">
        <f t="shared" si="350"/>
        <v>76041.666666666672</v>
      </c>
      <c r="AK146" s="1042">
        <f t="shared" si="351"/>
        <v>6463541.666666667</v>
      </c>
      <c r="AL146" s="1042">
        <f t="shared" si="352"/>
        <v>836458.33333333302</v>
      </c>
      <c r="AM146" s="1042">
        <f t="shared" si="282"/>
        <v>684375</v>
      </c>
      <c r="AN146" s="1042">
        <f t="shared" si="353"/>
        <v>7071875</v>
      </c>
      <c r="AO146" s="1042">
        <f t="shared" si="354"/>
        <v>228125</v>
      </c>
      <c r="AP146" s="1042">
        <f t="shared" si="355"/>
        <v>912500</v>
      </c>
      <c r="AQ146" s="1042">
        <f t="shared" si="375"/>
        <v>7300000</v>
      </c>
      <c r="AR146" s="1042">
        <f t="shared" si="373"/>
        <v>0</v>
      </c>
      <c r="AS146" s="1042">
        <f t="shared" si="356"/>
        <v>0</v>
      </c>
      <c r="AT146" s="1042">
        <f t="shared" si="376"/>
        <v>7300000</v>
      </c>
      <c r="AU146" s="1042">
        <f t="shared" si="357"/>
        <v>0</v>
      </c>
      <c r="AV146" s="1042">
        <f t="shared" si="374"/>
        <v>0</v>
      </c>
      <c r="AW146" s="1042">
        <f t="shared" si="359"/>
        <v>7300000</v>
      </c>
      <c r="AX146" s="1042">
        <f t="shared" si="360"/>
        <v>0</v>
      </c>
      <c r="AY146" s="179"/>
      <c r="AZ146" s="8">
        <f t="shared" si="361"/>
        <v>0</v>
      </c>
      <c r="BB146" s="221"/>
      <c r="BC146" s="179"/>
    </row>
    <row r="147" spans="1:55" s="220" customFormat="1" ht="14.25" customHeight="1">
      <c r="A147" s="17">
        <f>A105+1</f>
        <v>16</v>
      </c>
      <c r="B147" s="56" t="s">
        <v>537</v>
      </c>
      <c r="C147" s="671">
        <v>41640</v>
      </c>
      <c r="D147" s="55">
        <v>8</v>
      </c>
      <c r="E147" s="6">
        <v>600000</v>
      </c>
      <c r="F147" s="1041">
        <f t="shared" si="363"/>
        <v>75000</v>
      </c>
      <c r="G147" s="1053"/>
      <c r="H147" s="1042">
        <f t="shared" si="322"/>
        <v>0</v>
      </c>
      <c r="I147" s="1042">
        <f t="shared" si="323"/>
        <v>600000</v>
      </c>
      <c r="J147" s="1042"/>
      <c r="K147" s="1042">
        <f t="shared" si="291"/>
        <v>0</v>
      </c>
      <c r="L147" s="1042">
        <f t="shared" si="364"/>
        <v>600000</v>
      </c>
      <c r="M147" s="1042">
        <f t="shared" si="293"/>
        <v>75000</v>
      </c>
      <c r="N147" s="1042">
        <f t="shared" si="294"/>
        <v>75000</v>
      </c>
      <c r="O147" s="1042">
        <f t="shared" si="365"/>
        <v>525000</v>
      </c>
      <c r="P147" s="1042">
        <f t="shared" si="325"/>
        <v>75000</v>
      </c>
      <c r="Q147" s="1042">
        <f t="shared" si="296"/>
        <v>150000</v>
      </c>
      <c r="R147" s="1042">
        <f t="shared" si="366"/>
        <v>450000</v>
      </c>
      <c r="S147" s="1042">
        <f t="shared" si="362"/>
        <v>75000</v>
      </c>
      <c r="T147" s="1042">
        <f t="shared" si="298"/>
        <v>225000</v>
      </c>
      <c r="U147" s="1042">
        <f t="shared" si="367"/>
        <v>375000</v>
      </c>
      <c r="V147" s="1042">
        <f t="shared" si="377"/>
        <v>75000</v>
      </c>
      <c r="W147" s="1042">
        <f t="shared" si="300"/>
        <v>300000</v>
      </c>
      <c r="X147" s="1042">
        <f t="shared" si="368"/>
        <v>300000</v>
      </c>
      <c r="Y147" s="7">
        <v>225000</v>
      </c>
      <c r="Z147" s="7">
        <f t="shared" si="369"/>
        <v>375000</v>
      </c>
      <c r="AA147" s="1042">
        <f t="shared" si="378"/>
        <v>75000</v>
      </c>
      <c r="AB147" s="1042">
        <f t="shared" si="303"/>
        <v>375000</v>
      </c>
      <c r="AC147" s="1042">
        <f t="shared" si="370"/>
        <v>225000</v>
      </c>
      <c r="AD147" s="1042">
        <f t="shared" si="379"/>
        <v>75000</v>
      </c>
      <c r="AE147" s="1042">
        <f t="shared" si="306"/>
        <v>450000</v>
      </c>
      <c r="AF147" s="1042">
        <f t="shared" si="371"/>
        <v>150000</v>
      </c>
      <c r="AG147" s="1042">
        <f t="shared" si="308"/>
        <v>75000</v>
      </c>
      <c r="AH147" s="1042">
        <f t="shared" si="309"/>
        <v>525000</v>
      </c>
      <c r="AI147" s="1042">
        <f t="shared" si="372"/>
        <v>75000</v>
      </c>
      <c r="AJ147" s="1042">
        <f t="shared" si="350"/>
        <v>6250</v>
      </c>
      <c r="AK147" s="1042">
        <f t="shared" si="351"/>
        <v>531250</v>
      </c>
      <c r="AL147" s="1042">
        <f t="shared" si="352"/>
        <v>68750</v>
      </c>
      <c r="AM147" s="1042">
        <f t="shared" si="282"/>
        <v>56250</v>
      </c>
      <c r="AN147" s="1042">
        <f t="shared" si="353"/>
        <v>581250</v>
      </c>
      <c r="AO147" s="1042">
        <f t="shared" si="354"/>
        <v>18750</v>
      </c>
      <c r="AP147" s="1042">
        <f t="shared" si="355"/>
        <v>75000</v>
      </c>
      <c r="AQ147" s="1042">
        <f t="shared" si="375"/>
        <v>600000</v>
      </c>
      <c r="AR147" s="1042">
        <f t="shared" si="373"/>
        <v>0</v>
      </c>
      <c r="AS147" s="1042">
        <f t="shared" si="356"/>
        <v>0</v>
      </c>
      <c r="AT147" s="1042">
        <f t="shared" si="376"/>
        <v>600000</v>
      </c>
      <c r="AU147" s="1042">
        <f t="shared" si="357"/>
        <v>0</v>
      </c>
      <c r="AV147" s="1042">
        <f t="shared" si="374"/>
        <v>0</v>
      </c>
      <c r="AW147" s="1042">
        <f t="shared" si="359"/>
        <v>600000</v>
      </c>
      <c r="AX147" s="1042">
        <f t="shared" si="360"/>
        <v>0</v>
      </c>
      <c r="AY147" s="179"/>
      <c r="AZ147" s="8">
        <f t="shared" si="361"/>
        <v>0</v>
      </c>
      <c r="BB147" s="221"/>
      <c r="BC147" s="179"/>
    </row>
    <row r="148" spans="1:55" s="220" customFormat="1" ht="14.25" customHeight="1">
      <c r="A148" s="17">
        <f>A136+1</f>
        <v>50</v>
      </c>
      <c r="B148" s="909" t="s">
        <v>569</v>
      </c>
      <c r="C148" s="671">
        <v>41640</v>
      </c>
      <c r="D148" s="55">
        <v>8</v>
      </c>
      <c r="E148" s="6">
        <f>10400000+9300000</f>
        <v>19700000</v>
      </c>
      <c r="F148" s="1041">
        <f t="shared" si="363"/>
        <v>2462500</v>
      </c>
      <c r="G148" s="1053"/>
      <c r="H148" s="1042">
        <f t="shared" si="322"/>
        <v>0</v>
      </c>
      <c r="I148" s="1042">
        <f t="shared" si="323"/>
        <v>19700000</v>
      </c>
      <c r="J148" s="1042"/>
      <c r="K148" s="1042">
        <f t="shared" si="291"/>
        <v>0</v>
      </c>
      <c r="L148" s="1042">
        <f t="shared" si="364"/>
        <v>19700000</v>
      </c>
      <c r="M148" s="1042">
        <f t="shared" si="293"/>
        <v>2462500</v>
      </c>
      <c r="N148" s="1042">
        <f t="shared" si="294"/>
        <v>2462500</v>
      </c>
      <c r="O148" s="1042">
        <f t="shared" si="365"/>
        <v>17237500</v>
      </c>
      <c r="P148" s="1042">
        <f t="shared" si="325"/>
        <v>2462500</v>
      </c>
      <c r="Q148" s="1042">
        <f t="shared" si="296"/>
        <v>4925000</v>
      </c>
      <c r="R148" s="1042">
        <f t="shared" si="366"/>
        <v>14775000</v>
      </c>
      <c r="S148" s="1042">
        <f t="shared" ref="S148:S179" si="380">(F148/12)*12</f>
        <v>2462500</v>
      </c>
      <c r="T148" s="1042">
        <f t="shared" si="298"/>
        <v>7387500</v>
      </c>
      <c r="U148" s="1042">
        <f t="shared" si="367"/>
        <v>12312500</v>
      </c>
      <c r="V148" s="1042">
        <f t="shared" si="377"/>
        <v>2462500</v>
      </c>
      <c r="W148" s="1042">
        <f t="shared" si="300"/>
        <v>9850000</v>
      </c>
      <c r="X148" s="1042">
        <f t="shared" si="368"/>
        <v>9850000</v>
      </c>
      <c r="Y148" s="7">
        <v>3900000</v>
      </c>
      <c r="Z148" s="7">
        <f t="shared" si="369"/>
        <v>15800000</v>
      </c>
      <c r="AA148" s="1042">
        <f t="shared" si="378"/>
        <v>2462500</v>
      </c>
      <c r="AB148" s="1042">
        <f t="shared" si="303"/>
        <v>12312500</v>
      </c>
      <c r="AC148" s="1042">
        <f t="shared" si="370"/>
        <v>7387500</v>
      </c>
      <c r="AD148" s="1042">
        <f t="shared" si="379"/>
        <v>2462500</v>
      </c>
      <c r="AE148" s="1042">
        <f t="shared" si="306"/>
        <v>14775000</v>
      </c>
      <c r="AF148" s="1042">
        <f t="shared" si="371"/>
        <v>4925000</v>
      </c>
      <c r="AG148" s="1042">
        <f t="shared" si="308"/>
        <v>2462500</v>
      </c>
      <c r="AH148" s="1042">
        <f t="shared" si="309"/>
        <v>17237500</v>
      </c>
      <c r="AI148" s="1042">
        <f t="shared" si="372"/>
        <v>2462500</v>
      </c>
      <c r="AJ148" s="1042">
        <f t="shared" si="350"/>
        <v>205208.33333333334</v>
      </c>
      <c r="AK148" s="1042">
        <f t="shared" si="351"/>
        <v>17442708.333333332</v>
      </c>
      <c r="AL148" s="1042">
        <f t="shared" si="352"/>
        <v>2257291.6666666679</v>
      </c>
      <c r="AM148" s="1042">
        <f t="shared" si="282"/>
        <v>1846875</v>
      </c>
      <c r="AN148" s="1042">
        <f t="shared" si="353"/>
        <v>19084375</v>
      </c>
      <c r="AO148" s="1042">
        <f t="shared" si="354"/>
        <v>615625</v>
      </c>
      <c r="AP148" s="1042">
        <f t="shared" si="355"/>
        <v>2462500</v>
      </c>
      <c r="AQ148" s="1042">
        <f t="shared" si="375"/>
        <v>19700000</v>
      </c>
      <c r="AR148" s="1042">
        <f t="shared" si="373"/>
        <v>0</v>
      </c>
      <c r="AS148" s="1042">
        <f t="shared" si="356"/>
        <v>0</v>
      </c>
      <c r="AT148" s="1042">
        <f t="shared" si="376"/>
        <v>19700000</v>
      </c>
      <c r="AU148" s="1042">
        <f t="shared" si="357"/>
        <v>0</v>
      </c>
      <c r="AV148" s="1042">
        <f t="shared" si="374"/>
        <v>0</v>
      </c>
      <c r="AW148" s="1042">
        <f t="shared" si="359"/>
        <v>19700000</v>
      </c>
      <c r="AX148" s="1042">
        <f t="shared" si="360"/>
        <v>0</v>
      </c>
      <c r="AY148" s="179"/>
      <c r="AZ148" s="8">
        <f t="shared" si="361"/>
        <v>0</v>
      </c>
      <c r="BB148" s="221"/>
      <c r="BC148" s="179"/>
    </row>
    <row r="149" spans="1:55" s="970" customFormat="1" ht="14.25" customHeight="1">
      <c r="A149" s="874">
        <f>A148+1</f>
        <v>51</v>
      </c>
      <c r="B149" s="909" t="s">
        <v>569</v>
      </c>
      <c r="C149" s="903">
        <v>41640</v>
      </c>
      <c r="D149" s="877">
        <v>8</v>
      </c>
      <c r="E149" s="878">
        <v>9300000</v>
      </c>
      <c r="F149" s="1056">
        <f t="shared" si="363"/>
        <v>1162500</v>
      </c>
      <c r="G149" s="1057"/>
      <c r="H149" s="1057">
        <f t="shared" si="322"/>
        <v>0</v>
      </c>
      <c r="I149" s="1057">
        <f t="shared" si="323"/>
        <v>9300000</v>
      </c>
      <c r="J149" s="1057"/>
      <c r="K149" s="1057">
        <f t="shared" si="291"/>
        <v>0</v>
      </c>
      <c r="L149" s="1057">
        <f t="shared" si="364"/>
        <v>9300000</v>
      </c>
      <c r="M149" s="1057">
        <f t="shared" si="293"/>
        <v>1162500</v>
      </c>
      <c r="N149" s="1057">
        <f t="shared" si="294"/>
        <v>1162500</v>
      </c>
      <c r="O149" s="1057">
        <f t="shared" si="365"/>
        <v>8137500</v>
      </c>
      <c r="P149" s="1057">
        <f t="shared" si="325"/>
        <v>1162500</v>
      </c>
      <c r="Q149" s="1057">
        <f t="shared" si="296"/>
        <v>2325000</v>
      </c>
      <c r="R149" s="1057">
        <f t="shared" si="366"/>
        <v>6975000</v>
      </c>
      <c r="S149" s="1057">
        <f t="shared" si="380"/>
        <v>1162500</v>
      </c>
      <c r="T149" s="1057">
        <f t="shared" si="298"/>
        <v>3487500</v>
      </c>
      <c r="U149" s="1057">
        <f t="shared" si="367"/>
        <v>5812500</v>
      </c>
      <c r="V149" s="1057">
        <f t="shared" si="377"/>
        <v>1162500</v>
      </c>
      <c r="W149" s="1057">
        <f t="shared" si="300"/>
        <v>4650000</v>
      </c>
      <c r="X149" s="1057">
        <f t="shared" si="368"/>
        <v>4650000</v>
      </c>
      <c r="Y149" s="7">
        <v>3487500</v>
      </c>
      <c r="Z149" s="7">
        <f t="shared" si="369"/>
        <v>5812500</v>
      </c>
      <c r="AA149" s="1057">
        <f t="shared" si="378"/>
        <v>1162500</v>
      </c>
      <c r="AB149" s="1057">
        <f t="shared" si="303"/>
        <v>5812500</v>
      </c>
      <c r="AC149" s="1057">
        <f t="shared" si="370"/>
        <v>3487500</v>
      </c>
      <c r="AD149" s="1057">
        <f t="shared" si="379"/>
        <v>1162500</v>
      </c>
      <c r="AE149" s="1057">
        <f t="shared" si="306"/>
        <v>6975000</v>
      </c>
      <c r="AF149" s="1057">
        <f t="shared" si="371"/>
        <v>2325000</v>
      </c>
      <c r="AG149" s="1057">
        <f t="shared" si="308"/>
        <v>1162500</v>
      </c>
      <c r="AH149" s="1057">
        <f t="shared" si="309"/>
        <v>8137500</v>
      </c>
      <c r="AI149" s="1057">
        <f t="shared" si="372"/>
        <v>1162500</v>
      </c>
      <c r="AJ149" s="1042">
        <f t="shared" si="350"/>
        <v>96875</v>
      </c>
      <c r="AK149" s="1042">
        <f t="shared" si="351"/>
        <v>8234375</v>
      </c>
      <c r="AL149" s="1042">
        <f t="shared" si="352"/>
        <v>1065625</v>
      </c>
      <c r="AM149" s="1042">
        <f t="shared" si="282"/>
        <v>871875</v>
      </c>
      <c r="AN149" s="1042">
        <f t="shared" si="353"/>
        <v>9009375</v>
      </c>
      <c r="AO149" s="1042">
        <f t="shared" si="354"/>
        <v>290625</v>
      </c>
      <c r="AP149" s="1042">
        <f t="shared" si="355"/>
        <v>1162500</v>
      </c>
      <c r="AQ149" s="1057">
        <f t="shared" si="375"/>
        <v>9300000</v>
      </c>
      <c r="AR149" s="1057">
        <f t="shared" si="373"/>
        <v>0</v>
      </c>
      <c r="AS149" s="1042">
        <f t="shared" si="356"/>
        <v>0</v>
      </c>
      <c r="AT149" s="1042">
        <f t="shared" si="376"/>
        <v>9300000</v>
      </c>
      <c r="AU149" s="1042">
        <f t="shared" si="357"/>
        <v>0</v>
      </c>
      <c r="AV149" s="1042">
        <f t="shared" si="374"/>
        <v>0</v>
      </c>
      <c r="AW149" s="1042">
        <f t="shared" si="359"/>
        <v>9300000</v>
      </c>
      <c r="AX149" s="1042">
        <f t="shared" si="360"/>
        <v>0</v>
      </c>
      <c r="AY149" s="969"/>
      <c r="AZ149" s="8">
        <f t="shared" si="361"/>
        <v>0</v>
      </c>
      <c r="BB149" s="971"/>
      <c r="BC149" s="969"/>
    </row>
    <row r="150" spans="1:55" s="220" customFormat="1" ht="14.25" customHeight="1">
      <c r="A150" s="17">
        <f>A141+1</f>
        <v>56</v>
      </c>
      <c r="B150" s="56" t="s">
        <v>573</v>
      </c>
      <c r="C150" s="671">
        <v>41640</v>
      </c>
      <c r="D150" s="55">
        <v>8</v>
      </c>
      <c r="E150" s="6">
        <v>10800000</v>
      </c>
      <c r="F150" s="1041">
        <f t="shared" si="363"/>
        <v>1350000</v>
      </c>
      <c r="G150" s="1053"/>
      <c r="H150" s="1042">
        <f t="shared" si="322"/>
        <v>0</v>
      </c>
      <c r="I150" s="1042">
        <f t="shared" si="323"/>
        <v>10800000</v>
      </c>
      <c r="J150" s="1042"/>
      <c r="K150" s="1042">
        <f t="shared" si="291"/>
        <v>0</v>
      </c>
      <c r="L150" s="1042">
        <f t="shared" si="364"/>
        <v>10800000</v>
      </c>
      <c r="M150" s="1042">
        <f t="shared" si="293"/>
        <v>1350000</v>
      </c>
      <c r="N150" s="1042">
        <f t="shared" si="294"/>
        <v>1350000</v>
      </c>
      <c r="O150" s="1042">
        <f t="shared" si="365"/>
        <v>9450000</v>
      </c>
      <c r="P150" s="1042">
        <f t="shared" si="325"/>
        <v>1350000</v>
      </c>
      <c r="Q150" s="1042">
        <f t="shared" si="296"/>
        <v>2700000</v>
      </c>
      <c r="R150" s="1042">
        <f t="shared" si="366"/>
        <v>8100000</v>
      </c>
      <c r="S150" s="1042">
        <f t="shared" si="380"/>
        <v>1350000</v>
      </c>
      <c r="T150" s="1042">
        <f t="shared" si="298"/>
        <v>4050000</v>
      </c>
      <c r="U150" s="1042">
        <f t="shared" si="367"/>
        <v>6750000</v>
      </c>
      <c r="V150" s="1042">
        <f t="shared" si="377"/>
        <v>1350000</v>
      </c>
      <c r="W150" s="1042">
        <f t="shared" si="300"/>
        <v>5400000</v>
      </c>
      <c r="X150" s="1042">
        <f t="shared" si="368"/>
        <v>5400000</v>
      </c>
      <c r="Y150" s="7">
        <v>4050000</v>
      </c>
      <c r="Z150" s="7">
        <f t="shared" si="369"/>
        <v>6750000</v>
      </c>
      <c r="AA150" s="1042">
        <f t="shared" si="378"/>
        <v>1350000</v>
      </c>
      <c r="AB150" s="1042">
        <f t="shared" si="303"/>
        <v>6750000</v>
      </c>
      <c r="AC150" s="1042">
        <f t="shared" si="370"/>
        <v>4050000</v>
      </c>
      <c r="AD150" s="1042">
        <f t="shared" si="379"/>
        <v>1350000</v>
      </c>
      <c r="AE150" s="1042">
        <f t="shared" si="306"/>
        <v>8100000</v>
      </c>
      <c r="AF150" s="1042">
        <f t="shared" si="371"/>
        <v>2700000</v>
      </c>
      <c r="AG150" s="1042">
        <f t="shared" si="308"/>
        <v>1350000</v>
      </c>
      <c r="AH150" s="1042">
        <f t="shared" si="309"/>
        <v>9450000</v>
      </c>
      <c r="AI150" s="1042">
        <f t="shared" si="372"/>
        <v>1350000</v>
      </c>
      <c r="AJ150" s="1042">
        <f t="shared" si="350"/>
        <v>112500</v>
      </c>
      <c r="AK150" s="1042">
        <f t="shared" si="351"/>
        <v>9562500</v>
      </c>
      <c r="AL150" s="1042">
        <f t="shared" si="352"/>
        <v>1237500</v>
      </c>
      <c r="AM150" s="1042">
        <f t="shared" si="282"/>
        <v>1012500</v>
      </c>
      <c r="AN150" s="1042">
        <f t="shared" si="353"/>
        <v>10462500</v>
      </c>
      <c r="AO150" s="1042">
        <f t="shared" si="354"/>
        <v>337500</v>
      </c>
      <c r="AP150" s="1042">
        <f t="shared" si="355"/>
        <v>1350000</v>
      </c>
      <c r="AQ150" s="1042">
        <f t="shared" si="375"/>
        <v>10800000</v>
      </c>
      <c r="AR150" s="1042">
        <f t="shared" si="373"/>
        <v>0</v>
      </c>
      <c r="AS150" s="1042">
        <f t="shared" si="356"/>
        <v>0</v>
      </c>
      <c r="AT150" s="1042">
        <f t="shared" si="376"/>
        <v>10800000</v>
      </c>
      <c r="AU150" s="1042">
        <f t="shared" si="357"/>
        <v>0</v>
      </c>
      <c r="AV150" s="1042">
        <f t="shared" si="374"/>
        <v>0</v>
      </c>
      <c r="AW150" s="1042">
        <f t="shared" si="359"/>
        <v>10800000</v>
      </c>
      <c r="AX150" s="1042">
        <f t="shared" si="360"/>
        <v>0</v>
      </c>
      <c r="AY150" s="179"/>
      <c r="AZ150" s="8">
        <f t="shared" si="361"/>
        <v>0</v>
      </c>
      <c r="BB150" s="221"/>
      <c r="BC150" s="179"/>
    </row>
    <row r="151" spans="1:55" s="220" customFormat="1" ht="14.25" customHeight="1">
      <c r="A151" s="17">
        <f>A145+1</f>
        <v>61</v>
      </c>
      <c r="B151" s="56" t="s">
        <v>577</v>
      </c>
      <c r="C151" s="671">
        <v>41640</v>
      </c>
      <c r="D151" s="55">
        <v>8</v>
      </c>
      <c r="E151" s="6">
        <v>12500000</v>
      </c>
      <c r="F151" s="1041">
        <f t="shared" si="363"/>
        <v>1562500</v>
      </c>
      <c r="G151" s="1053"/>
      <c r="H151" s="1042">
        <f t="shared" si="322"/>
        <v>0</v>
      </c>
      <c r="I151" s="1042">
        <f t="shared" si="323"/>
        <v>12500000</v>
      </c>
      <c r="J151" s="1042"/>
      <c r="K151" s="1042">
        <f t="shared" si="291"/>
        <v>0</v>
      </c>
      <c r="L151" s="1042">
        <f t="shared" si="364"/>
        <v>12500000</v>
      </c>
      <c r="M151" s="1042">
        <f t="shared" si="293"/>
        <v>1562500</v>
      </c>
      <c r="N151" s="1042">
        <f t="shared" si="294"/>
        <v>1562500</v>
      </c>
      <c r="O151" s="1042">
        <f t="shared" si="365"/>
        <v>10937500</v>
      </c>
      <c r="P151" s="1042">
        <f t="shared" si="325"/>
        <v>1562500</v>
      </c>
      <c r="Q151" s="1042">
        <f t="shared" si="296"/>
        <v>3125000</v>
      </c>
      <c r="R151" s="1042">
        <f t="shared" si="366"/>
        <v>9375000</v>
      </c>
      <c r="S151" s="1042">
        <f t="shared" si="380"/>
        <v>1562500</v>
      </c>
      <c r="T151" s="1042">
        <f t="shared" si="298"/>
        <v>4687500</v>
      </c>
      <c r="U151" s="1042">
        <f t="shared" si="367"/>
        <v>7812500</v>
      </c>
      <c r="V151" s="1042">
        <f t="shared" si="377"/>
        <v>1562500</v>
      </c>
      <c r="W151" s="1042">
        <f t="shared" si="300"/>
        <v>6250000</v>
      </c>
      <c r="X151" s="1042">
        <f t="shared" si="368"/>
        <v>6250000</v>
      </c>
      <c r="Y151" s="7">
        <v>4687500</v>
      </c>
      <c r="Z151" s="7">
        <f t="shared" si="369"/>
        <v>7812500</v>
      </c>
      <c r="AA151" s="1042">
        <f t="shared" si="378"/>
        <v>1562500</v>
      </c>
      <c r="AB151" s="1042">
        <f t="shared" si="303"/>
        <v>7812500</v>
      </c>
      <c r="AC151" s="1042">
        <f t="shared" si="370"/>
        <v>4687500</v>
      </c>
      <c r="AD151" s="1042">
        <f t="shared" si="379"/>
        <v>1562500</v>
      </c>
      <c r="AE151" s="1042">
        <f t="shared" si="306"/>
        <v>9375000</v>
      </c>
      <c r="AF151" s="1042">
        <f t="shared" si="371"/>
        <v>3125000</v>
      </c>
      <c r="AG151" s="1042">
        <f t="shared" si="308"/>
        <v>1562500</v>
      </c>
      <c r="AH151" s="1042">
        <f t="shared" si="309"/>
        <v>10937500</v>
      </c>
      <c r="AI151" s="1042">
        <f t="shared" si="372"/>
        <v>1562500</v>
      </c>
      <c r="AJ151" s="1042">
        <f t="shared" si="350"/>
        <v>130208.33333333333</v>
      </c>
      <c r="AK151" s="1042">
        <f t="shared" si="351"/>
        <v>11067708.333333334</v>
      </c>
      <c r="AL151" s="1042">
        <f t="shared" si="352"/>
        <v>1432291.666666666</v>
      </c>
      <c r="AM151" s="1042">
        <f t="shared" si="282"/>
        <v>1171875</v>
      </c>
      <c r="AN151" s="1042">
        <f t="shared" si="353"/>
        <v>12109375</v>
      </c>
      <c r="AO151" s="1042">
        <f t="shared" si="354"/>
        <v>390625</v>
      </c>
      <c r="AP151" s="1042">
        <f t="shared" si="355"/>
        <v>1562500</v>
      </c>
      <c r="AQ151" s="1042">
        <f t="shared" si="375"/>
        <v>12500000</v>
      </c>
      <c r="AR151" s="1042">
        <f t="shared" si="373"/>
        <v>0</v>
      </c>
      <c r="AS151" s="1042">
        <f t="shared" si="356"/>
        <v>0</v>
      </c>
      <c r="AT151" s="1042">
        <f t="shared" si="376"/>
        <v>12500000</v>
      </c>
      <c r="AU151" s="1042">
        <f t="shared" si="357"/>
        <v>0</v>
      </c>
      <c r="AV151" s="1042">
        <f t="shared" si="374"/>
        <v>0</v>
      </c>
      <c r="AW151" s="1042">
        <f t="shared" si="359"/>
        <v>12500000</v>
      </c>
      <c r="AX151" s="1042">
        <f t="shared" si="360"/>
        <v>0</v>
      </c>
      <c r="AY151" s="179"/>
      <c r="AZ151" s="8">
        <f t="shared" si="361"/>
        <v>0</v>
      </c>
      <c r="BB151" s="221"/>
      <c r="BC151" s="179"/>
    </row>
    <row r="152" spans="1:55" s="220" customFormat="1" ht="14.25" customHeight="1">
      <c r="A152" s="17">
        <f t="shared" si="329"/>
        <v>62</v>
      </c>
      <c r="B152" s="56" t="s">
        <v>578</v>
      </c>
      <c r="C152" s="671">
        <v>41640</v>
      </c>
      <c r="D152" s="55">
        <v>8</v>
      </c>
      <c r="E152" s="6">
        <v>183300000</v>
      </c>
      <c r="F152" s="1041">
        <f t="shared" si="363"/>
        <v>22912500</v>
      </c>
      <c r="G152" s="1053"/>
      <c r="H152" s="1042">
        <f t="shared" si="322"/>
        <v>0</v>
      </c>
      <c r="I152" s="1042">
        <f t="shared" si="323"/>
        <v>183300000</v>
      </c>
      <c r="J152" s="1042"/>
      <c r="K152" s="1042">
        <f t="shared" si="291"/>
        <v>0</v>
      </c>
      <c r="L152" s="1042">
        <f t="shared" si="364"/>
        <v>183300000</v>
      </c>
      <c r="M152" s="1042">
        <f t="shared" si="293"/>
        <v>22912500</v>
      </c>
      <c r="N152" s="1042">
        <f t="shared" si="294"/>
        <v>22912500</v>
      </c>
      <c r="O152" s="1042">
        <f t="shared" si="365"/>
        <v>160387500</v>
      </c>
      <c r="P152" s="1042">
        <f t="shared" si="325"/>
        <v>22912500</v>
      </c>
      <c r="Q152" s="1042">
        <f t="shared" si="296"/>
        <v>45825000</v>
      </c>
      <c r="R152" s="1042">
        <f t="shared" si="366"/>
        <v>137475000</v>
      </c>
      <c r="S152" s="1042">
        <f t="shared" si="380"/>
        <v>22912500</v>
      </c>
      <c r="T152" s="1042">
        <f t="shared" si="298"/>
        <v>68737500</v>
      </c>
      <c r="U152" s="1042">
        <f t="shared" si="367"/>
        <v>114562500</v>
      </c>
      <c r="V152" s="1042">
        <f t="shared" si="377"/>
        <v>22912500</v>
      </c>
      <c r="W152" s="1042">
        <f t="shared" si="300"/>
        <v>91650000</v>
      </c>
      <c r="X152" s="1042">
        <f t="shared" si="368"/>
        <v>91650000</v>
      </c>
      <c r="Y152" s="7">
        <v>68737500</v>
      </c>
      <c r="Z152" s="7">
        <f t="shared" si="369"/>
        <v>114562500</v>
      </c>
      <c r="AA152" s="1042">
        <f t="shared" si="378"/>
        <v>22912500</v>
      </c>
      <c r="AB152" s="1042">
        <f t="shared" si="303"/>
        <v>114562500</v>
      </c>
      <c r="AC152" s="1042">
        <f t="shared" si="370"/>
        <v>68737500</v>
      </c>
      <c r="AD152" s="1042">
        <f t="shared" si="379"/>
        <v>22912500</v>
      </c>
      <c r="AE152" s="1042">
        <f t="shared" si="306"/>
        <v>137475000</v>
      </c>
      <c r="AF152" s="1042">
        <f t="shared" si="371"/>
        <v>45825000</v>
      </c>
      <c r="AG152" s="1042">
        <f t="shared" si="308"/>
        <v>22912500</v>
      </c>
      <c r="AH152" s="1042">
        <f t="shared" si="309"/>
        <v>160387500</v>
      </c>
      <c r="AI152" s="1042">
        <f t="shared" si="372"/>
        <v>22912500</v>
      </c>
      <c r="AJ152" s="1042">
        <f t="shared" si="350"/>
        <v>1909375</v>
      </c>
      <c r="AK152" s="1042">
        <f t="shared" si="351"/>
        <v>162296875</v>
      </c>
      <c r="AL152" s="1042">
        <f t="shared" si="352"/>
        <v>21003125</v>
      </c>
      <c r="AM152" s="1042">
        <f t="shared" si="282"/>
        <v>17184375</v>
      </c>
      <c r="AN152" s="1042">
        <f t="shared" si="353"/>
        <v>177571875</v>
      </c>
      <c r="AO152" s="1042">
        <f t="shared" si="354"/>
        <v>5728125</v>
      </c>
      <c r="AP152" s="1042">
        <f t="shared" si="355"/>
        <v>22912500</v>
      </c>
      <c r="AQ152" s="1042">
        <f t="shared" si="375"/>
        <v>183300000</v>
      </c>
      <c r="AR152" s="1042">
        <f t="shared" si="373"/>
        <v>0</v>
      </c>
      <c r="AS152" s="1042">
        <f t="shared" si="356"/>
        <v>0</v>
      </c>
      <c r="AT152" s="1042">
        <f t="shared" si="376"/>
        <v>183300000</v>
      </c>
      <c r="AU152" s="1042">
        <f t="shared" si="357"/>
        <v>0</v>
      </c>
      <c r="AV152" s="1042">
        <f t="shared" si="374"/>
        <v>0</v>
      </c>
      <c r="AW152" s="1042">
        <f t="shared" si="359"/>
        <v>183300000</v>
      </c>
      <c r="AX152" s="1042">
        <f t="shared" si="360"/>
        <v>0</v>
      </c>
      <c r="AY152" s="179"/>
      <c r="AZ152" s="8">
        <f t="shared" si="361"/>
        <v>0</v>
      </c>
      <c r="BB152" s="221"/>
      <c r="BC152" s="179"/>
    </row>
    <row r="153" spans="1:55" s="220" customFormat="1" ht="14.25" customHeight="1">
      <c r="A153" s="17">
        <f t="shared" si="329"/>
        <v>63</v>
      </c>
      <c r="B153" s="56" t="s">
        <v>579</v>
      </c>
      <c r="C153" s="671">
        <v>41640</v>
      </c>
      <c r="D153" s="55">
        <v>8</v>
      </c>
      <c r="E153" s="6">
        <v>15800000</v>
      </c>
      <c r="F153" s="1041">
        <f t="shared" si="363"/>
        <v>1975000</v>
      </c>
      <c r="G153" s="1053"/>
      <c r="H153" s="1042">
        <f t="shared" si="322"/>
        <v>0</v>
      </c>
      <c r="I153" s="1042">
        <f t="shared" si="323"/>
        <v>15800000</v>
      </c>
      <c r="J153" s="1042"/>
      <c r="K153" s="1042">
        <f t="shared" si="291"/>
        <v>0</v>
      </c>
      <c r="L153" s="1042">
        <f t="shared" si="364"/>
        <v>15800000</v>
      </c>
      <c r="M153" s="1042">
        <f t="shared" si="293"/>
        <v>1975000</v>
      </c>
      <c r="N153" s="1042">
        <f t="shared" si="294"/>
        <v>1975000</v>
      </c>
      <c r="O153" s="1042">
        <f t="shared" si="365"/>
        <v>13825000</v>
      </c>
      <c r="P153" s="1042">
        <f t="shared" si="325"/>
        <v>1975000</v>
      </c>
      <c r="Q153" s="1042">
        <f t="shared" si="296"/>
        <v>3950000</v>
      </c>
      <c r="R153" s="1042">
        <f t="shared" si="366"/>
        <v>11850000</v>
      </c>
      <c r="S153" s="1042">
        <f t="shared" si="380"/>
        <v>1975000</v>
      </c>
      <c r="T153" s="1042">
        <f t="shared" si="298"/>
        <v>5925000</v>
      </c>
      <c r="U153" s="1042">
        <f t="shared" si="367"/>
        <v>9875000</v>
      </c>
      <c r="V153" s="1042">
        <f t="shared" si="377"/>
        <v>1975000</v>
      </c>
      <c r="W153" s="1042">
        <f t="shared" si="300"/>
        <v>7900000</v>
      </c>
      <c r="X153" s="1042">
        <f t="shared" si="368"/>
        <v>7900000</v>
      </c>
      <c r="Y153" s="7">
        <v>5925000.0000000019</v>
      </c>
      <c r="Z153" s="7">
        <f t="shared" si="369"/>
        <v>9874999.9999999981</v>
      </c>
      <c r="AA153" s="1042">
        <f t="shared" si="378"/>
        <v>1975000</v>
      </c>
      <c r="AB153" s="1042">
        <f t="shared" si="303"/>
        <v>9875000</v>
      </c>
      <c r="AC153" s="1042">
        <f t="shared" si="370"/>
        <v>5925000</v>
      </c>
      <c r="AD153" s="1042">
        <f t="shared" si="379"/>
        <v>1975000</v>
      </c>
      <c r="AE153" s="1042">
        <f t="shared" si="306"/>
        <v>11850000</v>
      </c>
      <c r="AF153" s="1042">
        <f t="shared" si="371"/>
        <v>3950000</v>
      </c>
      <c r="AG153" s="1042">
        <f t="shared" si="308"/>
        <v>1975000</v>
      </c>
      <c r="AH153" s="1042">
        <f t="shared" si="309"/>
        <v>13825000</v>
      </c>
      <c r="AI153" s="1042">
        <f t="shared" si="372"/>
        <v>1975000</v>
      </c>
      <c r="AJ153" s="1042">
        <f t="shared" si="350"/>
        <v>164583.33333333334</v>
      </c>
      <c r="AK153" s="1042">
        <f t="shared" si="351"/>
        <v>13989583.333333334</v>
      </c>
      <c r="AL153" s="1042">
        <f t="shared" si="352"/>
        <v>1810416.666666666</v>
      </c>
      <c r="AM153" s="1042">
        <f t="shared" ref="AM153:AM154" si="381">(F153/12)*9</f>
        <v>1481250</v>
      </c>
      <c r="AN153" s="1042">
        <f t="shared" si="353"/>
        <v>15306250</v>
      </c>
      <c r="AO153" s="1042">
        <f t="shared" si="354"/>
        <v>493750</v>
      </c>
      <c r="AP153" s="1042">
        <f t="shared" si="355"/>
        <v>1975000</v>
      </c>
      <c r="AQ153" s="1042">
        <f t="shared" si="375"/>
        <v>15800000</v>
      </c>
      <c r="AR153" s="1042">
        <f t="shared" si="373"/>
        <v>0</v>
      </c>
      <c r="AS153" s="1042">
        <f t="shared" si="356"/>
        <v>0</v>
      </c>
      <c r="AT153" s="1042">
        <f t="shared" si="376"/>
        <v>15800000</v>
      </c>
      <c r="AU153" s="1042">
        <f t="shared" si="357"/>
        <v>0</v>
      </c>
      <c r="AV153" s="1042">
        <f t="shared" si="374"/>
        <v>0</v>
      </c>
      <c r="AW153" s="1042">
        <f t="shared" si="359"/>
        <v>15800000</v>
      </c>
      <c r="AX153" s="1042">
        <f t="shared" si="360"/>
        <v>0</v>
      </c>
      <c r="AY153" s="179"/>
      <c r="AZ153" s="8">
        <f t="shared" si="361"/>
        <v>0</v>
      </c>
      <c r="BB153" s="221"/>
      <c r="BC153" s="179"/>
    </row>
    <row r="154" spans="1:55" s="220" customFormat="1" ht="14.25" customHeight="1">
      <c r="A154" s="17">
        <f t="shared" si="329"/>
        <v>64</v>
      </c>
      <c r="B154" s="56" t="s">
        <v>580</v>
      </c>
      <c r="C154" s="671">
        <v>41640</v>
      </c>
      <c r="D154" s="55">
        <v>8</v>
      </c>
      <c r="E154" s="6">
        <v>5300000</v>
      </c>
      <c r="F154" s="1041">
        <f t="shared" si="363"/>
        <v>662500</v>
      </c>
      <c r="G154" s="1053"/>
      <c r="H154" s="1042">
        <f t="shared" si="322"/>
        <v>0</v>
      </c>
      <c r="I154" s="1042">
        <f t="shared" si="323"/>
        <v>5300000</v>
      </c>
      <c r="J154" s="1042"/>
      <c r="K154" s="1042">
        <f t="shared" si="291"/>
        <v>0</v>
      </c>
      <c r="L154" s="1042">
        <f t="shared" si="364"/>
        <v>5300000</v>
      </c>
      <c r="M154" s="1042">
        <f t="shared" si="293"/>
        <v>662500</v>
      </c>
      <c r="N154" s="1042">
        <f t="shared" si="294"/>
        <v>662500</v>
      </c>
      <c r="O154" s="1042">
        <f t="shared" si="365"/>
        <v>4637500</v>
      </c>
      <c r="P154" s="1042">
        <f t="shared" si="325"/>
        <v>662500</v>
      </c>
      <c r="Q154" s="1042">
        <f t="shared" si="296"/>
        <v>1325000</v>
      </c>
      <c r="R154" s="1042">
        <f t="shared" si="366"/>
        <v>3975000</v>
      </c>
      <c r="S154" s="1042">
        <f t="shared" si="380"/>
        <v>662500</v>
      </c>
      <c r="T154" s="1042">
        <f t="shared" si="298"/>
        <v>1987500</v>
      </c>
      <c r="U154" s="1042">
        <f t="shared" si="367"/>
        <v>3312500</v>
      </c>
      <c r="V154" s="1042">
        <f t="shared" si="377"/>
        <v>662500</v>
      </c>
      <c r="W154" s="1042">
        <f t="shared" si="300"/>
        <v>2650000</v>
      </c>
      <c r="X154" s="1042">
        <f t="shared" si="368"/>
        <v>2650000</v>
      </c>
      <c r="Y154" s="7">
        <v>1987499.9999999998</v>
      </c>
      <c r="Z154" s="7">
        <f t="shared" si="369"/>
        <v>3312500</v>
      </c>
      <c r="AA154" s="1042">
        <f t="shared" si="378"/>
        <v>662500</v>
      </c>
      <c r="AB154" s="1042">
        <f t="shared" si="303"/>
        <v>3312500</v>
      </c>
      <c r="AC154" s="1042">
        <f t="shared" si="370"/>
        <v>1987500</v>
      </c>
      <c r="AD154" s="1042">
        <f t="shared" si="379"/>
        <v>662500</v>
      </c>
      <c r="AE154" s="1042">
        <f t="shared" si="306"/>
        <v>3975000</v>
      </c>
      <c r="AF154" s="1042">
        <f t="shared" si="371"/>
        <v>1325000</v>
      </c>
      <c r="AG154" s="1042">
        <f t="shared" si="308"/>
        <v>662500</v>
      </c>
      <c r="AH154" s="1042">
        <f t="shared" si="309"/>
        <v>4637500</v>
      </c>
      <c r="AI154" s="1042">
        <f t="shared" si="372"/>
        <v>662500</v>
      </c>
      <c r="AJ154" s="1042">
        <f t="shared" si="350"/>
        <v>55208.333333333336</v>
      </c>
      <c r="AK154" s="1042">
        <f t="shared" si="351"/>
        <v>4692708.333333333</v>
      </c>
      <c r="AL154" s="1042">
        <f t="shared" si="352"/>
        <v>607291.66666666698</v>
      </c>
      <c r="AM154" s="1042">
        <f t="shared" si="381"/>
        <v>496875</v>
      </c>
      <c r="AN154" s="1042">
        <f t="shared" si="353"/>
        <v>5134375</v>
      </c>
      <c r="AO154" s="1042">
        <f t="shared" si="354"/>
        <v>165625</v>
      </c>
      <c r="AP154" s="1042">
        <f t="shared" si="355"/>
        <v>662500</v>
      </c>
      <c r="AQ154" s="1042">
        <f t="shared" si="375"/>
        <v>5300000</v>
      </c>
      <c r="AR154" s="1042">
        <f t="shared" si="373"/>
        <v>0</v>
      </c>
      <c r="AS154" s="1042">
        <f t="shared" si="356"/>
        <v>0</v>
      </c>
      <c r="AT154" s="1042">
        <f t="shared" si="376"/>
        <v>5300000</v>
      </c>
      <c r="AU154" s="1042">
        <f t="shared" si="357"/>
        <v>0</v>
      </c>
      <c r="AV154" s="1042">
        <f t="shared" si="374"/>
        <v>0</v>
      </c>
      <c r="AW154" s="1042">
        <f t="shared" si="359"/>
        <v>5300000</v>
      </c>
      <c r="AX154" s="1042">
        <f t="shared" si="360"/>
        <v>0</v>
      </c>
      <c r="AY154" s="179"/>
      <c r="AZ154" s="8">
        <f t="shared" si="361"/>
        <v>0</v>
      </c>
      <c r="BB154" s="221"/>
      <c r="BC154" s="179"/>
    </row>
    <row r="155" spans="1:55" s="970" customFormat="1" ht="14.25" hidden="1" customHeight="1">
      <c r="A155" s="17">
        <f t="shared" si="329"/>
        <v>65</v>
      </c>
      <c r="B155" s="909" t="s">
        <v>581</v>
      </c>
      <c r="C155" s="903">
        <v>41640</v>
      </c>
      <c r="D155" s="877">
        <v>8</v>
      </c>
      <c r="E155" s="878">
        <f>14400000*0</f>
        <v>0</v>
      </c>
      <c r="F155" s="879">
        <f t="shared" ref="F155:F186" si="382">E155/D155</f>
        <v>0</v>
      </c>
      <c r="G155" s="880">
        <f t="shared" ref="G155:G172" si="383">(F155/12)*(13-IF(C155="","",MONTH(C155)))</f>
        <v>0</v>
      </c>
      <c r="H155" s="880">
        <f t="shared" ref="H155:H172" si="384">G155</f>
        <v>0</v>
      </c>
      <c r="I155" s="880">
        <f t="shared" ref="I155:I172" si="385">E155-H155</f>
        <v>0</v>
      </c>
      <c r="J155" s="880">
        <f t="shared" ref="J155:J172" si="386">(F155/12)*12</f>
        <v>0</v>
      </c>
      <c r="K155" s="880">
        <f t="shared" ref="K155:K172" si="387">J155+H155</f>
        <v>0</v>
      </c>
      <c r="L155" s="880">
        <f t="shared" ref="L155:L183" si="388">E155-K155</f>
        <v>0</v>
      </c>
      <c r="M155" s="880">
        <f t="shared" ref="M155:M171" si="389">(F155/12)*12</f>
        <v>0</v>
      </c>
      <c r="N155" s="880">
        <f t="shared" ref="N155:N183" si="390">M155+K155</f>
        <v>0</v>
      </c>
      <c r="O155" s="880">
        <f t="shared" ref="O155:O186" si="391">E155-N155</f>
        <v>0</v>
      </c>
      <c r="P155" s="880">
        <f t="shared" ref="P155:P188" si="392">(F155/12)*12</f>
        <v>0</v>
      </c>
      <c r="Q155" s="880">
        <f t="shared" ref="Q155:Q194" si="393">N155+P155</f>
        <v>0</v>
      </c>
      <c r="R155" s="880">
        <f t="shared" ref="R155:R186" si="394">E155-Q155</f>
        <v>0</v>
      </c>
      <c r="S155" s="880">
        <f t="shared" si="380"/>
        <v>0</v>
      </c>
      <c r="T155" s="880">
        <f t="shared" ref="T155:T207" si="395">Q155+S155</f>
        <v>0</v>
      </c>
      <c r="U155" s="880">
        <f t="shared" ref="U155:U186" si="396">E155-T155</f>
        <v>0</v>
      </c>
      <c r="V155" s="880">
        <f t="shared" si="377"/>
        <v>0</v>
      </c>
      <c r="W155" s="880">
        <f t="shared" ref="W155:W218" si="397">T155+V155</f>
        <v>0</v>
      </c>
      <c r="X155" s="880">
        <f t="shared" ref="X155:X186" si="398">E155-W155</f>
        <v>0</v>
      </c>
      <c r="Y155" s="880">
        <f>5400000*0</f>
        <v>0</v>
      </c>
      <c r="Z155" s="880">
        <f t="shared" ref="Z155:Z186" si="399">E155-Y155</f>
        <v>0</v>
      </c>
      <c r="AA155" s="880">
        <f t="shared" si="378"/>
        <v>0</v>
      </c>
      <c r="AB155" s="880">
        <f t="shared" ref="AB155:AB218" si="400">W155+AA155</f>
        <v>0</v>
      </c>
      <c r="AC155" s="880">
        <f t="shared" ref="AC155:AC186" si="401">E155-AB155</f>
        <v>0</v>
      </c>
      <c r="AD155" s="880">
        <f t="shared" si="379"/>
        <v>0</v>
      </c>
      <c r="AE155" s="880">
        <f t="shared" ref="AE155:AE218" si="402">AB155+AD155</f>
        <v>0</v>
      </c>
      <c r="AF155" s="880">
        <f t="shared" ref="AF155:AF186" si="403">E155-AE155</f>
        <v>0</v>
      </c>
      <c r="AG155" s="880">
        <f t="shared" ref="AG155:AG156" si="404">(F155/12)*0</f>
        <v>0</v>
      </c>
      <c r="AH155" s="880">
        <f t="shared" ref="AH155:AH218" si="405">AE155+AG155</f>
        <v>0</v>
      </c>
      <c r="AI155" s="880">
        <f t="shared" ref="AI155:AI186" si="406">E155-AH155</f>
        <v>0</v>
      </c>
      <c r="AJ155" s="880"/>
      <c r="AK155" s="880"/>
      <c r="AL155" s="880"/>
      <c r="AM155" s="880"/>
      <c r="AN155" s="880"/>
      <c r="AO155" s="880"/>
      <c r="AP155" s="880">
        <f t="shared" ref="AP155:AP156" si="407">(F155/12)*0</f>
        <v>0</v>
      </c>
      <c r="AQ155" s="880">
        <f t="shared" si="375"/>
        <v>0</v>
      </c>
      <c r="AR155" s="880">
        <f t="shared" ref="AR155:AR186" si="408">E155-AQ155</f>
        <v>0</v>
      </c>
      <c r="AS155" s="896">
        <f t="shared" ref="AS155:AS195" si="409">(F155/12)*1</f>
        <v>0</v>
      </c>
      <c r="AT155" s="896">
        <f t="shared" si="376"/>
        <v>0</v>
      </c>
      <c r="AU155" s="896"/>
      <c r="AV155" s="896"/>
      <c r="AW155" s="896"/>
      <c r="AX155" s="896"/>
      <c r="AY155" s="969"/>
      <c r="AZ155" s="881">
        <f t="shared" ref="AZ155:AZ195" si="410">E155-AQ155-AR155</f>
        <v>0</v>
      </c>
      <c r="BB155" s="971"/>
      <c r="BC155" s="969"/>
    </row>
    <row r="156" spans="1:55" s="970" customFormat="1" ht="14.25" hidden="1" customHeight="1">
      <c r="A156" s="17">
        <f t="shared" si="329"/>
        <v>66</v>
      </c>
      <c r="B156" s="909" t="s">
        <v>581</v>
      </c>
      <c r="C156" s="903">
        <v>41640</v>
      </c>
      <c r="D156" s="877">
        <v>8</v>
      </c>
      <c r="E156" s="878">
        <f>22300000*0</f>
        <v>0</v>
      </c>
      <c r="F156" s="879">
        <f t="shared" si="382"/>
        <v>0</v>
      </c>
      <c r="G156" s="880">
        <f t="shared" si="383"/>
        <v>0</v>
      </c>
      <c r="H156" s="880">
        <f t="shared" si="384"/>
        <v>0</v>
      </c>
      <c r="I156" s="880">
        <f t="shared" si="385"/>
        <v>0</v>
      </c>
      <c r="J156" s="880">
        <f t="shared" si="386"/>
        <v>0</v>
      </c>
      <c r="K156" s="880">
        <f t="shared" si="387"/>
        <v>0</v>
      </c>
      <c r="L156" s="880">
        <f t="shared" si="388"/>
        <v>0</v>
      </c>
      <c r="M156" s="880">
        <f t="shared" si="389"/>
        <v>0</v>
      </c>
      <c r="N156" s="880">
        <f t="shared" si="390"/>
        <v>0</v>
      </c>
      <c r="O156" s="880">
        <f t="shared" si="391"/>
        <v>0</v>
      </c>
      <c r="P156" s="880">
        <f t="shared" si="392"/>
        <v>0</v>
      </c>
      <c r="Q156" s="880">
        <f t="shared" si="393"/>
        <v>0</v>
      </c>
      <c r="R156" s="880">
        <f t="shared" si="394"/>
        <v>0</v>
      </c>
      <c r="S156" s="880">
        <f t="shared" si="380"/>
        <v>0</v>
      </c>
      <c r="T156" s="880">
        <f t="shared" si="395"/>
        <v>0</v>
      </c>
      <c r="U156" s="880">
        <f t="shared" si="396"/>
        <v>0</v>
      </c>
      <c r="V156" s="880">
        <f t="shared" si="377"/>
        <v>0</v>
      </c>
      <c r="W156" s="880">
        <f t="shared" si="397"/>
        <v>0</v>
      </c>
      <c r="X156" s="880">
        <f t="shared" si="398"/>
        <v>0</v>
      </c>
      <c r="Y156" s="880">
        <f>8362500*0</f>
        <v>0</v>
      </c>
      <c r="Z156" s="880">
        <f t="shared" si="399"/>
        <v>0</v>
      </c>
      <c r="AA156" s="880">
        <f t="shared" si="378"/>
        <v>0</v>
      </c>
      <c r="AB156" s="880">
        <f t="shared" si="400"/>
        <v>0</v>
      </c>
      <c r="AC156" s="880">
        <f t="shared" si="401"/>
        <v>0</v>
      </c>
      <c r="AD156" s="880">
        <f t="shared" si="379"/>
        <v>0</v>
      </c>
      <c r="AE156" s="880">
        <f t="shared" si="402"/>
        <v>0</v>
      </c>
      <c r="AF156" s="880">
        <f t="shared" si="403"/>
        <v>0</v>
      </c>
      <c r="AG156" s="880">
        <f t="shared" si="404"/>
        <v>0</v>
      </c>
      <c r="AH156" s="880">
        <f t="shared" si="405"/>
        <v>0</v>
      </c>
      <c r="AI156" s="880">
        <f t="shared" si="406"/>
        <v>0</v>
      </c>
      <c r="AJ156" s="880"/>
      <c r="AK156" s="880"/>
      <c r="AL156" s="880"/>
      <c r="AM156" s="880"/>
      <c r="AN156" s="880"/>
      <c r="AO156" s="880"/>
      <c r="AP156" s="880">
        <f t="shared" si="407"/>
        <v>0</v>
      </c>
      <c r="AQ156" s="880">
        <f t="shared" si="375"/>
        <v>0</v>
      </c>
      <c r="AR156" s="880">
        <f t="shared" si="408"/>
        <v>0</v>
      </c>
      <c r="AS156" s="896">
        <f t="shared" si="409"/>
        <v>0</v>
      </c>
      <c r="AT156" s="896">
        <f t="shared" si="376"/>
        <v>0</v>
      </c>
      <c r="AU156" s="896"/>
      <c r="AV156" s="896"/>
      <c r="AW156" s="896"/>
      <c r="AX156" s="896"/>
      <c r="AY156" s="969"/>
      <c r="AZ156" s="881">
        <f t="shared" si="410"/>
        <v>0</v>
      </c>
      <c r="BB156" s="971"/>
      <c r="BC156" s="969"/>
    </row>
    <row r="157" spans="1:55" s="220" customFormat="1" ht="14.25" customHeight="1">
      <c r="A157" s="17">
        <f t="shared" ref="A157:A220" si="411">A156+1</f>
        <v>67</v>
      </c>
      <c r="B157" s="909" t="s">
        <v>581</v>
      </c>
      <c r="C157" s="671">
        <v>41640</v>
      </c>
      <c r="D157" s="55">
        <v>8</v>
      </c>
      <c r="E157" s="6">
        <f>68300000+14400000+22300000</f>
        <v>105000000</v>
      </c>
      <c r="F157" s="1041">
        <f t="shared" si="382"/>
        <v>13125000</v>
      </c>
      <c r="G157" s="1053"/>
      <c r="H157" s="1042">
        <f t="shared" si="384"/>
        <v>0</v>
      </c>
      <c r="I157" s="1042">
        <f t="shared" si="385"/>
        <v>105000000</v>
      </c>
      <c r="J157" s="1042"/>
      <c r="K157" s="1042">
        <f t="shared" si="387"/>
        <v>0</v>
      </c>
      <c r="L157" s="1042">
        <f t="shared" si="388"/>
        <v>105000000</v>
      </c>
      <c r="M157" s="1042">
        <f t="shared" si="389"/>
        <v>13125000</v>
      </c>
      <c r="N157" s="1042">
        <f t="shared" si="390"/>
        <v>13125000</v>
      </c>
      <c r="O157" s="1042">
        <f t="shared" si="391"/>
        <v>91875000</v>
      </c>
      <c r="P157" s="1042">
        <f t="shared" si="392"/>
        <v>13125000</v>
      </c>
      <c r="Q157" s="1042">
        <f t="shared" si="393"/>
        <v>26250000</v>
      </c>
      <c r="R157" s="1042">
        <f t="shared" si="394"/>
        <v>78750000</v>
      </c>
      <c r="S157" s="1042">
        <f t="shared" si="380"/>
        <v>13125000</v>
      </c>
      <c r="T157" s="1042">
        <f t="shared" si="395"/>
        <v>39375000</v>
      </c>
      <c r="U157" s="1042">
        <f t="shared" si="396"/>
        <v>65625000</v>
      </c>
      <c r="V157" s="1042">
        <f t="shared" si="377"/>
        <v>13125000</v>
      </c>
      <c r="W157" s="1042">
        <f t="shared" si="397"/>
        <v>52500000</v>
      </c>
      <c r="X157" s="1042">
        <f t="shared" si="398"/>
        <v>52500000</v>
      </c>
      <c r="Y157" s="7">
        <f>25612500+5400000+8362500</f>
        <v>39375000</v>
      </c>
      <c r="Z157" s="7">
        <f t="shared" si="399"/>
        <v>65625000</v>
      </c>
      <c r="AA157" s="1042">
        <f t="shared" si="378"/>
        <v>13125000</v>
      </c>
      <c r="AB157" s="1042">
        <f t="shared" si="400"/>
        <v>65625000</v>
      </c>
      <c r="AC157" s="1042">
        <f t="shared" si="401"/>
        <v>39375000</v>
      </c>
      <c r="AD157" s="1042">
        <f t="shared" si="379"/>
        <v>13125000</v>
      </c>
      <c r="AE157" s="1042">
        <f t="shared" si="402"/>
        <v>78750000</v>
      </c>
      <c r="AF157" s="1042">
        <f t="shared" si="403"/>
        <v>26250000</v>
      </c>
      <c r="AG157" s="1042">
        <f t="shared" ref="AG157:AG160" si="412">(F157/12)*12</f>
        <v>13125000</v>
      </c>
      <c r="AH157" s="1042">
        <f t="shared" si="405"/>
        <v>91875000</v>
      </c>
      <c r="AI157" s="1042">
        <f t="shared" si="406"/>
        <v>13125000</v>
      </c>
      <c r="AJ157" s="1042">
        <f t="shared" ref="AJ157:AJ158" si="413">(F157/12)*1</f>
        <v>1093750</v>
      </c>
      <c r="AK157" s="1042">
        <f t="shared" ref="AK157:AK158" si="414">AH157+AJ157</f>
        <v>92968750</v>
      </c>
      <c r="AL157" s="1042">
        <f t="shared" ref="AL157:AL158" si="415">E157-AK157</f>
        <v>12031250</v>
      </c>
      <c r="AM157" s="1042">
        <f t="shared" ref="AM157:AM158" si="416">(F157/12)*9</f>
        <v>9843750</v>
      </c>
      <c r="AN157" s="1042">
        <f t="shared" ref="AN157:AN158" si="417">AH157+AM157</f>
        <v>101718750</v>
      </c>
      <c r="AO157" s="1042">
        <f t="shared" ref="AO157:AO158" si="418">E157-AN157</f>
        <v>3281250</v>
      </c>
      <c r="AP157" s="1042">
        <f t="shared" ref="AP157:AP158" si="419">(F157/12)*12</f>
        <v>13125000</v>
      </c>
      <c r="AQ157" s="1042">
        <f t="shared" si="375"/>
        <v>105000000</v>
      </c>
      <c r="AR157" s="1042">
        <f t="shared" si="408"/>
        <v>0</v>
      </c>
      <c r="AS157" s="1042">
        <f t="shared" ref="AS157:AS158" si="420">(F157/12)*0</f>
        <v>0</v>
      </c>
      <c r="AT157" s="1042">
        <f t="shared" si="376"/>
        <v>105000000</v>
      </c>
      <c r="AU157" s="1042">
        <f t="shared" ref="AU157:AU158" si="421">E157-AT157</f>
        <v>0</v>
      </c>
      <c r="AV157" s="1042">
        <f>(F157/12)*0</f>
        <v>0</v>
      </c>
      <c r="AW157" s="1042">
        <f t="shared" ref="AW157:AW158" si="422">AQ157+AV157</f>
        <v>105000000</v>
      </c>
      <c r="AX157" s="1042">
        <f t="shared" ref="AX157:AX158" si="423">E157-AW157</f>
        <v>0</v>
      </c>
      <c r="AY157" s="179"/>
      <c r="AZ157" s="8">
        <f t="shared" ref="AZ157:AZ158" si="424">E157-AW157-AX157</f>
        <v>0</v>
      </c>
      <c r="BB157" s="221"/>
      <c r="BC157" s="179"/>
    </row>
    <row r="158" spans="1:55" s="220" customFormat="1" ht="14.25" customHeight="1">
      <c r="A158" s="17">
        <f t="shared" si="411"/>
        <v>68</v>
      </c>
      <c r="B158" s="909" t="s">
        <v>582</v>
      </c>
      <c r="C158" s="671">
        <v>41640</v>
      </c>
      <c r="D158" s="55">
        <v>8</v>
      </c>
      <c r="E158" s="6">
        <f>31400000+30300000+15200000</f>
        <v>76900000</v>
      </c>
      <c r="F158" s="1041">
        <f t="shared" si="382"/>
        <v>9612500</v>
      </c>
      <c r="G158" s="1053"/>
      <c r="H158" s="1042">
        <f t="shared" si="384"/>
        <v>0</v>
      </c>
      <c r="I158" s="1042">
        <f t="shared" si="385"/>
        <v>76900000</v>
      </c>
      <c r="J158" s="1042"/>
      <c r="K158" s="1042">
        <f t="shared" si="387"/>
        <v>0</v>
      </c>
      <c r="L158" s="1042">
        <f t="shared" si="388"/>
        <v>76900000</v>
      </c>
      <c r="M158" s="1042">
        <f t="shared" si="389"/>
        <v>9612500</v>
      </c>
      <c r="N158" s="1042">
        <f t="shared" si="390"/>
        <v>9612500</v>
      </c>
      <c r="O158" s="1042">
        <f t="shared" si="391"/>
        <v>67287500</v>
      </c>
      <c r="P158" s="1042">
        <f t="shared" si="392"/>
        <v>9612500</v>
      </c>
      <c r="Q158" s="1042">
        <f t="shared" si="393"/>
        <v>19225000</v>
      </c>
      <c r="R158" s="1042">
        <f t="shared" si="394"/>
        <v>57675000</v>
      </c>
      <c r="S158" s="1042">
        <f t="shared" si="380"/>
        <v>9612500</v>
      </c>
      <c r="T158" s="1042">
        <f t="shared" si="395"/>
        <v>28837500</v>
      </c>
      <c r="U158" s="1042">
        <f t="shared" si="396"/>
        <v>48062500</v>
      </c>
      <c r="V158" s="1042">
        <f t="shared" si="377"/>
        <v>9612500</v>
      </c>
      <c r="W158" s="1042">
        <f t="shared" si="397"/>
        <v>38450000</v>
      </c>
      <c r="X158" s="1042">
        <f t="shared" si="398"/>
        <v>38450000</v>
      </c>
      <c r="Y158" s="7">
        <v>11774999.999999996</v>
      </c>
      <c r="Z158" s="7">
        <f t="shared" si="399"/>
        <v>65125000</v>
      </c>
      <c r="AA158" s="1042">
        <f t="shared" si="378"/>
        <v>9612500</v>
      </c>
      <c r="AB158" s="1042">
        <f t="shared" si="400"/>
        <v>48062500</v>
      </c>
      <c r="AC158" s="1042">
        <f t="shared" si="401"/>
        <v>28837500</v>
      </c>
      <c r="AD158" s="1042">
        <f t="shared" si="379"/>
        <v>9612500</v>
      </c>
      <c r="AE158" s="1042">
        <f t="shared" si="402"/>
        <v>57675000</v>
      </c>
      <c r="AF158" s="1042">
        <f t="shared" si="403"/>
        <v>19225000</v>
      </c>
      <c r="AG158" s="1042">
        <f t="shared" si="412"/>
        <v>9612500</v>
      </c>
      <c r="AH158" s="1042">
        <f t="shared" si="405"/>
        <v>67287500</v>
      </c>
      <c r="AI158" s="1042">
        <f t="shared" si="406"/>
        <v>9612500</v>
      </c>
      <c r="AJ158" s="1042">
        <f t="shared" si="413"/>
        <v>801041.66666666663</v>
      </c>
      <c r="AK158" s="1042">
        <f t="shared" si="414"/>
        <v>68088541.666666672</v>
      </c>
      <c r="AL158" s="1042">
        <f t="shared" si="415"/>
        <v>8811458.3333333284</v>
      </c>
      <c r="AM158" s="1042">
        <f t="shared" si="416"/>
        <v>7209375</v>
      </c>
      <c r="AN158" s="1042">
        <f t="shared" si="417"/>
        <v>74496875</v>
      </c>
      <c r="AO158" s="1042">
        <f t="shared" si="418"/>
        <v>2403125</v>
      </c>
      <c r="AP158" s="1042">
        <f t="shared" si="419"/>
        <v>9612500</v>
      </c>
      <c r="AQ158" s="1042">
        <f t="shared" si="375"/>
        <v>76900000</v>
      </c>
      <c r="AR158" s="1042">
        <f t="shared" si="408"/>
        <v>0</v>
      </c>
      <c r="AS158" s="1042">
        <f t="shared" si="420"/>
        <v>0</v>
      </c>
      <c r="AT158" s="1042">
        <f t="shared" si="376"/>
        <v>76900000</v>
      </c>
      <c r="AU158" s="1042">
        <f t="shared" si="421"/>
        <v>0</v>
      </c>
      <c r="AV158" s="1042">
        <f>(F158/12)*0</f>
        <v>0</v>
      </c>
      <c r="AW158" s="1042">
        <f t="shared" si="422"/>
        <v>76900000</v>
      </c>
      <c r="AX158" s="1042">
        <f t="shared" si="423"/>
        <v>0</v>
      </c>
      <c r="AY158" s="179"/>
      <c r="AZ158" s="8">
        <f t="shared" si="424"/>
        <v>0</v>
      </c>
      <c r="BB158" s="221"/>
      <c r="BC158" s="179"/>
    </row>
    <row r="159" spans="1:55" s="970" customFormat="1" ht="14.25" hidden="1" customHeight="1">
      <c r="A159" s="17">
        <f t="shared" si="411"/>
        <v>69</v>
      </c>
      <c r="B159" s="909" t="s">
        <v>582</v>
      </c>
      <c r="C159" s="903">
        <v>41640</v>
      </c>
      <c r="D159" s="877">
        <v>8</v>
      </c>
      <c r="E159" s="878">
        <f>30300000*0</f>
        <v>0</v>
      </c>
      <c r="F159" s="879">
        <f t="shared" si="382"/>
        <v>0</v>
      </c>
      <c r="G159" s="880"/>
      <c r="H159" s="880">
        <f t="shared" si="384"/>
        <v>0</v>
      </c>
      <c r="I159" s="880">
        <f t="shared" si="385"/>
        <v>0</v>
      </c>
      <c r="J159" s="880"/>
      <c r="K159" s="880">
        <f t="shared" si="387"/>
        <v>0</v>
      </c>
      <c r="L159" s="880">
        <f t="shared" si="388"/>
        <v>0</v>
      </c>
      <c r="M159" s="880">
        <f t="shared" si="389"/>
        <v>0</v>
      </c>
      <c r="N159" s="880">
        <f t="shared" si="390"/>
        <v>0</v>
      </c>
      <c r="O159" s="880">
        <f t="shared" si="391"/>
        <v>0</v>
      </c>
      <c r="P159" s="880">
        <f t="shared" si="392"/>
        <v>0</v>
      </c>
      <c r="Q159" s="880">
        <f t="shared" si="393"/>
        <v>0</v>
      </c>
      <c r="R159" s="880">
        <f t="shared" si="394"/>
        <v>0</v>
      </c>
      <c r="S159" s="880">
        <f t="shared" si="380"/>
        <v>0</v>
      </c>
      <c r="T159" s="880">
        <f t="shared" si="395"/>
        <v>0</v>
      </c>
      <c r="U159" s="880">
        <f t="shared" si="396"/>
        <v>0</v>
      </c>
      <c r="V159" s="880">
        <f t="shared" si="377"/>
        <v>0</v>
      </c>
      <c r="W159" s="880">
        <f t="shared" si="397"/>
        <v>0</v>
      </c>
      <c r="X159" s="880">
        <f t="shared" si="398"/>
        <v>0</v>
      </c>
      <c r="Y159" s="7">
        <v>11362500</v>
      </c>
      <c r="Z159" s="7">
        <f t="shared" si="399"/>
        <v>-11362500</v>
      </c>
      <c r="AA159" s="880">
        <f t="shared" si="378"/>
        <v>0</v>
      </c>
      <c r="AB159" s="880">
        <f t="shared" si="400"/>
        <v>0</v>
      </c>
      <c r="AC159" s="880">
        <f t="shared" si="401"/>
        <v>0</v>
      </c>
      <c r="AD159" s="880">
        <f t="shared" si="379"/>
        <v>0</v>
      </c>
      <c r="AE159" s="880">
        <f t="shared" si="402"/>
        <v>0</v>
      </c>
      <c r="AF159" s="880">
        <f t="shared" si="403"/>
        <v>0</v>
      </c>
      <c r="AG159" s="880">
        <f t="shared" si="412"/>
        <v>0</v>
      </c>
      <c r="AH159" s="880">
        <f t="shared" si="405"/>
        <v>0</v>
      </c>
      <c r="AI159" s="880">
        <f t="shared" si="406"/>
        <v>0</v>
      </c>
      <c r="AJ159" s="880"/>
      <c r="AK159" s="880"/>
      <c r="AL159" s="880"/>
      <c r="AM159" s="880"/>
      <c r="AN159" s="880"/>
      <c r="AO159" s="880"/>
      <c r="AP159" s="880">
        <f t="shared" ref="AP159:AP160" si="425">(F159/12)*7</f>
        <v>0</v>
      </c>
      <c r="AQ159" s="880">
        <f t="shared" si="375"/>
        <v>0</v>
      </c>
      <c r="AR159" s="880">
        <f t="shared" si="408"/>
        <v>0</v>
      </c>
      <c r="AS159" s="896">
        <f t="shared" si="409"/>
        <v>0</v>
      </c>
      <c r="AT159" s="896">
        <f t="shared" si="376"/>
        <v>0</v>
      </c>
      <c r="AU159" s="896"/>
      <c r="AV159" s="896"/>
      <c r="AW159" s="896"/>
      <c r="AX159" s="896"/>
      <c r="AY159" s="969"/>
      <c r="AZ159" s="881">
        <f t="shared" si="410"/>
        <v>0</v>
      </c>
      <c r="BB159" s="971"/>
      <c r="BC159" s="969"/>
    </row>
    <row r="160" spans="1:55" s="970" customFormat="1" ht="14.25" hidden="1" customHeight="1">
      <c r="A160" s="17">
        <f t="shared" si="411"/>
        <v>70</v>
      </c>
      <c r="B160" s="909" t="s">
        <v>582</v>
      </c>
      <c r="C160" s="903">
        <v>41640</v>
      </c>
      <c r="D160" s="877">
        <v>8</v>
      </c>
      <c r="E160" s="878">
        <f>15200000*0</f>
        <v>0</v>
      </c>
      <c r="F160" s="879">
        <f t="shared" si="382"/>
        <v>0</v>
      </c>
      <c r="G160" s="880"/>
      <c r="H160" s="880">
        <f t="shared" si="384"/>
        <v>0</v>
      </c>
      <c r="I160" s="880">
        <f t="shared" si="385"/>
        <v>0</v>
      </c>
      <c r="J160" s="880"/>
      <c r="K160" s="880">
        <f t="shared" si="387"/>
        <v>0</v>
      </c>
      <c r="L160" s="880">
        <f t="shared" si="388"/>
        <v>0</v>
      </c>
      <c r="M160" s="880">
        <f t="shared" si="389"/>
        <v>0</v>
      </c>
      <c r="N160" s="880">
        <f t="shared" si="390"/>
        <v>0</v>
      </c>
      <c r="O160" s="880">
        <f t="shared" si="391"/>
        <v>0</v>
      </c>
      <c r="P160" s="880">
        <f t="shared" si="392"/>
        <v>0</v>
      </c>
      <c r="Q160" s="880">
        <f t="shared" si="393"/>
        <v>0</v>
      </c>
      <c r="R160" s="880">
        <f t="shared" si="394"/>
        <v>0</v>
      </c>
      <c r="S160" s="880">
        <f t="shared" si="380"/>
        <v>0</v>
      </c>
      <c r="T160" s="880">
        <f t="shared" si="395"/>
        <v>0</v>
      </c>
      <c r="U160" s="880">
        <f t="shared" si="396"/>
        <v>0</v>
      </c>
      <c r="V160" s="880">
        <f t="shared" si="377"/>
        <v>0</v>
      </c>
      <c r="W160" s="880">
        <f t="shared" si="397"/>
        <v>0</v>
      </c>
      <c r="X160" s="880">
        <f t="shared" si="398"/>
        <v>0</v>
      </c>
      <c r="Y160" s="7">
        <v>5700000.0000000019</v>
      </c>
      <c r="Z160" s="7">
        <f t="shared" si="399"/>
        <v>-5700000.0000000019</v>
      </c>
      <c r="AA160" s="880">
        <f t="shared" si="378"/>
        <v>0</v>
      </c>
      <c r="AB160" s="880">
        <f t="shared" si="400"/>
        <v>0</v>
      </c>
      <c r="AC160" s="880">
        <f t="shared" si="401"/>
        <v>0</v>
      </c>
      <c r="AD160" s="880">
        <f t="shared" si="379"/>
        <v>0</v>
      </c>
      <c r="AE160" s="880">
        <f t="shared" si="402"/>
        <v>0</v>
      </c>
      <c r="AF160" s="880">
        <f t="shared" si="403"/>
        <v>0</v>
      </c>
      <c r="AG160" s="880">
        <f t="shared" si="412"/>
        <v>0</v>
      </c>
      <c r="AH160" s="880">
        <f t="shared" si="405"/>
        <v>0</v>
      </c>
      <c r="AI160" s="880">
        <f t="shared" si="406"/>
        <v>0</v>
      </c>
      <c r="AJ160" s="880"/>
      <c r="AK160" s="880"/>
      <c r="AL160" s="880"/>
      <c r="AM160" s="880"/>
      <c r="AN160" s="880"/>
      <c r="AO160" s="880"/>
      <c r="AP160" s="880">
        <f t="shared" si="425"/>
        <v>0</v>
      </c>
      <c r="AQ160" s="880">
        <f t="shared" si="375"/>
        <v>0</v>
      </c>
      <c r="AR160" s="880">
        <f t="shared" si="408"/>
        <v>0</v>
      </c>
      <c r="AS160" s="896">
        <f t="shared" si="409"/>
        <v>0</v>
      </c>
      <c r="AT160" s="896">
        <f t="shared" si="376"/>
        <v>0</v>
      </c>
      <c r="AU160" s="896"/>
      <c r="AV160" s="896"/>
      <c r="AW160" s="896"/>
      <c r="AX160" s="896"/>
      <c r="AY160" s="969"/>
      <c r="AZ160" s="881">
        <f t="shared" si="410"/>
        <v>0</v>
      </c>
      <c r="BB160" s="971"/>
      <c r="BC160" s="969"/>
    </row>
    <row r="161" spans="1:55" s="970" customFormat="1" ht="14.25" hidden="1" customHeight="1">
      <c r="A161" s="17">
        <f t="shared" si="411"/>
        <v>71</v>
      </c>
      <c r="B161" s="909" t="s">
        <v>583</v>
      </c>
      <c r="C161" s="903">
        <v>41640</v>
      </c>
      <c r="D161" s="877">
        <v>8</v>
      </c>
      <c r="E161" s="878">
        <f>10300000*0</f>
        <v>0</v>
      </c>
      <c r="F161" s="879">
        <f t="shared" si="382"/>
        <v>0</v>
      </c>
      <c r="G161" s="880">
        <f t="shared" si="383"/>
        <v>0</v>
      </c>
      <c r="H161" s="880">
        <f t="shared" si="384"/>
        <v>0</v>
      </c>
      <c r="I161" s="880">
        <f t="shared" si="385"/>
        <v>0</v>
      </c>
      <c r="J161" s="880">
        <f t="shared" si="386"/>
        <v>0</v>
      </c>
      <c r="K161" s="880">
        <f t="shared" si="387"/>
        <v>0</v>
      </c>
      <c r="L161" s="880">
        <f t="shared" si="388"/>
        <v>0</v>
      </c>
      <c r="M161" s="880">
        <f t="shared" si="389"/>
        <v>0</v>
      </c>
      <c r="N161" s="880">
        <f t="shared" si="390"/>
        <v>0</v>
      </c>
      <c r="O161" s="880">
        <f t="shared" si="391"/>
        <v>0</v>
      </c>
      <c r="P161" s="880">
        <f t="shared" si="392"/>
        <v>0</v>
      </c>
      <c r="Q161" s="880">
        <f t="shared" si="393"/>
        <v>0</v>
      </c>
      <c r="R161" s="880">
        <f t="shared" si="394"/>
        <v>0</v>
      </c>
      <c r="S161" s="880">
        <f t="shared" si="380"/>
        <v>0</v>
      </c>
      <c r="T161" s="880">
        <f t="shared" si="395"/>
        <v>0</v>
      </c>
      <c r="U161" s="880">
        <f t="shared" si="396"/>
        <v>0</v>
      </c>
      <c r="V161" s="880">
        <f t="shared" si="377"/>
        <v>0</v>
      </c>
      <c r="W161" s="880">
        <f t="shared" si="397"/>
        <v>0</v>
      </c>
      <c r="X161" s="880">
        <f t="shared" si="398"/>
        <v>0</v>
      </c>
      <c r="Y161" s="880">
        <f>3862500*0</f>
        <v>0</v>
      </c>
      <c r="Z161" s="880">
        <f t="shared" si="399"/>
        <v>0</v>
      </c>
      <c r="AA161" s="880">
        <f t="shared" si="378"/>
        <v>0</v>
      </c>
      <c r="AB161" s="880">
        <f t="shared" si="400"/>
        <v>0</v>
      </c>
      <c r="AC161" s="880">
        <f t="shared" si="401"/>
        <v>0</v>
      </c>
      <c r="AD161" s="880">
        <f t="shared" si="379"/>
        <v>0</v>
      </c>
      <c r="AE161" s="880">
        <f t="shared" si="402"/>
        <v>0</v>
      </c>
      <c r="AF161" s="880">
        <f t="shared" si="403"/>
        <v>0</v>
      </c>
      <c r="AG161" s="880">
        <f t="shared" ref="AG161:AG172" si="426">(F161/12)*0</f>
        <v>0</v>
      </c>
      <c r="AH161" s="880">
        <f t="shared" si="405"/>
        <v>0</v>
      </c>
      <c r="AI161" s="880">
        <f t="shared" si="406"/>
        <v>0</v>
      </c>
      <c r="AJ161" s="880"/>
      <c r="AK161" s="880"/>
      <c r="AL161" s="880"/>
      <c r="AM161" s="880"/>
      <c r="AN161" s="880"/>
      <c r="AO161" s="880"/>
      <c r="AP161" s="880">
        <f t="shared" ref="AP161:AP183" si="427">(F161/12)*0</f>
        <v>0</v>
      </c>
      <c r="AQ161" s="880">
        <f t="shared" si="375"/>
        <v>0</v>
      </c>
      <c r="AR161" s="880">
        <f t="shared" si="408"/>
        <v>0</v>
      </c>
      <c r="AS161" s="896">
        <f t="shared" si="409"/>
        <v>0</v>
      </c>
      <c r="AT161" s="896">
        <f t="shared" si="376"/>
        <v>0</v>
      </c>
      <c r="AU161" s="896"/>
      <c r="AV161" s="896"/>
      <c r="AW161" s="896"/>
      <c r="AX161" s="896"/>
      <c r="AY161" s="969"/>
      <c r="AZ161" s="881">
        <f t="shared" si="410"/>
        <v>0</v>
      </c>
      <c r="BB161" s="971"/>
      <c r="BC161" s="969"/>
    </row>
    <row r="162" spans="1:55" s="970" customFormat="1" ht="14.25" hidden="1" customHeight="1">
      <c r="A162" s="17">
        <f t="shared" si="411"/>
        <v>72</v>
      </c>
      <c r="B162" s="909" t="s">
        <v>583</v>
      </c>
      <c r="C162" s="903">
        <v>41640</v>
      </c>
      <c r="D162" s="877">
        <v>8</v>
      </c>
      <c r="E162" s="878">
        <f>15400000*0</f>
        <v>0</v>
      </c>
      <c r="F162" s="879">
        <f t="shared" si="382"/>
        <v>0</v>
      </c>
      <c r="G162" s="880">
        <f t="shared" si="383"/>
        <v>0</v>
      </c>
      <c r="H162" s="880">
        <f t="shared" si="384"/>
        <v>0</v>
      </c>
      <c r="I162" s="880">
        <f t="shared" si="385"/>
        <v>0</v>
      </c>
      <c r="J162" s="880">
        <f t="shared" si="386"/>
        <v>0</v>
      </c>
      <c r="K162" s="880">
        <f t="shared" si="387"/>
        <v>0</v>
      </c>
      <c r="L162" s="880">
        <f t="shared" si="388"/>
        <v>0</v>
      </c>
      <c r="M162" s="880">
        <f t="shared" si="389"/>
        <v>0</v>
      </c>
      <c r="N162" s="880">
        <f t="shared" si="390"/>
        <v>0</v>
      </c>
      <c r="O162" s="880">
        <f t="shared" si="391"/>
        <v>0</v>
      </c>
      <c r="P162" s="880">
        <f t="shared" si="392"/>
        <v>0</v>
      </c>
      <c r="Q162" s="880">
        <f t="shared" si="393"/>
        <v>0</v>
      </c>
      <c r="R162" s="880">
        <f t="shared" si="394"/>
        <v>0</v>
      </c>
      <c r="S162" s="880">
        <f t="shared" si="380"/>
        <v>0</v>
      </c>
      <c r="T162" s="880">
        <f t="shared" si="395"/>
        <v>0</v>
      </c>
      <c r="U162" s="880">
        <f t="shared" si="396"/>
        <v>0</v>
      </c>
      <c r="V162" s="880">
        <f t="shared" si="377"/>
        <v>0</v>
      </c>
      <c r="W162" s="880">
        <f t="shared" si="397"/>
        <v>0</v>
      </c>
      <c r="X162" s="880">
        <f t="shared" si="398"/>
        <v>0</v>
      </c>
      <c r="Y162" s="880">
        <f>5775000*0</f>
        <v>0</v>
      </c>
      <c r="Z162" s="880">
        <f t="shared" si="399"/>
        <v>0</v>
      </c>
      <c r="AA162" s="880">
        <f t="shared" si="378"/>
        <v>0</v>
      </c>
      <c r="AB162" s="880">
        <f t="shared" si="400"/>
        <v>0</v>
      </c>
      <c r="AC162" s="880">
        <f t="shared" si="401"/>
        <v>0</v>
      </c>
      <c r="AD162" s="880">
        <f t="shared" si="379"/>
        <v>0</v>
      </c>
      <c r="AE162" s="880">
        <f t="shared" si="402"/>
        <v>0</v>
      </c>
      <c r="AF162" s="880">
        <f t="shared" si="403"/>
        <v>0</v>
      </c>
      <c r="AG162" s="880">
        <f t="shared" si="426"/>
        <v>0</v>
      </c>
      <c r="AH162" s="880">
        <f t="shared" si="405"/>
        <v>0</v>
      </c>
      <c r="AI162" s="880">
        <f t="shared" si="406"/>
        <v>0</v>
      </c>
      <c r="AJ162" s="880"/>
      <c r="AK162" s="880"/>
      <c r="AL162" s="880"/>
      <c r="AM162" s="880"/>
      <c r="AN162" s="880"/>
      <c r="AO162" s="880"/>
      <c r="AP162" s="880">
        <f t="shared" si="427"/>
        <v>0</v>
      </c>
      <c r="AQ162" s="880">
        <f t="shared" si="375"/>
        <v>0</v>
      </c>
      <c r="AR162" s="880">
        <f t="shared" si="408"/>
        <v>0</v>
      </c>
      <c r="AS162" s="896">
        <f t="shared" si="409"/>
        <v>0</v>
      </c>
      <c r="AT162" s="896">
        <f t="shared" si="376"/>
        <v>0</v>
      </c>
      <c r="AU162" s="896"/>
      <c r="AV162" s="896"/>
      <c r="AW162" s="896"/>
      <c r="AX162" s="896"/>
      <c r="AY162" s="969"/>
      <c r="AZ162" s="881">
        <f t="shared" si="410"/>
        <v>0</v>
      </c>
      <c r="BB162" s="971"/>
      <c r="BC162" s="969"/>
    </row>
    <row r="163" spans="1:55" s="220" customFormat="1" ht="14.25" customHeight="1">
      <c r="A163" s="17">
        <f t="shared" si="411"/>
        <v>73</v>
      </c>
      <c r="B163" s="909" t="s">
        <v>583</v>
      </c>
      <c r="C163" s="671">
        <v>41640</v>
      </c>
      <c r="D163" s="55">
        <v>8</v>
      </c>
      <c r="E163" s="6">
        <f>7200000+10300000+15400000</f>
        <v>32900000</v>
      </c>
      <c r="F163" s="1041">
        <f t="shared" si="382"/>
        <v>4112500</v>
      </c>
      <c r="G163" s="1042"/>
      <c r="H163" s="1042">
        <f t="shared" si="384"/>
        <v>0</v>
      </c>
      <c r="I163" s="1042">
        <f t="shared" si="385"/>
        <v>32900000</v>
      </c>
      <c r="J163" s="1042"/>
      <c r="K163" s="1042">
        <f t="shared" si="387"/>
        <v>0</v>
      </c>
      <c r="L163" s="1042">
        <f t="shared" si="388"/>
        <v>32900000</v>
      </c>
      <c r="M163" s="1042">
        <f t="shared" si="389"/>
        <v>4112500</v>
      </c>
      <c r="N163" s="1042">
        <f t="shared" si="390"/>
        <v>4112500</v>
      </c>
      <c r="O163" s="1042">
        <f t="shared" si="391"/>
        <v>28787500</v>
      </c>
      <c r="P163" s="1042">
        <f t="shared" si="392"/>
        <v>4112500</v>
      </c>
      <c r="Q163" s="1042">
        <f t="shared" si="393"/>
        <v>8225000</v>
      </c>
      <c r="R163" s="1042">
        <f t="shared" si="394"/>
        <v>24675000</v>
      </c>
      <c r="S163" s="1042">
        <f t="shared" si="380"/>
        <v>4112500</v>
      </c>
      <c r="T163" s="1042">
        <f t="shared" si="395"/>
        <v>12337500</v>
      </c>
      <c r="U163" s="1042">
        <f t="shared" si="396"/>
        <v>20562500</v>
      </c>
      <c r="V163" s="1042">
        <f t="shared" si="377"/>
        <v>4112500</v>
      </c>
      <c r="W163" s="1042">
        <f t="shared" si="397"/>
        <v>16450000</v>
      </c>
      <c r="X163" s="1042">
        <f t="shared" si="398"/>
        <v>16450000</v>
      </c>
      <c r="Y163" s="7">
        <f>2700000+3862500+5775000</f>
        <v>12337500</v>
      </c>
      <c r="Z163" s="7">
        <f t="shared" si="399"/>
        <v>20562500</v>
      </c>
      <c r="AA163" s="1042">
        <f t="shared" si="378"/>
        <v>4112500</v>
      </c>
      <c r="AB163" s="1042">
        <f t="shared" si="400"/>
        <v>20562500</v>
      </c>
      <c r="AC163" s="1042">
        <f t="shared" si="401"/>
        <v>12337500</v>
      </c>
      <c r="AD163" s="1042">
        <f t="shared" si="379"/>
        <v>4112500</v>
      </c>
      <c r="AE163" s="1042">
        <f t="shared" si="402"/>
        <v>24675000</v>
      </c>
      <c r="AF163" s="1042">
        <f t="shared" si="403"/>
        <v>8225000</v>
      </c>
      <c r="AG163" s="1042">
        <f t="shared" ref="AG163:AG166" si="428">(F163/12)*12</f>
        <v>4112500</v>
      </c>
      <c r="AH163" s="1042">
        <f t="shared" si="405"/>
        <v>28787500</v>
      </c>
      <c r="AI163" s="1042">
        <f t="shared" si="406"/>
        <v>4112500</v>
      </c>
      <c r="AJ163" s="1042">
        <f t="shared" ref="AJ163:AJ164" si="429">(F163/12)*1</f>
        <v>342708.33333333331</v>
      </c>
      <c r="AK163" s="1042">
        <f t="shared" ref="AK163:AK164" si="430">AH163+AJ163</f>
        <v>29130208.333333332</v>
      </c>
      <c r="AL163" s="1042">
        <f t="shared" ref="AL163:AL164" si="431">E163-AK163</f>
        <v>3769791.6666666679</v>
      </c>
      <c r="AM163" s="1042">
        <f t="shared" ref="AM163:AM164" si="432">(F163/12)*9</f>
        <v>3084375</v>
      </c>
      <c r="AN163" s="1042">
        <f t="shared" ref="AN163:AN164" si="433">AH163+AM163</f>
        <v>31871875</v>
      </c>
      <c r="AO163" s="1042">
        <f t="shared" ref="AO163:AO164" si="434">E163-AN163</f>
        <v>1028125</v>
      </c>
      <c r="AP163" s="1042">
        <f t="shared" ref="AP163:AP164" si="435">(F163/12)*12</f>
        <v>4112500</v>
      </c>
      <c r="AQ163" s="1042">
        <f t="shared" si="375"/>
        <v>32900000</v>
      </c>
      <c r="AR163" s="1042">
        <f t="shared" si="408"/>
        <v>0</v>
      </c>
      <c r="AS163" s="1042">
        <f t="shared" ref="AS163:AS164" si="436">(F163/12)*0</f>
        <v>0</v>
      </c>
      <c r="AT163" s="1042">
        <f t="shared" si="376"/>
        <v>32900000</v>
      </c>
      <c r="AU163" s="1042">
        <f t="shared" ref="AU163:AU164" si="437">E163-AT163</f>
        <v>0</v>
      </c>
      <c r="AV163" s="1042">
        <f>(F163/12)*0</f>
        <v>0</v>
      </c>
      <c r="AW163" s="1042">
        <f t="shared" ref="AW163:AW164" si="438">AQ163+AV163</f>
        <v>32900000</v>
      </c>
      <c r="AX163" s="1042">
        <f t="shared" ref="AX163:AX164" si="439">E163-AW163</f>
        <v>0</v>
      </c>
      <c r="AY163" s="179"/>
      <c r="AZ163" s="8">
        <f t="shared" ref="AZ163:AZ164" si="440">E163-AW163-AX163</f>
        <v>0</v>
      </c>
      <c r="BB163" s="229"/>
      <c r="BC163" s="179"/>
    </row>
    <row r="164" spans="1:55" s="220" customFormat="1" ht="14.25" customHeight="1">
      <c r="A164" s="17">
        <f t="shared" si="411"/>
        <v>74</v>
      </c>
      <c r="B164" s="56" t="s">
        <v>584</v>
      </c>
      <c r="C164" s="671">
        <v>41640</v>
      </c>
      <c r="D164" s="55">
        <v>8</v>
      </c>
      <c r="E164" s="6">
        <v>8600000</v>
      </c>
      <c r="F164" s="1041">
        <f t="shared" si="382"/>
        <v>1075000</v>
      </c>
      <c r="G164" s="1053"/>
      <c r="H164" s="1042">
        <f t="shared" si="384"/>
        <v>0</v>
      </c>
      <c r="I164" s="1042">
        <f t="shared" si="385"/>
        <v>8600000</v>
      </c>
      <c r="J164" s="1042"/>
      <c r="K164" s="1042">
        <f t="shared" si="387"/>
        <v>0</v>
      </c>
      <c r="L164" s="1042">
        <f t="shared" si="388"/>
        <v>8600000</v>
      </c>
      <c r="M164" s="1042">
        <f t="shared" si="389"/>
        <v>1075000</v>
      </c>
      <c r="N164" s="1042">
        <f t="shared" si="390"/>
        <v>1075000</v>
      </c>
      <c r="O164" s="1042">
        <f t="shared" si="391"/>
        <v>7525000</v>
      </c>
      <c r="P164" s="1042">
        <f t="shared" si="392"/>
        <v>1075000</v>
      </c>
      <c r="Q164" s="1042">
        <f t="shared" si="393"/>
        <v>2150000</v>
      </c>
      <c r="R164" s="1042">
        <f t="shared" si="394"/>
        <v>6450000</v>
      </c>
      <c r="S164" s="1042">
        <f t="shared" si="380"/>
        <v>1075000</v>
      </c>
      <c r="T164" s="1042">
        <f t="shared" si="395"/>
        <v>3225000</v>
      </c>
      <c r="U164" s="1042">
        <f t="shared" si="396"/>
        <v>5375000</v>
      </c>
      <c r="V164" s="1042">
        <f t="shared" si="377"/>
        <v>1075000</v>
      </c>
      <c r="W164" s="1042">
        <f t="shared" si="397"/>
        <v>4300000</v>
      </c>
      <c r="X164" s="1042">
        <f t="shared" si="398"/>
        <v>4300000</v>
      </c>
      <c r="Y164" s="7">
        <v>3224999.9999999995</v>
      </c>
      <c r="Z164" s="7">
        <f t="shared" si="399"/>
        <v>5375000</v>
      </c>
      <c r="AA164" s="1042">
        <f t="shared" si="378"/>
        <v>1075000</v>
      </c>
      <c r="AB164" s="1042">
        <f t="shared" si="400"/>
        <v>5375000</v>
      </c>
      <c r="AC164" s="1042">
        <f t="shared" si="401"/>
        <v>3225000</v>
      </c>
      <c r="AD164" s="1042">
        <f t="shared" si="379"/>
        <v>1075000</v>
      </c>
      <c r="AE164" s="1042">
        <f t="shared" si="402"/>
        <v>6450000</v>
      </c>
      <c r="AF164" s="1042">
        <f t="shared" si="403"/>
        <v>2150000</v>
      </c>
      <c r="AG164" s="1042">
        <f t="shared" si="428"/>
        <v>1075000</v>
      </c>
      <c r="AH164" s="1042">
        <f t="shared" si="405"/>
        <v>7525000</v>
      </c>
      <c r="AI164" s="1042">
        <f t="shared" si="406"/>
        <v>1075000</v>
      </c>
      <c r="AJ164" s="1042">
        <f t="shared" si="429"/>
        <v>89583.333333333328</v>
      </c>
      <c r="AK164" s="1042">
        <f t="shared" si="430"/>
        <v>7614583.333333333</v>
      </c>
      <c r="AL164" s="1042">
        <f t="shared" si="431"/>
        <v>985416.66666666698</v>
      </c>
      <c r="AM164" s="1042">
        <f t="shared" si="432"/>
        <v>806250</v>
      </c>
      <c r="AN164" s="1042">
        <f t="shared" si="433"/>
        <v>8331250</v>
      </c>
      <c r="AO164" s="1042">
        <f t="shared" si="434"/>
        <v>268750</v>
      </c>
      <c r="AP164" s="1042">
        <f t="shared" si="435"/>
        <v>1075000</v>
      </c>
      <c r="AQ164" s="1042">
        <f t="shared" si="375"/>
        <v>8600000</v>
      </c>
      <c r="AR164" s="1042">
        <f t="shared" si="408"/>
        <v>0</v>
      </c>
      <c r="AS164" s="1042">
        <f t="shared" si="436"/>
        <v>0</v>
      </c>
      <c r="AT164" s="1042">
        <f t="shared" si="376"/>
        <v>8600000</v>
      </c>
      <c r="AU164" s="1042">
        <f t="shared" si="437"/>
        <v>0</v>
      </c>
      <c r="AV164" s="1042">
        <f>(F164/12)*0</f>
        <v>0</v>
      </c>
      <c r="AW164" s="1042">
        <f t="shared" si="438"/>
        <v>8600000</v>
      </c>
      <c r="AX164" s="1042">
        <f t="shared" si="439"/>
        <v>0</v>
      </c>
      <c r="AY164" s="179"/>
      <c r="AZ164" s="8">
        <f t="shared" si="440"/>
        <v>0</v>
      </c>
      <c r="BB164" s="221"/>
      <c r="BC164" s="179"/>
    </row>
    <row r="165" spans="1:55" s="970" customFormat="1" ht="14.25" hidden="1" customHeight="1">
      <c r="A165" s="874">
        <f t="shared" si="411"/>
        <v>75</v>
      </c>
      <c r="B165" s="909" t="s">
        <v>585</v>
      </c>
      <c r="C165" s="903">
        <v>41640</v>
      </c>
      <c r="D165" s="877">
        <v>8</v>
      </c>
      <c r="E165" s="878">
        <f>1500000*0</f>
        <v>0</v>
      </c>
      <c r="F165" s="879">
        <f t="shared" si="382"/>
        <v>0</v>
      </c>
      <c r="G165" s="880"/>
      <c r="H165" s="880">
        <f t="shared" si="384"/>
        <v>0</v>
      </c>
      <c r="I165" s="880">
        <f t="shared" si="385"/>
        <v>0</v>
      </c>
      <c r="J165" s="880"/>
      <c r="K165" s="880">
        <f t="shared" si="387"/>
        <v>0</v>
      </c>
      <c r="L165" s="880">
        <f t="shared" si="388"/>
        <v>0</v>
      </c>
      <c r="M165" s="880">
        <f t="shared" si="389"/>
        <v>0</v>
      </c>
      <c r="N165" s="880">
        <f t="shared" si="390"/>
        <v>0</v>
      </c>
      <c r="O165" s="880">
        <f t="shared" si="391"/>
        <v>0</v>
      </c>
      <c r="P165" s="880">
        <f t="shared" si="392"/>
        <v>0</v>
      </c>
      <c r="Q165" s="880">
        <f t="shared" si="393"/>
        <v>0</v>
      </c>
      <c r="R165" s="880">
        <f t="shared" si="394"/>
        <v>0</v>
      </c>
      <c r="S165" s="880">
        <f t="shared" si="380"/>
        <v>0</v>
      </c>
      <c r="T165" s="880">
        <f t="shared" si="395"/>
        <v>0</v>
      </c>
      <c r="U165" s="880">
        <f t="shared" si="396"/>
        <v>0</v>
      </c>
      <c r="V165" s="880">
        <f t="shared" si="377"/>
        <v>0</v>
      </c>
      <c r="W165" s="880">
        <f t="shared" si="397"/>
        <v>0</v>
      </c>
      <c r="X165" s="880">
        <f t="shared" si="398"/>
        <v>0</v>
      </c>
      <c r="Y165" s="7">
        <v>562500</v>
      </c>
      <c r="Z165" s="7">
        <f t="shared" si="399"/>
        <v>-562500</v>
      </c>
      <c r="AA165" s="880">
        <f t="shared" si="378"/>
        <v>0</v>
      </c>
      <c r="AB165" s="880">
        <f t="shared" si="400"/>
        <v>0</v>
      </c>
      <c r="AC165" s="880">
        <f t="shared" si="401"/>
        <v>0</v>
      </c>
      <c r="AD165" s="880">
        <f t="shared" si="379"/>
        <v>0</v>
      </c>
      <c r="AE165" s="880">
        <f t="shared" si="402"/>
        <v>0</v>
      </c>
      <c r="AF165" s="880">
        <f t="shared" si="403"/>
        <v>0</v>
      </c>
      <c r="AG165" s="880">
        <f t="shared" si="428"/>
        <v>0</v>
      </c>
      <c r="AH165" s="880">
        <f t="shared" si="405"/>
        <v>0</v>
      </c>
      <c r="AI165" s="880">
        <f t="shared" si="406"/>
        <v>0</v>
      </c>
      <c r="AJ165" s="880"/>
      <c r="AK165" s="880"/>
      <c r="AL165" s="880"/>
      <c r="AM165" s="880"/>
      <c r="AN165" s="880"/>
      <c r="AO165" s="880"/>
      <c r="AP165" s="880">
        <f t="shared" ref="AP165" si="441">(F165/12)*7</f>
        <v>0</v>
      </c>
      <c r="AQ165" s="880">
        <f t="shared" si="375"/>
        <v>0</v>
      </c>
      <c r="AR165" s="880">
        <f t="shared" si="408"/>
        <v>0</v>
      </c>
      <c r="AS165" s="896">
        <f t="shared" si="409"/>
        <v>0</v>
      </c>
      <c r="AT165" s="896">
        <f t="shared" si="376"/>
        <v>0</v>
      </c>
      <c r="AU165" s="896"/>
      <c r="AV165" s="896"/>
      <c r="AW165" s="896"/>
      <c r="AX165" s="896"/>
      <c r="AY165" s="969"/>
      <c r="AZ165" s="881">
        <f t="shared" si="410"/>
        <v>0</v>
      </c>
      <c r="BB165" s="971"/>
      <c r="BC165" s="969"/>
    </row>
    <row r="166" spans="1:55" s="220" customFormat="1" ht="14.25" customHeight="1">
      <c r="A166" s="17">
        <f t="shared" si="411"/>
        <v>76</v>
      </c>
      <c r="B166" s="909" t="s">
        <v>586</v>
      </c>
      <c r="C166" s="671">
        <v>41640</v>
      </c>
      <c r="D166" s="55">
        <v>8</v>
      </c>
      <c r="E166" s="6">
        <f>60400000+3600000</f>
        <v>64000000</v>
      </c>
      <c r="F166" s="1041">
        <f t="shared" si="382"/>
        <v>8000000</v>
      </c>
      <c r="G166" s="1042"/>
      <c r="H166" s="1042">
        <f t="shared" si="384"/>
        <v>0</v>
      </c>
      <c r="I166" s="1042">
        <f t="shared" si="385"/>
        <v>64000000</v>
      </c>
      <c r="J166" s="1042"/>
      <c r="K166" s="1042">
        <f t="shared" si="387"/>
        <v>0</v>
      </c>
      <c r="L166" s="1042">
        <f t="shared" si="388"/>
        <v>64000000</v>
      </c>
      <c r="M166" s="1042">
        <f t="shared" si="389"/>
        <v>8000000</v>
      </c>
      <c r="N166" s="1042">
        <f t="shared" si="390"/>
        <v>8000000</v>
      </c>
      <c r="O166" s="1042">
        <f t="shared" si="391"/>
        <v>56000000</v>
      </c>
      <c r="P166" s="1042">
        <f t="shared" si="392"/>
        <v>8000000</v>
      </c>
      <c r="Q166" s="1042">
        <f t="shared" si="393"/>
        <v>16000000</v>
      </c>
      <c r="R166" s="1042">
        <f t="shared" si="394"/>
        <v>48000000</v>
      </c>
      <c r="S166" s="1042">
        <f t="shared" si="380"/>
        <v>8000000</v>
      </c>
      <c r="T166" s="1042">
        <f t="shared" si="395"/>
        <v>24000000</v>
      </c>
      <c r="U166" s="1042">
        <f t="shared" si="396"/>
        <v>40000000</v>
      </c>
      <c r="V166" s="1042">
        <f t="shared" si="377"/>
        <v>8000000</v>
      </c>
      <c r="W166" s="1042">
        <f t="shared" si="397"/>
        <v>32000000</v>
      </c>
      <c r="X166" s="1042">
        <f t="shared" si="398"/>
        <v>32000000</v>
      </c>
      <c r="Y166" s="7">
        <f>22650000+1350000</f>
        <v>24000000</v>
      </c>
      <c r="Z166" s="7">
        <f t="shared" si="399"/>
        <v>40000000</v>
      </c>
      <c r="AA166" s="1042">
        <f t="shared" si="378"/>
        <v>8000000</v>
      </c>
      <c r="AB166" s="1042">
        <f t="shared" si="400"/>
        <v>40000000</v>
      </c>
      <c r="AC166" s="1042">
        <f t="shared" si="401"/>
        <v>24000000</v>
      </c>
      <c r="AD166" s="1042">
        <f t="shared" si="379"/>
        <v>8000000</v>
      </c>
      <c r="AE166" s="1042">
        <f t="shared" si="402"/>
        <v>48000000</v>
      </c>
      <c r="AF166" s="1042">
        <f t="shared" si="403"/>
        <v>16000000</v>
      </c>
      <c r="AG166" s="1042">
        <f t="shared" si="428"/>
        <v>8000000</v>
      </c>
      <c r="AH166" s="1042">
        <f t="shared" si="405"/>
        <v>56000000</v>
      </c>
      <c r="AI166" s="1042">
        <f t="shared" si="406"/>
        <v>8000000</v>
      </c>
      <c r="AJ166" s="1042">
        <f t="shared" ref="AJ166" si="442">(F166/12)*1</f>
        <v>666666.66666666663</v>
      </c>
      <c r="AK166" s="1042">
        <f t="shared" ref="AK166" si="443">AH166+AJ166</f>
        <v>56666666.666666664</v>
      </c>
      <c r="AL166" s="1042">
        <f t="shared" ref="AL166" si="444">E166-AK166</f>
        <v>7333333.3333333358</v>
      </c>
      <c r="AM166" s="1042">
        <f t="shared" ref="AM166" si="445">(F166/12)*9</f>
        <v>6000000</v>
      </c>
      <c r="AN166" s="1042">
        <f t="shared" ref="AN166" si="446">AH166+AM166</f>
        <v>62000000</v>
      </c>
      <c r="AO166" s="1042">
        <f t="shared" ref="AO166" si="447">E166-AN166</f>
        <v>2000000</v>
      </c>
      <c r="AP166" s="1042">
        <f>(F166/12)*12</f>
        <v>8000000</v>
      </c>
      <c r="AQ166" s="1042">
        <f t="shared" si="375"/>
        <v>64000000</v>
      </c>
      <c r="AR166" s="1042">
        <f t="shared" si="408"/>
        <v>0</v>
      </c>
      <c r="AS166" s="1042">
        <f>(F166/12)*0</f>
        <v>0</v>
      </c>
      <c r="AT166" s="1042">
        <f t="shared" si="376"/>
        <v>64000000</v>
      </c>
      <c r="AU166" s="1042">
        <f t="shared" ref="AU166" si="448">E166-AT166</f>
        <v>0</v>
      </c>
      <c r="AV166" s="1042">
        <f>(F166/12)*0</f>
        <v>0</v>
      </c>
      <c r="AW166" s="1042">
        <f t="shared" ref="AW166" si="449">AQ166+AV166</f>
        <v>64000000</v>
      </c>
      <c r="AX166" s="1042">
        <f t="shared" ref="AX166" si="450">E166-AW166</f>
        <v>0</v>
      </c>
      <c r="AY166" s="179"/>
      <c r="AZ166" s="8">
        <f>E166-AW166-AX166</f>
        <v>0</v>
      </c>
      <c r="BB166" s="229"/>
      <c r="BC166" s="179"/>
    </row>
    <row r="167" spans="1:55" s="970" customFormat="1" ht="14.25" hidden="1" customHeight="1">
      <c r="A167" s="17">
        <f t="shared" si="411"/>
        <v>77</v>
      </c>
      <c r="B167" s="909" t="s">
        <v>586</v>
      </c>
      <c r="C167" s="903">
        <v>41640</v>
      </c>
      <c r="D167" s="877">
        <v>8</v>
      </c>
      <c r="E167" s="878">
        <f>3600000*0</f>
        <v>0</v>
      </c>
      <c r="F167" s="879">
        <f t="shared" si="382"/>
        <v>0</v>
      </c>
      <c r="G167" s="880">
        <f t="shared" si="383"/>
        <v>0</v>
      </c>
      <c r="H167" s="880">
        <f t="shared" si="384"/>
        <v>0</v>
      </c>
      <c r="I167" s="880">
        <f t="shared" si="385"/>
        <v>0</v>
      </c>
      <c r="J167" s="880">
        <f t="shared" si="386"/>
        <v>0</v>
      </c>
      <c r="K167" s="880">
        <f t="shared" si="387"/>
        <v>0</v>
      </c>
      <c r="L167" s="880">
        <f t="shared" si="388"/>
        <v>0</v>
      </c>
      <c r="M167" s="880">
        <f t="shared" si="389"/>
        <v>0</v>
      </c>
      <c r="N167" s="880">
        <f t="shared" si="390"/>
        <v>0</v>
      </c>
      <c r="O167" s="880">
        <f t="shared" si="391"/>
        <v>0</v>
      </c>
      <c r="P167" s="880">
        <f t="shared" si="392"/>
        <v>0</v>
      </c>
      <c r="Q167" s="880">
        <f t="shared" si="393"/>
        <v>0</v>
      </c>
      <c r="R167" s="880">
        <f t="shared" si="394"/>
        <v>0</v>
      </c>
      <c r="S167" s="880">
        <f t="shared" si="380"/>
        <v>0</v>
      </c>
      <c r="T167" s="880">
        <f t="shared" si="395"/>
        <v>0</v>
      </c>
      <c r="U167" s="880">
        <f t="shared" si="396"/>
        <v>0</v>
      </c>
      <c r="V167" s="880">
        <f t="shared" si="377"/>
        <v>0</v>
      </c>
      <c r="W167" s="880">
        <f t="shared" si="397"/>
        <v>0</v>
      </c>
      <c r="X167" s="880">
        <f t="shared" si="398"/>
        <v>0</v>
      </c>
      <c r="Y167" s="880">
        <f>1350000*0</f>
        <v>0</v>
      </c>
      <c r="Z167" s="880">
        <f t="shared" si="399"/>
        <v>0</v>
      </c>
      <c r="AA167" s="880">
        <f t="shared" si="378"/>
        <v>0</v>
      </c>
      <c r="AB167" s="880">
        <f t="shared" si="400"/>
        <v>0</v>
      </c>
      <c r="AC167" s="880">
        <f t="shared" si="401"/>
        <v>0</v>
      </c>
      <c r="AD167" s="880">
        <f t="shared" si="379"/>
        <v>0</v>
      </c>
      <c r="AE167" s="880">
        <f t="shared" si="402"/>
        <v>0</v>
      </c>
      <c r="AF167" s="880">
        <f t="shared" si="403"/>
        <v>0</v>
      </c>
      <c r="AG167" s="880">
        <f t="shared" si="426"/>
        <v>0</v>
      </c>
      <c r="AH167" s="880">
        <f t="shared" si="405"/>
        <v>0</v>
      </c>
      <c r="AI167" s="880">
        <f t="shared" si="406"/>
        <v>0</v>
      </c>
      <c r="AJ167" s="880"/>
      <c r="AK167" s="880"/>
      <c r="AL167" s="880"/>
      <c r="AM167" s="880"/>
      <c r="AN167" s="880"/>
      <c r="AO167" s="880"/>
      <c r="AP167" s="880">
        <f t="shared" si="427"/>
        <v>0</v>
      </c>
      <c r="AQ167" s="880">
        <f t="shared" si="375"/>
        <v>0</v>
      </c>
      <c r="AR167" s="880">
        <f t="shared" si="408"/>
        <v>0</v>
      </c>
      <c r="AS167" s="896">
        <f t="shared" si="409"/>
        <v>0</v>
      </c>
      <c r="AT167" s="896">
        <f t="shared" si="376"/>
        <v>0</v>
      </c>
      <c r="AU167" s="896"/>
      <c r="AV167" s="896"/>
      <c r="AW167" s="896"/>
      <c r="AX167" s="896"/>
      <c r="AY167" s="969"/>
      <c r="AZ167" s="881">
        <f t="shared" si="410"/>
        <v>0</v>
      </c>
      <c r="BB167" s="971"/>
      <c r="BC167" s="969"/>
    </row>
    <row r="168" spans="1:55" s="220" customFormat="1" ht="14.25" customHeight="1">
      <c r="A168" s="17">
        <f t="shared" si="411"/>
        <v>78</v>
      </c>
      <c r="B168" s="909" t="s">
        <v>1169</v>
      </c>
      <c r="C168" s="671">
        <v>41640</v>
      </c>
      <c r="D168" s="55">
        <v>8</v>
      </c>
      <c r="E168" s="6">
        <f>600000+1500000</f>
        <v>2100000</v>
      </c>
      <c r="F168" s="1041">
        <f t="shared" si="382"/>
        <v>262500</v>
      </c>
      <c r="G168" s="1053"/>
      <c r="H168" s="1042">
        <f t="shared" si="384"/>
        <v>0</v>
      </c>
      <c r="I168" s="1042">
        <f t="shared" si="385"/>
        <v>2100000</v>
      </c>
      <c r="J168" s="1042"/>
      <c r="K168" s="1042">
        <f t="shared" si="387"/>
        <v>0</v>
      </c>
      <c r="L168" s="1042">
        <f t="shared" si="388"/>
        <v>2100000</v>
      </c>
      <c r="M168" s="1042">
        <f t="shared" si="389"/>
        <v>262500</v>
      </c>
      <c r="N168" s="1042">
        <f t="shared" si="390"/>
        <v>262500</v>
      </c>
      <c r="O168" s="1042">
        <f t="shared" si="391"/>
        <v>1837500</v>
      </c>
      <c r="P168" s="1042">
        <f t="shared" si="392"/>
        <v>262500</v>
      </c>
      <c r="Q168" s="1042">
        <f t="shared" si="393"/>
        <v>525000</v>
      </c>
      <c r="R168" s="1042">
        <f t="shared" si="394"/>
        <v>1575000</v>
      </c>
      <c r="S168" s="1042">
        <f t="shared" si="380"/>
        <v>262500</v>
      </c>
      <c r="T168" s="1042">
        <f t="shared" si="395"/>
        <v>787500</v>
      </c>
      <c r="U168" s="1042">
        <f t="shared" si="396"/>
        <v>1312500</v>
      </c>
      <c r="V168" s="1042">
        <f t="shared" si="377"/>
        <v>262500</v>
      </c>
      <c r="W168" s="1042">
        <f t="shared" si="397"/>
        <v>1050000</v>
      </c>
      <c r="X168" s="1042">
        <f t="shared" si="398"/>
        <v>1050000</v>
      </c>
      <c r="Y168" s="7">
        <v>225000</v>
      </c>
      <c r="Z168" s="7">
        <f t="shared" si="399"/>
        <v>1875000</v>
      </c>
      <c r="AA168" s="1042">
        <f t="shared" si="378"/>
        <v>262500</v>
      </c>
      <c r="AB168" s="1042">
        <f t="shared" si="400"/>
        <v>1312500</v>
      </c>
      <c r="AC168" s="1042">
        <f t="shared" si="401"/>
        <v>787500</v>
      </c>
      <c r="AD168" s="1042">
        <f t="shared" si="379"/>
        <v>262500</v>
      </c>
      <c r="AE168" s="1042">
        <f t="shared" si="402"/>
        <v>1575000</v>
      </c>
      <c r="AF168" s="1042">
        <f t="shared" si="403"/>
        <v>525000</v>
      </c>
      <c r="AG168" s="1042">
        <f t="shared" ref="AG168:AG171" si="451">(F168/12)*12</f>
        <v>262500</v>
      </c>
      <c r="AH168" s="1042">
        <f t="shared" si="405"/>
        <v>1837500</v>
      </c>
      <c r="AI168" s="1042">
        <f t="shared" si="406"/>
        <v>262500</v>
      </c>
      <c r="AJ168" s="1042">
        <f t="shared" ref="AJ168:AJ171" si="452">(F168/12)*1</f>
        <v>21875</v>
      </c>
      <c r="AK168" s="1042">
        <f t="shared" ref="AK168:AK171" si="453">AH168+AJ168</f>
        <v>1859375</v>
      </c>
      <c r="AL168" s="1042">
        <f t="shared" ref="AL168:AL171" si="454">E168-AK168</f>
        <v>240625</v>
      </c>
      <c r="AM168" s="1042">
        <f t="shared" ref="AM168:AM171" si="455">(F168/12)*9</f>
        <v>196875</v>
      </c>
      <c r="AN168" s="1042">
        <f t="shared" ref="AN168:AN171" si="456">AH168+AM168</f>
        <v>2034375</v>
      </c>
      <c r="AO168" s="1042">
        <f t="shared" ref="AO168:AO171" si="457">E168-AN168</f>
        <v>65625</v>
      </c>
      <c r="AP168" s="1042">
        <f t="shared" ref="AP168:AP171" si="458">(F168/12)*12</f>
        <v>262500</v>
      </c>
      <c r="AQ168" s="1042">
        <f t="shared" si="375"/>
        <v>2100000</v>
      </c>
      <c r="AR168" s="1042">
        <f t="shared" si="408"/>
        <v>0</v>
      </c>
      <c r="AS168" s="1042">
        <f t="shared" ref="AS168:AS171" si="459">(F168/12)*0</f>
        <v>0</v>
      </c>
      <c r="AT168" s="1042">
        <f t="shared" si="376"/>
        <v>2100000</v>
      </c>
      <c r="AU168" s="1042">
        <f t="shared" ref="AU168:AU171" si="460">E168-AT168</f>
        <v>0</v>
      </c>
      <c r="AV168" s="1042">
        <f>(F168/12)*0</f>
        <v>0</v>
      </c>
      <c r="AW168" s="1042">
        <f t="shared" ref="AW168:AW171" si="461">AQ168+AV168</f>
        <v>2100000</v>
      </c>
      <c r="AX168" s="1042">
        <f t="shared" ref="AX168:AX171" si="462">E168-AW168</f>
        <v>0</v>
      </c>
      <c r="AY168" s="179"/>
      <c r="AZ168" s="8">
        <f t="shared" ref="AZ168:AZ171" si="463">E168-AW168-AX168</f>
        <v>0</v>
      </c>
      <c r="BB168" s="221"/>
      <c r="BC168" s="179"/>
    </row>
    <row r="169" spans="1:55" s="220" customFormat="1" ht="14.25" customHeight="1">
      <c r="A169" s="17">
        <f t="shared" si="411"/>
        <v>79</v>
      </c>
      <c r="B169" s="56" t="s">
        <v>588</v>
      </c>
      <c r="C169" s="671">
        <v>41640</v>
      </c>
      <c r="D169" s="55">
        <v>8</v>
      </c>
      <c r="E169" s="6">
        <v>16400000</v>
      </c>
      <c r="F169" s="1041">
        <f t="shared" si="382"/>
        <v>2050000</v>
      </c>
      <c r="G169" s="1053"/>
      <c r="H169" s="1042">
        <f t="shared" si="384"/>
        <v>0</v>
      </c>
      <c r="I169" s="1042">
        <f t="shared" si="385"/>
        <v>16400000</v>
      </c>
      <c r="J169" s="1042"/>
      <c r="K169" s="1042">
        <f t="shared" si="387"/>
        <v>0</v>
      </c>
      <c r="L169" s="1042">
        <f t="shared" si="388"/>
        <v>16400000</v>
      </c>
      <c r="M169" s="1042">
        <f t="shared" si="389"/>
        <v>2050000</v>
      </c>
      <c r="N169" s="1042">
        <f t="shared" si="390"/>
        <v>2050000</v>
      </c>
      <c r="O169" s="1042">
        <f t="shared" si="391"/>
        <v>14350000</v>
      </c>
      <c r="P169" s="1042">
        <f t="shared" si="392"/>
        <v>2050000</v>
      </c>
      <c r="Q169" s="1042">
        <f t="shared" si="393"/>
        <v>4100000</v>
      </c>
      <c r="R169" s="1042">
        <f t="shared" si="394"/>
        <v>12300000</v>
      </c>
      <c r="S169" s="1042">
        <f t="shared" si="380"/>
        <v>2050000</v>
      </c>
      <c r="T169" s="1042">
        <f t="shared" si="395"/>
        <v>6150000</v>
      </c>
      <c r="U169" s="1042">
        <f t="shared" si="396"/>
        <v>10250000</v>
      </c>
      <c r="V169" s="1042">
        <f t="shared" si="377"/>
        <v>2050000</v>
      </c>
      <c r="W169" s="1042">
        <f t="shared" si="397"/>
        <v>8200000</v>
      </c>
      <c r="X169" s="1042">
        <f t="shared" si="398"/>
        <v>8200000</v>
      </c>
      <c r="Y169" s="7">
        <v>6150000.0000000019</v>
      </c>
      <c r="Z169" s="7">
        <f t="shared" si="399"/>
        <v>10249999.999999998</v>
      </c>
      <c r="AA169" s="1042">
        <f t="shared" si="378"/>
        <v>2050000</v>
      </c>
      <c r="AB169" s="1042">
        <f t="shared" si="400"/>
        <v>10250000</v>
      </c>
      <c r="AC169" s="1042">
        <f t="shared" si="401"/>
        <v>6150000</v>
      </c>
      <c r="AD169" s="1042">
        <f t="shared" si="379"/>
        <v>2050000</v>
      </c>
      <c r="AE169" s="1042">
        <f t="shared" si="402"/>
        <v>12300000</v>
      </c>
      <c r="AF169" s="1042">
        <f t="shared" si="403"/>
        <v>4100000</v>
      </c>
      <c r="AG169" s="1042">
        <f t="shared" si="451"/>
        <v>2050000</v>
      </c>
      <c r="AH169" s="1042">
        <f t="shared" si="405"/>
        <v>14350000</v>
      </c>
      <c r="AI169" s="1042">
        <f t="shared" si="406"/>
        <v>2050000</v>
      </c>
      <c r="AJ169" s="1042">
        <f t="shared" si="452"/>
        <v>170833.33333333334</v>
      </c>
      <c r="AK169" s="1042">
        <f t="shared" si="453"/>
        <v>14520833.333333334</v>
      </c>
      <c r="AL169" s="1042">
        <f t="shared" si="454"/>
        <v>1879166.666666666</v>
      </c>
      <c r="AM169" s="1042">
        <f t="shared" si="455"/>
        <v>1537500</v>
      </c>
      <c r="AN169" s="1042">
        <f t="shared" si="456"/>
        <v>15887500</v>
      </c>
      <c r="AO169" s="1042">
        <f t="shared" si="457"/>
        <v>512500</v>
      </c>
      <c r="AP169" s="1042">
        <f t="shared" si="458"/>
        <v>2050000</v>
      </c>
      <c r="AQ169" s="1042">
        <f t="shared" si="375"/>
        <v>16400000</v>
      </c>
      <c r="AR169" s="1042">
        <f t="shared" si="408"/>
        <v>0</v>
      </c>
      <c r="AS169" s="1042">
        <f t="shared" si="459"/>
        <v>0</v>
      </c>
      <c r="AT169" s="1042">
        <f t="shared" si="376"/>
        <v>16400000</v>
      </c>
      <c r="AU169" s="1042">
        <f t="shared" si="460"/>
        <v>0</v>
      </c>
      <c r="AV169" s="1042">
        <f>(F169/12)*0</f>
        <v>0</v>
      </c>
      <c r="AW169" s="1042">
        <f t="shared" si="461"/>
        <v>16400000</v>
      </c>
      <c r="AX169" s="1042">
        <f t="shared" si="462"/>
        <v>0</v>
      </c>
      <c r="AY169" s="179"/>
      <c r="AZ169" s="8">
        <f t="shared" si="463"/>
        <v>0</v>
      </c>
      <c r="BB169" s="221"/>
      <c r="BC169" s="179"/>
    </row>
    <row r="170" spans="1:55" s="220" customFormat="1" ht="14.25" customHeight="1">
      <c r="A170" s="17">
        <f t="shared" si="411"/>
        <v>80</v>
      </c>
      <c r="B170" s="56" t="s">
        <v>589</v>
      </c>
      <c r="C170" s="671">
        <v>41640</v>
      </c>
      <c r="D170" s="55">
        <v>8</v>
      </c>
      <c r="E170" s="6">
        <v>10400000</v>
      </c>
      <c r="F170" s="1041">
        <f t="shared" si="382"/>
        <v>1300000</v>
      </c>
      <c r="G170" s="1053"/>
      <c r="H170" s="1042">
        <f t="shared" si="384"/>
        <v>0</v>
      </c>
      <c r="I170" s="1042">
        <f t="shared" si="385"/>
        <v>10400000</v>
      </c>
      <c r="J170" s="1042"/>
      <c r="K170" s="1042">
        <f t="shared" si="387"/>
        <v>0</v>
      </c>
      <c r="L170" s="1042">
        <f t="shared" si="388"/>
        <v>10400000</v>
      </c>
      <c r="M170" s="1042">
        <f t="shared" si="389"/>
        <v>1300000</v>
      </c>
      <c r="N170" s="1042">
        <f t="shared" si="390"/>
        <v>1300000</v>
      </c>
      <c r="O170" s="1042">
        <f t="shared" si="391"/>
        <v>9100000</v>
      </c>
      <c r="P170" s="1042">
        <f t="shared" si="392"/>
        <v>1300000</v>
      </c>
      <c r="Q170" s="1042">
        <f t="shared" si="393"/>
        <v>2600000</v>
      </c>
      <c r="R170" s="1042">
        <f t="shared" si="394"/>
        <v>7800000</v>
      </c>
      <c r="S170" s="1042">
        <f t="shared" si="380"/>
        <v>1300000</v>
      </c>
      <c r="T170" s="1042">
        <f t="shared" si="395"/>
        <v>3900000</v>
      </c>
      <c r="U170" s="1042">
        <f t="shared" si="396"/>
        <v>6500000</v>
      </c>
      <c r="V170" s="1042">
        <f t="shared" si="377"/>
        <v>1300000</v>
      </c>
      <c r="W170" s="1042">
        <f t="shared" si="397"/>
        <v>5200000</v>
      </c>
      <c r="X170" s="1042">
        <f t="shared" si="398"/>
        <v>5200000</v>
      </c>
      <c r="Y170" s="7">
        <v>3900000</v>
      </c>
      <c r="Z170" s="7">
        <f t="shared" si="399"/>
        <v>6500000</v>
      </c>
      <c r="AA170" s="1042">
        <f t="shared" si="378"/>
        <v>1300000</v>
      </c>
      <c r="AB170" s="1042">
        <f t="shared" si="400"/>
        <v>6500000</v>
      </c>
      <c r="AC170" s="1042">
        <f t="shared" si="401"/>
        <v>3900000</v>
      </c>
      <c r="AD170" s="1042">
        <f t="shared" si="379"/>
        <v>1300000</v>
      </c>
      <c r="AE170" s="1042">
        <f t="shared" si="402"/>
        <v>7800000</v>
      </c>
      <c r="AF170" s="1042">
        <f t="shared" si="403"/>
        <v>2600000</v>
      </c>
      <c r="AG170" s="1042">
        <f t="shared" si="451"/>
        <v>1300000</v>
      </c>
      <c r="AH170" s="1042">
        <f t="shared" si="405"/>
        <v>9100000</v>
      </c>
      <c r="AI170" s="1042">
        <f t="shared" si="406"/>
        <v>1300000</v>
      </c>
      <c r="AJ170" s="1042">
        <f t="shared" si="452"/>
        <v>108333.33333333333</v>
      </c>
      <c r="AK170" s="1042">
        <f t="shared" si="453"/>
        <v>9208333.333333334</v>
      </c>
      <c r="AL170" s="1042">
        <f t="shared" si="454"/>
        <v>1191666.666666666</v>
      </c>
      <c r="AM170" s="1042">
        <f t="shared" si="455"/>
        <v>975000</v>
      </c>
      <c r="AN170" s="1042">
        <f t="shared" si="456"/>
        <v>10075000</v>
      </c>
      <c r="AO170" s="1042">
        <f t="shared" si="457"/>
        <v>325000</v>
      </c>
      <c r="AP170" s="1042">
        <f t="shared" si="458"/>
        <v>1300000</v>
      </c>
      <c r="AQ170" s="1042">
        <f t="shared" si="375"/>
        <v>10400000</v>
      </c>
      <c r="AR170" s="1042">
        <f t="shared" si="408"/>
        <v>0</v>
      </c>
      <c r="AS170" s="1042">
        <f t="shared" si="459"/>
        <v>0</v>
      </c>
      <c r="AT170" s="1042">
        <f t="shared" si="376"/>
        <v>10400000</v>
      </c>
      <c r="AU170" s="1042">
        <f t="shared" si="460"/>
        <v>0</v>
      </c>
      <c r="AV170" s="1042">
        <f>(F170/12)*0</f>
        <v>0</v>
      </c>
      <c r="AW170" s="1042">
        <f t="shared" si="461"/>
        <v>10400000</v>
      </c>
      <c r="AX170" s="1042">
        <f t="shared" si="462"/>
        <v>0</v>
      </c>
      <c r="AY170" s="179"/>
      <c r="AZ170" s="8">
        <f t="shared" si="463"/>
        <v>0</v>
      </c>
      <c r="BB170" s="221"/>
      <c r="BC170" s="179"/>
    </row>
    <row r="171" spans="1:55" s="220" customFormat="1" ht="14.25" customHeight="1">
      <c r="A171" s="17">
        <f t="shared" si="411"/>
        <v>81</v>
      </c>
      <c r="B171" s="56" t="s">
        <v>590</v>
      </c>
      <c r="C171" s="671">
        <v>41640</v>
      </c>
      <c r="D171" s="55">
        <v>8</v>
      </c>
      <c r="E171" s="6">
        <v>4900000</v>
      </c>
      <c r="F171" s="1041">
        <f t="shared" si="382"/>
        <v>612500</v>
      </c>
      <c r="G171" s="1053"/>
      <c r="H171" s="1042">
        <f t="shared" si="384"/>
        <v>0</v>
      </c>
      <c r="I171" s="1042">
        <f t="shared" si="385"/>
        <v>4900000</v>
      </c>
      <c r="J171" s="1042"/>
      <c r="K171" s="1042">
        <f t="shared" si="387"/>
        <v>0</v>
      </c>
      <c r="L171" s="1042">
        <f t="shared" si="388"/>
        <v>4900000</v>
      </c>
      <c r="M171" s="1042">
        <f t="shared" si="389"/>
        <v>612500</v>
      </c>
      <c r="N171" s="1042">
        <f t="shared" si="390"/>
        <v>612500</v>
      </c>
      <c r="O171" s="1042">
        <f t="shared" si="391"/>
        <v>4287500</v>
      </c>
      <c r="P171" s="1042">
        <f t="shared" si="392"/>
        <v>612500</v>
      </c>
      <c r="Q171" s="1042">
        <f t="shared" si="393"/>
        <v>1225000</v>
      </c>
      <c r="R171" s="1042">
        <f t="shared" si="394"/>
        <v>3675000</v>
      </c>
      <c r="S171" s="1042">
        <f t="shared" si="380"/>
        <v>612500</v>
      </c>
      <c r="T171" s="1042">
        <f t="shared" si="395"/>
        <v>1837500</v>
      </c>
      <c r="U171" s="1042">
        <f t="shared" si="396"/>
        <v>3062500</v>
      </c>
      <c r="V171" s="1042">
        <f t="shared" si="377"/>
        <v>612500</v>
      </c>
      <c r="W171" s="1042">
        <f t="shared" si="397"/>
        <v>2450000</v>
      </c>
      <c r="X171" s="1042">
        <f t="shared" si="398"/>
        <v>2450000</v>
      </c>
      <c r="Y171" s="7">
        <v>1837500</v>
      </c>
      <c r="Z171" s="7">
        <f t="shared" si="399"/>
        <v>3062500</v>
      </c>
      <c r="AA171" s="1042">
        <f t="shared" si="378"/>
        <v>612500</v>
      </c>
      <c r="AB171" s="1042">
        <f t="shared" si="400"/>
        <v>3062500</v>
      </c>
      <c r="AC171" s="1042">
        <f t="shared" si="401"/>
        <v>1837500</v>
      </c>
      <c r="AD171" s="1042">
        <f t="shared" si="379"/>
        <v>612500</v>
      </c>
      <c r="AE171" s="1042">
        <f t="shared" si="402"/>
        <v>3675000</v>
      </c>
      <c r="AF171" s="1042">
        <f t="shared" si="403"/>
        <v>1225000</v>
      </c>
      <c r="AG171" s="1042">
        <f t="shared" si="451"/>
        <v>612500</v>
      </c>
      <c r="AH171" s="1042">
        <f t="shared" si="405"/>
        <v>4287500</v>
      </c>
      <c r="AI171" s="1042">
        <f t="shared" si="406"/>
        <v>612500</v>
      </c>
      <c r="AJ171" s="1042">
        <f t="shared" si="452"/>
        <v>51041.666666666664</v>
      </c>
      <c r="AK171" s="1042">
        <f t="shared" si="453"/>
        <v>4338541.666666667</v>
      </c>
      <c r="AL171" s="1042">
        <f t="shared" si="454"/>
        <v>561458.33333333302</v>
      </c>
      <c r="AM171" s="1042">
        <f t="shared" si="455"/>
        <v>459375</v>
      </c>
      <c r="AN171" s="1042">
        <f t="shared" si="456"/>
        <v>4746875</v>
      </c>
      <c r="AO171" s="1042">
        <f t="shared" si="457"/>
        <v>153125</v>
      </c>
      <c r="AP171" s="1042">
        <f t="shared" si="458"/>
        <v>612500</v>
      </c>
      <c r="AQ171" s="1042">
        <f t="shared" si="375"/>
        <v>4900000</v>
      </c>
      <c r="AR171" s="1042">
        <f t="shared" si="408"/>
        <v>0</v>
      </c>
      <c r="AS171" s="1042">
        <f t="shared" si="459"/>
        <v>0</v>
      </c>
      <c r="AT171" s="1042">
        <f t="shared" si="376"/>
        <v>4900000</v>
      </c>
      <c r="AU171" s="1042">
        <f t="shared" si="460"/>
        <v>0</v>
      </c>
      <c r="AV171" s="1042">
        <f>(F171/12)*0</f>
        <v>0</v>
      </c>
      <c r="AW171" s="1042">
        <f t="shared" si="461"/>
        <v>4900000</v>
      </c>
      <c r="AX171" s="1042">
        <f t="shared" si="462"/>
        <v>0</v>
      </c>
      <c r="AY171" s="179"/>
      <c r="AZ171" s="8">
        <f t="shared" si="463"/>
        <v>0</v>
      </c>
      <c r="BB171" s="221"/>
      <c r="BC171" s="179"/>
    </row>
    <row r="172" spans="1:55" s="970" customFormat="1" ht="14.25" hidden="1" customHeight="1">
      <c r="A172" s="17">
        <f t="shared" si="411"/>
        <v>82</v>
      </c>
      <c r="B172" s="909" t="s">
        <v>591</v>
      </c>
      <c r="C172" s="903">
        <v>41640</v>
      </c>
      <c r="D172" s="877">
        <v>8</v>
      </c>
      <c r="E172" s="878">
        <f>93700000*0</f>
        <v>0</v>
      </c>
      <c r="F172" s="879">
        <f t="shared" si="382"/>
        <v>0</v>
      </c>
      <c r="G172" s="880">
        <f t="shared" si="383"/>
        <v>0</v>
      </c>
      <c r="H172" s="880">
        <f t="shared" si="384"/>
        <v>0</v>
      </c>
      <c r="I172" s="880">
        <f t="shared" si="385"/>
        <v>0</v>
      </c>
      <c r="J172" s="880">
        <f t="shared" si="386"/>
        <v>0</v>
      </c>
      <c r="K172" s="880">
        <f t="shared" si="387"/>
        <v>0</v>
      </c>
      <c r="L172" s="880">
        <f t="shared" si="388"/>
        <v>0</v>
      </c>
      <c r="M172" s="880">
        <f t="shared" ref="M172:M183" si="464">(F172/12)*12</f>
        <v>0</v>
      </c>
      <c r="N172" s="880">
        <f t="shared" si="390"/>
        <v>0</v>
      </c>
      <c r="O172" s="880">
        <f t="shared" si="391"/>
        <v>0</v>
      </c>
      <c r="P172" s="880">
        <f t="shared" si="392"/>
        <v>0</v>
      </c>
      <c r="Q172" s="880">
        <f t="shared" si="393"/>
        <v>0</v>
      </c>
      <c r="R172" s="880">
        <f t="shared" si="394"/>
        <v>0</v>
      </c>
      <c r="S172" s="880">
        <f t="shared" si="380"/>
        <v>0</v>
      </c>
      <c r="T172" s="880">
        <f t="shared" si="395"/>
        <v>0</v>
      </c>
      <c r="U172" s="880">
        <f t="shared" si="396"/>
        <v>0</v>
      </c>
      <c r="V172" s="880">
        <f t="shared" ref="V172:V203" si="465">(F172/12)*12</f>
        <v>0</v>
      </c>
      <c r="W172" s="880">
        <f t="shared" si="397"/>
        <v>0</v>
      </c>
      <c r="X172" s="880">
        <f t="shared" si="398"/>
        <v>0</v>
      </c>
      <c r="Y172" s="880">
        <f>35137500*0</f>
        <v>0</v>
      </c>
      <c r="Z172" s="880">
        <f t="shared" si="399"/>
        <v>0</v>
      </c>
      <c r="AA172" s="880">
        <f t="shared" si="378"/>
        <v>0</v>
      </c>
      <c r="AB172" s="880">
        <f t="shared" si="400"/>
        <v>0</v>
      </c>
      <c r="AC172" s="880">
        <f t="shared" si="401"/>
        <v>0</v>
      </c>
      <c r="AD172" s="880">
        <f t="shared" si="379"/>
        <v>0</v>
      </c>
      <c r="AE172" s="880">
        <f t="shared" si="402"/>
        <v>0</v>
      </c>
      <c r="AF172" s="880">
        <f t="shared" si="403"/>
        <v>0</v>
      </c>
      <c r="AG172" s="880">
        <f t="shared" si="426"/>
        <v>0</v>
      </c>
      <c r="AH172" s="880">
        <f t="shared" si="405"/>
        <v>0</v>
      </c>
      <c r="AI172" s="880">
        <f t="shared" si="406"/>
        <v>0</v>
      </c>
      <c r="AJ172" s="880"/>
      <c r="AK172" s="880"/>
      <c r="AL172" s="880"/>
      <c r="AM172" s="880"/>
      <c r="AN172" s="880"/>
      <c r="AO172" s="880"/>
      <c r="AP172" s="880">
        <f t="shared" si="427"/>
        <v>0</v>
      </c>
      <c r="AQ172" s="880">
        <f t="shared" si="375"/>
        <v>0</v>
      </c>
      <c r="AR172" s="880">
        <f t="shared" si="408"/>
        <v>0</v>
      </c>
      <c r="AS172" s="896">
        <f t="shared" si="409"/>
        <v>0</v>
      </c>
      <c r="AT172" s="896">
        <f t="shared" si="376"/>
        <v>0</v>
      </c>
      <c r="AU172" s="896"/>
      <c r="AV172" s="896"/>
      <c r="AW172" s="896"/>
      <c r="AX172" s="896"/>
      <c r="AY172" s="969"/>
      <c r="AZ172" s="881">
        <f t="shared" si="410"/>
        <v>0</v>
      </c>
      <c r="BB172" s="971"/>
      <c r="BC172" s="969"/>
    </row>
    <row r="173" spans="1:55" s="220" customFormat="1" ht="14.25" customHeight="1">
      <c r="A173" s="17">
        <f t="shared" si="411"/>
        <v>83</v>
      </c>
      <c r="B173" s="909" t="s">
        <v>1152</v>
      </c>
      <c r="C173" s="671">
        <v>42005</v>
      </c>
      <c r="D173" s="55">
        <v>8</v>
      </c>
      <c r="E173" s="6">
        <f>963636363.3+93700000</f>
        <v>1057336363.3</v>
      </c>
      <c r="F173" s="1041">
        <f t="shared" si="382"/>
        <v>132167045.41249999</v>
      </c>
      <c r="G173" s="1046"/>
      <c r="H173" s="1046"/>
      <c r="I173" s="1046"/>
      <c r="J173" s="1053">
        <f t="shared" ref="J173:J183" si="466">(F173/12)*(13-IF(C173="","",MONTH(C173)))</f>
        <v>132167045.41249999</v>
      </c>
      <c r="K173" s="1042">
        <f t="shared" ref="K173:K183" si="467">J173+H173</f>
        <v>132167045.41249999</v>
      </c>
      <c r="L173" s="1042">
        <f t="shared" si="388"/>
        <v>925169317.88749993</v>
      </c>
      <c r="M173" s="1042">
        <f t="shared" si="464"/>
        <v>132167045.41249999</v>
      </c>
      <c r="N173" s="1042">
        <f t="shared" si="390"/>
        <v>264334090.82499999</v>
      </c>
      <c r="O173" s="1042">
        <f t="shared" si="391"/>
        <v>793002272.4749999</v>
      </c>
      <c r="P173" s="1042">
        <f t="shared" si="392"/>
        <v>132167045.41249999</v>
      </c>
      <c r="Q173" s="1042">
        <f t="shared" si="393"/>
        <v>396501136.23749995</v>
      </c>
      <c r="R173" s="1042">
        <f t="shared" si="394"/>
        <v>660835227.0625</v>
      </c>
      <c r="S173" s="1042">
        <f t="shared" si="380"/>
        <v>132167045.41249999</v>
      </c>
      <c r="T173" s="1042">
        <f t="shared" si="395"/>
        <v>528668181.64999998</v>
      </c>
      <c r="U173" s="1042">
        <f t="shared" si="396"/>
        <v>528668181.64999998</v>
      </c>
      <c r="V173" s="1042">
        <f t="shared" si="465"/>
        <v>132167045.41249999</v>
      </c>
      <c r="W173" s="1042">
        <f t="shared" si="397"/>
        <v>660835227.0625</v>
      </c>
      <c r="X173" s="1042">
        <f t="shared" si="398"/>
        <v>396501136.23749995</v>
      </c>
      <c r="Y173" s="7">
        <f>457727272.2375+35137500</f>
        <v>492864772.23750001</v>
      </c>
      <c r="Z173" s="7">
        <f t="shared" si="399"/>
        <v>564471591.0625</v>
      </c>
      <c r="AA173" s="1042">
        <f t="shared" si="378"/>
        <v>132167045.41249999</v>
      </c>
      <c r="AB173" s="1042">
        <f t="shared" si="400"/>
        <v>793002272.47500002</v>
      </c>
      <c r="AC173" s="1042">
        <f t="shared" si="401"/>
        <v>264334090.82499993</v>
      </c>
      <c r="AD173" s="1042">
        <f t="shared" si="379"/>
        <v>132167045.41249999</v>
      </c>
      <c r="AE173" s="1042">
        <f t="shared" si="402"/>
        <v>925169317.88750005</v>
      </c>
      <c r="AF173" s="1042">
        <f t="shared" si="403"/>
        <v>132167045.4124999</v>
      </c>
      <c r="AG173" s="1042">
        <f t="shared" ref="AG173:AG204" si="468">(F173/12)*12</f>
        <v>132167045.41249999</v>
      </c>
      <c r="AH173" s="1042">
        <f t="shared" si="405"/>
        <v>1057336363.3000001</v>
      </c>
      <c r="AI173" s="1042">
        <f>E173-AH173</f>
        <v>0</v>
      </c>
      <c r="AJ173" s="1042">
        <v>0</v>
      </c>
      <c r="AK173" s="1042">
        <f t="shared" ref="AK173:AK185" si="469">AH173+AJ173</f>
        <v>1057336363.3000001</v>
      </c>
      <c r="AL173" s="1042">
        <f t="shared" ref="AL173:AL185" si="470">E173-AK173</f>
        <v>0</v>
      </c>
      <c r="AM173" s="1042">
        <f>(F173/12)*0</f>
        <v>0</v>
      </c>
      <c r="AN173" s="1042">
        <f t="shared" ref="AN173:AN185" si="471">AH173+AM173</f>
        <v>1057336363.3000001</v>
      </c>
      <c r="AO173" s="1042">
        <f t="shared" ref="AO173:AO185" si="472">E173-AN173</f>
        <v>0</v>
      </c>
      <c r="AP173" s="1042">
        <f>(F173/12)*0</f>
        <v>0</v>
      </c>
      <c r="AQ173" s="1042">
        <f t="shared" si="375"/>
        <v>1057336363.3000001</v>
      </c>
      <c r="AR173" s="1042">
        <f t="shared" si="408"/>
        <v>0</v>
      </c>
      <c r="AS173" s="1042">
        <f t="shared" ref="AS173:AS185" si="473">(F173/12)*0</f>
        <v>0</v>
      </c>
      <c r="AT173" s="1042">
        <f t="shared" si="376"/>
        <v>1057336363.3000001</v>
      </c>
      <c r="AU173" s="1042">
        <f t="shared" ref="AU173:AU185" si="474">E173-AT173</f>
        <v>0</v>
      </c>
      <c r="AV173" s="1042">
        <f t="shared" ref="AV173:AV185" si="475">(F173/12)*0</f>
        <v>0</v>
      </c>
      <c r="AW173" s="1042">
        <f t="shared" ref="AW173:AW185" si="476">AQ173+AV173</f>
        <v>1057336363.3000001</v>
      </c>
      <c r="AX173" s="1042">
        <f t="shared" ref="AX173:AX185" si="477">E173-AW173</f>
        <v>0</v>
      </c>
      <c r="AY173" s="179"/>
      <c r="AZ173" s="8">
        <f t="shared" ref="AZ173:AZ185" si="478">E173-AW173-AX173</f>
        <v>-1.1920928955078125E-7</v>
      </c>
      <c r="BB173" s="229"/>
      <c r="BC173" s="179"/>
    </row>
    <row r="174" spans="1:55" s="220" customFormat="1" ht="14.25" customHeight="1">
      <c r="A174" s="17">
        <f t="shared" si="411"/>
        <v>84</v>
      </c>
      <c r="B174" s="56" t="s">
        <v>593</v>
      </c>
      <c r="C174" s="671">
        <v>42005</v>
      </c>
      <c r="D174" s="55">
        <v>8</v>
      </c>
      <c r="E174" s="6">
        <v>26708707</v>
      </c>
      <c r="F174" s="1041">
        <f t="shared" si="382"/>
        <v>3338588.375</v>
      </c>
      <c r="G174" s="1046"/>
      <c r="H174" s="1046"/>
      <c r="I174" s="1046"/>
      <c r="J174" s="1053">
        <f t="shared" si="466"/>
        <v>3338588.375</v>
      </c>
      <c r="K174" s="1042">
        <f t="shared" si="467"/>
        <v>3338588.375</v>
      </c>
      <c r="L174" s="1042">
        <f t="shared" si="388"/>
        <v>23370118.625</v>
      </c>
      <c r="M174" s="1042">
        <f t="shared" si="464"/>
        <v>3338588.375</v>
      </c>
      <c r="N174" s="1042">
        <f t="shared" si="390"/>
        <v>6677176.75</v>
      </c>
      <c r="O174" s="1042">
        <f t="shared" si="391"/>
        <v>20031530.25</v>
      </c>
      <c r="P174" s="1042">
        <f t="shared" si="392"/>
        <v>3338588.375</v>
      </c>
      <c r="Q174" s="1042">
        <f t="shared" si="393"/>
        <v>10015765.125</v>
      </c>
      <c r="R174" s="1042">
        <f t="shared" si="394"/>
        <v>16692941.875</v>
      </c>
      <c r="S174" s="1042">
        <f t="shared" si="380"/>
        <v>3338588.375</v>
      </c>
      <c r="T174" s="1042">
        <f t="shared" si="395"/>
        <v>13354353.5</v>
      </c>
      <c r="U174" s="1042">
        <f t="shared" si="396"/>
        <v>13354353.5</v>
      </c>
      <c r="V174" s="1042">
        <f t="shared" si="465"/>
        <v>3338588.375</v>
      </c>
      <c r="W174" s="1042">
        <f t="shared" si="397"/>
        <v>16692941.875</v>
      </c>
      <c r="X174" s="1042">
        <f t="shared" si="398"/>
        <v>10015765.125</v>
      </c>
      <c r="Y174" s="7">
        <v>12241491.125000002</v>
      </c>
      <c r="Z174" s="7">
        <f t="shared" si="399"/>
        <v>14467215.874999998</v>
      </c>
      <c r="AA174" s="1042">
        <f t="shared" ref="AA174:AA205" si="479">(F174/12)*12</f>
        <v>3338588.375</v>
      </c>
      <c r="AB174" s="1042">
        <f t="shared" si="400"/>
        <v>20031530.25</v>
      </c>
      <c r="AC174" s="1042">
        <f t="shared" si="401"/>
        <v>6677176.75</v>
      </c>
      <c r="AD174" s="1042">
        <f t="shared" si="379"/>
        <v>3338588.375</v>
      </c>
      <c r="AE174" s="1042">
        <f t="shared" si="402"/>
        <v>23370118.625</v>
      </c>
      <c r="AF174" s="1042">
        <f t="shared" si="403"/>
        <v>3338588.375</v>
      </c>
      <c r="AG174" s="1042">
        <f t="shared" si="468"/>
        <v>3338588.375</v>
      </c>
      <c r="AH174" s="1042">
        <f t="shared" si="405"/>
        <v>26708707</v>
      </c>
      <c r="AI174" s="1042">
        <f t="shared" si="406"/>
        <v>0</v>
      </c>
      <c r="AJ174" s="1042">
        <v>0</v>
      </c>
      <c r="AK174" s="1042">
        <f t="shared" si="469"/>
        <v>26708707</v>
      </c>
      <c r="AL174" s="1042">
        <f t="shared" si="470"/>
        <v>0</v>
      </c>
      <c r="AM174" s="1042">
        <f t="shared" ref="AM174:AM183" si="480">(F174/12)*0</f>
        <v>0</v>
      </c>
      <c r="AN174" s="1042">
        <f t="shared" si="471"/>
        <v>26708707</v>
      </c>
      <c r="AO174" s="1042">
        <f t="shared" si="472"/>
        <v>0</v>
      </c>
      <c r="AP174" s="1042">
        <f t="shared" si="427"/>
        <v>0</v>
      </c>
      <c r="AQ174" s="1042">
        <f t="shared" si="375"/>
        <v>26708707</v>
      </c>
      <c r="AR174" s="1042">
        <f t="shared" si="408"/>
        <v>0</v>
      </c>
      <c r="AS174" s="1042">
        <f t="shared" si="473"/>
        <v>0</v>
      </c>
      <c r="AT174" s="1042">
        <f t="shared" si="376"/>
        <v>26708707</v>
      </c>
      <c r="AU174" s="1042">
        <f t="shared" si="474"/>
        <v>0</v>
      </c>
      <c r="AV174" s="1042">
        <f t="shared" si="475"/>
        <v>0</v>
      </c>
      <c r="AW174" s="1042">
        <f t="shared" si="476"/>
        <v>26708707</v>
      </c>
      <c r="AX174" s="1042">
        <f t="shared" si="477"/>
        <v>0</v>
      </c>
      <c r="AY174" s="179"/>
      <c r="AZ174" s="8">
        <f t="shared" si="478"/>
        <v>0</v>
      </c>
      <c r="BB174" s="221"/>
      <c r="BC174" s="179"/>
    </row>
    <row r="175" spans="1:55" s="220" customFormat="1" ht="14.25" customHeight="1">
      <c r="A175" s="17">
        <f t="shared" si="411"/>
        <v>85</v>
      </c>
      <c r="B175" s="56" t="s">
        <v>594</v>
      </c>
      <c r="C175" s="671">
        <v>42005</v>
      </c>
      <c r="D175" s="55">
        <v>8</v>
      </c>
      <c r="E175" s="6">
        <v>750000</v>
      </c>
      <c r="F175" s="1041">
        <f t="shared" si="382"/>
        <v>93750</v>
      </c>
      <c r="G175" s="1046"/>
      <c r="H175" s="1046"/>
      <c r="I175" s="1046"/>
      <c r="J175" s="1053">
        <f t="shared" si="466"/>
        <v>93750</v>
      </c>
      <c r="K175" s="1042">
        <f t="shared" si="467"/>
        <v>93750</v>
      </c>
      <c r="L175" s="1042">
        <f t="shared" si="388"/>
        <v>656250</v>
      </c>
      <c r="M175" s="1042">
        <f t="shared" si="464"/>
        <v>93750</v>
      </c>
      <c r="N175" s="1042">
        <f t="shared" si="390"/>
        <v>187500</v>
      </c>
      <c r="O175" s="1042">
        <f t="shared" si="391"/>
        <v>562500</v>
      </c>
      <c r="P175" s="1042">
        <f t="shared" si="392"/>
        <v>93750</v>
      </c>
      <c r="Q175" s="1042">
        <f t="shared" si="393"/>
        <v>281250</v>
      </c>
      <c r="R175" s="1042">
        <f t="shared" si="394"/>
        <v>468750</v>
      </c>
      <c r="S175" s="1042">
        <f t="shared" si="380"/>
        <v>93750</v>
      </c>
      <c r="T175" s="1042">
        <f t="shared" si="395"/>
        <v>375000</v>
      </c>
      <c r="U175" s="1042">
        <f t="shared" si="396"/>
        <v>375000</v>
      </c>
      <c r="V175" s="1042">
        <f t="shared" si="465"/>
        <v>93750</v>
      </c>
      <c r="W175" s="1042">
        <f t="shared" si="397"/>
        <v>468750</v>
      </c>
      <c r="X175" s="1042">
        <f t="shared" si="398"/>
        <v>281250</v>
      </c>
      <c r="Y175" s="7">
        <v>343750</v>
      </c>
      <c r="Z175" s="7">
        <f t="shared" si="399"/>
        <v>406250</v>
      </c>
      <c r="AA175" s="1042">
        <f t="shared" si="479"/>
        <v>93750</v>
      </c>
      <c r="AB175" s="1042">
        <f t="shared" si="400"/>
        <v>562500</v>
      </c>
      <c r="AC175" s="1042">
        <f t="shared" si="401"/>
        <v>187500</v>
      </c>
      <c r="AD175" s="1042">
        <f t="shared" si="379"/>
        <v>93750</v>
      </c>
      <c r="AE175" s="1042">
        <f t="shared" si="402"/>
        <v>656250</v>
      </c>
      <c r="AF175" s="1042">
        <f t="shared" si="403"/>
        <v>93750</v>
      </c>
      <c r="AG175" s="1042">
        <f t="shared" si="468"/>
        <v>93750</v>
      </c>
      <c r="AH175" s="1042">
        <f t="shared" si="405"/>
        <v>750000</v>
      </c>
      <c r="AI175" s="1042">
        <f t="shared" si="406"/>
        <v>0</v>
      </c>
      <c r="AJ175" s="1042">
        <v>0</v>
      </c>
      <c r="AK175" s="1042">
        <f t="shared" si="469"/>
        <v>750000</v>
      </c>
      <c r="AL175" s="1042">
        <f t="shared" si="470"/>
        <v>0</v>
      </c>
      <c r="AM175" s="1042">
        <f t="shared" si="480"/>
        <v>0</v>
      </c>
      <c r="AN175" s="1042">
        <f t="shared" si="471"/>
        <v>750000</v>
      </c>
      <c r="AO175" s="1042">
        <f t="shared" si="472"/>
        <v>0</v>
      </c>
      <c r="AP175" s="1042">
        <f t="shared" si="427"/>
        <v>0</v>
      </c>
      <c r="AQ175" s="1042">
        <f t="shared" si="375"/>
        <v>750000</v>
      </c>
      <c r="AR175" s="1042">
        <f t="shared" si="408"/>
        <v>0</v>
      </c>
      <c r="AS175" s="1042">
        <f t="shared" si="473"/>
        <v>0</v>
      </c>
      <c r="AT175" s="1042">
        <f t="shared" si="376"/>
        <v>750000</v>
      </c>
      <c r="AU175" s="1042">
        <f t="shared" si="474"/>
        <v>0</v>
      </c>
      <c r="AV175" s="1042">
        <f t="shared" si="475"/>
        <v>0</v>
      </c>
      <c r="AW175" s="1042">
        <f t="shared" si="476"/>
        <v>750000</v>
      </c>
      <c r="AX175" s="1042">
        <f t="shared" si="477"/>
        <v>0</v>
      </c>
      <c r="AY175" s="179"/>
      <c r="AZ175" s="8">
        <f t="shared" si="478"/>
        <v>0</v>
      </c>
      <c r="BB175" s="221"/>
      <c r="BC175" s="179"/>
    </row>
    <row r="176" spans="1:55" s="220" customFormat="1" ht="14.25" customHeight="1">
      <c r="A176" s="17">
        <f t="shared" si="411"/>
        <v>86</v>
      </c>
      <c r="B176" s="56" t="s">
        <v>588</v>
      </c>
      <c r="C176" s="671">
        <v>42005</v>
      </c>
      <c r="D176" s="55">
        <v>8</v>
      </c>
      <c r="E176" s="6">
        <v>46400000</v>
      </c>
      <c r="F176" s="1041">
        <f t="shared" si="382"/>
        <v>5800000</v>
      </c>
      <c r="G176" s="1046"/>
      <c r="H176" s="1046"/>
      <c r="I176" s="1046"/>
      <c r="J176" s="1053">
        <f t="shared" si="466"/>
        <v>5800000</v>
      </c>
      <c r="K176" s="1042">
        <f t="shared" si="467"/>
        <v>5800000</v>
      </c>
      <c r="L176" s="1042">
        <f t="shared" si="388"/>
        <v>40600000</v>
      </c>
      <c r="M176" s="1042">
        <f t="shared" si="464"/>
        <v>5800000</v>
      </c>
      <c r="N176" s="1042">
        <f t="shared" si="390"/>
        <v>11600000</v>
      </c>
      <c r="O176" s="1042">
        <f t="shared" si="391"/>
        <v>34800000</v>
      </c>
      <c r="P176" s="1042">
        <f t="shared" si="392"/>
        <v>5800000</v>
      </c>
      <c r="Q176" s="1042">
        <f t="shared" si="393"/>
        <v>17400000</v>
      </c>
      <c r="R176" s="1042">
        <f t="shared" si="394"/>
        <v>29000000</v>
      </c>
      <c r="S176" s="1042">
        <f t="shared" si="380"/>
        <v>5800000</v>
      </c>
      <c r="T176" s="1042">
        <f t="shared" si="395"/>
        <v>23200000</v>
      </c>
      <c r="U176" s="1042">
        <f t="shared" si="396"/>
        <v>23200000</v>
      </c>
      <c r="V176" s="1042">
        <f t="shared" si="465"/>
        <v>5800000</v>
      </c>
      <c r="W176" s="1042">
        <f t="shared" si="397"/>
        <v>29000000</v>
      </c>
      <c r="X176" s="1042">
        <f t="shared" si="398"/>
        <v>17400000</v>
      </c>
      <c r="Y176" s="7">
        <v>21266667.000000007</v>
      </c>
      <c r="Z176" s="7">
        <f t="shared" si="399"/>
        <v>25133332.999999993</v>
      </c>
      <c r="AA176" s="1042">
        <f t="shared" si="479"/>
        <v>5800000</v>
      </c>
      <c r="AB176" s="1042">
        <f t="shared" si="400"/>
        <v>34800000</v>
      </c>
      <c r="AC176" s="1042">
        <f t="shared" si="401"/>
        <v>11600000</v>
      </c>
      <c r="AD176" s="1042">
        <f t="shared" si="379"/>
        <v>5800000</v>
      </c>
      <c r="AE176" s="1042">
        <f t="shared" si="402"/>
        <v>40600000</v>
      </c>
      <c r="AF176" s="1042">
        <f t="shared" si="403"/>
        <v>5800000</v>
      </c>
      <c r="AG176" s="1042">
        <f t="shared" si="468"/>
        <v>5800000</v>
      </c>
      <c r="AH176" s="1042">
        <f t="shared" si="405"/>
        <v>46400000</v>
      </c>
      <c r="AI176" s="1042">
        <f t="shared" si="406"/>
        <v>0</v>
      </c>
      <c r="AJ176" s="1042">
        <v>0</v>
      </c>
      <c r="AK176" s="1042">
        <f t="shared" si="469"/>
        <v>46400000</v>
      </c>
      <c r="AL176" s="1042">
        <f t="shared" si="470"/>
        <v>0</v>
      </c>
      <c r="AM176" s="1042">
        <f t="shared" si="480"/>
        <v>0</v>
      </c>
      <c r="AN176" s="1042">
        <f t="shared" si="471"/>
        <v>46400000</v>
      </c>
      <c r="AO176" s="1042">
        <f t="shared" si="472"/>
        <v>0</v>
      </c>
      <c r="AP176" s="1042">
        <f t="shared" si="427"/>
        <v>0</v>
      </c>
      <c r="AQ176" s="1042">
        <f t="shared" si="375"/>
        <v>46400000</v>
      </c>
      <c r="AR176" s="1042">
        <f t="shared" si="408"/>
        <v>0</v>
      </c>
      <c r="AS176" s="1042">
        <f t="shared" si="473"/>
        <v>0</v>
      </c>
      <c r="AT176" s="1042">
        <f t="shared" si="376"/>
        <v>46400000</v>
      </c>
      <c r="AU176" s="1042">
        <f t="shared" si="474"/>
        <v>0</v>
      </c>
      <c r="AV176" s="1042">
        <f t="shared" si="475"/>
        <v>0</v>
      </c>
      <c r="AW176" s="1042">
        <f t="shared" si="476"/>
        <v>46400000</v>
      </c>
      <c r="AX176" s="1042">
        <f t="shared" si="477"/>
        <v>0</v>
      </c>
      <c r="AY176" s="179"/>
      <c r="AZ176" s="8">
        <f t="shared" si="478"/>
        <v>0</v>
      </c>
      <c r="BB176" s="221"/>
      <c r="BC176" s="179"/>
    </row>
    <row r="177" spans="1:55" s="220" customFormat="1" ht="14.25" customHeight="1">
      <c r="A177" s="17">
        <f t="shared" si="411"/>
        <v>87</v>
      </c>
      <c r="B177" s="56" t="s">
        <v>595</v>
      </c>
      <c r="C177" s="671">
        <v>42005</v>
      </c>
      <c r="D177" s="55">
        <v>8</v>
      </c>
      <c r="E177" s="6">
        <v>3600000</v>
      </c>
      <c r="F177" s="1041">
        <f t="shared" si="382"/>
        <v>450000</v>
      </c>
      <c r="G177" s="1046"/>
      <c r="H177" s="1046"/>
      <c r="I177" s="1046"/>
      <c r="J177" s="1053">
        <f t="shared" si="466"/>
        <v>450000</v>
      </c>
      <c r="K177" s="1042">
        <f t="shared" si="467"/>
        <v>450000</v>
      </c>
      <c r="L177" s="1042">
        <f t="shared" si="388"/>
        <v>3150000</v>
      </c>
      <c r="M177" s="1042">
        <f t="shared" si="464"/>
        <v>450000</v>
      </c>
      <c r="N177" s="1042">
        <f t="shared" si="390"/>
        <v>900000</v>
      </c>
      <c r="O177" s="1042">
        <f t="shared" si="391"/>
        <v>2700000</v>
      </c>
      <c r="P177" s="1042">
        <f t="shared" si="392"/>
        <v>450000</v>
      </c>
      <c r="Q177" s="1042">
        <f t="shared" si="393"/>
        <v>1350000</v>
      </c>
      <c r="R177" s="1042">
        <f t="shared" si="394"/>
        <v>2250000</v>
      </c>
      <c r="S177" s="1042">
        <f t="shared" si="380"/>
        <v>450000</v>
      </c>
      <c r="T177" s="1042">
        <f t="shared" si="395"/>
        <v>1800000</v>
      </c>
      <c r="U177" s="1042">
        <f t="shared" si="396"/>
        <v>1800000</v>
      </c>
      <c r="V177" s="1042">
        <f t="shared" si="465"/>
        <v>450000</v>
      </c>
      <c r="W177" s="1042">
        <f t="shared" si="397"/>
        <v>2250000</v>
      </c>
      <c r="X177" s="1042">
        <f t="shared" si="398"/>
        <v>1350000</v>
      </c>
      <c r="Y177" s="7">
        <v>1650000</v>
      </c>
      <c r="Z177" s="7">
        <f t="shared" si="399"/>
        <v>1950000</v>
      </c>
      <c r="AA177" s="1042">
        <f t="shared" si="479"/>
        <v>450000</v>
      </c>
      <c r="AB177" s="1042">
        <f t="shared" si="400"/>
        <v>2700000</v>
      </c>
      <c r="AC177" s="1042">
        <f t="shared" si="401"/>
        <v>900000</v>
      </c>
      <c r="AD177" s="1042">
        <f t="shared" si="379"/>
        <v>450000</v>
      </c>
      <c r="AE177" s="1042">
        <f t="shared" si="402"/>
        <v>3150000</v>
      </c>
      <c r="AF177" s="1042">
        <f t="shared" si="403"/>
        <v>450000</v>
      </c>
      <c r="AG177" s="1042">
        <f t="shared" si="468"/>
        <v>450000</v>
      </c>
      <c r="AH177" s="1042">
        <f t="shared" si="405"/>
        <v>3600000</v>
      </c>
      <c r="AI177" s="1042">
        <f t="shared" si="406"/>
        <v>0</v>
      </c>
      <c r="AJ177" s="1042">
        <v>0</v>
      </c>
      <c r="AK177" s="1042">
        <f t="shared" si="469"/>
        <v>3600000</v>
      </c>
      <c r="AL177" s="1042">
        <f t="shared" si="470"/>
        <v>0</v>
      </c>
      <c r="AM177" s="1042">
        <f t="shared" si="480"/>
        <v>0</v>
      </c>
      <c r="AN177" s="1042">
        <f t="shared" si="471"/>
        <v>3600000</v>
      </c>
      <c r="AO177" s="1042">
        <f t="shared" si="472"/>
        <v>0</v>
      </c>
      <c r="AP177" s="1042">
        <f t="shared" si="427"/>
        <v>0</v>
      </c>
      <c r="AQ177" s="1042">
        <f t="shared" si="375"/>
        <v>3600000</v>
      </c>
      <c r="AR177" s="1042">
        <f t="shared" si="408"/>
        <v>0</v>
      </c>
      <c r="AS177" s="1042">
        <f t="shared" si="473"/>
        <v>0</v>
      </c>
      <c r="AT177" s="1042">
        <f t="shared" si="376"/>
        <v>3600000</v>
      </c>
      <c r="AU177" s="1042">
        <f t="shared" si="474"/>
        <v>0</v>
      </c>
      <c r="AV177" s="1042">
        <f t="shared" si="475"/>
        <v>0</v>
      </c>
      <c r="AW177" s="1042">
        <f t="shared" si="476"/>
        <v>3600000</v>
      </c>
      <c r="AX177" s="1042">
        <f t="shared" si="477"/>
        <v>0</v>
      </c>
      <c r="AY177" s="179"/>
      <c r="AZ177" s="8">
        <f t="shared" si="478"/>
        <v>0</v>
      </c>
      <c r="BB177" s="221"/>
      <c r="BC177" s="179"/>
    </row>
    <row r="178" spans="1:55" s="220" customFormat="1" ht="14.25" customHeight="1">
      <c r="A178" s="17">
        <f t="shared" si="411"/>
        <v>88</v>
      </c>
      <c r="B178" s="56" t="s">
        <v>596</v>
      </c>
      <c r="C178" s="671">
        <v>42005</v>
      </c>
      <c r="D178" s="55">
        <v>8</v>
      </c>
      <c r="E178" s="6">
        <v>4300000</v>
      </c>
      <c r="F178" s="1041">
        <f t="shared" si="382"/>
        <v>537500</v>
      </c>
      <c r="G178" s="1046"/>
      <c r="H178" s="1046"/>
      <c r="I178" s="1046"/>
      <c r="J178" s="1053">
        <f t="shared" si="466"/>
        <v>537500</v>
      </c>
      <c r="K178" s="1042">
        <f t="shared" si="467"/>
        <v>537500</v>
      </c>
      <c r="L178" s="1042">
        <f t="shared" si="388"/>
        <v>3762500</v>
      </c>
      <c r="M178" s="1042">
        <f t="shared" si="464"/>
        <v>537500</v>
      </c>
      <c r="N178" s="1042">
        <f t="shared" si="390"/>
        <v>1075000</v>
      </c>
      <c r="O178" s="1042">
        <f t="shared" si="391"/>
        <v>3225000</v>
      </c>
      <c r="P178" s="1042">
        <f t="shared" si="392"/>
        <v>537500</v>
      </c>
      <c r="Q178" s="1042">
        <f t="shared" si="393"/>
        <v>1612500</v>
      </c>
      <c r="R178" s="1042">
        <f t="shared" si="394"/>
        <v>2687500</v>
      </c>
      <c r="S178" s="1042">
        <f t="shared" si="380"/>
        <v>537500</v>
      </c>
      <c r="T178" s="1042">
        <f t="shared" si="395"/>
        <v>2150000</v>
      </c>
      <c r="U178" s="1042">
        <f t="shared" si="396"/>
        <v>2150000</v>
      </c>
      <c r="V178" s="1042">
        <f t="shared" si="465"/>
        <v>537500</v>
      </c>
      <c r="W178" s="1042">
        <f t="shared" si="397"/>
        <v>2687500</v>
      </c>
      <c r="X178" s="1042">
        <f t="shared" si="398"/>
        <v>1612500</v>
      </c>
      <c r="Y178" s="7">
        <v>1935000.0000000002</v>
      </c>
      <c r="Z178" s="7">
        <f t="shared" si="399"/>
        <v>2365000</v>
      </c>
      <c r="AA178" s="1042">
        <f t="shared" si="479"/>
        <v>537500</v>
      </c>
      <c r="AB178" s="1042">
        <f t="shared" si="400"/>
        <v>3225000</v>
      </c>
      <c r="AC178" s="1042">
        <f t="shared" si="401"/>
        <v>1075000</v>
      </c>
      <c r="AD178" s="1042">
        <f t="shared" ref="AD178:AD209" si="481">(F178/12)*12</f>
        <v>537500</v>
      </c>
      <c r="AE178" s="1042">
        <f t="shared" si="402"/>
        <v>3762500</v>
      </c>
      <c r="AF178" s="1042">
        <f t="shared" si="403"/>
        <v>537500</v>
      </c>
      <c r="AG178" s="1042">
        <f t="shared" si="468"/>
        <v>537500</v>
      </c>
      <c r="AH178" s="1042">
        <f t="shared" si="405"/>
        <v>4300000</v>
      </c>
      <c r="AI178" s="1042">
        <f t="shared" si="406"/>
        <v>0</v>
      </c>
      <c r="AJ178" s="1042">
        <v>0</v>
      </c>
      <c r="AK178" s="1042">
        <f t="shared" si="469"/>
        <v>4300000</v>
      </c>
      <c r="AL178" s="1042">
        <f t="shared" si="470"/>
        <v>0</v>
      </c>
      <c r="AM178" s="1042">
        <f t="shared" si="480"/>
        <v>0</v>
      </c>
      <c r="AN178" s="1042">
        <f t="shared" si="471"/>
        <v>4300000</v>
      </c>
      <c r="AO178" s="1042">
        <f t="shared" si="472"/>
        <v>0</v>
      </c>
      <c r="AP178" s="1042">
        <f t="shared" si="427"/>
        <v>0</v>
      </c>
      <c r="AQ178" s="1042">
        <f t="shared" si="375"/>
        <v>4300000</v>
      </c>
      <c r="AR178" s="1042">
        <f t="shared" si="408"/>
        <v>0</v>
      </c>
      <c r="AS178" s="1042">
        <f t="shared" si="473"/>
        <v>0</v>
      </c>
      <c r="AT178" s="1042">
        <f t="shared" si="376"/>
        <v>4300000</v>
      </c>
      <c r="AU178" s="1042">
        <f t="shared" si="474"/>
        <v>0</v>
      </c>
      <c r="AV178" s="1042">
        <f t="shared" si="475"/>
        <v>0</v>
      </c>
      <c r="AW178" s="1042">
        <f t="shared" si="476"/>
        <v>4300000</v>
      </c>
      <c r="AX178" s="1042">
        <f t="shared" si="477"/>
        <v>0</v>
      </c>
      <c r="AY178" s="179"/>
      <c r="AZ178" s="8">
        <f t="shared" si="478"/>
        <v>0</v>
      </c>
      <c r="BB178" s="221"/>
      <c r="BC178" s="179"/>
    </row>
    <row r="179" spans="1:55" s="220" customFormat="1" ht="14.25" customHeight="1">
      <c r="A179" s="17">
        <f t="shared" si="411"/>
        <v>89</v>
      </c>
      <c r="B179" s="56" t="s">
        <v>597</v>
      </c>
      <c r="C179" s="671">
        <v>42005</v>
      </c>
      <c r="D179" s="55">
        <v>8</v>
      </c>
      <c r="E179" s="6">
        <v>44400000</v>
      </c>
      <c r="F179" s="1041">
        <f t="shared" si="382"/>
        <v>5550000</v>
      </c>
      <c r="G179" s="1046"/>
      <c r="H179" s="1046"/>
      <c r="I179" s="1046"/>
      <c r="J179" s="1053">
        <f t="shared" si="466"/>
        <v>5550000</v>
      </c>
      <c r="K179" s="1042">
        <f t="shared" si="467"/>
        <v>5550000</v>
      </c>
      <c r="L179" s="1042">
        <f t="shared" si="388"/>
        <v>38850000</v>
      </c>
      <c r="M179" s="1042">
        <f t="shared" si="464"/>
        <v>5550000</v>
      </c>
      <c r="N179" s="1042">
        <f t="shared" si="390"/>
        <v>11100000</v>
      </c>
      <c r="O179" s="1042">
        <f t="shared" si="391"/>
        <v>33300000</v>
      </c>
      <c r="P179" s="1042">
        <f t="shared" si="392"/>
        <v>5550000</v>
      </c>
      <c r="Q179" s="1042">
        <f t="shared" si="393"/>
        <v>16650000</v>
      </c>
      <c r="R179" s="1042">
        <f t="shared" si="394"/>
        <v>27750000</v>
      </c>
      <c r="S179" s="1042">
        <f t="shared" si="380"/>
        <v>5550000</v>
      </c>
      <c r="T179" s="1042">
        <f t="shared" si="395"/>
        <v>22200000</v>
      </c>
      <c r="U179" s="1042">
        <f t="shared" si="396"/>
        <v>22200000</v>
      </c>
      <c r="V179" s="1042">
        <f t="shared" si="465"/>
        <v>5550000</v>
      </c>
      <c r="W179" s="1042">
        <f t="shared" si="397"/>
        <v>27750000</v>
      </c>
      <c r="X179" s="1042">
        <f t="shared" si="398"/>
        <v>16650000</v>
      </c>
      <c r="Y179" s="7">
        <v>18500000</v>
      </c>
      <c r="Z179" s="7">
        <f t="shared" si="399"/>
        <v>25900000</v>
      </c>
      <c r="AA179" s="1042">
        <f t="shared" si="479"/>
        <v>5550000</v>
      </c>
      <c r="AB179" s="1042">
        <f t="shared" si="400"/>
        <v>33300000</v>
      </c>
      <c r="AC179" s="1042">
        <f t="shared" si="401"/>
        <v>11100000</v>
      </c>
      <c r="AD179" s="1042">
        <f t="shared" si="481"/>
        <v>5550000</v>
      </c>
      <c r="AE179" s="1042">
        <f t="shared" si="402"/>
        <v>38850000</v>
      </c>
      <c r="AF179" s="1042">
        <f t="shared" si="403"/>
        <v>5550000</v>
      </c>
      <c r="AG179" s="1042">
        <f t="shared" si="468"/>
        <v>5550000</v>
      </c>
      <c r="AH179" s="1042">
        <f t="shared" si="405"/>
        <v>44400000</v>
      </c>
      <c r="AI179" s="1042">
        <f t="shared" si="406"/>
        <v>0</v>
      </c>
      <c r="AJ179" s="1042">
        <v>0</v>
      </c>
      <c r="AK179" s="1042">
        <f t="shared" si="469"/>
        <v>44400000</v>
      </c>
      <c r="AL179" s="1042">
        <f t="shared" si="470"/>
        <v>0</v>
      </c>
      <c r="AM179" s="1042">
        <f t="shared" si="480"/>
        <v>0</v>
      </c>
      <c r="AN179" s="1042">
        <f t="shared" si="471"/>
        <v>44400000</v>
      </c>
      <c r="AO179" s="1042">
        <f t="shared" si="472"/>
        <v>0</v>
      </c>
      <c r="AP179" s="1042">
        <f t="shared" si="427"/>
        <v>0</v>
      </c>
      <c r="AQ179" s="1042">
        <f t="shared" si="375"/>
        <v>44400000</v>
      </c>
      <c r="AR179" s="1042">
        <f t="shared" si="408"/>
        <v>0</v>
      </c>
      <c r="AS179" s="1042">
        <f t="shared" si="473"/>
        <v>0</v>
      </c>
      <c r="AT179" s="1042">
        <f t="shared" si="376"/>
        <v>44400000</v>
      </c>
      <c r="AU179" s="1042">
        <f t="shared" si="474"/>
        <v>0</v>
      </c>
      <c r="AV179" s="1042">
        <f t="shared" si="475"/>
        <v>0</v>
      </c>
      <c r="AW179" s="1042">
        <f t="shared" si="476"/>
        <v>44400000</v>
      </c>
      <c r="AX179" s="1042">
        <f t="shared" si="477"/>
        <v>0</v>
      </c>
      <c r="AY179" s="179"/>
      <c r="AZ179" s="8">
        <f t="shared" si="478"/>
        <v>0</v>
      </c>
      <c r="BB179" s="221"/>
      <c r="BC179" s="179"/>
    </row>
    <row r="180" spans="1:55" s="220" customFormat="1" ht="14.25" customHeight="1">
      <c r="A180" s="17">
        <f t="shared" si="411"/>
        <v>90</v>
      </c>
      <c r="B180" s="56" t="s">
        <v>597</v>
      </c>
      <c r="C180" s="671">
        <v>42005</v>
      </c>
      <c r="D180" s="55">
        <v>8</v>
      </c>
      <c r="E180" s="6">
        <v>85100000</v>
      </c>
      <c r="F180" s="1041">
        <f t="shared" si="382"/>
        <v>10637500</v>
      </c>
      <c r="G180" s="1046"/>
      <c r="H180" s="1046"/>
      <c r="I180" s="1046"/>
      <c r="J180" s="1053">
        <f t="shared" si="466"/>
        <v>10637500</v>
      </c>
      <c r="K180" s="1042">
        <f t="shared" si="467"/>
        <v>10637500</v>
      </c>
      <c r="L180" s="1042">
        <f t="shared" si="388"/>
        <v>74462500</v>
      </c>
      <c r="M180" s="1042">
        <f t="shared" si="464"/>
        <v>10637500</v>
      </c>
      <c r="N180" s="1042">
        <f t="shared" si="390"/>
        <v>21275000</v>
      </c>
      <c r="O180" s="1042">
        <f t="shared" si="391"/>
        <v>63825000</v>
      </c>
      <c r="P180" s="1042">
        <f t="shared" si="392"/>
        <v>10637500</v>
      </c>
      <c r="Q180" s="1042">
        <f t="shared" si="393"/>
        <v>31912500</v>
      </c>
      <c r="R180" s="1042">
        <f t="shared" si="394"/>
        <v>53187500</v>
      </c>
      <c r="S180" s="1042">
        <f t="shared" ref="S180:S207" si="482">(F180/12)*12</f>
        <v>10637500</v>
      </c>
      <c r="T180" s="1042">
        <f t="shared" si="395"/>
        <v>42550000</v>
      </c>
      <c r="U180" s="1042">
        <f t="shared" si="396"/>
        <v>42550000</v>
      </c>
      <c r="V180" s="1042">
        <f t="shared" si="465"/>
        <v>10637500</v>
      </c>
      <c r="W180" s="1042">
        <f t="shared" si="397"/>
        <v>53187500</v>
      </c>
      <c r="X180" s="1042">
        <f t="shared" si="398"/>
        <v>31912500</v>
      </c>
      <c r="Y180" s="7">
        <v>34040000</v>
      </c>
      <c r="Z180" s="7">
        <f t="shared" si="399"/>
        <v>51060000</v>
      </c>
      <c r="AA180" s="1042">
        <f t="shared" si="479"/>
        <v>10637500</v>
      </c>
      <c r="AB180" s="1042">
        <f t="shared" si="400"/>
        <v>63825000</v>
      </c>
      <c r="AC180" s="1042">
        <f t="shared" si="401"/>
        <v>21275000</v>
      </c>
      <c r="AD180" s="1042">
        <f t="shared" si="481"/>
        <v>10637500</v>
      </c>
      <c r="AE180" s="1042">
        <f t="shared" si="402"/>
        <v>74462500</v>
      </c>
      <c r="AF180" s="1042">
        <f t="shared" si="403"/>
        <v>10637500</v>
      </c>
      <c r="AG180" s="1042">
        <f t="shared" si="468"/>
        <v>10637500</v>
      </c>
      <c r="AH180" s="1042">
        <f t="shared" si="405"/>
        <v>85100000</v>
      </c>
      <c r="AI180" s="1042">
        <f t="shared" si="406"/>
        <v>0</v>
      </c>
      <c r="AJ180" s="1042">
        <v>0</v>
      </c>
      <c r="AK180" s="1042">
        <f t="shared" si="469"/>
        <v>85100000</v>
      </c>
      <c r="AL180" s="1042">
        <f t="shared" si="470"/>
        <v>0</v>
      </c>
      <c r="AM180" s="1042">
        <f t="shared" si="480"/>
        <v>0</v>
      </c>
      <c r="AN180" s="1042">
        <f t="shared" si="471"/>
        <v>85100000</v>
      </c>
      <c r="AO180" s="1042">
        <f t="shared" si="472"/>
        <v>0</v>
      </c>
      <c r="AP180" s="1042">
        <f t="shared" si="427"/>
        <v>0</v>
      </c>
      <c r="AQ180" s="1042">
        <f t="shared" si="375"/>
        <v>85100000</v>
      </c>
      <c r="AR180" s="1042">
        <f t="shared" si="408"/>
        <v>0</v>
      </c>
      <c r="AS180" s="1042">
        <f t="shared" si="473"/>
        <v>0</v>
      </c>
      <c r="AT180" s="1042">
        <f t="shared" si="376"/>
        <v>85100000</v>
      </c>
      <c r="AU180" s="1042">
        <f t="shared" si="474"/>
        <v>0</v>
      </c>
      <c r="AV180" s="1042">
        <f t="shared" si="475"/>
        <v>0</v>
      </c>
      <c r="AW180" s="1042">
        <f t="shared" si="476"/>
        <v>85100000</v>
      </c>
      <c r="AX180" s="1042">
        <f t="shared" si="477"/>
        <v>0</v>
      </c>
      <c r="AY180" s="179"/>
      <c r="AZ180" s="8">
        <f t="shared" si="478"/>
        <v>0</v>
      </c>
      <c r="BB180" s="221"/>
      <c r="BC180" s="179"/>
    </row>
    <row r="181" spans="1:55" s="220" customFormat="1" ht="14.25" customHeight="1">
      <c r="A181" s="17">
        <f t="shared" si="411"/>
        <v>91</v>
      </c>
      <c r="B181" s="56" t="s">
        <v>598</v>
      </c>
      <c r="C181" s="671">
        <v>42005</v>
      </c>
      <c r="D181" s="55">
        <v>8</v>
      </c>
      <c r="E181" s="6">
        <v>5500000</v>
      </c>
      <c r="F181" s="1041">
        <f t="shared" si="382"/>
        <v>687500</v>
      </c>
      <c r="G181" s="1046"/>
      <c r="H181" s="1046"/>
      <c r="I181" s="1046"/>
      <c r="J181" s="1053">
        <f t="shared" si="466"/>
        <v>687500</v>
      </c>
      <c r="K181" s="1042">
        <f t="shared" si="467"/>
        <v>687500</v>
      </c>
      <c r="L181" s="1042">
        <f t="shared" si="388"/>
        <v>4812500</v>
      </c>
      <c r="M181" s="1042">
        <f t="shared" si="464"/>
        <v>687500</v>
      </c>
      <c r="N181" s="1042">
        <f t="shared" si="390"/>
        <v>1375000</v>
      </c>
      <c r="O181" s="1042">
        <f t="shared" si="391"/>
        <v>4125000</v>
      </c>
      <c r="P181" s="1042">
        <f t="shared" si="392"/>
        <v>687500</v>
      </c>
      <c r="Q181" s="1042">
        <f t="shared" si="393"/>
        <v>2062500</v>
      </c>
      <c r="R181" s="1042">
        <f t="shared" si="394"/>
        <v>3437500</v>
      </c>
      <c r="S181" s="1042">
        <f t="shared" si="482"/>
        <v>687500</v>
      </c>
      <c r="T181" s="1042">
        <f t="shared" si="395"/>
        <v>2750000</v>
      </c>
      <c r="U181" s="1042">
        <f t="shared" si="396"/>
        <v>2750000</v>
      </c>
      <c r="V181" s="1042">
        <f t="shared" si="465"/>
        <v>687500</v>
      </c>
      <c r="W181" s="1042">
        <f t="shared" si="397"/>
        <v>3437500</v>
      </c>
      <c r="X181" s="1042">
        <f t="shared" si="398"/>
        <v>2062500</v>
      </c>
      <c r="Y181" s="7">
        <v>2154167</v>
      </c>
      <c r="Z181" s="7">
        <f t="shared" si="399"/>
        <v>3345833</v>
      </c>
      <c r="AA181" s="1042">
        <f t="shared" si="479"/>
        <v>687500</v>
      </c>
      <c r="AB181" s="1042">
        <f t="shared" si="400"/>
        <v>4125000</v>
      </c>
      <c r="AC181" s="1042">
        <f t="shared" si="401"/>
        <v>1375000</v>
      </c>
      <c r="AD181" s="1042">
        <f t="shared" si="481"/>
        <v>687500</v>
      </c>
      <c r="AE181" s="1042">
        <f t="shared" si="402"/>
        <v>4812500</v>
      </c>
      <c r="AF181" s="1042">
        <f t="shared" si="403"/>
        <v>687500</v>
      </c>
      <c r="AG181" s="1042">
        <f t="shared" si="468"/>
        <v>687500</v>
      </c>
      <c r="AH181" s="1042">
        <f t="shared" si="405"/>
        <v>5500000</v>
      </c>
      <c r="AI181" s="1042">
        <f t="shared" si="406"/>
        <v>0</v>
      </c>
      <c r="AJ181" s="1042">
        <v>0</v>
      </c>
      <c r="AK181" s="1042">
        <f t="shared" si="469"/>
        <v>5500000</v>
      </c>
      <c r="AL181" s="1042">
        <f t="shared" si="470"/>
        <v>0</v>
      </c>
      <c r="AM181" s="1042">
        <f t="shared" si="480"/>
        <v>0</v>
      </c>
      <c r="AN181" s="1042">
        <f t="shared" si="471"/>
        <v>5500000</v>
      </c>
      <c r="AO181" s="1042">
        <f t="shared" si="472"/>
        <v>0</v>
      </c>
      <c r="AP181" s="1042">
        <f t="shared" si="427"/>
        <v>0</v>
      </c>
      <c r="AQ181" s="1042">
        <f t="shared" si="375"/>
        <v>5500000</v>
      </c>
      <c r="AR181" s="1042">
        <f t="shared" si="408"/>
        <v>0</v>
      </c>
      <c r="AS181" s="1042">
        <f t="shared" si="473"/>
        <v>0</v>
      </c>
      <c r="AT181" s="1042">
        <f t="shared" si="376"/>
        <v>5500000</v>
      </c>
      <c r="AU181" s="1042">
        <f t="shared" si="474"/>
        <v>0</v>
      </c>
      <c r="AV181" s="1042">
        <f t="shared" si="475"/>
        <v>0</v>
      </c>
      <c r="AW181" s="1042">
        <f t="shared" si="476"/>
        <v>5500000</v>
      </c>
      <c r="AX181" s="1042">
        <f t="shared" si="477"/>
        <v>0</v>
      </c>
      <c r="AY181" s="179"/>
      <c r="AZ181" s="8">
        <f t="shared" si="478"/>
        <v>0</v>
      </c>
      <c r="BB181" s="221"/>
      <c r="BC181" s="179"/>
    </row>
    <row r="182" spans="1:55" s="220" customFormat="1" ht="14.25" customHeight="1">
      <c r="A182" s="17">
        <f t="shared" si="411"/>
        <v>92</v>
      </c>
      <c r="B182" s="56" t="s">
        <v>599</v>
      </c>
      <c r="C182" s="671">
        <v>42005</v>
      </c>
      <c r="D182" s="55">
        <v>8</v>
      </c>
      <c r="E182" s="6">
        <v>5500000</v>
      </c>
      <c r="F182" s="1041">
        <f t="shared" si="382"/>
        <v>687500</v>
      </c>
      <c r="G182" s="1046"/>
      <c r="H182" s="1046"/>
      <c r="I182" s="1046"/>
      <c r="J182" s="1053">
        <f t="shared" si="466"/>
        <v>687500</v>
      </c>
      <c r="K182" s="1042">
        <f t="shared" si="467"/>
        <v>687500</v>
      </c>
      <c r="L182" s="1042">
        <f t="shared" si="388"/>
        <v>4812500</v>
      </c>
      <c r="M182" s="1042">
        <f t="shared" si="464"/>
        <v>687500</v>
      </c>
      <c r="N182" s="1042">
        <f t="shared" si="390"/>
        <v>1375000</v>
      </c>
      <c r="O182" s="1042">
        <f t="shared" si="391"/>
        <v>4125000</v>
      </c>
      <c r="P182" s="1042">
        <f t="shared" si="392"/>
        <v>687500</v>
      </c>
      <c r="Q182" s="1042">
        <f t="shared" si="393"/>
        <v>2062500</v>
      </c>
      <c r="R182" s="1042">
        <f t="shared" si="394"/>
        <v>3437500</v>
      </c>
      <c r="S182" s="1042">
        <f t="shared" si="482"/>
        <v>687500</v>
      </c>
      <c r="T182" s="1042">
        <f t="shared" si="395"/>
        <v>2750000</v>
      </c>
      <c r="U182" s="1042">
        <f t="shared" si="396"/>
        <v>2750000</v>
      </c>
      <c r="V182" s="1042">
        <f t="shared" si="465"/>
        <v>687500</v>
      </c>
      <c r="W182" s="1042">
        <f t="shared" si="397"/>
        <v>3437500</v>
      </c>
      <c r="X182" s="1042">
        <f t="shared" si="398"/>
        <v>2062500</v>
      </c>
      <c r="Y182" s="7">
        <v>2154167</v>
      </c>
      <c r="Z182" s="7">
        <f t="shared" si="399"/>
        <v>3345833</v>
      </c>
      <c r="AA182" s="1042">
        <f t="shared" si="479"/>
        <v>687500</v>
      </c>
      <c r="AB182" s="1042">
        <f t="shared" si="400"/>
        <v>4125000</v>
      </c>
      <c r="AC182" s="1042">
        <f t="shared" si="401"/>
        <v>1375000</v>
      </c>
      <c r="AD182" s="1042">
        <f t="shared" si="481"/>
        <v>687500</v>
      </c>
      <c r="AE182" s="1042">
        <f t="shared" si="402"/>
        <v>4812500</v>
      </c>
      <c r="AF182" s="1042">
        <f t="shared" si="403"/>
        <v>687500</v>
      </c>
      <c r="AG182" s="1042">
        <f t="shared" si="468"/>
        <v>687500</v>
      </c>
      <c r="AH182" s="1042">
        <f t="shared" si="405"/>
        <v>5500000</v>
      </c>
      <c r="AI182" s="1042">
        <f t="shared" si="406"/>
        <v>0</v>
      </c>
      <c r="AJ182" s="1042">
        <v>0</v>
      </c>
      <c r="AK182" s="1042">
        <f t="shared" si="469"/>
        <v>5500000</v>
      </c>
      <c r="AL182" s="1042">
        <f t="shared" si="470"/>
        <v>0</v>
      </c>
      <c r="AM182" s="1042">
        <f t="shared" si="480"/>
        <v>0</v>
      </c>
      <c r="AN182" s="1042">
        <f t="shared" si="471"/>
        <v>5500000</v>
      </c>
      <c r="AO182" s="1042">
        <f t="shared" si="472"/>
        <v>0</v>
      </c>
      <c r="AP182" s="1042">
        <f t="shared" si="427"/>
        <v>0</v>
      </c>
      <c r="AQ182" s="1042">
        <f t="shared" si="375"/>
        <v>5500000</v>
      </c>
      <c r="AR182" s="1042">
        <f t="shared" si="408"/>
        <v>0</v>
      </c>
      <c r="AS182" s="1042">
        <f t="shared" si="473"/>
        <v>0</v>
      </c>
      <c r="AT182" s="1042">
        <f t="shared" si="376"/>
        <v>5500000</v>
      </c>
      <c r="AU182" s="1042">
        <f t="shared" si="474"/>
        <v>0</v>
      </c>
      <c r="AV182" s="1042">
        <f t="shared" si="475"/>
        <v>0</v>
      </c>
      <c r="AW182" s="1042">
        <f t="shared" si="476"/>
        <v>5500000</v>
      </c>
      <c r="AX182" s="1042">
        <f t="shared" si="477"/>
        <v>0</v>
      </c>
      <c r="AY182" s="179"/>
      <c r="AZ182" s="8">
        <f t="shared" si="478"/>
        <v>0</v>
      </c>
      <c r="BB182" s="221"/>
      <c r="BC182" s="179"/>
    </row>
    <row r="183" spans="1:55" s="220" customFormat="1" ht="14.25" customHeight="1">
      <c r="A183" s="17">
        <f t="shared" si="411"/>
        <v>93</v>
      </c>
      <c r="B183" s="56" t="s">
        <v>600</v>
      </c>
      <c r="C183" s="671">
        <v>42005</v>
      </c>
      <c r="D183" s="55">
        <v>8</v>
      </c>
      <c r="E183" s="6">
        <v>22200000</v>
      </c>
      <c r="F183" s="1041">
        <f t="shared" si="382"/>
        <v>2775000</v>
      </c>
      <c r="G183" s="1046"/>
      <c r="H183" s="1046"/>
      <c r="I183" s="1046"/>
      <c r="J183" s="1053">
        <f t="shared" si="466"/>
        <v>2775000</v>
      </c>
      <c r="K183" s="1042">
        <f t="shared" si="467"/>
        <v>2775000</v>
      </c>
      <c r="L183" s="1042">
        <f t="shared" si="388"/>
        <v>19425000</v>
      </c>
      <c r="M183" s="1042">
        <f t="shared" si="464"/>
        <v>2775000</v>
      </c>
      <c r="N183" s="1042">
        <f t="shared" si="390"/>
        <v>5550000</v>
      </c>
      <c r="O183" s="1042">
        <f t="shared" si="391"/>
        <v>16650000</v>
      </c>
      <c r="P183" s="1042">
        <f t="shared" si="392"/>
        <v>2775000</v>
      </c>
      <c r="Q183" s="1042">
        <f t="shared" si="393"/>
        <v>8325000</v>
      </c>
      <c r="R183" s="1042">
        <f t="shared" si="394"/>
        <v>13875000</v>
      </c>
      <c r="S183" s="1042">
        <f t="shared" si="482"/>
        <v>2775000</v>
      </c>
      <c r="T183" s="1042">
        <f t="shared" si="395"/>
        <v>11100000</v>
      </c>
      <c r="U183" s="1042">
        <f t="shared" si="396"/>
        <v>11100000</v>
      </c>
      <c r="V183" s="1042">
        <f t="shared" si="465"/>
        <v>2775000</v>
      </c>
      <c r="W183" s="1042">
        <f t="shared" si="397"/>
        <v>13875000</v>
      </c>
      <c r="X183" s="1042">
        <f t="shared" si="398"/>
        <v>8325000</v>
      </c>
      <c r="Y183" s="7">
        <v>8695000</v>
      </c>
      <c r="Z183" s="7">
        <f t="shared" si="399"/>
        <v>13505000</v>
      </c>
      <c r="AA183" s="1042">
        <f t="shared" si="479"/>
        <v>2775000</v>
      </c>
      <c r="AB183" s="1042">
        <f t="shared" si="400"/>
        <v>16650000</v>
      </c>
      <c r="AC183" s="1042">
        <f t="shared" si="401"/>
        <v>5550000</v>
      </c>
      <c r="AD183" s="1042">
        <f t="shared" si="481"/>
        <v>2775000</v>
      </c>
      <c r="AE183" s="1042">
        <f t="shared" si="402"/>
        <v>19425000</v>
      </c>
      <c r="AF183" s="1042">
        <f t="shared" si="403"/>
        <v>2775000</v>
      </c>
      <c r="AG183" s="1042">
        <f t="shared" si="468"/>
        <v>2775000</v>
      </c>
      <c r="AH183" s="1042">
        <f t="shared" si="405"/>
        <v>22200000</v>
      </c>
      <c r="AI183" s="1042">
        <f t="shared" si="406"/>
        <v>0</v>
      </c>
      <c r="AJ183" s="1042">
        <v>0</v>
      </c>
      <c r="AK183" s="1042">
        <f t="shared" si="469"/>
        <v>22200000</v>
      </c>
      <c r="AL183" s="1042">
        <f t="shared" si="470"/>
        <v>0</v>
      </c>
      <c r="AM183" s="1042">
        <f t="shared" si="480"/>
        <v>0</v>
      </c>
      <c r="AN183" s="1042">
        <f t="shared" si="471"/>
        <v>22200000</v>
      </c>
      <c r="AO183" s="1042">
        <f t="shared" si="472"/>
        <v>0</v>
      </c>
      <c r="AP183" s="1042">
        <f t="shared" si="427"/>
        <v>0</v>
      </c>
      <c r="AQ183" s="1042">
        <f t="shared" si="375"/>
        <v>22200000</v>
      </c>
      <c r="AR183" s="1042">
        <f t="shared" si="408"/>
        <v>0</v>
      </c>
      <c r="AS183" s="1042">
        <f t="shared" si="473"/>
        <v>0</v>
      </c>
      <c r="AT183" s="1042">
        <f t="shared" si="376"/>
        <v>22200000</v>
      </c>
      <c r="AU183" s="1042">
        <f t="shared" si="474"/>
        <v>0</v>
      </c>
      <c r="AV183" s="1042">
        <f t="shared" si="475"/>
        <v>0</v>
      </c>
      <c r="AW183" s="1042">
        <f t="shared" si="476"/>
        <v>22200000</v>
      </c>
      <c r="AX183" s="1042">
        <f t="shared" si="477"/>
        <v>0</v>
      </c>
      <c r="AY183" s="179"/>
      <c r="AZ183" s="8">
        <f t="shared" si="478"/>
        <v>0</v>
      </c>
      <c r="BB183" s="221"/>
      <c r="BC183" s="179"/>
    </row>
    <row r="184" spans="1:55" s="220" customFormat="1" ht="14.25" customHeight="1">
      <c r="A184" s="17">
        <f t="shared" si="411"/>
        <v>94</v>
      </c>
      <c r="B184" s="56" t="s">
        <v>601</v>
      </c>
      <c r="C184" s="671">
        <v>42370</v>
      </c>
      <c r="D184" s="55">
        <v>8</v>
      </c>
      <c r="E184" s="6">
        <v>43225000</v>
      </c>
      <c r="F184" s="1041">
        <f t="shared" si="382"/>
        <v>5403125</v>
      </c>
      <c r="G184" s="1046"/>
      <c r="H184" s="1046"/>
      <c r="I184" s="1046"/>
      <c r="J184" s="1046"/>
      <c r="K184" s="1046"/>
      <c r="L184" s="1046"/>
      <c r="M184" s="1053">
        <f t="shared" ref="M184:M194" si="483">(F184/12)*(13-IF(C184="","",MONTH(C184)))</f>
        <v>5403125</v>
      </c>
      <c r="N184" s="1042">
        <f t="shared" ref="N184:N194" si="484">M184+K184</f>
        <v>5403125</v>
      </c>
      <c r="O184" s="1042">
        <f t="shared" si="391"/>
        <v>37821875</v>
      </c>
      <c r="P184" s="1042">
        <f t="shared" si="392"/>
        <v>5403125</v>
      </c>
      <c r="Q184" s="1042">
        <f t="shared" si="393"/>
        <v>10806250</v>
      </c>
      <c r="R184" s="1042">
        <f t="shared" si="394"/>
        <v>32418750</v>
      </c>
      <c r="S184" s="1042">
        <f t="shared" si="482"/>
        <v>5403125</v>
      </c>
      <c r="T184" s="1042">
        <f t="shared" si="395"/>
        <v>16209375</v>
      </c>
      <c r="U184" s="1042">
        <f t="shared" si="396"/>
        <v>27015625</v>
      </c>
      <c r="V184" s="1042">
        <f t="shared" si="465"/>
        <v>5403125</v>
      </c>
      <c r="W184" s="1042">
        <f t="shared" si="397"/>
        <v>21612500</v>
      </c>
      <c r="X184" s="1042">
        <f t="shared" si="398"/>
        <v>21612500</v>
      </c>
      <c r="Y184" s="7">
        <v>12033593.75</v>
      </c>
      <c r="Z184" s="7">
        <f t="shared" si="399"/>
        <v>31191406.25</v>
      </c>
      <c r="AA184" s="1042">
        <f t="shared" si="479"/>
        <v>5403125</v>
      </c>
      <c r="AB184" s="1042">
        <f t="shared" si="400"/>
        <v>27015625</v>
      </c>
      <c r="AC184" s="1042">
        <f t="shared" si="401"/>
        <v>16209375</v>
      </c>
      <c r="AD184" s="1042">
        <f t="shared" si="481"/>
        <v>5403125</v>
      </c>
      <c r="AE184" s="1042">
        <f t="shared" si="402"/>
        <v>32418750</v>
      </c>
      <c r="AF184" s="1042">
        <f t="shared" si="403"/>
        <v>10806250</v>
      </c>
      <c r="AG184" s="1042">
        <f t="shared" si="468"/>
        <v>5403125</v>
      </c>
      <c r="AH184" s="1042">
        <f t="shared" si="405"/>
        <v>37821875</v>
      </c>
      <c r="AI184" s="1042">
        <f t="shared" si="406"/>
        <v>5403125</v>
      </c>
      <c r="AJ184" s="1042">
        <f t="shared" ref="AJ184:AJ185" si="485">(F184/12)*1</f>
        <v>450260.41666666669</v>
      </c>
      <c r="AK184" s="1042">
        <f t="shared" si="469"/>
        <v>38272135.416666664</v>
      </c>
      <c r="AL184" s="1042">
        <f t="shared" si="470"/>
        <v>4952864.5833333358</v>
      </c>
      <c r="AM184" s="1042">
        <f t="shared" ref="AM184:AM185" si="486">(F184/12)*9</f>
        <v>4052343.75</v>
      </c>
      <c r="AN184" s="1042">
        <f t="shared" si="471"/>
        <v>41874218.75</v>
      </c>
      <c r="AO184" s="1042">
        <f t="shared" si="472"/>
        <v>1350781.25</v>
      </c>
      <c r="AP184" s="1042">
        <f t="shared" ref="AP184:AP185" si="487">(F184/12)*12</f>
        <v>5403125</v>
      </c>
      <c r="AQ184" s="1042">
        <f t="shared" si="375"/>
        <v>43225000</v>
      </c>
      <c r="AR184" s="1042">
        <f t="shared" si="408"/>
        <v>0</v>
      </c>
      <c r="AS184" s="1042">
        <f t="shared" si="473"/>
        <v>0</v>
      </c>
      <c r="AT184" s="1042">
        <f t="shared" si="376"/>
        <v>43225000</v>
      </c>
      <c r="AU184" s="1042">
        <f t="shared" si="474"/>
        <v>0</v>
      </c>
      <c r="AV184" s="1042">
        <f t="shared" si="475"/>
        <v>0</v>
      </c>
      <c r="AW184" s="1042">
        <f t="shared" si="476"/>
        <v>43225000</v>
      </c>
      <c r="AX184" s="1042">
        <f t="shared" si="477"/>
        <v>0</v>
      </c>
      <c r="AY184" s="179"/>
      <c r="AZ184" s="8">
        <f t="shared" si="478"/>
        <v>0</v>
      </c>
      <c r="BB184" s="221"/>
      <c r="BC184" s="179"/>
    </row>
    <row r="185" spans="1:55" s="220" customFormat="1" ht="14.25" customHeight="1">
      <c r="A185" s="17">
        <f t="shared" si="411"/>
        <v>95</v>
      </c>
      <c r="B185" s="56" t="s">
        <v>602</v>
      </c>
      <c r="C185" s="671">
        <v>42370</v>
      </c>
      <c r="D185" s="55">
        <v>8</v>
      </c>
      <c r="E185" s="6">
        <v>27675000</v>
      </c>
      <c r="F185" s="1041">
        <f t="shared" si="382"/>
        <v>3459375</v>
      </c>
      <c r="G185" s="1046"/>
      <c r="H185" s="1046"/>
      <c r="I185" s="1046"/>
      <c r="J185" s="1046"/>
      <c r="K185" s="1046"/>
      <c r="L185" s="1046"/>
      <c r="M185" s="1053">
        <f t="shared" si="483"/>
        <v>3459375</v>
      </c>
      <c r="N185" s="1042">
        <f t="shared" si="484"/>
        <v>3459375</v>
      </c>
      <c r="O185" s="1042">
        <f t="shared" si="391"/>
        <v>24215625</v>
      </c>
      <c r="P185" s="1042">
        <f t="shared" si="392"/>
        <v>3459375</v>
      </c>
      <c r="Q185" s="1042">
        <f t="shared" si="393"/>
        <v>6918750</v>
      </c>
      <c r="R185" s="1042">
        <f t="shared" si="394"/>
        <v>20756250</v>
      </c>
      <c r="S185" s="1042">
        <f t="shared" si="482"/>
        <v>3459375</v>
      </c>
      <c r="T185" s="1042">
        <f t="shared" si="395"/>
        <v>10378125</v>
      </c>
      <c r="U185" s="1042">
        <f t="shared" si="396"/>
        <v>17296875</v>
      </c>
      <c r="V185" s="1042">
        <f t="shared" si="465"/>
        <v>3459375</v>
      </c>
      <c r="W185" s="1042">
        <f t="shared" si="397"/>
        <v>13837500</v>
      </c>
      <c r="X185" s="1042">
        <f t="shared" si="398"/>
        <v>13837500</v>
      </c>
      <c r="Y185" s="7">
        <v>13815364.583333332</v>
      </c>
      <c r="Z185" s="7">
        <f t="shared" si="399"/>
        <v>13859635.416666668</v>
      </c>
      <c r="AA185" s="1042">
        <f t="shared" si="479"/>
        <v>3459375</v>
      </c>
      <c r="AB185" s="1042">
        <f t="shared" si="400"/>
        <v>17296875</v>
      </c>
      <c r="AC185" s="1042">
        <f t="shared" si="401"/>
        <v>10378125</v>
      </c>
      <c r="AD185" s="1042">
        <f t="shared" si="481"/>
        <v>3459375</v>
      </c>
      <c r="AE185" s="1042">
        <f t="shared" si="402"/>
        <v>20756250</v>
      </c>
      <c r="AF185" s="1042">
        <f t="shared" si="403"/>
        <v>6918750</v>
      </c>
      <c r="AG185" s="1042">
        <f t="shared" si="468"/>
        <v>3459375</v>
      </c>
      <c r="AH185" s="1042">
        <f t="shared" si="405"/>
        <v>24215625</v>
      </c>
      <c r="AI185" s="1042">
        <f t="shared" si="406"/>
        <v>3459375</v>
      </c>
      <c r="AJ185" s="1042">
        <f t="shared" si="485"/>
        <v>288281.25</v>
      </c>
      <c r="AK185" s="1042">
        <f t="shared" si="469"/>
        <v>24503906.25</v>
      </c>
      <c r="AL185" s="1042">
        <f t="shared" si="470"/>
        <v>3171093.75</v>
      </c>
      <c r="AM185" s="1042">
        <f t="shared" si="486"/>
        <v>2594531.25</v>
      </c>
      <c r="AN185" s="1042">
        <f t="shared" si="471"/>
        <v>26810156.25</v>
      </c>
      <c r="AO185" s="1042">
        <f t="shared" si="472"/>
        <v>864843.75</v>
      </c>
      <c r="AP185" s="1042">
        <f t="shared" si="487"/>
        <v>3459375</v>
      </c>
      <c r="AQ185" s="1042">
        <f t="shared" si="375"/>
        <v>27675000</v>
      </c>
      <c r="AR185" s="1042">
        <f t="shared" si="408"/>
        <v>0</v>
      </c>
      <c r="AS185" s="1042">
        <f t="shared" si="473"/>
        <v>0</v>
      </c>
      <c r="AT185" s="1042">
        <f t="shared" si="376"/>
        <v>27675000</v>
      </c>
      <c r="AU185" s="1042">
        <f t="shared" si="474"/>
        <v>0</v>
      </c>
      <c r="AV185" s="1042">
        <f t="shared" si="475"/>
        <v>0</v>
      </c>
      <c r="AW185" s="1042">
        <f t="shared" si="476"/>
        <v>27675000</v>
      </c>
      <c r="AX185" s="1042">
        <f t="shared" si="477"/>
        <v>0</v>
      </c>
      <c r="AY185" s="179"/>
      <c r="AZ185" s="8">
        <f t="shared" si="478"/>
        <v>0</v>
      </c>
      <c r="BB185" s="221"/>
      <c r="BC185" s="179"/>
    </row>
    <row r="186" spans="1:55" s="970" customFormat="1" ht="14.25" hidden="1" customHeight="1">
      <c r="A186" s="17">
        <f t="shared" si="411"/>
        <v>96</v>
      </c>
      <c r="B186" s="909" t="s">
        <v>603</v>
      </c>
      <c r="C186" s="903">
        <v>42370</v>
      </c>
      <c r="D186" s="877">
        <v>8</v>
      </c>
      <c r="E186" s="878">
        <f>44800000*0</f>
        <v>0</v>
      </c>
      <c r="F186" s="879">
        <f t="shared" si="382"/>
        <v>0</v>
      </c>
      <c r="G186" s="908"/>
      <c r="H186" s="908"/>
      <c r="I186" s="908"/>
      <c r="J186" s="908"/>
      <c r="K186" s="908"/>
      <c r="L186" s="908"/>
      <c r="M186" s="880">
        <f t="shared" si="483"/>
        <v>0</v>
      </c>
      <c r="N186" s="880">
        <f t="shared" si="484"/>
        <v>0</v>
      </c>
      <c r="O186" s="880">
        <f t="shared" si="391"/>
        <v>0</v>
      </c>
      <c r="P186" s="880">
        <f t="shared" si="392"/>
        <v>0</v>
      </c>
      <c r="Q186" s="880">
        <f t="shared" si="393"/>
        <v>0</v>
      </c>
      <c r="R186" s="880">
        <f t="shared" si="394"/>
        <v>0</v>
      </c>
      <c r="S186" s="880">
        <f t="shared" si="482"/>
        <v>0</v>
      </c>
      <c r="T186" s="880">
        <f t="shared" si="395"/>
        <v>0</v>
      </c>
      <c r="U186" s="880">
        <f t="shared" si="396"/>
        <v>0</v>
      </c>
      <c r="V186" s="880">
        <f t="shared" si="465"/>
        <v>0</v>
      </c>
      <c r="W186" s="880">
        <f t="shared" si="397"/>
        <v>0</v>
      </c>
      <c r="X186" s="880">
        <f t="shared" si="398"/>
        <v>0</v>
      </c>
      <c r="Y186" s="7">
        <v>14466666.666666668</v>
      </c>
      <c r="Z186" s="7">
        <f t="shared" si="399"/>
        <v>-14466666.666666668</v>
      </c>
      <c r="AA186" s="880">
        <f t="shared" si="479"/>
        <v>0</v>
      </c>
      <c r="AB186" s="880">
        <f t="shared" si="400"/>
        <v>0</v>
      </c>
      <c r="AC186" s="880">
        <f t="shared" si="401"/>
        <v>0</v>
      </c>
      <c r="AD186" s="880">
        <f t="shared" si="481"/>
        <v>0</v>
      </c>
      <c r="AE186" s="880">
        <f t="shared" si="402"/>
        <v>0</v>
      </c>
      <c r="AF186" s="880">
        <f t="shared" si="403"/>
        <v>0</v>
      </c>
      <c r="AG186" s="880">
        <f t="shared" si="468"/>
        <v>0</v>
      </c>
      <c r="AH186" s="880">
        <f t="shared" si="405"/>
        <v>0</v>
      </c>
      <c r="AI186" s="880">
        <f t="shared" si="406"/>
        <v>0</v>
      </c>
      <c r="AJ186" s="880"/>
      <c r="AK186" s="880"/>
      <c r="AL186" s="880"/>
      <c r="AM186" s="880"/>
      <c r="AN186" s="880"/>
      <c r="AO186" s="880"/>
      <c r="AP186" s="880">
        <f t="shared" ref="AP186:AP225" si="488">(F186/12)*7</f>
        <v>0</v>
      </c>
      <c r="AQ186" s="880">
        <f t="shared" si="375"/>
        <v>0</v>
      </c>
      <c r="AR186" s="880">
        <f t="shared" si="408"/>
        <v>0</v>
      </c>
      <c r="AS186" s="896">
        <f t="shared" si="409"/>
        <v>0</v>
      </c>
      <c r="AT186" s="896">
        <f t="shared" si="376"/>
        <v>0</v>
      </c>
      <c r="AU186" s="896"/>
      <c r="AV186" s="896"/>
      <c r="AW186" s="896"/>
      <c r="AX186" s="896"/>
      <c r="AY186" s="969"/>
      <c r="AZ186" s="881">
        <f t="shared" si="410"/>
        <v>0</v>
      </c>
      <c r="BB186" s="971"/>
      <c r="BC186" s="969"/>
    </row>
    <row r="187" spans="1:55" s="970" customFormat="1" ht="14.25" hidden="1" customHeight="1">
      <c r="A187" s="17">
        <f t="shared" si="411"/>
        <v>97</v>
      </c>
      <c r="B187" s="909" t="s">
        <v>603</v>
      </c>
      <c r="C187" s="903">
        <v>42370</v>
      </c>
      <c r="D187" s="877">
        <v>8</v>
      </c>
      <c r="E187" s="878">
        <f>45572000*0</f>
        <v>0</v>
      </c>
      <c r="F187" s="879">
        <f t="shared" ref="F187:F218" si="489">E187/D187</f>
        <v>0</v>
      </c>
      <c r="G187" s="908"/>
      <c r="H187" s="908"/>
      <c r="I187" s="908"/>
      <c r="J187" s="908"/>
      <c r="K187" s="908"/>
      <c r="L187" s="908"/>
      <c r="M187" s="880">
        <f t="shared" si="483"/>
        <v>0</v>
      </c>
      <c r="N187" s="880">
        <f t="shared" si="484"/>
        <v>0</v>
      </c>
      <c r="O187" s="880">
        <f t="shared" ref="O187:O194" si="490">E187-N187</f>
        <v>0</v>
      </c>
      <c r="P187" s="880">
        <f t="shared" si="392"/>
        <v>0</v>
      </c>
      <c r="Q187" s="880">
        <f t="shared" si="393"/>
        <v>0</v>
      </c>
      <c r="R187" s="880">
        <f t="shared" ref="R187:R207" si="491">E187-Q187</f>
        <v>0</v>
      </c>
      <c r="S187" s="880">
        <f t="shared" si="482"/>
        <v>0</v>
      </c>
      <c r="T187" s="880">
        <f t="shared" si="395"/>
        <v>0</v>
      </c>
      <c r="U187" s="880">
        <f t="shared" ref="U187:U218" si="492">E187-T187</f>
        <v>0</v>
      </c>
      <c r="V187" s="880">
        <f t="shared" si="465"/>
        <v>0</v>
      </c>
      <c r="W187" s="880">
        <f t="shared" si="397"/>
        <v>0</v>
      </c>
      <c r="X187" s="880">
        <f t="shared" ref="X187:X218" si="493">E187-W187</f>
        <v>0</v>
      </c>
      <c r="Y187" s="7">
        <v>14241249.999999998</v>
      </c>
      <c r="Z187" s="7">
        <f t="shared" ref="Z187:Z218" si="494">E187-Y187</f>
        <v>-14241249.999999998</v>
      </c>
      <c r="AA187" s="880">
        <f t="shared" si="479"/>
        <v>0</v>
      </c>
      <c r="AB187" s="880">
        <f t="shared" si="400"/>
        <v>0</v>
      </c>
      <c r="AC187" s="880">
        <f t="shared" ref="AC187:AC218" si="495">E187-AB187</f>
        <v>0</v>
      </c>
      <c r="AD187" s="880">
        <f t="shared" si="481"/>
        <v>0</v>
      </c>
      <c r="AE187" s="880">
        <f t="shared" si="402"/>
        <v>0</v>
      </c>
      <c r="AF187" s="880">
        <f t="shared" ref="AF187:AF218" si="496">E187-AE187</f>
        <v>0</v>
      </c>
      <c r="AG187" s="880">
        <f t="shared" si="468"/>
        <v>0</v>
      </c>
      <c r="AH187" s="880">
        <f t="shared" si="405"/>
        <v>0</v>
      </c>
      <c r="AI187" s="880">
        <f t="shared" ref="AI187:AI218" si="497">E187-AH187</f>
        <v>0</v>
      </c>
      <c r="AJ187" s="880"/>
      <c r="AK187" s="880"/>
      <c r="AL187" s="880"/>
      <c r="AM187" s="880"/>
      <c r="AN187" s="880"/>
      <c r="AO187" s="880"/>
      <c r="AP187" s="880">
        <f t="shared" si="488"/>
        <v>0</v>
      </c>
      <c r="AQ187" s="880">
        <f t="shared" si="375"/>
        <v>0</v>
      </c>
      <c r="AR187" s="880">
        <f t="shared" ref="AR187:AR218" si="498">E187-AQ187</f>
        <v>0</v>
      </c>
      <c r="AS187" s="896">
        <f t="shared" si="409"/>
        <v>0</v>
      </c>
      <c r="AT187" s="896">
        <f t="shared" si="376"/>
        <v>0</v>
      </c>
      <c r="AU187" s="896"/>
      <c r="AV187" s="896"/>
      <c r="AW187" s="896"/>
      <c r="AX187" s="896"/>
      <c r="AY187" s="969"/>
      <c r="AZ187" s="881">
        <f t="shared" si="410"/>
        <v>0</v>
      </c>
      <c r="BB187" s="971"/>
      <c r="BC187" s="969"/>
    </row>
    <row r="188" spans="1:55" s="220" customFormat="1" ht="14.25" customHeight="1">
      <c r="A188" s="17">
        <f t="shared" si="411"/>
        <v>98</v>
      </c>
      <c r="B188" s="56" t="s">
        <v>539</v>
      </c>
      <c r="C188" s="671">
        <v>42370</v>
      </c>
      <c r="D188" s="55">
        <v>8</v>
      </c>
      <c r="E188" s="6">
        <v>42312000</v>
      </c>
      <c r="F188" s="1041">
        <f t="shared" si="489"/>
        <v>5289000</v>
      </c>
      <c r="G188" s="1046"/>
      <c r="H188" s="1046"/>
      <c r="I188" s="1046"/>
      <c r="J188" s="1046"/>
      <c r="K188" s="1046"/>
      <c r="L188" s="1046"/>
      <c r="M188" s="1053">
        <f t="shared" si="483"/>
        <v>5289000</v>
      </c>
      <c r="N188" s="1042">
        <f t="shared" si="484"/>
        <v>5289000</v>
      </c>
      <c r="O188" s="1042">
        <f t="shared" si="490"/>
        <v>37023000</v>
      </c>
      <c r="P188" s="1042">
        <f t="shared" si="392"/>
        <v>5289000</v>
      </c>
      <c r="Q188" s="1042">
        <f t="shared" si="393"/>
        <v>10578000</v>
      </c>
      <c r="R188" s="1042">
        <f t="shared" si="491"/>
        <v>31734000</v>
      </c>
      <c r="S188" s="1042">
        <f t="shared" si="482"/>
        <v>5289000</v>
      </c>
      <c r="T188" s="1042">
        <f t="shared" si="395"/>
        <v>15867000</v>
      </c>
      <c r="U188" s="1042">
        <f t="shared" si="492"/>
        <v>26445000</v>
      </c>
      <c r="V188" s="1042">
        <f t="shared" si="465"/>
        <v>5289000</v>
      </c>
      <c r="W188" s="1042">
        <f t="shared" si="397"/>
        <v>21156000</v>
      </c>
      <c r="X188" s="1042">
        <f t="shared" si="493"/>
        <v>21156000</v>
      </c>
      <c r="Y188" s="7">
        <v>42312000</v>
      </c>
      <c r="Z188" s="7">
        <f t="shared" si="494"/>
        <v>0</v>
      </c>
      <c r="AA188" s="1042">
        <f t="shared" si="479"/>
        <v>5289000</v>
      </c>
      <c r="AB188" s="1042">
        <f t="shared" si="400"/>
        <v>26445000</v>
      </c>
      <c r="AC188" s="1042">
        <f t="shared" si="495"/>
        <v>15867000</v>
      </c>
      <c r="AD188" s="1042">
        <f t="shared" si="481"/>
        <v>5289000</v>
      </c>
      <c r="AE188" s="1042">
        <f t="shared" si="402"/>
        <v>31734000</v>
      </c>
      <c r="AF188" s="1042">
        <f t="shared" si="496"/>
        <v>10578000</v>
      </c>
      <c r="AG188" s="1042">
        <f t="shared" si="468"/>
        <v>5289000</v>
      </c>
      <c r="AH188" s="1042">
        <f t="shared" si="405"/>
        <v>37023000</v>
      </c>
      <c r="AI188" s="1042">
        <f t="shared" si="497"/>
        <v>5289000</v>
      </c>
      <c r="AJ188" s="1042">
        <f t="shared" ref="AJ188" si="499">(F188/12)*1</f>
        <v>440750</v>
      </c>
      <c r="AK188" s="1042">
        <f t="shared" ref="AK188" si="500">AH188+AJ188</f>
        <v>37463750</v>
      </c>
      <c r="AL188" s="1042">
        <f t="shared" ref="AL188" si="501">E188-AK188</f>
        <v>4848250</v>
      </c>
      <c r="AM188" s="1042">
        <f t="shared" ref="AM188" si="502">(F188/12)*9</f>
        <v>3966750</v>
      </c>
      <c r="AN188" s="1042">
        <f t="shared" ref="AN188" si="503">AH188+AM188</f>
        <v>40989750</v>
      </c>
      <c r="AO188" s="1042">
        <f t="shared" ref="AO188" si="504">E188-AN188</f>
        <v>1322250</v>
      </c>
      <c r="AP188" s="1042">
        <f>(F188/12)*12</f>
        <v>5289000</v>
      </c>
      <c r="AQ188" s="1042">
        <f t="shared" si="375"/>
        <v>42312000</v>
      </c>
      <c r="AR188" s="1042">
        <f t="shared" si="498"/>
        <v>0</v>
      </c>
      <c r="AS188" s="1042">
        <f>(F188/12)*0</f>
        <v>0</v>
      </c>
      <c r="AT188" s="1042">
        <f t="shared" si="376"/>
        <v>42312000</v>
      </c>
      <c r="AU188" s="1042">
        <f t="shared" ref="AU188" si="505">E188-AT188</f>
        <v>0</v>
      </c>
      <c r="AV188" s="1042">
        <f>(F188/12)*0</f>
        <v>0</v>
      </c>
      <c r="AW188" s="1042">
        <f t="shared" ref="AW188" si="506">AQ188+AV188</f>
        <v>42312000</v>
      </c>
      <c r="AX188" s="1042">
        <f t="shared" ref="AX188" si="507">E188-AW188</f>
        <v>0</v>
      </c>
      <c r="AY188" s="179"/>
      <c r="AZ188" s="8">
        <f>E188-AW188-AX188</f>
        <v>0</v>
      </c>
      <c r="BB188" s="221"/>
      <c r="BC188" s="179"/>
    </row>
    <row r="189" spans="1:55" s="970" customFormat="1" ht="14.25" hidden="1" customHeight="1">
      <c r="A189" s="874">
        <f t="shared" si="411"/>
        <v>99</v>
      </c>
      <c r="B189" s="905" t="s">
        <v>604</v>
      </c>
      <c r="C189" s="903">
        <v>42370</v>
      </c>
      <c r="D189" s="877">
        <v>8</v>
      </c>
      <c r="E189" s="878">
        <f>255000000*0</f>
        <v>0</v>
      </c>
      <c r="F189" s="879">
        <f t="shared" si="489"/>
        <v>0</v>
      </c>
      <c r="G189" s="908"/>
      <c r="H189" s="908"/>
      <c r="I189" s="908"/>
      <c r="J189" s="908"/>
      <c r="K189" s="908"/>
      <c r="L189" s="908"/>
      <c r="M189" s="880">
        <f t="shared" si="483"/>
        <v>0</v>
      </c>
      <c r="N189" s="880">
        <f t="shared" si="484"/>
        <v>0</v>
      </c>
      <c r="O189" s="880">
        <f t="shared" si="490"/>
        <v>0</v>
      </c>
      <c r="P189" s="880">
        <f t="shared" ref="P189:P194" si="508">(F189/12)*12</f>
        <v>0</v>
      </c>
      <c r="Q189" s="880">
        <f t="shared" si="393"/>
        <v>0</v>
      </c>
      <c r="R189" s="880">
        <f t="shared" si="491"/>
        <v>0</v>
      </c>
      <c r="S189" s="880">
        <f t="shared" si="482"/>
        <v>0</v>
      </c>
      <c r="T189" s="880">
        <f t="shared" si="395"/>
        <v>0</v>
      </c>
      <c r="U189" s="880">
        <f t="shared" si="492"/>
        <v>0</v>
      </c>
      <c r="V189" s="880">
        <f t="shared" si="465"/>
        <v>0</v>
      </c>
      <c r="W189" s="880">
        <f t="shared" si="397"/>
        <v>0</v>
      </c>
      <c r="X189" s="880">
        <f t="shared" si="493"/>
        <v>0</v>
      </c>
      <c r="Y189" s="880">
        <f>38927000*0</f>
        <v>0</v>
      </c>
      <c r="Z189" s="880">
        <f t="shared" si="494"/>
        <v>0</v>
      </c>
      <c r="AA189" s="880">
        <f t="shared" si="479"/>
        <v>0</v>
      </c>
      <c r="AB189" s="880">
        <f t="shared" si="400"/>
        <v>0</v>
      </c>
      <c r="AC189" s="880">
        <f t="shared" si="495"/>
        <v>0</v>
      </c>
      <c r="AD189" s="880">
        <f t="shared" si="481"/>
        <v>0</v>
      </c>
      <c r="AE189" s="880">
        <f t="shared" si="402"/>
        <v>0</v>
      </c>
      <c r="AF189" s="880">
        <f t="shared" si="496"/>
        <v>0</v>
      </c>
      <c r="AG189" s="880">
        <f t="shared" si="468"/>
        <v>0</v>
      </c>
      <c r="AH189" s="880">
        <f t="shared" si="405"/>
        <v>0</v>
      </c>
      <c r="AI189" s="880">
        <f t="shared" si="497"/>
        <v>0</v>
      </c>
      <c r="AJ189" s="880"/>
      <c r="AK189" s="880"/>
      <c r="AL189" s="880"/>
      <c r="AM189" s="880"/>
      <c r="AN189" s="880"/>
      <c r="AO189" s="880"/>
      <c r="AP189" s="880">
        <f t="shared" si="488"/>
        <v>0</v>
      </c>
      <c r="AQ189" s="880">
        <f t="shared" si="375"/>
        <v>0</v>
      </c>
      <c r="AR189" s="880">
        <f t="shared" si="498"/>
        <v>0</v>
      </c>
      <c r="AS189" s="896">
        <f t="shared" si="409"/>
        <v>0</v>
      </c>
      <c r="AT189" s="896">
        <f t="shared" si="376"/>
        <v>0</v>
      </c>
      <c r="AU189" s="896"/>
      <c r="AV189" s="896"/>
      <c r="AW189" s="896"/>
      <c r="AX189" s="896"/>
      <c r="AY189" s="969"/>
      <c r="AZ189" s="881">
        <f t="shared" si="410"/>
        <v>0</v>
      </c>
      <c r="BB189" s="971"/>
      <c r="BC189" s="969"/>
    </row>
    <row r="190" spans="1:55" s="970" customFormat="1" ht="14.25" hidden="1" customHeight="1">
      <c r="A190" s="17">
        <f t="shared" si="411"/>
        <v>100</v>
      </c>
      <c r="B190" s="909" t="s">
        <v>603</v>
      </c>
      <c r="C190" s="903">
        <v>42370</v>
      </c>
      <c r="D190" s="877">
        <v>8</v>
      </c>
      <c r="E190" s="878">
        <f>31112000*0</f>
        <v>0</v>
      </c>
      <c r="F190" s="879">
        <f t="shared" si="489"/>
        <v>0</v>
      </c>
      <c r="G190" s="908"/>
      <c r="H190" s="908"/>
      <c r="I190" s="908"/>
      <c r="J190" s="908"/>
      <c r="K190" s="908"/>
      <c r="L190" s="908"/>
      <c r="M190" s="880">
        <f t="shared" si="483"/>
        <v>0</v>
      </c>
      <c r="N190" s="880">
        <f t="shared" si="484"/>
        <v>0</v>
      </c>
      <c r="O190" s="880">
        <f t="shared" si="490"/>
        <v>0</v>
      </c>
      <c r="P190" s="880">
        <f t="shared" si="508"/>
        <v>0</v>
      </c>
      <c r="Q190" s="880">
        <f t="shared" si="393"/>
        <v>0</v>
      </c>
      <c r="R190" s="880">
        <f t="shared" si="491"/>
        <v>0</v>
      </c>
      <c r="S190" s="880">
        <f t="shared" si="482"/>
        <v>0</v>
      </c>
      <c r="T190" s="880">
        <f t="shared" si="395"/>
        <v>0</v>
      </c>
      <c r="U190" s="880">
        <f t="shared" si="492"/>
        <v>0</v>
      </c>
      <c r="V190" s="880">
        <f t="shared" si="465"/>
        <v>0</v>
      </c>
      <c r="W190" s="880">
        <f t="shared" si="397"/>
        <v>0</v>
      </c>
      <c r="X190" s="880">
        <f t="shared" si="493"/>
        <v>0</v>
      </c>
      <c r="Y190" s="7">
        <v>8426166.6666666679</v>
      </c>
      <c r="Z190" s="7">
        <f t="shared" si="494"/>
        <v>-8426166.6666666679</v>
      </c>
      <c r="AA190" s="880">
        <f t="shared" si="479"/>
        <v>0</v>
      </c>
      <c r="AB190" s="880">
        <f t="shared" si="400"/>
        <v>0</v>
      </c>
      <c r="AC190" s="880">
        <f t="shared" si="495"/>
        <v>0</v>
      </c>
      <c r="AD190" s="880">
        <f t="shared" si="481"/>
        <v>0</v>
      </c>
      <c r="AE190" s="880">
        <f t="shared" si="402"/>
        <v>0</v>
      </c>
      <c r="AF190" s="880">
        <f t="shared" si="496"/>
        <v>0</v>
      </c>
      <c r="AG190" s="880">
        <f t="shared" si="468"/>
        <v>0</v>
      </c>
      <c r="AH190" s="880">
        <f t="shared" si="405"/>
        <v>0</v>
      </c>
      <c r="AI190" s="880">
        <f t="shared" si="497"/>
        <v>0</v>
      </c>
      <c r="AJ190" s="880"/>
      <c r="AK190" s="880"/>
      <c r="AL190" s="880"/>
      <c r="AM190" s="880"/>
      <c r="AN190" s="880"/>
      <c r="AO190" s="880"/>
      <c r="AP190" s="880">
        <f t="shared" si="488"/>
        <v>0</v>
      </c>
      <c r="AQ190" s="880">
        <f t="shared" si="375"/>
        <v>0</v>
      </c>
      <c r="AR190" s="880">
        <f t="shared" si="498"/>
        <v>0</v>
      </c>
      <c r="AS190" s="896">
        <f t="shared" si="409"/>
        <v>0</v>
      </c>
      <c r="AT190" s="896">
        <f t="shared" si="376"/>
        <v>0</v>
      </c>
      <c r="AU190" s="896"/>
      <c r="AV190" s="896"/>
      <c r="AW190" s="896"/>
      <c r="AX190" s="896"/>
      <c r="AY190" s="969"/>
      <c r="AZ190" s="881">
        <f t="shared" si="410"/>
        <v>0</v>
      </c>
      <c r="BB190" s="971"/>
      <c r="BC190" s="969"/>
    </row>
    <row r="191" spans="1:55" s="220" customFormat="1" ht="14.25" customHeight="1">
      <c r="A191" s="17">
        <f t="shared" si="411"/>
        <v>101</v>
      </c>
      <c r="B191" s="909" t="s">
        <v>603</v>
      </c>
      <c r="C191" s="671">
        <v>42370</v>
      </c>
      <c r="D191" s="55">
        <v>8</v>
      </c>
      <c r="E191" s="6">
        <f>187812000+44800000+45572000+31112000</f>
        <v>309296000</v>
      </c>
      <c r="F191" s="1041">
        <f t="shared" si="489"/>
        <v>38662000</v>
      </c>
      <c r="G191" s="1046"/>
      <c r="H191" s="1046"/>
      <c r="I191" s="1046"/>
      <c r="J191" s="1046"/>
      <c r="K191" s="1046"/>
      <c r="L191" s="1046"/>
      <c r="M191" s="1042">
        <f t="shared" si="483"/>
        <v>38662000</v>
      </c>
      <c r="N191" s="1042">
        <f t="shared" si="484"/>
        <v>38662000</v>
      </c>
      <c r="O191" s="1042">
        <f t="shared" si="490"/>
        <v>270634000</v>
      </c>
      <c r="P191" s="1042">
        <f t="shared" si="508"/>
        <v>38662000</v>
      </c>
      <c r="Q191" s="1042">
        <f t="shared" si="393"/>
        <v>77324000</v>
      </c>
      <c r="R191" s="1042">
        <f t="shared" si="491"/>
        <v>231972000</v>
      </c>
      <c r="S191" s="1042">
        <f t="shared" si="482"/>
        <v>38662000</v>
      </c>
      <c r="T191" s="1042">
        <f t="shared" si="395"/>
        <v>115986000</v>
      </c>
      <c r="U191" s="1042">
        <f t="shared" si="492"/>
        <v>193310000</v>
      </c>
      <c r="V191" s="1042">
        <f t="shared" si="465"/>
        <v>38662000</v>
      </c>
      <c r="W191" s="1042">
        <f t="shared" si="397"/>
        <v>154648000</v>
      </c>
      <c r="X191" s="1042">
        <f t="shared" si="493"/>
        <v>154648000</v>
      </c>
      <c r="Y191" s="7">
        <v>31296812.5</v>
      </c>
      <c r="Z191" s="7">
        <f t="shared" si="494"/>
        <v>277999187.5</v>
      </c>
      <c r="AA191" s="1042">
        <f t="shared" si="479"/>
        <v>38662000</v>
      </c>
      <c r="AB191" s="1042">
        <f t="shared" si="400"/>
        <v>193310000</v>
      </c>
      <c r="AC191" s="1042">
        <f t="shared" si="495"/>
        <v>115986000</v>
      </c>
      <c r="AD191" s="1042">
        <f t="shared" si="481"/>
        <v>38662000</v>
      </c>
      <c r="AE191" s="1042">
        <f t="shared" si="402"/>
        <v>231972000</v>
      </c>
      <c r="AF191" s="1042">
        <f t="shared" si="496"/>
        <v>77324000</v>
      </c>
      <c r="AG191" s="1042">
        <f t="shared" si="468"/>
        <v>38662000</v>
      </c>
      <c r="AH191" s="1042">
        <f t="shared" si="405"/>
        <v>270634000</v>
      </c>
      <c r="AI191" s="1042">
        <f t="shared" si="497"/>
        <v>38662000</v>
      </c>
      <c r="AJ191" s="1042">
        <f t="shared" ref="AJ191:AJ194" si="509">(F191/12)*1</f>
        <v>3221833.3333333335</v>
      </c>
      <c r="AK191" s="1042">
        <f t="shared" ref="AK191:AK194" si="510">AH191+AJ191</f>
        <v>273855833.33333331</v>
      </c>
      <c r="AL191" s="1042">
        <f t="shared" ref="AL191:AL194" si="511">E191-AK191</f>
        <v>35440166.666666687</v>
      </c>
      <c r="AM191" s="1042">
        <f t="shared" ref="AM191:AM194" si="512">(F191/12)*9</f>
        <v>28996500</v>
      </c>
      <c r="AN191" s="1042">
        <f t="shared" ref="AN191:AN194" si="513">AH191+AM191</f>
        <v>299630500</v>
      </c>
      <c r="AO191" s="1042">
        <f t="shared" ref="AO191:AO194" si="514">E191-AN191</f>
        <v>9665500</v>
      </c>
      <c r="AP191" s="1042">
        <f t="shared" ref="AP191:AP194" si="515">(F191/12)*12</f>
        <v>38662000</v>
      </c>
      <c r="AQ191" s="1042">
        <f t="shared" si="375"/>
        <v>309296000</v>
      </c>
      <c r="AR191" s="1042">
        <f t="shared" si="498"/>
        <v>0</v>
      </c>
      <c r="AS191" s="1042">
        <f t="shared" ref="AS191:AS193" si="516">(F191/12)*0</f>
        <v>0</v>
      </c>
      <c r="AT191" s="1042">
        <f t="shared" si="376"/>
        <v>309296000</v>
      </c>
      <c r="AU191" s="1042">
        <f t="shared" ref="AU191:AU194" si="517">E191-AT191</f>
        <v>0</v>
      </c>
      <c r="AV191" s="1042">
        <f>(F191/12)*0</f>
        <v>0</v>
      </c>
      <c r="AW191" s="1042">
        <f>AQ191+AV191</f>
        <v>309296000</v>
      </c>
      <c r="AX191" s="1042">
        <f>E191-AW191</f>
        <v>0</v>
      </c>
      <c r="AY191" s="179"/>
      <c r="AZ191" s="8">
        <f t="shared" ref="AZ191:AZ194" si="518">E191-AW191-AX191</f>
        <v>0</v>
      </c>
      <c r="BB191" s="229"/>
      <c r="BC191" s="179"/>
    </row>
    <row r="192" spans="1:55" s="220" customFormat="1" ht="14.25" customHeight="1">
      <c r="A192" s="17">
        <f t="shared" si="411"/>
        <v>102</v>
      </c>
      <c r="B192" s="56" t="s">
        <v>605</v>
      </c>
      <c r="C192" s="671">
        <v>42370</v>
      </c>
      <c r="D192" s="55">
        <v>8</v>
      </c>
      <c r="E192" s="6">
        <v>57750000</v>
      </c>
      <c r="F192" s="1041">
        <f t="shared" si="489"/>
        <v>7218750</v>
      </c>
      <c r="G192" s="1046"/>
      <c r="H192" s="1046"/>
      <c r="I192" s="1046"/>
      <c r="J192" s="1046"/>
      <c r="K192" s="1046"/>
      <c r="L192" s="1046"/>
      <c r="M192" s="1053">
        <f t="shared" si="483"/>
        <v>7218750</v>
      </c>
      <c r="N192" s="1042">
        <f t="shared" si="484"/>
        <v>7218750</v>
      </c>
      <c r="O192" s="1042">
        <f t="shared" si="490"/>
        <v>50531250</v>
      </c>
      <c r="P192" s="1042">
        <f t="shared" si="508"/>
        <v>7218750</v>
      </c>
      <c r="Q192" s="1042">
        <f t="shared" si="393"/>
        <v>14437500</v>
      </c>
      <c r="R192" s="1042">
        <f t="shared" si="491"/>
        <v>43312500</v>
      </c>
      <c r="S192" s="1042">
        <f t="shared" si="482"/>
        <v>7218750</v>
      </c>
      <c r="T192" s="1042">
        <f t="shared" si="395"/>
        <v>21656250</v>
      </c>
      <c r="U192" s="1042">
        <f t="shared" si="492"/>
        <v>36093750</v>
      </c>
      <c r="V192" s="1042">
        <f t="shared" si="465"/>
        <v>7218750</v>
      </c>
      <c r="W192" s="1042">
        <f t="shared" si="397"/>
        <v>28875000</v>
      </c>
      <c r="X192" s="1042">
        <f t="shared" si="493"/>
        <v>28875000</v>
      </c>
      <c r="Y192" s="7">
        <v>30695250</v>
      </c>
      <c r="Z192" s="7">
        <f t="shared" si="494"/>
        <v>27054750</v>
      </c>
      <c r="AA192" s="1042">
        <f t="shared" si="479"/>
        <v>7218750</v>
      </c>
      <c r="AB192" s="1042">
        <f t="shared" si="400"/>
        <v>36093750</v>
      </c>
      <c r="AC192" s="1042">
        <f t="shared" si="495"/>
        <v>21656250</v>
      </c>
      <c r="AD192" s="1042">
        <f t="shared" si="481"/>
        <v>7218750</v>
      </c>
      <c r="AE192" s="1042">
        <f t="shared" si="402"/>
        <v>43312500</v>
      </c>
      <c r="AF192" s="1042">
        <f t="shared" si="496"/>
        <v>14437500</v>
      </c>
      <c r="AG192" s="1042">
        <f t="shared" si="468"/>
        <v>7218750</v>
      </c>
      <c r="AH192" s="1042">
        <f t="shared" si="405"/>
        <v>50531250</v>
      </c>
      <c r="AI192" s="1042">
        <f t="shared" si="497"/>
        <v>7218750</v>
      </c>
      <c r="AJ192" s="1042">
        <f t="shared" si="509"/>
        <v>601562.5</v>
      </c>
      <c r="AK192" s="1042">
        <f t="shared" si="510"/>
        <v>51132812.5</v>
      </c>
      <c r="AL192" s="1042">
        <f t="shared" si="511"/>
        <v>6617187.5</v>
      </c>
      <c r="AM192" s="1042">
        <f t="shared" si="512"/>
        <v>5414062.5</v>
      </c>
      <c r="AN192" s="1042">
        <f t="shared" si="513"/>
        <v>55945312.5</v>
      </c>
      <c r="AO192" s="1042">
        <f t="shared" si="514"/>
        <v>1804687.5</v>
      </c>
      <c r="AP192" s="1042">
        <f t="shared" si="515"/>
        <v>7218750</v>
      </c>
      <c r="AQ192" s="1042">
        <f t="shared" si="375"/>
        <v>57750000</v>
      </c>
      <c r="AR192" s="1042">
        <f t="shared" si="498"/>
        <v>0</v>
      </c>
      <c r="AS192" s="1042">
        <f t="shared" si="516"/>
        <v>0</v>
      </c>
      <c r="AT192" s="1042">
        <f t="shared" si="376"/>
        <v>57750000</v>
      </c>
      <c r="AU192" s="1042">
        <f t="shared" si="517"/>
        <v>0</v>
      </c>
      <c r="AV192" s="1042">
        <f>(F192/12)*0</f>
        <v>0</v>
      </c>
      <c r="AW192" s="1042">
        <f t="shared" ref="AW192:AW194" si="519">AQ192+AV192</f>
        <v>57750000</v>
      </c>
      <c r="AX192" s="1042">
        <f t="shared" ref="AX192:AX194" si="520">E192-AW192</f>
        <v>0</v>
      </c>
      <c r="AY192" s="179"/>
      <c r="AZ192" s="8">
        <f t="shared" si="518"/>
        <v>0</v>
      </c>
      <c r="BB192" s="221"/>
      <c r="BC192" s="179"/>
    </row>
    <row r="193" spans="1:55" s="220" customFormat="1" ht="14.25" customHeight="1">
      <c r="A193" s="17">
        <f t="shared" si="411"/>
        <v>103</v>
      </c>
      <c r="B193" s="56" t="s">
        <v>606</v>
      </c>
      <c r="C193" s="671">
        <v>42370</v>
      </c>
      <c r="D193" s="55">
        <v>8</v>
      </c>
      <c r="E193" s="6">
        <v>385000000</v>
      </c>
      <c r="F193" s="1041">
        <f t="shared" si="489"/>
        <v>48125000</v>
      </c>
      <c r="G193" s="1046"/>
      <c r="H193" s="1046"/>
      <c r="I193" s="1046"/>
      <c r="J193" s="1046"/>
      <c r="K193" s="1046"/>
      <c r="L193" s="1046"/>
      <c r="M193" s="1053">
        <f t="shared" si="483"/>
        <v>48125000</v>
      </c>
      <c r="N193" s="1042">
        <f t="shared" si="484"/>
        <v>48125000</v>
      </c>
      <c r="O193" s="1042">
        <f t="shared" si="490"/>
        <v>336875000</v>
      </c>
      <c r="P193" s="1042">
        <f t="shared" si="508"/>
        <v>48125000</v>
      </c>
      <c r="Q193" s="1042">
        <f t="shared" si="393"/>
        <v>96250000</v>
      </c>
      <c r="R193" s="1042">
        <f t="shared" si="491"/>
        <v>288750000</v>
      </c>
      <c r="S193" s="1042">
        <f t="shared" si="482"/>
        <v>48125000</v>
      </c>
      <c r="T193" s="1042">
        <f t="shared" si="395"/>
        <v>144375000</v>
      </c>
      <c r="U193" s="1042">
        <f t="shared" si="492"/>
        <v>240625000</v>
      </c>
      <c r="V193" s="1042">
        <f t="shared" si="465"/>
        <v>48125000</v>
      </c>
      <c r="W193" s="1042">
        <f t="shared" si="397"/>
        <v>192500000</v>
      </c>
      <c r="X193" s="1042">
        <f t="shared" si="493"/>
        <v>192500000</v>
      </c>
      <c r="Y193" s="7">
        <v>127500000</v>
      </c>
      <c r="Z193" s="7">
        <f t="shared" si="494"/>
        <v>257500000</v>
      </c>
      <c r="AA193" s="1042">
        <f t="shared" si="479"/>
        <v>48125000</v>
      </c>
      <c r="AB193" s="1042">
        <f t="shared" si="400"/>
        <v>240625000</v>
      </c>
      <c r="AC193" s="1042">
        <f t="shared" si="495"/>
        <v>144375000</v>
      </c>
      <c r="AD193" s="1042">
        <f t="shared" si="481"/>
        <v>48125000</v>
      </c>
      <c r="AE193" s="1042">
        <f t="shared" si="402"/>
        <v>288750000</v>
      </c>
      <c r="AF193" s="1042">
        <f t="shared" si="496"/>
        <v>96250000</v>
      </c>
      <c r="AG193" s="1042">
        <f t="shared" si="468"/>
        <v>48125000</v>
      </c>
      <c r="AH193" s="1042">
        <f t="shared" si="405"/>
        <v>336875000</v>
      </c>
      <c r="AI193" s="1042">
        <f t="shared" si="497"/>
        <v>48125000</v>
      </c>
      <c r="AJ193" s="1042">
        <f t="shared" si="509"/>
        <v>4010416.6666666665</v>
      </c>
      <c r="AK193" s="1042">
        <f t="shared" si="510"/>
        <v>340885416.66666669</v>
      </c>
      <c r="AL193" s="1042">
        <f t="shared" si="511"/>
        <v>44114583.333333313</v>
      </c>
      <c r="AM193" s="1042">
        <f t="shared" si="512"/>
        <v>36093750</v>
      </c>
      <c r="AN193" s="1042">
        <f t="shared" si="513"/>
        <v>372968750</v>
      </c>
      <c r="AO193" s="1042">
        <f t="shared" si="514"/>
        <v>12031250</v>
      </c>
      <c r="AP193" s="1042">
        <f t="shared" si="515"/>
        <v>48125000</v>
      </c>
      <c r="AQ193" s="1042">
        <f t="shared" si="375"/>
        <v>385000000</v>
      </c>
      <c r="AR193" s="1042">
        <f t="shared" si="498"/>
        <v>0</v>
      </c>
      <c r="AS193" s="1042">
        <f t="shared" si="516"/>
        <v>0</v>
      </c>
      <c r="AT193" s="1042">
        <f t="shared" si="376"/>
        <v>385000000</v>
      </c>
      <c r="AU193" s="1042">
        <f t="shared" si="517"/>
        <v>0</v>
      </c>
      <c r="AV193" s="1042">
        <f>(F193/12)*0</f>
        <v>0</v>
      </c>
      <c r="AW193" s="1042">
        <f t="shared" si="519"/>
        <v>385000000</v>
      </c>
      <c r="AX193" s="1042">
        <f t="shared" si="520"/>
        <v>0</v>
      </c>
      <c r="AY193" s="179"/>
      <c r="AZ193" s="8">
        <f t="shared" si="518"/>
        <v>0</v>
      </c>
      <c r="BB193" s="221"/>
      <c r="BC193" s="179"/>
    </row>
    <row r="194" spans="1:55" s="220" customFormat="1" ht="14.25" customHeight="1">
      <c r="A194" s="17">
        <f t="shared" si="411"/>
        <v>104</v>
      </c>
      <c r="B194" s="56" t="s">
        <v>607</v>
      </c>
      <c r="C194" s="671">
        <v>42370</v>
      </c>
      <c r="D194" s="55">
        <v>16</v>
      </c>
      <c r="E194" s="6">
        <v>635000000</v>
      </c>
      <c r="F194" s="1041">
        <f t="shared" si="489"/>
        <v>39687500</v>
      </c>
      <c r="G194" s="1046"/>
      <c r="H194" s="1046"/>
      <c r="I194" s="1046"/>
      <c r="J194" s="1046"/>
      <c r="K194" s="1046"/>
      <c r="L194" s="1046"/>
      <c r="M194" s="1053">
        <f t="shared" si="483"/>
        <v>39687500</v>
      </c>
      <c r="N194" s="1042">
        <f t="shared" si="484"/>
        <v>39687500</v>
      </c>
      <c r="O194" s="1042">
        <f t="shared" si="490"/>
        <v>595312500</v>
      </c>
      <c r="P194" s="1042">
        <f t="shared" si="508"/>
        <v>39687500</v>
      </c>
      <c r="Q194" s="1042">
        <f t="shared" si="393"/>
        <v>79375000</v>
      </c>
      <c r="R194" s="1042">
        <f t="shared" si="491"/>
        <v>555625000</v>
      </c>
      <c r="S194" s="1042">
        <f t="shared" si="482"/>
        <v>39687500</v>
      </c>
      <c r="T194" s="1042">
        <f t="shared" si="395"/>
        <v>119062500</v>
      </c>
      <c r="U194" s="1042">
        <f t="shared" si="492"/>
        <v>515937500</v>
      </c>
      <c r="V194" s="1042">
        <f t="shared" si="465"/>
        <v>39687500</v>
      </c>
      <c r="W194" s="1042">
        <f t="shared" si="397"/>
        <v>158750000</v>
      </c>
      <c r="X194" s="1042">
        <f t="shared" si="493"/>
        <v>476250000</v>
      </c>
      <c r="Y194" s="7">
        <v>127500000</v>
      </c>
      <c r="Z194" s="7">
        <f t="shared" si="494"/>
        <v>507500000</v>
      </c>
      <c r="AA194" s="1042">
        <f t="shared" si="479"/>
        <v>39687500</v>
      </c>
      <c r="AB194" s="1042">
        <f t="shared" si="400"/>
        <v>198437500</v>
      </c>
      <c r="AC194" s="1042">
        <f t="shared" si="495"/>
        <v>436562500</v>
      </c>
      <c r="AD194" s="1042">
        <f t="shared" si="481"/>
        <v>39687500</v>
      </c>
      <c r="AE194" s="1042">
        <f t="shared" si="402"/>
        <v>238125000</v>
      </c>
      <c r="AF194" s="1042">
        <f t="shared" si="496"/>
        <v>396875000</v>
      </c>
      <c r="AG194" s="1042">
        <f t="shared" si="468"/>
        <v>39687500</v>
      </c>
      <c r="AH194" s="1042">
        <f t="shared" si="405"/>
        <v>277812500</v>
      </c>
      <c r="AI194" s="1042">
        <f t="shared" si="497"/>
        <v>357187500</v>
      </c>
      <c r="AJ194" s="1042">
        <f t="shared" si="509"/>
        <v>3307291.6666666665</v>
      </c>
      <c r="AK194" s="1042">
        <f t="shared" si="510"/>
        <v>281119791.66666669</v>
      </c>
      <c r="AL194" s="1042">
        <f t="shared" si="511"/>
        <v>353880208.33333331</v>
      </c>
      <c r="AM194" s="1042">
        <f t="shared" si="512"/>
        <v>29765625</v>
      </c>
      <c r="AN194" s="1042">
        <f t="shared" si="513"/>
        <v>307578125</v>
      </c>
      <c r="AO194" s="1042">
        <f t="shared" si="514"/>
        <v>327421875</v>
      </c>
      <c r="AP194" s="1042">
        <f t="shared" si="515"/>
        <v>39687500</v>
      </c>
      <c r="AQ194" s="1042">
        <f t="shared" si="375"/>
        <v>317500000</v>
      </c>
      <c r="AR194" s="1042">
        <f t="shared" si="498"/>
        <v>317500000</v>
      </c>
      <c r="AS194" s="1042">
        <f>(F194/12)*9</f>
        <v>29765625</v>
      </c>
      <c r="AT194" s="1042">
        <f t="shared" si="376"/>
        <v>347265625</v>
      </c>
      <c r="AU194" s="1042">
        <f t="shared" si="517"/>
        <v>287734375</v>
      </c>
      <c r="AV194" s="1042">
        <f t="shared" ref="AV194" si="521">(F194/12)*12</f>
        <v>39687500</v>
      </c>
      <c r="AW194" s="1042">
        <f t="shared" si="519"/>
        <v>357187500</v>
      </c>
      <c r="AX194" s="1042">
        <f t="shared" si="520"/>
        <v>277812500</v>
      </c>
      <c r="AY194" s="179"/>
      <c r="AZ194" s="8">
        <f t="shared" si="518"/>
        <v>0</v>
      </c>
      <c r="BB194" s="221"/>
      <c r="BC194" s="179"/>
    </row>
    <row r="195" spans="1:55" s="970" customFormat="1" ht="14.25" hidden="1" customHeight="1">
      <c r="A195" s="17">
        <f t="shared" si="411"/>
        <v>105</v>
      </c>
      <c r="B195" s="909" t="s">
        <v>603</v>
      </c>
      <c r="C195" s="903">
        <v>42736</v>
      </c>
      <c r="D195" s="877">
        <v>8</v>
      </c>
      <c r="E195" s="878">
        <f>26000000*0</f>
        <v>0</v>
      </c>
      <c r="F195" s="879">
        <f t="shared" si="489"/>
        <v>0</v>
      </c>
      <c r="G195" s="908"/>
      <c r="H195" s="908"/>
      <c r="I195" s="908"/>
      <c r="J195" s="908"/>
      <c r="K195" s="908"/>
      <c r="L195" s="908"/>
      <c r="M195" s="908"/>
      <c r="N195" s="908"/>
      <c r="O195" s="908"/>
      <c r="P195" s="910">
        <f t="shared" ref="P195:P207" si="522">(F195/12)*(13-IF(C195="","",MONTH(C195)))</f>
        <v>0</v>
      </c>
      <c r="Q195" s="880">
        <f t="shared" ref="Q195:Q207" si="523">N195+P195</f>
        <v>0</v>
      </c>
      <c r="R195" s="880">
        <f t="shared" si="491"/>
        <v>0</v>
      </c>
      <c r="S195" s="880">
        <f t="shared" si="482"/>
        <v>0</v>
      </c>
      <c r="T195" s="880">
        <f t="shared" si="395"/>
        <v>0</v>
      </c>
      <c r="U195" s="880">
        <f t="shared" si="492"/>
        <v>0</v>
      </c>
      <c r="V195" s="880">
        <f t="shared" si="465"/>
        <v>0</v>
      </c>
      <c r="W195" s="880">
        <f t="shared" si="397"/>
        <v>0</v>
      </c>
      <c r="X195" s="880">
        <f t="shared" si="493"/>
        <v>0</v>
      </c>
      <c r="Y195" s="7">
        <v>6229166.666666667</v>
      </c>
      <c r="Z195" s="7">
        <f t="shared" si="494"/>
        <v>-6229166.666666667</v>
      </c>
      <c r="AA195" s="880">
        <f t="shared" si="479"/>
        <v>0</v>
      </c>
      <c r="AB195" s="880">
        <f t="shared" si="400"/>
        <v>0</v>
      </c>
      <c r="AC195" s="880">
        <f t="shared" si="495"/>
        <v>0</v>
      </c>
      <c r="AD195" s="880">
        <f t="shared" si="481"/>
        <v>0</v>
      </c>
      <c r="AE195" s="880">
        <f t="shared" si="402"/>
        <v>0</v>
      </c>
      <c r="AF195" s="880">
        <f t="shared" si="496"/>
        <v>0</v>
      </c>
      <c r="AG195" s="880">
        <f t="shared" si="468"/>
        <v>0</v>
      </c>
      <c r="AH195" s="880">
        <f t="shared" si="405"/>
        <v>0</v>
      </c>
      <c r="AI195" s="880">
        <f t="shared" si="497"/>
        <v>0</v>
      </c>
      <c r="AJ195" s="880"/>
      <c r="AK195" s="880"/>
      <c r="AL195" s="880"/>
      <c r="AM195" s="880"/>
      <c r="AN195" s="880"/>
      <c r="AO195" s="880"/>
      <c r="AP195" s="880">
        <f t="shared" si="488"/>
        <v>0</v>
      </c>
      <c r="AQ195" s="880">
        <f t="shared" si="375"/>
        <v>0</v>
      </c>
      <c r="AR195" s="880">
        <f t="shared" si="498"/>
        <v>0</v>
      </c>
      <c r="AS195" s="896">
        <f t="shared" si="409"/>
        <v>0</v>
      </c>
      <c r="AT195" s="896">
        <f t="shared" si="376"/>
        <v>0</v>
      </c>
      <c r="AU195" s="896"/>
      <c r="AV195" s="896"/>
      <c r="AW195" s="896"/>
      <c r="AX195" s="896"/>
      <c r="AY195" s="969"/>
      <c r="AZ195" s="881">
        <f t="shared" si="410"/>
        <v>0</v>
      </c>
      <c r="BB195" s="971"/>
      <c r="BC195" s="969"/>
    </row>
    <row r="196" spans="1:55" s="220" customFormat="1" ht="14.25" customHeight="1">
      <c r="A196" s="17">
        <f t="shared" si="411"/>
        <v>106</v>
      </c>
      <c r="B196" s="56" t="s">
        <v>608</v>
      </c>
      <c r="C196" s="671">
        <v>42736</v>
      </c>
      <c r="D196" s="55">
        <v>8</v>
      </c>
      <c r="E196" s="6">
        <v>43600000</v>
      </c>
      <c r="F196" s="1041">
        <f t="shared" si="489"/>
        <v>5450000</v>
      </c>
      <c r="G196" s="1046"/>
      <c r="H196" s="1046"/>
      <c r="I196" s="1046"/>
      <c r="J196" s="1046"/>
      <c r="K196" s="1046"/>
      <c r="L196" s="1046"/>
      <c r="M196" s="1046"/>
      <c r="N196" s="1046"/>
      <c r="O196" s="1046"/>
      <c r="P196" s="1053">
        <f t="shared" si="522"/>
        <v>5450000</v>
      </c>
      <c r="Q196" s="1042">
        <f t="shared" si="523"/>
        <v>5450000</v>
      </c>
      <c r="R196" s="1042">
        <f t="shared" si="491"/>
        <v>38150000</v>
      </c>
      <c r="S196" s="1042">
        <f t="shared" si="482"/>
        <v>5450000</v>
      </c>
      <c r="T196" s="1042">
        <f t="shared" si="395"/>
        <v>10900000</v>
      </c>
      <c r="U196" s="1042">
        <f t="shared" si="492"/>
        <v>32700000</v>
      </c>
      <c r="V196" s="1042">
        <f t="shared" si="465"/>
        <v>5450000</v>
      </c>
      <c r="W196" s="1042">
        <f t="shared" si="397"/>
        <v>16350000</v>
      </c>
      <c r="X196" s="1042">
        <f t="shared" si="493"/>
        <v>27250000</v>
      </c>
      <c r="Y196" s="7">
        <v>10445833.333333332</v>
      </c>
      <c r="Z196" s="7">
        <f t="shared" si="494"/>
        <v>33154166.666666668</v>
      </c>
      <c r="AA196" s="1042">
        <f t="shared" si="479"/>
        <v>5450000</v>
      </c>
      <c r="AB196" s="1042">
        <f t="shared" si="400"/>
        <v>21800000</v>
      </c>
      <c r="AC196" s="1042">
        <f t="shared" si="495"/>
        <v>21800000</v>
      </c>
      <c r="AD196" s="1042">
        <f t="shared" si="481"/>
        <v>5450000</v>
      </c>
      <c r="AE196" s="1042">
        <f t="shared" si="402"/>
        <v>27250000</v>
      </c>
      <c r="AF196" s="1042">
        <f t="shared" si="496"/>
        <v>16350000</v>
      </c>
      <c r="AG196" s="1042">
        <f t="shared" si="468"/>
        <v>5450000</v>
      </c>
      <c r="AH196" s="1042">
        <f t="shared" si="405"/>
        <v>32700000</v>
      </c>
      <c r="AI196" s="1042">
        <f t="shared" si="497"/>
        <v>10900000</v>
      </c>
      <c r="AJ196" s="1042">
        <f t="shared" ref="AJ196:AJ198" si="524">(F196/12)*1</f>
        <v>454166.66666666669</v>
      </c>
      <c r="AK196" s="1042">
        <f t="shared" ref="AK196:AK198" si="525">AH196+AJ196</f>
        <v>33154166.666666668</v>
      </c>
      <c r="AL196" s="1042">
        <f t="shared" ref="AL196:AL198" si="526">E196-AK196</f>
        <v>10445833.333333332</v>
      </c>
      <c r="AM196" s="1042">
        <f t="shared" ref="AM196:AM198" si="527">(F196/12)*9</f>
        <v>4087500</v>
      </c>
      <c r="AN196" s="1042">
        <f t="shared" ref="AN196:AN198" si="528">AH196+AM196</f>
        <v>36787500</v>
      </c>
      <c r="AO196" s="1042">
        <f t="shared" ref="AO196:AO198" si="529">E196-AN196</f>
        <v>6812500</v>
      </c>
      <c r="AP196" s="1042">
        <f t="shared" ref="AP196:AP198" si="530">(F196/12)*12</f>
        <v>5450000</v>
      </c>
      <c r="AQ196" s="1042">
        <f t="shared" si="375"/>
        <v>38150000</v>
      </c>
      <c r="AR196" s="1042">
        <f t="shared" si="498"/>
        <v>5450000</v>
      </c>
      <c r="AS196" s="1042">
        <f t="shared" ref="AS196:AS198" si="531">(F196/12)*9</f>
        <v>4087500</v>
      </c>
      <c r="AT196" s="1042">
        <f t="shared" si="376"/>
        <v>42237500</v>
      </c>
      <c r="AU196" s="1042">
        <f t="shared" ref="AU196:AU198" si="532">E196-AT196</f>
        <v>1362500</v>
      </c>
      <c r="AV196" s="1042">
        <f t="shared" ref="AV196:AV198" si="533">(F196/12)*12</f>
        <v>5450000</v>
      </c>
      <c r="AW196" s="1042">
        <f t="shared" ref="AW196:AW198" si="534">AQ196+AV196</f>
        <v>43600000</v>
      </c>
      <c r="AX196" s="1042">
        <f t="shared" ref="AX196:AX198" si="535">E196-AW196</f>
        <v>0</v>
      </c>
      <c r="AY196" s="179"/>
      <c r="AZ196" s="8">
        <f t="shared" ref="AZ196:AZ198" si="536">E196-AW196-AX196</f>
        <v>0</v>
      </c>
      <c r="BB196" s="221"/>
      <c r="BC196" s="179"/>
    </row>
    <row r="197" spans="1:55" s="220" customFormat="1" ht="14.25" customHeight="1">
      <c r="A197" s="17">
        <f t="shared" si="411"/>
        <v>107</v>
      </c>
      <c r="B197" s="56" t="s">
        <v>609</v>
      </c>
      <c r="C197" s="671">
        <v>42736</v>
      </c>
      <c r="D197" s="55">
        <v>8</v>
      </c>
      <c r="E197" s="6">
        <v>204545454</v>
      </c>
      <c r="F197" s="1041">
        <f t="shared" si="489"/>
        <v>25568181.75</v>
      </c>
      <c r="G197" s="1046"/>
      <c r="H197" s="1046"/>
      <c r="I197" s="1046"/>
      <c r="J197" s="1046"/>
      <c r="K197" s="1046"/>
      <c r="L197" s="1046"/>
      <c r="M197" s="1046"/>
      <c r="N197" s="1046"/>
      <c r="O197" s="1046"/>
      <c r="P197" s="1053">
        <f t="shared" si="522"/>
        <v>25568181.75</v>
      </c>
      <c r="Q197" s="1042">
        <f t="shared" si="523"/>
        <v>25568181.75</v>
      </c>
      <c r="R197" s="1042">
        <f t="shared" si="491"/>
        <v>178977272.25</v>
      </c>
      <c r="S197" s="1042">
        <f t="shared" si="482"/>
        <v>25568181.75</v>
      </c>
      <c r="T197" s="1042">
        <f t="shared" si="395"/>
        <v>51136363.5</v>
      </c>
      <c r="U197" s="1042">
        <f t="shared" si="492"/>
        <v>153409090.5</v>
      </c>
      <c r="V197" s="1042">
        <f t="shared" si="465"/>
        <v>25568181.75</v>
      </c>
      <c r="W197" s="1042">
        <f t="shared" si="397"/>
        <v>76704545.25</v>
      </c>
      <c r="X197" s="1042">
        <f t="shared" si="493"/>
        <v>127840908.75</v>
      </c>
      <c r="Y197" s="7">
        <v>49005681.6875</v>
      </c>
      <c r="Z197" s="7">
        <f t="shared" si="494"/>
        <v>155539772.3125</v>
      </c>
      <c r="AA197" s="1042">
        <f t="shared" si="479"/>
        <v>25568181.75</v>
      </c>
      <c r="AB197" s="1042">
        <f t="shared" si="400"/>
        <v>102272727</v>
      </c>
      <c r="AC197" s="1042">
        <f t="shared" si="495"/>
        <v>102272727</v>
      </c>
      <c r="AD197" s="1042">
        <f t="shared" si="481"/>
        <v>25568181.75</v>
      </c>
      <c r="AE197" s="1042">
        <f t="shared" si="402"/>
        <v>127840908.75</v>
      </c>
      <c r="AF197" s="1042">
        <f t="shared" si="496"/>
        <v>76704545.25</v>
      </c>
      <c r="AG197" s="1042">
        <f t="shared" si="468"/>
        <v>25568181.75</v>
      </c>
      <c r="AH197" s="1042">
        <f t="shared" si="405"/>
        <v>153409090.5</v>
      </c>
      <c r="AI197" s="1042">
        <f t="shared" si="497"/>
        <v>51136363.5</v>
      </c>
      <c r="AJ197" s="1042">
        <f t="shared" si="524"/>
        <v>2130681.8125</v>
      </c>
      <c r="AK197" s="1042">
        <f t="shared" si="525"/>
        <v>155539772.3125</v>
      </c>
      <c r="AL197" s="1042">
        <f t="shared" si="526"/>
        <v>49005681.6875</v>
      </c>
      <c r="AM197" s="1042">
        <f t="shared" si="527"/>
        <v>19176136.3125</v>
      </c>
      <c r="AN197" s="1042">
        <f t="shared" si="528"/>
        <v>172585226.8125</v>
      </c>
      <c r="AO197" s="1042">
        <f t="shared" si="529"/>
        <v>31960227.1875</v>
      </c>
      <c r="AP197" s="1042">
        <f t="shared" si="530"/>
        <v>25568181.75</v>
      </c>
      <c r="AQ197" s="1042">
        <f t="shared" si="375"/>
        <v>178977272.25</v>
      </c>
      <c r="AR197" s="1042">
        <f t="shared" si="498"/>
        <v>25568181.75</v>
      </c>
      <c r="AS197" s="1042">
        <f t="shared" si="531"/>
        <v>19176136.3125</v>
      </c>
      <c r="AT197" s="1042">
        <f t="shared" si="376"/>
        <v>198153408.5625</v>
      </c>
      <c r="AU197" s="1042">
        <f t="shared" si="532"/>
        <v>6392045.4375</v>
      </c>
      <c r="AV197" s="1042">
        <f t="shared" si="533"/>
        <v>25568181.75</v>
      </c>
      <c r="AW197" s="1042">
        <f t="shared" si="534"/>
        <v>204545454</v>
      </c>
      <c r="AX197" s="1042">
        <f t="shared" si="535"/>
        <v>0</v>
      </c>
      <c r="AY197" s="179"/>
      <c r="AZ197" s="8">
        <f t="shared" si="536"/>
        <v>0</v>
      </c>
      <c r="BB197" s="221"/>
      <c r="BC197" s="179"/>
    </row>
    <row r="198" spans="1:55" s="220" customFormat="1" ht="14.25" customHeight="1">
      <c r="A198" s="17">
        <f t="shared" si="411"/>
        <v>108</v>
      </c>
      <c r="B198" s="56" t="s">
        <v>610</v>
      </c>
      <c r="C198" s="671">
        <v>42736</v>
      </c>
      <c r="D198" s="55">
        <v>8</v>
      </c>
      <c r="E198" s="6">
        <v>125000000</v>
      </c>
      <c r="F198" s="1041">
        <f t="shared" si="489"/>
        <v>15625000</v>
      </c>
      <c r="G198" s="1046"/>
      <c r="H198" s="1046"/>
      <c r="I198" s="1046"/>
      <c r="J198" s="1046"/>
      <c r="K198" s="1046"/>
      <c r="L198" s="1046"/>
      <c r="M198" s="1046"/>
      <c r="N198" s="1046"/>
      <c r="O198" s="1046"/>
      <c r="P198" s="1053">
        <f t="shared" si="522"/>
        <v>15625000</v>
      </c>
      <c r="Q198" s="1042">
        <f t="shared" si="523"/>
        <v>15625000</v>
      </c>
      <c r="R198" s="1042">
        <f t="shared" si="491"/>
        <v>109375000</v>
      </c>
      <c r="S198" s="1042">
        <f t="shared" si="482"/>
        <v>15625000</v>
      </c>
      <c r="T198" s="1042">
        <f t="shared" si="395"/>
        <v>31250000</v>
      </c>
      <c r="U198" s="1042">
        <f t="shared" si="492"/>
        <v>93750000</v>
      </c>
      <c r="V198" s="1042">
        <f t="shared" si="465"/>
        <v>15625000</v>
      </c>
      <c r="W198" s="1042">
        <f t="shared" si="397"/>
        <v>46875000</v>
      </c>
      <c r="X198" s="1042">
        <f t="shared" si="493"/>
        <v>78125000</v>
      </c>
      <c r="Y198" s="7">
        <v>28645833.333333336</v>
      </c>
      <c r="Z198" s="7">
        <f t="shared" si="494"/>
        <v>96354166.666666657</v>
      </c>
      <c r="AA198" s="1042">
        <f t="shared" si="479"/>
        <v>15625000</v>
      </c>
      <c r="AB198" s="1042">
        <f t="shared" si="400"/>
        <v>62500000</v>
      </c>
      <c r="AC198" s="1042">
        <f t="shared" si="495"/>
        <v>62500000</v>
      </c>
      <c r="AD198" s="1042">
        <f t="shared" si="481"/>
        <v>15625000</v>
      </c>
      <c r="AE198" s="1042">
        <f t="shared" si="402"/>
        <v>78125000</v>
      </c>
      <c r="AF198" s="1042">
        <f t="shared" si="496"/>
        <v>46875000</v>
      </c>
      <c r="AG198" s="1042">
        <f t="shared" si="468"/>
        <v>15625000</v>
      </c>
      <c r="AH198" s="1042">
        <f t="shared" si="405"/>
        <v>93750000</v>
      </c>
      <c r="AI198" s="1042">
        <f t="shared" si="497"/>
        <v>31250000</v>
      </c>
      <c r="AJ198" s="1042">
        <f t="shared" si="524"/>
        <v>1302083.3333333333</v>
      </c>
      <c r="AK198" s="1042">
        <f t="shared" si="525"/>
        <v>95052083.333333328</v>
      </c>
      <c r="AL198" s="1042">
        <f t="shared" si="526"/>
        <v>29947916.666666672</v>
      </c>
      <c r="AM198" s="1042">
        <f t="shared" si="527"/>
        <v>11718750</v>
      </c>
      <c r="AN198" s="1042">
        <f t="shared" si="528"/>
        <v>105468750</v>
      </c>
      <c r="AO198" s="1042">
        <f t="shared" si="529"/>
        <v>19531250</v>
      </c>
      <c r="AP198" s="1042">
        <f t="shared" si="530"/>
        <v>15625000</v>
      </c>
      <c r="AQ198" s="1042">
        <f t="shared" ref="AQ198:AQ261" si="537">AH198+AP198</f>
        <v>109375000</v>
      </c>
      <c r="AR198" s="1042">
        <f t="shared" si="498"/>
        <v>15625000</v>
      </c>
      <c r="AS198" s="1042">
        <f t="shared" si="531"/>
        <v>11718750</v>
      </c>
      <c r="AT198" s="1042">
        <f t="shared" si="376"/>
        <v>121093750</v>
      </c>
      <c r="AU198" s="1042">
        <f t="shared" si="532"/>
        <v>3906250</v>
      </c>
      <c r="AV198" s="1042">
        <f t="shared" si="533"/>
        <v>15625000</v>
      </c>
      <c r="AW198" s="1042">
        <f t="shared" si="534"/>
        <v>125000000</v>
      </c>
      <c r="AX198" s="1042">
        <f t="shared" si="535"/>
        <v>0</v>
      </c>
      <c r="AY198" s="179"/>
      <c r="AZ198" s="8">
        <f t="shared" si="536"/>
        <v>0</v>
      </c>
      <c r="BB198" s="221"/>
      <c r="BC198" s="179"/>
    </row>
    <row r="199" spans="1:55" s="970" customFormat="1" ht="14.25" hidden="1" customHeight="1">
      <c r="A199" s="874">
        <f t="shared" si="411"/>
        <v>109</v>
      </c>
      <c r="B199" s="905" t="s">
        <v>611</v>
      </c>
      <c r="C199" s="903">
        <v>42736</v>
      </c>
      <c r="D199" s="877">
        <v>8</v>
      </c>
      <c r="E199" s="878">
        <f>28000000*0</f>
        <v>0</v>
      </c>
      <c r="F199" s="879">
        <f t="shared" si="489"/>
        <v>0</v>
      </c>
      <c r="G199" s="908"/>
      <c r="H199" s="908"/>
      <c r="I199" s="908"/>
      <c r="J199" s="908"/>
      <c r="K199" s="908"/>
      <c r="L199" s="908"/>
      <c r="M199" s="908"/>
      <c r="N199" s="908"/>
      <c r="O199" s="908"/>
      <c r="P199" s="910">
        <f t="shared" si="522"/>
        <v>0</v>
      </c>
      <c r="Q199" s="880">
        <f t="shared" si="523"/>
        <v>0</v>
      </c>
      <c r="R199" s="880">
        <f t="shared" si="491"/>
        <v>0</v>
      </c>
      <c r="S199" s="880">
        <f t="shared" si="482"/>
        <v>0</v>
      </c>
      <c r="T199" s="880">
        <f t="shared" si="395"/>
        <v>0</v>
      </c>
      <c r="U199" s="880">
        <f t="shared" si="492"/>
        <v>0</v>
      </c>
      <c r="V199" s="880">
        <f t="shared" si="465"/>
        <v>0</v>
      </c>
      <c r="W199" s="880">
        <f t="shared" si="397"/>
        <v>0</v>
      </c>
      <c r="X199" s="880">
        <f t="shared" si="493"/>
        <v>0</v>
      </c>
      <c r="Y199" s="880">
        <f>6125000*0</f>
        <v>0</v>
      </c>
      <c r="Z199" s="880">
        <f t="shared" si="494"/>
        <v>0</v>
      </c>
      <c r="AA199" s="880">
        <f t="shared" si="479"/>
        <v>0</v>
      </c>
      <c r="AB199" s="880">
        <f t="shared" si="400"/>
        <v>0</v>
      </c>
      <c r="AC199" s="880">
        <f t="shared" si="495"/>
        <v>0</v>
      </c>
      <c r="AD199" s="880">
        <f t="shared" si="481"/>
        <v>0</v>
      </c>
      <c r="AE199" s="880">
        <f t="shared" si="402"/>
        <v>0</v>
      </c>
      <c r="AF199" s="880">
        <f t="shared" si="496"/>
        <v>0</v>
      </c>
      <c r="AG199" s="880">
        <f t="shared" si="468"/>
        <v>0</v>
      </c>
      <c r="AH199" s="880">
        <f t="shared" si="405"/>
        <v>0</v>
      </c>
      <c r="AI199" s="880">
        <f t="shared" si="497"/>
        <v>0</v>
      </c>
      <c r="AJ199" s="880"/>
      <c r="AK199" s="880"/>
      <c r="AL199" s="880"/>
      <c r="AM199" s="880"/>
      <c r="AN199" s="880"/>
      <c r="AO199" s="880"/>
      <c r="AP199" s="880">
        <f t="shared" si="488"/>
        <v>0</v>
      </c>
      <c r="AQ199" s="880">
        <f t="shared" si="537"/>
        <v>0</v>
      </c>
      <c r="AR199" s="880">
        <f t="shared" si="498"/>
        <v>0</v>
      </c>
      <c r="AS199" s="896">
        <f t="shared" ref="AS199:AS261" si="538">(F199/12)*1</f>
        <v>0</v>
      </c>
      <c r="AT199" s="896">
        <f t="shared" ref="AT199:AT262" si="539">AQ199+AS199</f>
        <v>0</v>
      </c>
      <c r="AU199" s="896"/>
      <c r="AV199" s="896"/>
      <c r="AW199" s="896"/>
      <c r="AX199" s="896"/>
      <c r="AY199" s="969"/>
      <c r="AZ199" s="881">
        <f t="shared" ref="AZ199:AZ261" si="540">E199-AQ199-AR199</f>
        <v>0</v>
      </c>
      <c r="BB199" s="971"/>
      <c r="BC199" s="969"/>
    </row>
    <row r="200" spans="1:55" s="220" customFormat="1" ht="14.25" customHeight="1">
      <c r="A200" s="17">
        <f t="shared" si="411"/>
        <v>110</v>
      </c>
      <c r="B200" s="56" t="s">
        <v>612</v>
      </c>
      <c r="C200" s="671">
        <v>42736</v>
      </c>
      <c r="D200" s="55">
        <v>8</v>
      </c>
      <c r="E200" s="6">
        <v>511363650</v>
      </c>
      <c r="F200" s="1041">
        <f t="shared" si="489"/>
        <v>63920456.25</v>
      </c>
      <c r="G200" s="1046"/>
      <c r="H200" s="1046"/>
      <c r="I200" s="1046"/>
      <c r="J200" s="1046"/>
      <c r="K200" s="1046"/>
      <c r="L200" s="1046"/>
      <c r="M200" s="1046"/>
      <c r="N200" s="1046"/>
      <c r="O200" s="1046"/>
      <c r="P200" s="1053">
        <f t="shared" si="522"/>
        <v>63920456.25</v>
      </c>
      <c r="Q200" s="1042">
        <f t="shared" si="523"/>
        <v>63920456.25</v>
      </c>
      <c r="R200" s="1042">
        <f t="shared" si="491"/>
        <v>447443193.75</v>
      </c>
      <c r="S200" s="1042">
        <f t="shared" si="482"/>
        <v>63920456.25</v>
      </c>
      <c r="T200" s="1042">
        <f t="shared" si="395"/>
        <v>127840912.5</v>
      </c>
      <c r="U200" s="1042">
        <f t="shared" si="492"/>
        <v>383522737.5</v>
      </c>
      <c r="V200" s="1042">
        <f t="shared" si="465"/>
        <v>63920456.25</v>
      </c>
      <c r="W200" s="1042">
        <f t="shared" si="397"/>
        <v>191761368.75</v>
      </c>
      <c r="X200" s="1042">
        <f t="shared" si="493"/>
        <v>319602281.25</v>
      </c>
      <c r="Y200" s="7">
        <v>106534093.75</v>
      </c>
      <c r="Z200" s="7">
        <f t="shared" si="494"/>
        <v>404829556.25</v>
      </c>
      <c r="AA200" s="1042">
        <f t="shared" si="479"/>
        <v>63920456.25</v>
      </c>
      <c r="AB200" s="1042">
        <f t="shared" si="400"/>
        <v>255681825</v>
      </c>
      <c r="AC200" s="1042">
        <f t="shared" si="495"/>
        <v>255681825</v>
      </c>
      <c r="AD200" s="1042">
        <f t="shared" si="481"/>
        <v>63920456.25</v>
      </c>
      <c r="AE200" s="1042">
        <f t="shared" si="402"/>
        <v>319602281.25</v>
      </c>
      <c r="AF200" s="1042">
        <f t="shared" si="496"/>
        <v>191761368.75</v>
      </c>
      <c r="AG200" s="1042">
        <f t="shared" si="468"/>
        <v>63920456.25</v>
      </c>
      <c r="AH200" s="1042">
        <f t="shared" si="405"/>
        <v>383522737.5</v>
      </c>
      <c r="AI200" s="1042">
        <f t="shared" si="497"/>
        <v>127840912.5</v>
      </c>
      <c r="AJ200" s="1042">
        <f t="shared" ref="AJ200:AJ202" si="541">(F200/12)*1</f>
        <v>5326704.6875</v>
      </c>
      <c r="AK200" s="1042">
        <f t="shared" ref="AK200:AK202" si="542">AH200+AJ200</f>
        <v>388849442.1875</v>
      </c>
      <c r="AL200" s="1042">
        <f t="shared" ref="AL200:AL202" si="543">E200-AK200</f>
        <v>122514207.8125</v>
      </c>
      <c r="AM200" s="1042">
        <f t="shared" ref="AM200:AM202" si="544">(F200/12)*9</f>
        <v>47940342.1875</v>
      </c>
      <c r="AN200" s="1042">
        <f t="shared" ref="AN200:AN202" si="545">AH200+AM200</f>
        <v>431463079.6875</v>
      </c>
      <c r="AO200" s="1042">
        <f t="shared" ref="AO200:AO202" si="546">E200-AN200</f>
        <v>79900570.3125</v>
      </c>
      <c r="AP200" s="1042">
        <f t="shared" ref="AP200:AP202" si="547">(F200/12)*12</f>
        <v>63920456.25</v>
      </c>
      <c r="AQ200" s="1042">
        <f t="shared" si="537"/>
        <v>447443193.75</v>
      </c>
      <c r="AR200" s="1042">
        <f t="shared" si="498"/>
        <v>63920456.25</v>
      </c>
      <c r="AS200" s="1042">
        <f t="shared" ref="AS200:AS202" si="548">(F200/12)*9</f>
        <v>47940342.1875</v>
      </c>
      <c r="AT200" s="1042">
        <f t="shared" si="539"/>
        <v>495383535.9375</v>
      </c>
      <c r="AU200" s="1042">
        <f t="shared" ref="AU200:AU202" si="549">E200-AT200</f>
        <v>15980114.0625</v>
      </c>
      <c r="AV200" s="1042">
        <f t="shared" ref="AV200:AV202" si="550">(F200/12)*12</f>
        <v>63920456.25</v>
      </c>
      <c r="AW200" s="1042">
        <f t="shared" ref="AW200:AW202" si="551">AQ200+AV200</f>
        <v>511363650</v>
      </c>
      <c r="AX200" s="1042">
        <f t="shared" ref="AX200:AX202" si="552">E200-AW200</f>
        <v>0</v>
      </c>
      <c r="AY200" s="179"/>
      <c r="AZ200" s="8">
        <f t="shared" ref="AZ200:AZ202" si="553">E200-AW200-AX200</f>
        <v>0</v>
      </c>
      <c r="BB200" s="221"/>
      <c r="BC200" s="179"/>
    </row>
    <row r="201" spans="1:55" s="220" customFormat="1" ht="14.25" customHeight="1">
      <c r="A201" s="17">
        <f t="shared" si="411"/>
        <v>111</v>
      </c>
      <c r="B201" s="56" t="s">
        <v>612</v>
      </c>
      <c r="C201" s="671">
        <v>42736</v>
      </c>
      <c r="D201" s="55">
        <v>8</v>
      </c>
      <c r="E201" s="6">
        <v>323863635.5</v>
      </c>
      <c r="F201" s="1041">
        <f t="shared" si="489"/>
        <v>40482954.4375</v>
      </c>
      <c r="G201" s="1046"/>
      <c r="H201" s="1046"/>
      <c r="I201" s="1046"/>
      <c r="J201" s="1046"/>
      <c r="K201" s="1046"/>
      <c r="L201" s="1046"/>
      <c r="M201" s="1046"/>
      <c r="N201" s="1046"/>
      <c r="O201" s="1046"/>
      <c r="P201" s="1053">
        <f t="shared" si="522"/>
        <v>40482954.4375</v>
      </c>
      <c r="Q201" s="1042">
        <f t="shared" si="523"/>
        <v>40482954.4375</v>
      </c>
      <c r="R201" s="1042">
        <f t="shared" si="491"/>
        <v>283380681.0625</v>
      </c>
      <c r="S201" s="1042">
        <f t="shared" si="482"/>
        <v>40482954.4375</v>
      </c>
      <c r="T201" s="1042">
        <f t="shared" si="395"/>
        <v>80965908.875</v>
      </c>
      <c r="U201" s="1042">
        <f t="shared" si="492"/>
        <v>242897726.625</v>
      </c>
      <c r="V201" s="1042">
        <f t="shared" si="465"/>
        <v>40482954.4375</v>
      </c>
      <c r="W201" s="1042">
        <f t="shared" si="397"/>
        <v>121448863.3125</v>
      </c>
      <c r="X201" s="1042">
        <f t="shared" si="493"/>
        <v>202414772.1875</v>
      </c>
      <c r="Y201" s="7">
        <v>64098011.192708328</v>
      </c>
      <c r="Z201" s="7">
        <f t="shared" si="494"/>
        <v>259765624.30729169</v>
      </c>
      <c r="AA201" s="1042">
        <f t="shared" si="479"/>
        <v>40482954.4375</v>
      </c>
      <c r="AB201" s="1042">
        <f t="shared" si="400"/>
        <v>161931817.75</v>
      </c>
      <c r="AC201" s="1042">
        <f t="shared" si="495"/>
        <v>161931817.75</v>
      </c>
      <c r="AD201" s="1042">
        <f t="shared" si="481"/>
        <v>40482954.4375</v>
      </c>
      <c r="AE201" s="1042">
        <f t="shared" si="402"/>
        <v>202414772.1875</v>
      </c>
      <c r="AF201" s="1042">
        <f t="shared" si="496"/>
        <v>121448863.3125</v>
      </c>
      <c r="AG201" s="1042">
        <f t="shared" si="468"/>
        <v>40482954.4375</v>
      </c>
      <c r="AH201" s="1042">
        <f t="shared" si="405"/>
        <v>242897726.625</v>
      </c>
      <c r="AI201" s="1042">
        <f t="shared" si="497"/>
        <v>80965908.875</v>
      </c>
      <c r="AJ201" s="1042">
        <f t="shared" si="541"/>
        <v>3373579.5364583335</v>
      </c>
      <c r="AK201" s="1042">
        <f t="shared" si="542"/>
        <v>246271306.16145834</v>
      </c>
      <c r="AL201" s="1042">
        <f t="shared" si="543"/>
        <v>77592329.338541657</v>
      </c>
      <c r="AM201" s="1042">
        <f t="shared" si="544"/>
        <v>30362215.828125</v>
      </c>
      <c r="AN201" s="1042">
        <f t="shared" si="545"/>
        <v>273259942.453125</v>
      </c>
      <c r="AO201" s="1042">
        <f t="shared" si="546"/>
        <v>50603693.046875</v>
      </c>
      <c r="AP201" s="1042">
        <f t="shared" si="547"/>
        <v>40482954.4375</v>
      </c>
      <c r="AQ201" s="1042">
        <f t="shared" si="537"/>
        <v>283380681.0625</v>
      </c>
      <c r="AR201" s="1042">
        <f t="shared" si="498"/>
        <v>40482954.4375</v>
      </c>
      <c r="AS201" s="1042">
        <f t="shared" si="548"/>
        <v>30362215.828125</v>
      </c>
      <c r="AT201" s="1042">
        <f t="shared" si="539"/>
        <v>313742896.890625</v>
      </c>
      <c r="AU201" s="1042">
        <f t="shared" si="549"/>
        <v>10120738.609375</v>
      </c>
      <c r="AV201" s="1042">
        <f t="shared" si="550"/>
        <v>40482954.4375</v>
      </c>
      <c r="AW201" s="1042">
        <f t="shared" si="551"/>
        <v>323863635.5</v>
      </c>
      <c r="AX201" s="1042">
        <f t="shared" si="552"/>
        <v>0</v>
      </c>
      <c r="AY201" s="179"/>
      <c r="AZ201" s="8">
        <f t="shared" si="553"/>
        <v>0</v>
      </c>
      <c r="BB201" s="221"/>
      <c r="BC201" s="179"/>
    </row>
    <row r="202" spans="1:55" s="220" customFormat="1" ht="14.25" customHeight="1">
      <c r="A202" s="17">
        <f t="shared" si="411"/>
        <v>112</v>
      </c>
      <c r="B202" s="56" t="s">
        <v>612</v>
      </c>
      <c r="C202" s="671">
        <v>42736</v>
      </c>
      <c r="D202" s="55">
        <v>8</v>
      </c>
      <c r="E202" s="6">
        <v>187499999.5</v>
      </c>
      <c r="F202" s="1041">
        <f t="shared" si="489"/>
        <v>23437499.9375</v>
      </c>
      <c r="G202" s="1046"/>
      <c r="H202" s="1046"/>
      <c r="I202" s="1046"/>
      <c r="J202" s="1046"/>
      <c r="K202" s="1046"/>
      <c r="L202" s="1046"/>
      <c r="M202" s="1046"/>
      <c r="N202" s="1046"/>
      <c r="O202" s="1046"/>
      <c r="P202" s="1053">
        <f t="shared" si="522"/>
        <v>23437499.9375</v>
      </c>
      <c r="Q202" s="1042">
        <f t="shared" si="523"/>
        <v>23437499.9375</v>
      </c>
      <c r="R202" s="1042">
        <f t="shared" si="491"/>
        <v>164062499.5625</v>
      </c>
      <c r="S202" s="1042">
        <f t="shared" si="482"/>
        <v>23437499.9375</v>
      </c>
      <c r="T202" s="1042">
        <f t="shared" si="395"/>
        <v>46874999.875</v>
      </c>
      <c r="U202" s="1042">
        <f t="shared" si="492"/>
        <v>140624999.625</v>
      </c>
      <c r="V202" s="1042">
        <f t="shared" si="465"/>
        <v>23437499.9375</v>
      </c>
      <c r="W202" s="1042">
        <f t="shared" si="397"/>
        <v>70312499.8125</v>
      </c>
      <c r="X202" s="1042">
        <f t="shared" si="493"/>
        <v>117187499.6875</v>
      </c>
      <c r="Y202" s="7">
        <v>33203124.911458336</v>
      </c>
      <c r="Z202" s="7">
        <f t="shared" si="494"/>
        <v>154296874.58854166</v>
      </c>
      <c r="AA202" s="1042">
        <f t="shared" si="479"/>
        <v>23437499.9375</v>
      </c>
      <c r="AB202" s="1042">
        <f t="shared" si="400"/>
        <v>93749999.75</v>
      </c>
      <c r="AC202" s="1042">
        <f t="shared" si="495"/>
        <v>93749999.75</v>
      </c>
      <c r="AD202" s="1042">
        <f t="shared" si="481"/>
        <v>23437499.9375</v>
      </c>
      <c r="AE202" s="1042">
        <f t="shared" si="402"/>
        <v>117187499.6875</v>
      </c>
      <c r="AF202" s="1042">
        <f t="shared" si="496"/>
        <v>70312499.8125</v>
      </c>
      <c r="AG202" s="1042">
        <f t="shared" si="468"/>
        <v>23437499.9375</v>
      </c>
      <c r="AH202" s="1042">
        <f t="shared" si="405"/>
        <v>140624999.625</v>
      </c>
      <c r="AI202" s="1042">
        <f t="shared" si="497"/>
        <v>46874999.875</v>
      </c>
      <c r="AJ202" s="1042">
        <f t="shared" si="541"/>
        <v>1953124.9947916667</v>
      </c>
      <c r="AK202" s="1042">
        <f t="shared" si="542"/>
        <v>142578124.61979166</v>
      </c>
      <c r="AL202" s="1042">
        <f t="shared" si="543"/>
        <v>44921874.880208343</v>
      </c>
      <c r="AM202" s="1042">
        <f t="shared" si="544"/>
        <v>17578124.953125</v>
      </c>
      <c r="AN202" s="1042">
        <f t="shared" si="545"/>
        <v>158203124.578125</v>
      </c>
      <c r="AO202" s="1042">
        <f t="shared" si="546"/>
        <v>29296874.921875</v>
      </c>
      <c r="AP202" s="1042">
        <f t="shared" si="547"/>
        <v>23437499.9375</v>
      </c>
      <c r="AQ202" s="1042">
        <f t="shared" si="537"/>
        <v>164062499.5625</v>
      </c>
      <c r="AR202" s="1042">
        <f t="shared" si="498"/>
        <v>23437499.9375</v>
      </c>
      <c r="AS202" s="1042">
        <f t="shared" si="548"/>
        <v>17578124.953125</v>
      </c>
      <c r="AT202" s="1042">
        <f t="shared" si="539"/>
        <v>181640624.515625</v>
      </c>
      <c r="AU202" s="1042">
        <f t="shared" si="549"/>
        <v>5859374.984375</v>
      </c>
      <c r="AV202" s="1042">
        <f t="shared" si="550"/>
        <v>23437499.9375</v>
      </c>
      <c r="AW202" s="1042">
        <f t="shared" si="551"/>
        <v>187499999.5</v>
      </c>
      <c r="AX202" s="1042">
        <f t="shared" si="552"/>
        <v>0</v>
      </c>
      <c r="AY202" s="179"/>
      <c r="AZ202" s="8">
        <f t="shared" si="553"/>
        <v>0</v>
      </c>
      <c r="BB202" s="221"/>
      <c r="BC202" s="179"/>
    </row>
    <row r="203" spans="1:55" s="970" customFormat="1" ht="14.25" hidden="1" customHeight="1">
      <c r="A203" s="17">
        <f t="shared" si="411"/>
        <v>113</v>
      </c>
      <c r="B203" s="909" t="s">
        <v>603</v>
      </c>
      <c r="C203" s="903">
        <v>42736</v>
      </c>
      <c r="D203" s="877">
        <v>8</v>
      </c>
      <c r="E203" s="878">
        <f>53800000*0</f>
        <v>0</v>
      </c>
      <c r="F203" s="879">
        <f t="shared" si="489"/>
        <v>0</v>
      </c>
      <c r="G203" s="908"/>
      <c r="H203" s="908"/>
      <c r="I203" s="908"/>
      <c r="J203" s="908"/>
      <c r="K203" s="908"/>
      <c r="L203" s="908"/>
      <c r="M203" s="908"/>
      <c r="N203" s="908"/>
      <c r="O203" s="908"/>
      <c r="P203" s="910">
        <f t="shared" si="522"/>
        <v>0</v>
      </c>
      <c r="Q203" s="880">
        <f t="shared" si="523"/>
        <v>0</v>
      </c>
      <c r="R203" s="880">
        <f t="shared" si="491"/>
        <v>0</v>
      </c>
      <c r="S203" s="880">
        <f t="shared" si="482"/>
        <v>0</v>
      </c>
      <c r="T203" s="880">
        <f t="shared" si="395"/>
        <v>0</v>
      </c>
      <c r="U203" s="880">
        <f t="shared" si="492"/>
        <v>0</v>
      </c>
      <c r="V203" s="880">
        <f t="shared" si="465"/>
        <v>0</v>
      </c>
      <c r="W203" s="880">
        <f t="shared" si="397"/>
        <v>0</v>
      </c>
      <c r="X203" s="880">
        <f t="shared" si="493"/>
        <v>0</v>
      </c>
      <c r="Y203" s="7">
        <v>8966666.666666666</v>
      </c>
      <c r="Z203" s="7">
        <f t="shared" si="494"/>
        <v>-8966666.666666666</v>
      </c>
      <c r="AA203" s="880">
        <f t="shared" si="479"/>
        <v>0</v>
      </c>
      <c r="AB203" s="880">
        <f t="shared" si="400"/>
        <v>0</v>
      </c>
      <c r="AC203" s="880">
        <f t="shared" si="495"/>
        <v>0</v>
      </c>
      <c r="AD203" s="880">
        <f t="shared" si="481"/>
        <v>0</v>
      </c>
      <c r="AE203" s="880">
        <f t="shared" si="402"/>
        <v>0</v>
      </c>
      <c r="AF203" s="880">
        <f t="shared" si="496"/>
        <v>0</v>
      </c>
      <c r="AG203" s="880">
        <f t="shared" si="468"/>
        <v>0</v>
      </c>
      <c r="AH203" s="880">
        <f t="shared" si="405"/>
        <v>0</v>
      </c>
      <c r="AI203" s="880">
        <f t="shared" si="497"/>
        <v>0</v>
      </c>
      <c r="AJ203" s="880"/>
      <c r="AK203" s="880"/>
      <c r="AL203" s="880"/>
      <c r="AM203" s="880"/>
      <c r="AN203" s="880"/>
      <c r="AO203" s="880"/>
      <c r="AP203" s="880">
        <f t="shared" si="488"/>
        <v>0</v>
      </c>
      <c r="AQ203" s="880">
        <f t="shared" si="537"/>
        <v>0</v>
      </c>
      <c r="AR203" s="880">
        <f t="shared" si="498"/>
        <v>0</v>
      </c>
      <c r="AS203" s="896">
        <f t="shared" si="538"/>
        <v>0</v>
      </c>
      <c r="AT203" s="896">
        <f t="shared" si="539"/>
        <v>0</v>
      </c>
      <c r="AU203" s="896"/>
      <c r="AV203" s="896"/>
      <c r="AW203" s="896"/>
      <c r="AX203" s="896"/>
      <c r="AY203" s="969"/>
      <c r="AZ203" s="881">
        <f t="shared" si="540"/>
        <v>0</v>
      </c>
      <c r="BB203" s="971"/>
      <c r="BC203" s="969"/>
    </row>
    <row r="204" spans="1:55" s="220" customFormat="1" ht="14.25" customHeight="1">
      <c r="A204" s="17">
        <f t="shared" si="411"/>
        <v>114</v>
      </c>
      <c r="B204" s="56" t="s">
        <v>613</v>
      </c>
      <c r="C204" s="671">
        <v>42736</v>
      </c>
      <c r="D204" s="55">
        <v>8</v>
      </c>
      <c r="E204" s="6">
        <v>75000000</v>
      </c>
      <c r="F204" s="1041">
        <f t="shared" si="489"/>
        <v>9375000</v>
      </c>
      <c r="G204" s="1046"/>
      <c r="H204" s="1046"/>
      <c r="I204" s="1046"/>
      <c r="J204" s="1046"/>
      <c r="K204" s="1046"/>
      <c r="L204" s="1046"/>
      <c r="M204" s="1046"/>
      <c r="N204" s="1046"/>
      <c r="O204" s="1046"/>
      <c r="P204" s="1053">
        <f t="shared" si="522"/>
        <v>9375000</v>
      </c>
      <c r="Q204" s="1042">
        <f t="shared" si="523"/>
        <v>9375000</v>
      </c>
      <c r="R204" s="1042">
        <f t="shared" si="491"/>
        <v>65625000</v>
      </c>
      <c r="S204" s="1042">
        <f t="shared" si="482"/>
        <v>9375000</v>
      </c>
      <c r="T204" s="1042">
        <f t="shared" si="395"/>
        <v>18750000</v>
      </c>
      <c r="U204" s="1042">
        <f t="shared" si="492"/>
        <v>56250000</v>
      </c>
      <c r="V204" s="1042">
        <f t="shared" ref="V204:V237" si="554">(F204/12)*12</f>
        <v>9375000</v>
      </c>
      <c r="W204" s="1042">
        <f t="shared" si="397"/>
        <v>28125000</v>
      </c>
      <c r="X204" s="1042">
        <f t="shared" si="493"/>
        <v>46875000</v>
      </c>
      <c r="Y204" s="7">
        <v>12500000</v>
      </c>
      <c r="Z204" s="7">
        <f t="shared" si="494"/>
        <v>62500000</v>
      </c>
      <c r="AA204" s="1042">
        <f t="shared" si="479"/>
        <v>9375000</v>
      </c>
      <c r="AB204" s="1042">
        <f t="shared" si="400"/>
        <v>37500000</v>
      </c>
      <c r="AC204" s="1042">
        <f t="shared" si="495"/>
        <v>37500000</v>
      </c>
      <c r="AD204" s="1042">
        <f t="shared" si="481"/>
        <v>9375000</v>
      </c>
      <c r="AE204" s="1042">
        <f t="shared" si="402"/>
        <v>46875000</v>
      </c>
      <c r="AF204" s="1042">
        <f t="shared" si="496"/>
        <v>28125000</v>
      </c>
      <c r="AG204" s="1042">
        <f t="shared" si="468"/>
        <v>9375000</v>
      </c>
      <c r="AH204" s="1042">
        <f t="shared" si="405"/>
        <v>56250000</v>
      </c>
      <c r="AI204" s="1042">
        <f t="shared" si="497"/>
        <v>18750000</v>
      </c>
      <c r="AJ204" s="1042">
        <f t="shared" ref="AJ204" si="555">(F204/12)*1</f>
        <v>781250</v>
      </c>
      <c r="AK204" s="1042">
        <f t="shared" ref="AK204" si="556">AH204+AJ204</f>
        <v>57031250</v>
      </c>
      <c r="AL204" s="1042">
        <f t="shared" ref="AL204" si="557">E204-AK204</f>
        <v>17968750</v>
      </c>
      <c r="AM204" s="1042">
        <f t="shared" ref="AM204" si="558">(F204/12)*9</f>
        <v>7031250</v>
      </c>
      <c r="AN204" s="1042">
        <f t="shared" ref="AN204" si="559">AH204+AM204</f>
        <v>63281250</v>
      </c>
      <c r="AO204" s="1042">
        <f t="shared" ref="AO204" si="560">E204-AN204</f>
        <v>11718750</v>
      </c>
      <c r="AP204" s="1042">
        <f>(F204/12)*12</f>
        <v>9375000</v>
      </c>
      <c r="AQ204" s="1042">
        <f t="shared" si="537"/>
        <v>65625000</v>
      </c>
      <c r="AR204" s="1042">
        <f t="shared" si="498"/>
        <v>9375000</v>
      </c>
      <c r="AS204" s="1042">
        <f>(F204/12)*9</f>
        <v>7031250</v>
      </c>
      <c r="AT204" s="1042">
        <f t="shared" si="539"/>
        <v>72656250</v>
      </c>
      <c r="AU204" s="1042">
        <f t="shared" ref="AU204" si="561">E204-AT204</f>
        <v>2343750</v>
      </c>
      <c r="AV204" s="1042">
        <f t="shared" ref="AV204" si="562">(F204/12)*12</f>
        <v>9375000</v>
      </c>
      <c r="AW204" s="1042">
        <f t="shared" ref="AW204" si="563">AQ204+AV204</f>
        <v>75000000</v>
      </c>
      <c r="AX204" s="1042">
        <f t="shared" ref="AX204" si="564">E204-AW204</f>
        <v>0</v>
      </c>
      <c r="AY204" s="179"/>
      <c r="AZ204" s="8">
        <f>E204-AW204-AX204</f>
        <v>0</v>
      </c>
      <c r="BB204" s="221"/>
      <c r="BC204" s="179"/>
    </row>
    <row r="205" spans="1:55" s="970" customFormat="1" ht="14.25" hidden="1" customHeight="1">
      <c r="A205" s="17">
        <f t="shared" si="411"/>
        <v>115</v>
      </c>
      <c r="B205" s="909" t="s">
        <v>603</v>
      </c>
      <c r="C205" s="903">
        <v>42736</v>
      </c>
      <c r="D205" s="877">
        <v>8</v>
      </c>
      <c r="E205" s="878">
        <f>18900000*0</f>
        <v>0</v>
      </c>
      <c r="F205" s="879">
        <f t="shared" si="489"/>
        <v>0</v>
      </c>
      <c r="G205" s="908"/>
      <c r="H205" s="908"/>
      <c r="I205" s="908"/>
      <c r="J205" s="908"/>
      <c r="K205" s="908"/>
      <c r="L205" s="908"/>
      <c r="M205" s="908"/>
      <c r="N205" s="908"/>
      <c r="O205" s="908"/>
      <c r="P205" s="910">
        <f t="shared" si="522"/>
        <v>0</v>
      </c>
      <c r="Q205" s="880">
        <f t="shared" si="523"/>
        <v>0</v>
      </c>
      <c r="R205" s="880">
        <f t="shared" si="491"/>
        <v>0</v>
      </c>
      <c r="S205" s="880">
        <f t="shared" si="482"/>
        <v>0</v>
      </c>
      <c r="T205" s="880">
        <f t="shared" si="395"/>
        <v>0</v>
      </c>
      <c r="U205" s="880">
        <f t="shared" si="492"/>
        <v>0</v>
      </c>
      <c r="V205" s="880">
        <f t="shared" si="554"/>
        <v>0</v>
      </c>
      <c r="W205" s="880">
        <f t="shared" si="397"/>
        <v>0</v>
      </c>
      <c r="X205" s="880">
        <f t="shared" si="493"/>
        <v>0</v>
      </c>
      <c r="Y205" s="7">
        <v>2953125</v>
      </c>
      <c r="Z205" s="7">
        <f t="shared" si="494"/>
        <v>-2953125</v>
      </c>
      <c r="AA205" s="880">
        <f t="shared" si="479"/>
        <v>0</v>
      </c>
      <c r="AB205" s="880">
        <f t="shared" si="400"/>
        <v>0</v>
      </c>
      <c r="AC205" s="880">
        <f t="shared" si="495"/>
        <v>0</v>
      </c>
      <c r="AD205" s="880">
        <f t="shared" si="481"/>
        <v>0</v>
      </c>
      <c r="AE205" s="880">
        <f t="shared" si="402"/>
        <v>0</v>
      </c>
      <c r="AF205" s="880">
        <f t="shared" si="496"/>
        <v>0</v>
      </c>
      <c r="AG205" s="880">
        <f t="shared" ref="AG205:AG237" si="565">(F205/12)*12</f>
        <v>0</v>
      </c>
      <c r="AH205" s="880">
        <f t="shared" si="405"/>
        <v>0</v>
      </c>
      <c r="AI205" s="880">
        <f t="shared" si="497"/>
        <v>0</v>
      </c>
      <c r="AJ205" s="880"/>
      <c r="AK205" s="880"/>
      <c r="AL205" s="880"/>
      <c r="AM205" s="880"/>
      <c r="AN205" s="880"/>
      <c r="AO205" s="880"/>
      <c r="AP205" s="880">
        <f t="shared" si="488"/>
        <v>0</v>
      </c>
      <c r="AQ205" s="880">
        <f t="shared" si="537"/>
        <v>0</v>
      </c>
      <c r="AR205" s="880">
        <f t="shared" si="498"/>
        <v>0</v>
      </c>
      <c r="AS205" s="896">
        <f t="shared" si="538"/>
        <v>0</v>
      </c>
      <c r="AT205" s="896">
        <f t="shared" si="539"/>
        <v>0</v>
      </c>
      <c r="AU205" s="896"/>
      <c r="AV205" s="896"/>
      <c r="AW205" s="896"/>
      <c r="AX205" s="896"/>
      <c r="AY205" s="969"/>
      <c r="AZ205" s="881">
        <f t="shared" si="540"/>
        <v>0</v>
      </c>
      <c r="BB205" s="971"/>
      <c r="BC205" s="969"/>
    </row>
    <row r="206" spans="1:55" s="220" customFormat="1" ht="14.25" customHeight="1">
      <c r="A206" s="17">
        <f t="shared" si="411"/>
        <v>116</v>
      </c>
      <c r="B206" s="909" t="s">
        <v>603</v>
      </c>
      <c r="C206" s="671">
        <v>42736</v>
      </c>
      <c r="D206" s="55">
        <v>8</v>
      </c>
      <c r="E206" s="6">
        <f>88363636+18900000+53800000+26000000</f>
        <v>187063636</v>
      </c>
      <c r="F206" s="1041">
        <f t="shared" si="489"/>
        <v>23382954.5</v>
      </c>
      <c r="G206" s="1046"/>
      <c r="H206" s="1046"/>
      <c r="I206" s="1046"/>
      <c r="J206" s="1046"/>
      <c r="K206" s="1046"/>
      <c r="L206" s="1046"/>
      <c r="M206" s="1046"/>
      <c r="N206" s="1046"/>
      <c r="O206" s="1046"/>
      <c r="P206" s="1042">
        <f t="shared" si="522"/>
        <v>23382954.5</v>
      </c>
      <c r="Q206" s="1042">
        <f t="shared" si="523"/>
        <v>23382954.5</v>
      </c>
      <c r="R206" s="1042">
        <f t="shared" si="491"/>
        <v>163680681.5</v>
      </c>
      <c r="S206" s="1042">
        <f t="shared" si="482"/>
        <v>23382954.5</v>
      </c>
      <c r="T206" s="1042">
        <f t="shared" si="395"/>
        <v>46765909</v>
      </c>
      <c r="U206" s="1042">
        <f t="shared" si="492"/>
        <v>140297727</v>
      </c>
      <c r="V206" s="1042">
        <f t="shared" si="554"/>
        <v>23382954.5</v>
      </c>
      <c r="W206" s="1042">
        <f t="shared" si="397"/>
        <v>70148863.5</v>
      </c>
      <c r="X206" s="1042">
        <f t="shared" si="493"/>
        <v>116914772.5</v>
      </c>
      <c r="Y206" s="7">
        <v>12886363.583333334</v>
      </c>
      <c r="Z206" s="7">
        <f t="shared" si="494"/>
        <v>174177272.41666666</v>
      </c>
      <c r="AA206" s="1042">
        <f t="shared" ref="AA206:AA237" si="566">(F206/12)*12</f>
        <v>23382954.5</v>
      </c>
      <c r="AB206" s="1042">
        <f t="shared" si="400"/>
        <v>93531818</v>
      </c>
      <c r="AC206" s="1042">
        <f t="shared" si="495"/>
        <v>93531818</v>
      </c>
      <c r="AD206" s="1042">
        <f t="shared" si="481"/>
        <v>23382954.5</v>
      </c>
      <c r="AE206" s="1042">
        <f t="shared" si="402"/>
        <v>116914772.5</v>
      </c>
      <c r="AF206" s="1042">
        <f t="shared" si="496"/>
        <v>70148863.5</v>
      </c>
      <c r="AG206" s="1042">
        <f t="shared" si="565"/>
        <v>23382954.5</v>
      </c>
      <c r="AH206" s="1042">
        <f t="shared" si="405"/>
        <v>140297727</v>
      </c>
      <c r="AI206" s="1042">
        <f t="shared" si="497"/>
        <v>46765909</v>
      </c>
      <c r="AJ206" s="1042">
        <f t="shared" ref="AJ206:AJ209" si="567">(F206/12)*1</f>
        <v>1948579.5416666667</v>
      </c>
      <c r="AK206" s="1042">
        <f t="shared" ref="AK206:AK209" si="568">AH206+AJ206</f>
        <v>142246306.54166666</v>
      </c>
      <c r="AL206" s="1042">
        <f t="shared" ref="AL206:AL209" si="569">E206-AK206</f>
        <v>44817329.458333343</v>
      </c>
      <c r="AM206" s="1042">
        <f t="shared" ref="AM206:AM209" si="570">(F206/12)*9</f>
        <v>17537215.875</v>
      </c>
      <c r="AN206" s="1042">
        <f t="shared" ref="AN206:AN209" si="571">AH206+AM206</f>
        <v>157834942.875</v>
      </c>
      <c r="AO206" s="1042">
        <f t="shared" ref="AO206:AO209" si="572">E206-AN206</f>
        <v>29228693.125</v>
      </c>
      <c r="AP206" s="1042">
        <f t="shared" ref="AP206:AP209" si="573">(F206/12)*12</f>
        <v>23382954.5</v>
      </c>
      <c r="AQ206" s="1042">
        <f t="shared" si="537"/>
        <v>163680681.5</v>
      </c>
      <c r="AR206" s="1042">
        <f t="shared" si="498"/>
        <v>23382954.5</v>
      </c>
      <c r="AS206" s="1042">
        <f t="shared" ref="AS206:AS209" si="574">(F206/12)*9</f>
        <v>17537215.875</v>
      </c>
      <c r="AT206" s="1042">
        <f t="shared" si="539"/>
        <v>181217897.375</v>
      </c>
      <c r="AU206" s="1042">
        <f t="shared" ref="AU206:AU209" si="575">E206-AT206</f>
        <v>5845738.625</v>
      </c>
      <c r="AV206" s="1042">
        <f t="shared" ref="AV206:AV209" si="576">(F206/12)*12</f>
        <v>23382954.5</v>
      </c>
      <c r="AW206" s="1042">
        <f t="shared" ref="AW206:AW209" si="577">AQ206+AV206</f>
        <v>187063636</v>
      </c>
      <c r="AX206" s="1042">
        <f t="shared" ref="AX206:AX209" si="578">E206-AW206</f>
        <v>0</v>
      </c>
      <c r="AY206" s="179"/>
      <c r="AZ206" s="8">
        <f t="shared" ref="AZ206:AZ209" si="579">E206-AW206-AX206</f>
        <v>0</v>
      </c>
      <c r="BB206" s="229"/>
      <c r="BC206" s="179"/>
    </row>
    <row r="207" spans="1:55" s="220" customFormat="1" ht="14.25" customHeight="1">
      <c r="A207" s="17">
        <f t="shared" si="411"/>
        <v>117</v>
      </c>
      <c r="B207" s="56" t="s">
        <v>614</v>
      </c>
      <c r="C207" s="671">
        <v>42736</v>
      </c>
      <c r="D207" s="55">
        <v>8</v>
      </c>
      <c r="E207" s="6">
        <v>10727273</v>
      </c>
      <c r="F207" s="1041">
        <f t="shared" si="489"/>
        <v>1340909.125</v>
      </c>
      <c r="G207" s="1046"/>
      <c r="H207" s="1046"/>
      <c r="I207" s="1046"/>
      <c r="J207" s="1046"/>
      <c r="K207" s="1046"/>
      <c r="L207" s="1046"/>
      <c r="M207" s="1046"/>
      <c r="N207" s="1046"/>
      <c r="O207" s="1046"/>
      <c r="P207" s="1053">
        <f t="shared" si="522"/>
        <v>1340909.125</v>
      </c>
      <c r="Q207" s="1042">
        <f t="shared" si="523"/>
        <v>1340909.125</v>
      </c>
      <c r="R207" s="1042">
        <f t="shared" si="491"/>
        <v>9386363.875</v>
      </c>
      <c r="S207" s="1042">
        <f t="shared" si="482"/>
        <v>1340909.125</v>
      </c>
      <c r="T207" s="1042">
        <f t="shared" si="395"/>
        <v>2681818.25</v>
      </c>
      <c r="U207" s="1042">
        <f t="shared" si="492"/>
        <v>8045454.75</v>
      </c>
      <c r="V207" s="1042">
        <f t="shared" si="554"/>
        <v>1340909.125</v>
      </c>
      <c r="W207" s="1042">
        <f t="shared" si="397"/>
        <v>4022727.375</v>
      </c>
      <c r="X207" s="1042">
        <f t="shared" si="493"/>
        <v>6704545.625</v>
      </c>
      <c r="Y207" s="7">
        <v>1452651.5520833333</v>
      </c>
      <c r="Z207" s="7">
        <f t="shared" si="494"/>
        <v>9274621.447916666</v>
      </c>
      <c r="AA207" s="1042">
        <f t="shared" si="566"/>
        <v>1340909.125</v>
      </c>
      <c r="AB207" s="1042">
        <f t="shared" si="400"/>
        <v>5363636.5</v>
      </c>
      <c r="AC207" s="1042">
        <f t="shared" si="495"/>
        <v>5363636.5</v>
      </c>
      <c r="AD207" s="1042">
        <f t="shared" si="481"/>
        <v>1340909.125</v>
      </c>
      <c r="AE207" s="1042">
        <f t="shared" si="402"/>
        <v>6704545.625</v>
      </c>
      <c r="AF207" s="1042">
        <f t="shared" si="496"/>
        <v>4022727.375</v>
      </c>
      <c r="AG207" s="1042">
        <f t="shared" si="565"/>
        <v>1340909.125</v>
      </c>
      <c r="AH207" s="1042">
        <f t="shared" si="405"/>
        <v>8045454.75</v>
      </c>
      <c r="AI207" s="1042">
        <f t="shared" si="497"/>
        <v>2681818.25</v>
      </c>
      <c r="AJ207" s="1042">
        <f t="shared" si="567"/>
        <v>111742.42708333333</v>
      </c>
      <c r="AK207" s="1042">
        <f t="shared" si="568"/>
        <v>8157197.177083333</v>
      </c>
      <c r="AL207" s="1042">
        <f t="shared" si="569"/>
        <v>2570075.822916667</v>
      </c>
      <c r="AM207" s="1042">
        <f t="shared" si="570"/>
        <v>1005681.84375</v>
      </c>
      <c r="AN207" s="1042">
        <f t="shared" si="571"/>
        <v>9051136.59375</v>
      </c>
      <c r="AO207" s="1042">
        <f t="shared" si="572"/>
        <v>1676136.40625</v>
      </c>
      <c r="AP207" s="1042">
        <f t="shared" si="573"/>
        <v>1340909.125</v>
      </c>
      <c r="AQ207" s="1042">
        <f t="shared" si="537"/>
        <v>9386363.875</v>
      </c>
      <c r="AR207" s="1042">
        <f t="shared" si="498"/>
        <v>1340909.125</v>
      </c>
      <c r="AS207" s="1042">
        <f t="shared" si="574"/>
        <v>1005681.84375</v>
      </c>
      <c r="AT207" s="1042">
        <f t="shared" si="539"/>
        <v>10392045.71875</v>
      </c>
      <c r="AU207" s="1042">
        <f t="shared" si="575"/>
        <v>335227.28125</v>
      </c>
      <c r="AV207" s="1042">
        <f t="shared" si="576"/>
        <v>1340909.125</v>
      </c>
      <c r="AW207" s="1042">
        <f t="shared" si="577"/>
        <v>10727273</v>
      </c>
      <c r="AX207" s="1042">
        <f t="shared" si="578"/>
        <v>0</v>
      </c>
      <c r="AY207" s="179"/>
      <c r="AZ207" s="8">
        <f t="shared" si="579"/>
        <v>0</v>
      </c>
      <c r="BB207" s="221"/>
      <c r="BC207" s="179"/>
    </row>
    <row r="208" spans="1:55" s="220" customFormat="1" ht="14.25" customHeight="1">
      <c r="A208" s="17">
        <f t="shared" si="411"/>
        <v>118</v>
      </c>
      <c r="B208" s="56" t="s">
        <v>615</v>
      </c>
      <c r="C208" s="671">
        <v>43101</v>
      </c>
      <c r="D208" s="55">
        <v>8</v>
      </c>
      <c r="E208" s="6">
        <v>195000000</v>
      </c>
      <c r="F208" s="1041">
        <f t="shared" si="489"/>
        <v>24375000</v>
      </c>
      <c r="G208" s="1046"/>
      <c r="H208" s="1046"/>
      <c r="I208" s="1046"/>
      <c r="J208" s="1046"/>
      <c r="K208" s="1046"/>
      <c r="L208" s="1046"/>
      <c r="M208" s="1046"/>
      <c r="N208" s="1046"/>
      <c r="O208" s="1046"/>
      <c r="P208" s="1046"/>
      <c r="Q208" s="1046"/>
      <c r="R208" s="1046"/>
      <c r="S208" s="1053">
        <f t="shared" ref="S208:S237" si="580">(F208/12)*(13-IF(C208="","",MONTH(C208)))</f>
        <v>24375000</v>
      </c>
      <c r="T208" s="1042">
        <f t="shared" ref="T208:T237" si="581">Q208+S208</f>
        <v>24375000</v>
      </c>
      <c r="U208" s="1042">
        <f t="shared" si="492"/>
        <v>170625000</v>
      </c>
      <c r="V208" s="1042">
        <f t="shared" si="554"/>
        <v>24375000</v>
      </c>
      <c r="W208" s="1042">
        <f t="shared" si="397"/>
        <v>48750000</v>
      </c>
      <c r="X208" s="1042">
        <f t="shared" si="493"/>
        <v>146250000</v>
      </c>
      <c r="Y208" s="7">
        <v>22343750</v>
      </c>
      <c r="Z208" s="7">
        <f t="shared" si="494"/>
        <v>172656250</v>
      </c>
      <c r="AA208" s="1042">
        <f t="shared" si="566"/>
        <v>24375000</v>
      </c>
      <c r="AB208" s="1042">
        <f t="shared" si="400"/>
        <v>73125000</v>
      </c>
      <c r="AC208" s="1042">
        <f t="shared" si="495"/>
        <v>121875000</v>
      </c>
      <c r="AD208" s="1042">
        <f t="shared" si="481"/>
        <v>24375000</v>
      </c>
      <c r="AE208" s="1042">
        <f t="shared" si="402"/>
        <v>97500000</v>
      </c>
      <c r="AF208" s="1042">
        <f t="shared" si="496"/>
        <v>97500000</v>
      </c>
      <c r="AG208" s="1042">
        <f t="shared" si="565"/>
        <v>24375000</v>
      </c>
      <c r="AH208" s="1042">
        <f t="shared" si="405"/>
        <v>121875000</v>
      </c>
      <c r="AI208" s="1042">
        <f t="shared" si="497"/>
        <v>73125000</v>
      </c>
      <c r="AJ208" s="1042">
        <f t="shared" si="567"/>
        <v>2031250</v>
      </c>
      <c r="AK208" s="1042">
        <f t="shared" si="568"/>
        <v>123906250</v>
      </c>
      <c r="AL208" s="1042">
        <f t="shared" si="569"/>
        <v>71093750</v>
      </c>
      <c r="AM208" s="1042">
        <f t="shared" si="570"/>
        <v>18281250</v>
      </c>
      <c r="AN208" s="1042">
        <f t="shared" si="571"/>
        <v>140156250</v>
      </c>
      <c r="AO208" s="1042">
        <f t="shared" si="572"/>
        <v>54843750</v>
      </c>
      <c r="AP208" s="1042">
        <f t="shared" si="573"/>
        <v>24375000</v>
      </c>
      <c r="AQ208" s="1042">
        <f t="shared" si="537"/>
        <v>146250000</v>
      </c>
      <c r="AR208" s="1042">
        <f t="shared" si="498"/>
        <v>48750000</v>
      </c>
      <c r="AS208" s="1042">
        <f t="shared" si="574"/>
        <v>18281250</v>
      </c>
      <c r="AT208" s="1042">
        <f t="shared" si="539"/>
        <v>164531250</v>
      </c>
      <c r="AU208" s="1042">
        <f t="shared" si="575"/>
        <v>30468750</v>
      </c>
      <c r="AV208" s="1042">
        <f t="shared" si="576"/>
        <v>24375000</v>
      </c>
      <c r="AW208" s="1042">
        <f t="shared" si="577"/>
        <v>170625000</v>
      </c>
      <c r="AX208" s="1042">
        <f t="shared" si="578"/>
        <v>24375000</v>
      </c>
      <c r="AY208" s="179"/>
      <c r="AZ208" s="8">
        <f t="shared" si="579"/>
        <v>0</v>
      </c>
      <c r="BB208" s="221"/>
      <c r="BC208" s="179"/>
    </row>
    <row r="209" spans="1:55" s="220" customFormat="1" ht="14.25" customHeight="1">
      <c r="A209" s="17">
        <f t="shared" si="411"/>
        <v>119</v>
      </c>
      <c r="B209" s="56" t="s">
        <v>616</v>
      </c>
      <c r="C209" s="671">
        <v>43132</v>
      </c>
      <c r="D209" s="55">
        <v>8</v>
      </c>
      <c r="E209" s="6">
        <v>15272728</v>
      </c>
      <c r="F209" s="1041">
        <f t="shared" si="489"/>
        <v>1909091</v>
      </c>
      <c r="G209" s="1046"/>
      <c r="H209" s="1046"/>
      <c r="I209" s="1046"/>
      <c r="J209" s="1046"/>
      <c r="K209" s="1046"/>
      <c r="L209" s="1046"/>
      <c r="M209" s="1046"/>
      <c r="N209" s="1046"/>
      <c r="O209" s="1046"/>
      <c r="P209" s="1046"/>
      <c r="Q209" s="1046"/>
      <c r="R209" s="1046"/>
      <c r="S209" s="1053">
        <f t="shared" si="580"/>
        <v>1750000.0833333333</v>
      </c>
      <c r="T209" s="1042">
        <f t="shared" si="581"/>
        <v>1750000.0833333333</v>
      </c>
      <c r="U209" s="1042">
        <f t="shared" si="492"/>
        <v>13522727.916666666</v>
      </c>
      <c r="V209" s="1042">
        <f t="shared" si="554"/>
        <v>1909091</v>
      </c>
      <c r="W209" s="1042">
        <f t="shared" si="397"/>
        <v>3659091.083333333</v>
      </c>
      <c r="X209" s="1042">
        <f t="shared" si="493"/>
        <v>11613636.916666668</v>
      </c>
      <c r="Y209" s="7">
        <v>1590909.1666666667</v>
      </c>
      <c r="Z209" s="7">
        <f t="shared" si="494"/>
        <v>13681818.833333334</v>
      </c>
      <c r="AA209" s="1042">
        <f t="shared" si="566"/>
        <v>1909091</v>
      </c>
      <c r="AB209" s="1042">
        <f t="shared" si="400"/>
        <v>5568182.083333333</v>
      </c>
      <c r="AC209" s="1042">
        <f t="shared" si="495"/>
        <v>9704545.9166666679</v>
      </c>
      <c r="AD209" s="1042">
        <f t="shared" si="481"/>
        <v>1909091</v>
      </c>
      <c r="AE209" s="1042">
        <f t="shared" si="402"/>
        <v>7477273.083333333</v>
      </c>
      <c r="AF209" s="1042">
        <f t="shared" si="496"/>
        <v>7795454.916666667</v>
      </c>
      <c r="AG209" s="1042">
        <f t="shared" si="565"/>
        <v>1909091</v>
      </c>
      <c r="AH209" s="1042">
        <f t="shared" si="405"/>
        <v>9386364.0833333321</v>
      </c>
      <c r="AI209" s="1042">
        <f t="shared" si="497"/>
        <v>5886363.9166666679</v>
      </c>
      <c r="AJ209" s="1042">
        <f t="shared" si="567"/>
        <v>159090.91666666666</v>
      </c>
      <c r="AK209" s="1042">
        <f t="shared" si="568"/>
        <v>9545454.9999999981</v>
      </c>
      <c r="AL209" s="1042">
        <f t="shared" si="569"/>
        <v>5727273.0000000019</v>
      </c>
      <c r="AM209" s="1042">
        <f t="shared" si="570"/>
        <v>1431818.25</v>
      </c>
      <c r="AN209" s="1042">
        <f t="shared" si="571"/>
        <v>10818182.333333332</v>
      </c>
      <c r="AO209" s="1042">
        <f t="shared" si="572"/>
        <v>4454545.6666666679</v>
      </c>
      <c r="AP209" s="1042">
        <f t="shared" si="573"/>
        <v>1909091</v>
      </c>
      <c r="AQ209" s="1042">
        <f t="shared" si="537"/>
        <v>11295455.083333332</v>
      </c>
      <c r="AR209" s="1042">
        <f t="shared" si="498"/>
        <v>3977272.9166666679</v>
      </c>
      <c r="AS209" s="1042">
        <f t="shared" si="574"/>
        <v>1431818.25</v>
      </c>
      <c r="AT209" s="1042">
        <f t="shared" si="539"/>
        <v>12727273.333333332</v>
      </c>
      <c r="AU209" s="1042">
        <f t="shared" si="575"/>
        <v>2545454.6666666679</v>
      </c>
      <c r="AV209" s="1042">
        <f t="shared" si="576"/>
        <v>1909091</v>
      </c>
      <c r="AW209" s="1042">
        <f t="shared" si="577"/>
        <v>13204546.083333332</v>
      </c>
      <c r="AX209" s="1042">
        <f t="shared" si="578"/>
        <v>2068181.9166666679</v>
      </c>
      <c r="AY209" s="179"/>
      <c r="AZ209" s="8">
        <f t="shared" si="579"/>
        <v>0</v>
      </c>
      <c r="BB209" s="221"/>
      <c r="BC209" s="179"/>
    </row>
    <row r="210" spans="1:55" s="970" customFormat="1" ht="14.25" hidden="1" customHeight="1">
      <c r="A210" s="17">
        <f t="shared" si="411"/>
        <v>120</v>
      </c>
      <c r="B210" s="909" t="s">
        <v>591</v>
      </c>
      <c r="C210" s="903">
        <v>43132</v>
      </c>
      <c r="D210" s="877">
        <v>8</v>
      </c>
      <c r="E210" s="878">
        <f>60000000*0</f>
        <v>0</v>
      </c>
      <c r="F210" s="879">
        <f t="shared" si="489"/>
        <v>0</v>
      </c>
      <c r="G210" s="908"/>
      <c r="H210" s="908"/>
      <c r="I210" s="908"/>
      <c r="J210" s="908"/>
      <c r="K210" s="908"/>
      <c r="L210" s="908"/>
      <c r="M210" s="908"/>
      <c r="N210" s="908"/>
      <c r="O210" s="908"/>
      <c r="P210" s="908"/>
      <c r="Q210" s="908"/>
      <c r="R210" s="908"/>
      <c r="S210" s="910">
        <f t="shared" si="580"/>
        <v>0</v>
      </c>
      <c r="T210" s="880">
        <f t="shared" si="581"/>
        <v>0</v>
      </c>
      <c r="U210" s="880">
        <f t="shared" si="492"/>
        <v>0</v>
      </c>
      <c r="V210" s="880">
        <f t="shared" si="554"/>
        <v>0</v>
      </c>
      <c r="W210" s="880">
        <f t="shared" si="397"/>
        <v>0</v>
      </c>
      <c r="X210" s="880">
        <f t="shared" si="493"/>
        <v>0</v>
      </c>
      <c r="Y210" s="880">
        <f>6250000*0</f>
        <v>0</v>
      </c>
      <c r="Z210" s="880">
        <f t="shared" si="494"/>
        <v>0</v>
      </c>
      <c r="AA210" s="880">
        <f t="shared" si="566"/>
        <v>0</v>
      </c>
      <c r="AB210" s="880">
        <f t="shared" si="400"/>
        <v>0</v>
      </c>
      <c r="AC210" s="880">
        <f t="shared" si="495"/>
        <v>0</v>
      </c>
      <c r="AD210" s="880">
        <f t="shared" ref="AD210:AD237" si="582">(F210/12)*12</f>
        <v>0</v>
      </c>
      <c r="AE210" s="880">
        <f t="shared" si="402"/>
        <v>0</v>
      </c>
      <c r="AF210" s="880">
        <f t="shared" si="496"/>
        <v>0</v>
      </c>
      <c r="AG210" s="880">
        <f t="shared" si="565"/>
        <v>0</v>
      </c>
      <c r="AH210" s="880">
        <f t="shared" si="405"/>
        <v>0</v>
      </c>
      <c r="AI210" s="880">
        <f t="shared" si="497"/>
        <v>0</v>
      </c>
      <c r="AJ210" s="880"/>
      <c r="AK210" s="880"/>
      <c r="AL210" s="880"/>
      <c r="AM210" s="880"/>
      <c r="AN210" s="880"/>
      <c r="AO210" s="880"/>
      <c r="AP210" s="880">
        <f t="shared" si="488"/>
        <v>0</v>
      </c>
      <c r="AQ210" s="880">
        <f t="shared" si="537"/>
        <v>0</v>
      </c>
      <c r="AR210" s="880">
        <f t="shared" si="498"/>
        <v>0</v>
      </c>
      <c r="AS210" s="896">
        <f t="shared" si="538"/>
        <v>0</v>
      </c>
      <c r="AT210" s="896">
        <f t="shared" si="539"/>
        <v>0</v>
      </c>
      <c r="AU210" s="896"/>
      <c r="AV210" s="896"/>
      <c r="AW210" s="896"/>
      <c r="AX210" s="896"/>
      <c r="AY210" s="969"/>
      <c r="AZ210" s="881">
        <f t="shared" si="540"/>
        <v>0</v>
      </c>
      <c r="BB210" s="971"/>
      <c r="BC210" s="969"/>
    </row>
    <row r="211" spans="1:55" s="220" customFormat="1" ht="14.25" customHeight="1">
      <c r="A211" s="17">
        <f t="shared" si="411"/>
        <v>121</v>
      </c>
      <c r="B211" s="56" t="s">
        <v>617</v>
      </c>
      <c r="C211" s="671">
        <v>43132</v>
      </c>
      <c r="D211" s="55">
        <v>8</v>
      </c>
      <c r="E211" s="6">
        <v>30836364</v>
      </c>
      <c r="F211" s="1041">
        <f t="shared" si="489"/>
        <v>3854545.5</v>
      </c>
      <c r="G211" s="1046"/>
      <c r="H211" s="1046"/>
      <c r="I211" s="1046"/>
      <c r="J211" s="1046"/>
      <c r="K211" s="1046"/>
      <c r="L211" s="1046"/>
      <c r="M211" s="1046"/>
      <c r="N211" s="1046"/>
      <c r="O211" s="1046"/>
      <c r="P211" s="1046"/>
      <c r="Q211" s="1046"/>
      <c r="R211" s="1046"/>
      <c r="S211" s="1053">
        <f t="shared" si="580"/>
        <v>3533333.375</v>
      </c>
      <c r="T211" s="1042">
        <f t="shared" si="581"/>
        <v>3533333.375</v>
      </c>
      <c r="U211" s="1042">
        <f t="shared" si="492"/>
        <v>27303030.625</v>
      </c>
      <c r="V211" s="1042">
        <f t="shared" si="554"/>
        <v>3854545.5</v>
      </c>
      <c r="W211" s="1042">
        <f t="shared" si="397"/>
        <v>7387878.875</v>
      </c>
      <c r="X211" s="1042">
        <f t="shared" si="493"/>
        <v>23448485.125</v>
      </c>
      <c r="Y211" s="7">
        <v>3212121.25</v>
      </c>
      <c r="Z211" s="7">
        <f t="shared" si="494"/>
        <v>27624242.75</v>
      </c>
      <c r="AA211" s="1042">
        <f t="shared" si="566"/>
        <v>3854545.5</v>
      </c>
      <c r="AB211" s="1042">
        <f t="shared" si="400"/>
        <v>11242424.375</v>
      </c>
      <c r="AC211" s="1042">
        <f t="shared" si="495"/>
        <v>19593939.625</v>
      </c>
      <c r="AD211" s="1042">
        <f t="shared" si="582"/>
        <v>3854545.5</v>
      </c>
      <c r="AE211" s="1042">
        <f t="shared" si="402"/>
        <v>15096969.875</v>
      </c>
      <c r="AF211" s="1042">
        <f t="shared" si="496"/>
        <v>15739394.125</v>
      </c>
      <c r="AG211" s="1042">
        <f t="shared" si="565"/>
        <v>3854545.5</v>
      </c>
      <c r="AH211" s="1042">
        <f t="shared" si="405"/>
        <v>18951515.375</v>
      </c>
      <c r="AI211" s="1042">
        <f t="shared" si="497"/>
        <v>11884848.625</v>
      </c>
      <c r="AJ211" s="1042">
        <f t="shared" ref="AJ211:AJ213" si="583">(F211/12)*1</f>
        <v>321212.125</v>
      </c>
      <c r="AK211" s="1042">
        <f t="shared" ref="AK211:AK213" si="584">AH211+AJ211</f>
        <v>19272727.5</v>
      </c>
      <c r="AL211" s="1042">
        <f t="shared" ref="AL211:AL213" si="585">E211-AK211</f>
        <v>11563636.5</v>
      </c>
      <c r="AM211" s="1042">
        <f t="shared" ref="AM211:AM213" si="586">(F211/12)*9</f>
        <v>2890909.125</v>
      </c>
      <c r="AN211" s="1042">
        <f t="shared" ref="AN211:AN213" si="587">AH211+AM211</f>
        <v>21842424.5</v>
      </c>
      <c r="AO211" s="1042">
        <f t="shared" ref="AO211:AO213" si="588">E211-AN211</f>
        <v>8993939.5</v>
      </c>
      <c r="AP211" s="1042">
        <f t="shared" ref="AP211:AP213" si="589">(F211/12)*12</f>
        <v>3854545.5</v>
      </c>
      <c r="AQ211" s="1042">
        <f t="shared" si="537"/>
        <v>22806060.875</v>
      </c>
      <c r="AR211" s="1042">
        <f t="shared" si="498"/>
        <v>8030303.125</v>
      </c>
      <c r="AS211" s="1042">
        <f t="shared" ref="AS211:AS213" si="590">(F211/12)*9</f>
        <v>2890909.125</v>
      </c>
      <c r="AT211" s="1042">
        <f t="shared" si="539"/>
        <v>25696970</v>
      </c>
      <c r="AU211" s="1042">
        <f t="shared" ref="AU211:AU213" si="591">E211-AT211</f>
        <v>5139394</v>
      </c>
      <c r="AV211" s="1042">
        <f t="shared" ref="AV211:AV213" si="592">(F211/12)*12</f>
        <v>3854545.5</v>
      </c>
      <c r="AW211" s="1042">
        <f t="shared" ref="AW211:AW213" si="593">AQ211+AV211</f>
        <v>26660606.375</v>
      </c>
      <c r="AX211" s="1042">
        <f t="shared" ref="AX211:AX213" si="594">E211-AW211</f>
        <v>4175757.625</v>
      </c>
      <c r="AY211" s="179"/>
      <c r="AZ211" s="8">
        <f t="shared" ref="AZ211:AZ213" si="595">E211-AW211-AX211</f>
        <v>0</v>
      </c>
      <c r="BB211" s="221"/>
      <c r="BC211" s="179"/>
    </row>
    <row r="212" spans="1:55" s="220" customFormat="1" ht="14.25" customHeight="1">
      <c r="A212" s="17">
        <f t="shared" si="411"/>
        <v>122</v>
      </c>
      <c r="B212" s="56" t="s">
        <v>618</v>
      </c>
      <c r="C212" s="671">
        <v>43132</v>
      </c>
      <c r="D212" s="55">
        <v>8</v>
      </c>
      <c r="E212" s="6">
        <v>13272728</v>
      </c>
      <c r="F212" s="1041">
        <f t="shared" si="489"/>
        <v>1659091</v>
      </c>
      <c r="G212" s="1046"/>
      <c r="H212" s="1046"/>
      <c r="I212" s="1046"/>
      <c r="J212" s="1046"/>
      <c r="K212" s="1046"/>
      <c r="L212" s="1046"/>
      <c r="M212" s="1046"/>
      <c r="N212" s="1046"/>
      <c r="O212" s="1046"/>
      <c r="P212" s="1046"/>
      <c r="Q212" s="1046"/>
      <c r="R212" s="1046"/>
      <c r="S212" s="1053">
        <f t="shared" si="580"/>
        <v>1520833.4166666667</v>
      </c>
      <c r="T212" s="1042">
        <f t="shared" si="581"/>
        <v>1520833.4166666667</v>
      </c>
      <c r="U212" s="1042">
        <f t="shared" si="492"/>
        <v>11751894.583333334</v>
      </c>
      <c r="V212" s="1042">
        <f t="shared" si="554"/>
        <v>1659091</v>
      </c>
      <c r="W212" s="1042">
        <f t="shared" si="397"/>
        <v>3179924.416666667</v>
      </c>
      <c r="X212" s="1042">
        <f t="shared" si="493"/>
        <v>10092803.583333332</v>
      </c>
      <c r="Y212" s="7">
        <v>1382575.8333333333</v>
      </c>
      <c r="Z212" s="7">
        <f t="shared" si="494"/>
        <v>11890152.166666666</v>
      </c>
      <c r="AA212" s="1042">
        <f t="shared" si="566"/>
        <v>1659091</v>
      </c>
      <c r="AB212" s="1042">
        <f t="shared" si="400"/>
        <v>4839015.416666667</v>
      </c>
      <c r="AC212" s="1042">
        <f t="shared" si="495"/>
        <v>8433712.5833333321</v>
      </c>
      <c r="AD212" s="1042">
        <f t="shared" si="582"/>
        <v>1659091</v>
      </c>
      <c r="AE212" s="1042">
        <f t="shared" si="402"/>
        <v>6498106.416666667</v>
      </c>
      <c r="AF212" s="1042">
        <f t="shared" si="496"/>
        <v>6774621.583333333</v>
      </c>
      <c r="AG212" s="1042">
        <f t="shared" si="565"/>
        <v>1659091</v>
      </c>
      <c r="AH212" s="1042">
        <f t="shared" si="405"/>
        <v>8157197.416666667</v>
      </c>
      <c r="AI212" s="1042">
        <f t="shared" si="497"/>
        <v>5115530.583333333</v>
      </c>
      <c r="AJ212" s="1042">
        <f t="shared" si="583"/>
        <v>138257.58333333334</v>
      </c>
      <c r="AK212" s="1042">
        <f t="shared" si="584"/>
        <v>8295455</v>
      </c>
      <c r="AL212" s="1042">
        <f t="shared" si="585"/>
        <v>4977273</v>
      </c>
      <c r="AM212" s="1042">
        <f t="shared" si="586"/>
        <v>1244318.25</v>
      </c>
      <c r="AN212" s="1042">
        <f t="shared" si="587"/>
        <v>9401515.6666666679</v>
      </c>
      <c r="AO212" s="1042">
        <f t="shared" si="588"/>
        <v>3871212.3333333321</v>
      </c>
      <c r="AP212" s="1042">
        <f t="shared" si="589"/>
        <v>1659091</v>
      </c>
      <c r="AQ212" s="1042">
        <f t="shared" si="537"/>
        <v>9816288.4166666679</v>
      </c>
      <c r="AR212" s="1042">
        <f t="shared" si="498"/>
        <v>3456439.5833333321</v>
      </c>
      <c r="AS212" s="1042">
        <f t="shared" si="590"/>
        <v>1244318.25</v>
      </c>
      <c r="AT212" s="1042">
        <f t="shared" si="539"/>
        <v>11060606.666666668</v>
      </c>
      <c r="AU212" s="1042">
        <f t="shared" si="591"/>
        <v>2212121.3333333321</v>
      </c>
      <c r="AV212" s="1042">
        <f t="shared" si="592"/>
        <v>1659091</v>
      </c>
      <c r="AW212" s="1042">
        <f t="shared" si="593"/>
        <v>11475379.416666668</v>
      </c>
      <c r="AX212" s="1042">
        <f t="shared" si="594"/>
        <v>1797348.5833333321</v>
      </c>
      <c r="AY212" s="179"/>
      <c r="AZ212" s="8">
        <f t="shared" si="595"/>
        <v>0</v>
      </c>
      <c r="BB212" s="221"/>
      <c r="BC212" s="179"/>
    </row>
    <row r="213" spans="1:55" s="220" customFormat="1" ht="14.25" customHeight="1">
      <c r="A213" s="17">
        <f t="shared" si="411"/>
        <v>123</v>
      </c>
      <c r="B213" s="909" t="s">
        <v>1156</v>
      </c>
      <c r="C213" s="671">
        <v>43132</v>
      </c>
      <c r="D213" s="55">
        <v>8</v>
      </c>
      <c r="E213" s="6">
        <f>672727280+60000000</f>
        <v>732727280</v>
      </c>
      <c r="F213" s="1041">
        <f t="shared" si="489"/>
        <v>91590910</v>
      </c>
      <c r="G213" s="1046"/>
      <c r="H213" s="1046"/>
      <c r="I213" s="1046"/>
      <c r="J213" s="1046"/>
      <c r="K213" s="1046"/>
      <c r="L213" s="1046"/>
      <c r="M213" s="1046"/>
      <c r="N213" s="1046"/>
      <c r="O213" s="1046"/>
      <c r="P213" s="1046"/>
      <c r="Q213" s="1046"/>
      <c r="R213" s="1046"/>
      <c r="S213" s="1053">
        <f t="shared" si="580"/>
        <v>83958334.166666657</v>
      </c>
      <c r="T213" s="1042">
        <f t="shared" si="581"/>
        <v>83958334.166666657</v>
      </c>
      <c r="U213" s="1042">
        <f t="shared" si="492"/>
        <v>648768945.83333337</v>
      </c>
      <c r="V213" s="1042">
        <f t="shared" si="554"/>
        <v>91590910</v>
      </c>
      <c r="W213" s="1042">
        <f t="shared" si="397"/>
        <v>175549244.16666666</v>
      </c>
      <c r="X213" s="1042">
        <f t="shared" si="493"/>
        <v>557178035.83333337</v>
      </c>
      <c r="Y213" s="7">
        <f>70075758.3333333+6250000</f>
        <v>76325758.333333299</v>
      </c>
      <c r="Z213" s="7">
        <f t="shared" si="494"/>
        <v>656401521.66666675</v>
      </c>
      <c r="AA213" s="1042">
        <f t="shared" si="566"/>
        <v>91590910</v>
      </c>
      <c r="AB213" s="1042">
        <f t="shared" si="400"/>
        <v>267140154.16666666</v>
      </c>
      <c r="AC213" s="1042">
        <f t="shared" si="495"/>
        <v>465587125.83333337</v>
      </c>
      <c r="AD213" s="1042">
        <f t="shared" si="582"/>
        <v>91590910</v>
      </c>
      <c r="AE213" s="1042">
        <f t="shared" si="402"/>
        <v>358731064.16666663</v>
      </c>
      <c r="AF213" s="1042">
        <f t="shared" si="496"/>
        <v>373996215.83333337</v>
      </c>
      <c r="AG213" s="1042">
        <f t="shared" si="565"/>
        <v>91590910</v>
      </c>
      <c r="AH213" s="1042">
        <f t="shared" si="405"/>
        <v>450321974.16666663</v>
      </c>
      <c r="AI213" s="1042">
        <f t="shared" si="497"/>
        <v>282405305.83333337</v>
      </c>
      <c r="AJ213" s="1042">
        <f t="shared" si="583"/>
        <v>7632575.833333333</v>
      </c>
      <c r="AK213" s="1042">
        <f t="shared" si="584"/>
        <v>457954549.99999994</v>
      </c>
      <c r="AL213" s="1042">
        <f t="shared" si="585"/>
        <v>274772730.00000006</v>
      </c>
      <c r="AM213" s="1042">
        <f t="shared" si="586"/>
        <v>68693182.5</v>
      </c>
      <c r="AN213" s="1042">
        <f t="shared" si="587"/>
        <v>519015156.66666663</v>
      </c>
      <c r="AO213" s="1042">
        <f t="shared" si="588"/>
        <v>213712123.33333337</v>
      </c>
      <c r="AP213" s="1042">
        <f t="shared" si="589"/>
        <v>91590910</v>
      </c>
      <c r="AQ213" s="1042">
        <f t="shared" si="537"/>
        <v>541912884.16666663</v>
      </c>
      <c r="AR213" s="1042">
        <f t="shared" si="498"/>
        <v>190814395.83333337</v>
      </c>
      <c r="AS213" s="1042">
        <f t="shared" si="590"/>
        <v>68693182.5</v>
      </c>
      <c r="AT213" s="1042">
        <f t="shared" si="539"/>
        <v>610606066.66666663</v>
      </c>
      <c r="AU213" s="1042">
        <f t="shared" si="591"/>
        <v>122121213.33333337</v>
      </c>
      <c r="AV213" s="1042">
        <f t="shared" si="592"/>
        <v>91590910</v>
      </c>
      <c r="AW213" s="1042">
        <f t="shared" si="593"/>
        <v>633503794.16666663</v>
      </c>
      <c r="AX213" s="1042">
        <f t="shared" si="594"/>
        <v>99223485.833333373</v>
      </c>
      <c r="AY213" s="179"/>
      <c r="AZ213" s="8">
        <f t="shared" si="595"/>
        <v>0</v>
      </c>
      <c r="BB213" s="229"/>
      <c r="BC213" s="179"/>
    </row>
    <row r="214" spans="1:55" s="970" customFormat="1" ht="14.25" hidden="1" customHeight="1">
      <c r="A214" s="874">
        <f t="shared" si="411"/>
        <v>124</v>
      </c>
      <c r="B214" s="905" t="s">
        <v>208</v>
      </c>
      <c r="C214" s="903">
        <v>43160</v>
      </c>
      <c r="D214" s="877">
        <v>16</v>
      </c>
      <c r="E214" s="878">
        <f>2487808770.18*0</f>
        <v>0</v>
      </c>
      <c r="F214" s="879">
        <f t="shared" si="489"/>
        <v>0</v>
      </c>
      <c r="G214" s="908"/>
      <c r="H214" s="908"/>
      <c r="I214" s="908"/>
      <c r="J214" s="908"/>
      <c r="K214" s="908"/>
      <c r="L214" s="908"/>
      <c r="M214" s="908"/>
      <c r="N214" s="908"/>
      <c r="O214" s="908"/>
      <c r="P214" s="908"/>
      <c r="Q214" s="908"/>
      <c r="R214" s="908"/>
      <c r="S214" s="910">
        <f t="shared" si="580"/>
        <v>0</v>
      </c>
      <c r="T214" s="880">
        <f t="shared" si="581"/>
        <v>0</v>
      </c>
      <c r="U214" s="880">
        <f t="shared" si="492"/>
        <v>0</v>
      </c>
      <c r="V214" s="880">
        <f t="shared" si="554"/>
        <v>0</v>
      </c>
      <c r="W214" s="880">
        <f t="shared" si="397"/>
        <v>0</v>
      </c>
      <c r="X214" s="880">
        <f t="shared" si="493"/>
        <v>0</v>
      </c>
      <c r="Y214" s="880">
        <f>259146746.89375*0</f>
        <v>0</v>
      </c>
      <c r="Z214" s="880">
        <f t="shared" si="494"/>
        <v>0</v>
      </c>
      <c r="AA214" s="880">
        <f t="shared" si="566"/>
        <v>0</v>
      </c>
      <c r="AB214" s="880">
        <f t="shared" si="400"/>
        <v>0</v>
      </c>
      <c r="AC214" s="880">
        <f t="shared" si="495"/>
        <v>0</v>
      </c>
      <c r="AD214" s="880">
        <f t="shared" si="582"/>
        <v>0</v>
      </c>
      <c r="AE214" s="880">
        <f t="shared" si="402"/>
        <v>0</v>
      </c>
      <c r="AF214" s="880">
        <f t="shared" si="496"/>
        <v>0</v>
      </c>
      <c r="AG214" s="880">
        <f t="shared" si="565"/>
        <v>0</v>
      </c>
      <c r="AH214" s="880">
        <f t="shared" si="405"/>
        <v>0</v>
      </c>
      <c r="AI214" s="880">
        <f t="shared" si="497"/>
        <v>0</v>
      </c>
      <c r="AJ214" s="880"/>
      <c r="AK214" s="880"/>
      <c r="AL214" s="880"/>
      <c r="AM214" s="880"/>
      <c r="AN214" s="880"/>
      <c r="AO214" s="880"/>
      <c r="AP214" s="880">
        <f t="shared" si="488"/>
        <v>0</v>
      </c>
      <c r="AQ214" s="880">
        <f t="shared" si="537"/>
        <v>0</v>
      </c>
      <c r="AR214" s="880">
        <f t="shared" si="498"/>
        <v>0</v>
      </c>
      <c r="AS214" s="896">
        <f t="shared" si="538"/>
        <v>0</v>
      </c>
      <c r="AT214" s="896">
        <f t="shared" si="539"/>
        <v>0</v>
      </c>
      <c r="AU214" s="896"/>
      <c r="AV214" s="896"/>
      <c r="AW214" s="896"/>
      <c r="AX214" s="896"/>
      <c r="AY214" s="969"/>
      <c r="AZ214" s="881">
        <f t="shared" si="540"/>
        <v>0</v>
      </c>
      <c r="BB214" s="971"/>
      <c r="BC214" s="969"/>
    </row>
    <row r="215" spans="1:55" s="220" customFormat="1" ht="14.25" customHeight="1">
      <c r="A215" s="17">
        <f t="shared" si="411"/>
        <v>125</v>
      </c>
      <c r="B215" s="56" t="s">
        <v>620</v>
      </c>
      <c r="C215" s="671">
        <v>43160</v>
      </c>
      <c r="D215" s="55">
        <v>8</v>
      </c>
      <c r="E215" s="6">
        <v>13500000</v>
      </c>
      <c r="F215" s="1041">
        <f t="shared" si="489"/>
        <v>1687500</v>
      </c>
      <c r="G215" s="1046"/>
      <c r="H215" s="1046"/>
      <c r="I215" s="1046"/>
      <c r="J215" s="1046"/>
      <c r="K215" s="1046"/>
      <c r="L215" s="1046"/>
      <c r="M215" s="1046"/>
      <c r="N215" s="1046"/>
      <c r="O215" s="1046"/>
      <c r="P215" s="1046"/>
      <c r="Q215" s="1046"/>
      <c r="R215" s="1046"/>
      <c r="S215" s="1053">
        <f t="shared" si="580"/>
        <v>1406250</v>
      </c>
      <c r="T215" s="1042">
        <f t="shared" si="581"/>
        <v>1406250</v>
      </c>
      <c r="U215" s="1042">
        <f t="shared" si="492"/>
        <v>12093750</v>
      </c>
      <c r="V215" s="1042">
        <f t="shared" si="554"/>
        <v>1687500</v>
      </c>
      <c r="W215" s="1042">
        <f t="shared" si="397"/>
        <v>3093750</v>
      </c>
      <c r="X215" s="1042">
        <f t="shared" si="493"/>
        <v>10406250</v>
      </c>
      <c r="Y215" s="7">
        <v>1265625</v>
      </c>
      <c r="Z215" s="7">
        <f t="shared" si="494"/>
        <v>12234375</v>
      </c>
      <c r="AA215" s="1042">
        <f t="shared" si="566"/>
        <v>1687500</v>
      </c>
      <c r="AB215" s="1042">
        <f t="shared" si="400"/>
        <v>4781250</v>
      </c>
      <c r="AC215" s="1042">
        <f t="shared" si="495"/>
        <v>8718750</v>
      </c>
      <c r="AD215" s="1042">
        <f t="shared" si="582"/>
        <v>1687500</v>
      </c>
      <c r="AE215" s="1042">
        <f t="shared" si="402"/>
        <v>6468750</v>
      </c>
      <c r="AF215" s="1042">
        <f t="shared" si="496"/>
        <v>7031250</v>
      </c>
      <c r="AG215" s="1042">
        <f t="shared" si="565"/>
        <v>1687500</v>
      </c>
      <c r="AH215" s="1042">
        <f t="shared" si="405"/>
        <v>8156250</v>
      </c>
      <c r="AI215" s="1042">
        <f t="shared" si="497"/>
        <v>5343750</v>
      </c>
      <c r="AJ215" s="1042">
        <f t="shared" ref="AJ215:AJ224" si="596">(F215/12)*1</f>
        <v>140625</v>
      </c>
      <c r="AK215" s="1042">
        <f t="shared" ref="AK215:AK224" si="597">AH215+AJ215</f>
        <v>8296875</v>
      </c>
      <c r="AL215" s="1042">
        <f t="shared" ref="AL215:AL224" si="598">E215-AK215</f>
        <v>5203125</v>
      </c>
      <c r="AM215" s="1042">
        <f t="shared" ref="AM215:AM224" si="599">(F215/12)*9</f>
        <v>1265625</v>
      </c>
      <c r="AN215" s="1042">
        <f t="shared" ref="AN215:AN224" si="600">AH215+AM215</f>
        <v>9421875</v>
      </c>
      <c r="AO215" s="1042">
        <f t="shared" ref="AO215:AO224" si="601">E215-AN215</f>
        <v>4078125</v>
      </c>
      <c r="AP215" s="1042">
        <f t="shared" ref="AP215:AP224" si="602">(F215/12)*12</f>
        <v>1687500</v>
      </c>
      <c r="AQ215" s="1042">
        <f t="shared" si="537"/>
        <v>9843750</v>
      </c>
      <c r="AR215" s="1042">
        <f t="shared" si="498"/>
        <v>3656250</v>
      </c>
      <c r="AS215" s="1042">
        <f t="shared" ref="AS215:AS224" si="603">(F215/12)*9</f>
        <v>1265625</v>
      </c>
      <c r="AT215" s="1042">
        <f t="shared" si="539"/>
        <v>11109375</v>
      </c>
      <c r="AU215" s="1042">
        <f t="shared" ref="AU215:AU224" si="604">E215-AT215</f>
        <v>2390625</v>
      </c>
      <c r="AV215" s="1042">
        <f t="shared" ref="AV215:AV224" si="605">(F215/12)*12</f>
        <v>1687500</v>
      </c>
      <c r="AW215" s="1042">
        <f t="shared" ref="AW215:AW224" si="606">AQ215+AV215</f>
        <v>11531250</v>
      </c>
      <c r="AX215" s="1042">
        <f t="shared" ref="AX215:AX224" si="607">E215-AW215</f>
        <v>1968750</v>
      </c>
      <c r="AY215" s="179"/>
      <c r="AZ215" s="8">
        <f t="shared" ref="AZ215:AZ224" si="608">E215-AW215-AX215</f>
        <v>0</v>
      </c>
      <c r="BB215" s="221"/>
      <c r="BC215" s="179"/>
    </row>
    <row r="216" spans="1:55" s="220" customFormat="1" ht="14.25" customHeight="1">
      <c r="A216" s="17">
        <f t="shared" si="411"/>
        <v>126</v>
      </c>
      <c r="B216" s="56" t="s">
        <v>621</v>
      </c>
      <c r="C216" s="671">
        <v>43160</v>
      </c>
      <c r="D216" s="55">
        <v>8</v>
      </c>
      <c r="E216" s="6">
        <v>79636363</v>
      </c>
      <c r="F216" s="1041">
        <f t="shared" si="489"/>
        <v>9954545.375</v>
      </c>
      <c r="G216" s="1046"/>
      <c r="H216" s="1046"/>
      <c r="I216" s="1046"/>
      <c r="J216" s="1046"/>
      <c r="K216" s="1046"/>
      <c r="L216" s="1046"/>
      <c r="M216" s="1046"/>
      <c r="N216" s="1046"/>
      <c r="O216" s="1046"/>
      <c r="P216" s="1046"/>
      <c r="Q216" s="1046"/>
      <c r="R216" s="1046"/>
      <c r="S216" s="1053">
        <f t="shared" si="580"/>
        <v>8295454.479166666</v>
      </c>
      <c r="T216" s="1042">
        <f t="shared" si="581"/>
        <v>8295454.479166666</v>
      </c>
      <c r="U216" s="1042">
        <f t="shared" si="492"/>
        <v>71340908.520833328</v>
      </c>
      <c r="V216" s="1042">
        <f t="shared" si="554"/>
        <v>9954545.375</v>
      </c>
      <c r="W216" s="1042">
        <f t="shared" si="397"/>
        <v>18249999.854166664</v>
      </c>
      <c r="X216" s="1042">
        <f t="shared" si="493"/>
        <v>61386363.145833336</v>
      </c>
      <c r="Y216" s="7">
        <v>7465909.0312500009</v>
      </c>
      <c r="Z216" s="7">
        <f t="shared" si="494"/>
        <v>72170453.96875</v>
      </c>
      <c r="AA216" s="1042">
        <f t="shared" si="566"/>
        <v>9954545.375</v>
      </c>
      <c r="AB216" s="1042">
        <f t="shared" si="400"/>
        <v>28204545.229166664</v>
      </c>
      <c r="AC216" s="1042">
        <f t="shared" si="495"/>
        <v>51431817.770833336</v>
      </c>
      <c r="AD216" s="1042">
        <f t="shared" si="582"/>
        <v>9954545.375</v>
      </c>
      <c r="AE216" s="1042">
        <f t="shared" si="402"/>
        <v>38159090.604166664</v>
      </c>
      <c r="AF216" s="1042">
        <f t="shared" si="496"/>
        <v>41477272.395833336</v>
      </c>
      <c r="AG216" s="1042">
        <f t="shared" si="565"/>
        <v>9954545.375</v>
      </c>
      <c r="AH216" s="1042">
        <f t="shared" si="405"/>
        <v>48113635.979166664</v>
      </c>
      <c r="AI216" s="1042">
        <f t="shared" si="497"/>
        <v>31522727.020833336</v>
      </c>
      <c r="AJ216" s="1042">
        <f t="shared" si="596"/>
        <v>829545.44791666663</v>
      </c>
      <c r="AK216" s="1042">
        <f t="shared" si="597"/>
        <v>48943181.427083328</v>
      </c>
      <c r="AL216" s="1042">
        <f t="shared" si="598"/>
        <v>30693181.572916672</v>
      </c>
      <c r="AM216" s="1042">
        <f t="shared" si="599"/>
        <v>7465909.03125</v>
      </c>
      <c r="AN216" s="1042">
        <f t="shared" si="600"/>
        <v>55579545.010416664</v>
      </c>
      <c r="AO216" s="1042">
        <f t="shared" si="601"/>
        <v>24056817.989583336</v>
      </c>
      <c r="AP216" s="1042">
        <f t="shared" si="602"/>
        <v>9954545.375</v>
      </c>
      <c r="AQ216" s="1042">
        <f t="shared" si="537"/>
        <v>58068181.354166664</v>
      </c>
      <c r="AR216" s="1042">
        <f t="shared" si="498"/>
        <v>21568181.645833336</v>
      </c>
      <c r="AS216" s="1042">
        <f t="shared" si="603"/>
        <v>7465909.03125</v>
      </c>
      <c r="AT216" s="1042">
        <f t="shared" si="539"/>
        <v>65534090.385416664</v>
      </c>
      <c r="AU216" s="1042">
        <f t="shared" si="604"/>
        <v>14102272.614583336</v>
      </c>
      <c r="AV216" s="1042">
        <f t="shared" si="605"/>
        <v>9954545.375</v>
      </c>
      <c r="AW216" s="1042">
        <f t="shared" si="606"/>
        <v>68022726.729166657</v>
      </c>
      <c r="AX216" s="1042">
        <f t="shared" si="607"/>
        <v>11613636.270833343</v>
      </c>
      <c r="AY216" s="179"/>
      <c r="AZ216" s="8">
        <f t="shared" si="608"/>
        <v>0</v>
      </c>
      <c r="BB216" s="221"/>
      <c r="BC216" s="179"/>
    </row>
    <row r="217" spans="1:55" s="220" customFormat="1" ht="14.25" customHeight="1">
      <c r="A217" s="17">
        <f t="shared" si="411"/>
        <v>127</v>
      </c>
      <c r="B217" s="56" t="s">
        <v>622</v>
      </c>
      <c r="C217" s="671">
        <v>43160</v>
      </c>
      <c r="D217" s="55">
        <v>8</v>
      </c>
      <c r="E217" s="6">
        <v>350363643</v>
      </c>
      <c r="F217" s="1041">
        <f t="shared" si="489"/>
        <v>43795455.375</v>
      </c>
      <c r="G217" s="1046"/>
      <c r="H217" s="1046"/>
      <c r="I217" s="1046"/>
      <c r="J217" s="1046"/>
      <c r="K217" s="1046"/>
      <c r="L217" s="1046"/>
      <c r="M217" s="1046"/>
      <c r="N217" s="1046"/>
      <c r="O217" s="1046"/>
      <c r="P217" s="1046"/>
      <c r="Q217" s="1046"/>
      <c r="R217" s="1046"/>
      <c r="S217" s="1053">
        <f t="shared" si="580"/>
        <v>36496212.8125</v>
      </c>
      <c r="T217" s="1042">
        <f t="shared" si="581"/>
        <v>36496212.8125</v>
      </c>
      <c r="U217" s="1042">
        <f t="shared" si="492"/>
        <v>313867430.1875</v>
      </c>
      <c r="V217" s="1042">
        <f t="shared" si="554"/>
        <v>43795455.375</v>
      </c>
      <c r="W217" s="1042">
        <f t="shared" si="397"/>
        <v>80291668.1875</v>
      </c>
      <c r="X217" s="1042">
        <f t="shared" si="493"/>
        <v>270071974.8125</v>
      </c>
      <c r="Y217" s="7">
        <v>32846591.53125</v>
      </c>
      <c r="Z217" s="7">
        <f t="shared" si="494"/>
        <v>317517051.46875</v>
      </c>
      <c r="AA217" s="1042">
        <f t="shared" si="566"/>
        <v>43795455.375</v>
      </c>
      <c r="AB217" s="1042">
        <f t="shared" si="400"/>
        <v>124087123.5625</v>
      </c>
      <c r="AC217" s="1042">
        <f t="shared" si="495"/>
        <v>226276519.4375</v>
      </c>
      <c r="AD217" s="1042">
        <f t="shared" si="582"/>
        <v>43795455.375</v>
      </c>
      <c r="AE217" s="1042">
        <f t="shared" si="402"/>
        <v>167882578.9375</v>
      </c>
      <c r="AF217" s="1042">
        <f t="shared" si="496"/>
        <v>182481064.0625</v>
      </c>
      <c r="AG217" s="1042">
        <f t="shared" si="565"/>
        <v>43795455.375</v>
      </c>
      <c r="AH217" s="1042">
        <f t="shared" si="405"/>
        <v>211678034.3125</v>
      </c>
      <c r="AI217" s="1042">
        <f t="shared" si="497"/>
        <v>138685608.6875</v>
      </c>
      <c r="AJ217" s="1042">
        <f t="shared" si="596"/>
        <v>3649621.28125</v>
      </c>
      <c r="AK217" s="1042">
        <f t="shared" si="597"/>
        <v>215327655.59375</v>
      </c>
      <c r="AL217" s="1042">
        <f t="shared" si="598"/>
        <v>135035987.40625</v>
      </c>
      <c r="AM217" s="1042">
        <f t="shared" si="599"/>
        <v>32846591.53125</v>
      </c>
      <c r="AN217" s="1042">
        <f t="shared" si="600"/>
        <v>244524625.84375</v>
      </c>
      <c r="AO217" s="1042">
        <f t="shared" si="601"/>
        <v>105839017.15625</v>
      </c>
      <c r="AP217" s="1042">
        <f t="shared" si="602"/>
        <v>43795455.375</v>
      </c>
      <c r="AQ217" s="1042">
        <f t="shared" si="537"/>
        <v>255473489.6875</v>
      </c>
      <c r="AR217" s="1042">
        <f t="shared" si="498"/>
        <v>94890153.3125</v>
      </c>
      <c r="AS217" s="1042">
        <f t="shared" si="603"/>
        <v>32846591.53125</v>
      </c>
      <c r="AT217" s="1042">
        <f t="shared" si="539"/>
        <v>288320081.21875</v>
      </c>
      <c r="AU217" s="1042">
        <f t="shared" si="604"/>
        <v>62043561.78125</v>
      </c>
      <c r="AV217" s="1042">
        <f t="shared" si="605"/>
        <v>43795455.375</v>
      </c>
      <c r="AW217" s="1042">
        <f t="shared" si="606"/>
        <v>299268945.0625</v>
      </c>
      <c r="AX217" s="1042">
        <f t="shared" si="607"/>
        <v>51094697.9375</v>
      </c>
      <c r="AY217" s="179"/>
      <c r="AZ217" s="8">
        <f t="shared" si="608"/>
        <v>0</v>
      </c>
      <c r="BB217" s="221"/>
      <c r="BC217" s="179"/>
    </row>
    <row r="218" spans="1:55" s="220" customFormat="1" ht="14.25" customHeight="1">
      <c r="A218" s="17">
        <f t="shared" si="411"/>
        <v>128</v>
      </c>
      <c r="B218" s="56" t="s">
        <v>617</v>
      </c>
      <c r="C218" s="671">
        <v>43160</v>
      </c>
      <c r="D218" s="55">
        <v>8</v>
      </c>
      <c r="E218" s="6">
        <v>84500000</v>
      </c>
      <c r="F218" s="1041">
        <f t="shared" si="489"/>
        <v>10562500</v>
      </c>
      <c r="G218" s="1046"/>
      <c r="H218" s="1046"/>
      <c r="I218" s="1046"/>
      <c r="J218" s="1046"/>
      <c r="K218" s="1046"/>
      <c r="L218" s="1046"/>
      <c r="M218" s="1046"/>
      <c r="N218" s="1046"/>
      <c r="O218" s="1046"/>
      <c r="P218" s="1046"/>
      <c r="Q218" s="1046"/>
      <c r="R218" s="1046"/>
      <c r="S218" s="1053">
        <f t="shared" si="580"/>
        <v>8802083.333333334</v>
      </c>
      <c r="T218" s="1042">
        <f t="shared" si="581"/>
        <v>8802083.333333334</v>
      </c>
      <c r="U218" s="1042">
        <f t="shared" si="492"/>
        <v>75697916.666666672</v>
      </c>
      <c r="V218" s="1042">
        <f t="shared" si="554"/>
        <v>10562500</v>
      </c>
      <c r="W218" s="1042">
        <f t="shared" si="397"/>
        <v>19364583.333333336</v>
      </c>
      <c r="X218" s="1042">
        <f t="shared" si="493"/>
        <v>65135416.666666664</v>
      </c>
      <c r="Y218" s="7">
        <v>7921874.9999999991</v>
      </c>
      <c r="Z218" s="7">
        <f t="shared" si="494"/>
        <v>76578125</v>
      </c>
      <c r="AA218" s="1042">
        <f t="shared" si="566"/>
        <v>10562500</v>
      </c>
      <c r="AB218" s="1042">
        <f t="shared" si="400"/>
        <v>29927083.333333336</v>
      </c>
      <c r="AC218" s="1042">
        <f t="shared" si="495"/>
        <v>54572916.666666664</v>
      </c>
      <c r="AD218" s="1042">
        <f t="shared" si="582"/>
        <v>10562500</v>
      </c>
      <c r="AE218" s="1042">
        <f t="shared" si="402"/>
        <v>40489583.333333336</v>
      </c>
      <c r="AF218" s="1042">
        <f t="shared" si="496"/>
        <v>44010416.666666664</v>
      </c>
      <c r="AG218" s="1042">
        <f t="shared" si="565"/>
        <v>10562500</v>
      </c>
      <c r="AH218" s="1042">
        <f t="shared" si="405"/>
        <v>51052083.333333336</v>
      </c>
      <c r="AI218" s="1042">
        <f t="shared" si="497"/>
        <v>33447916.666666664</v>
      </c>
      <c r="AJ218" s="1042">
        <f t="shared" si="596"/>
        <v>880208.33333333337</v>
      </c>
      <c r="AK218" s="1042">
        <f t="shared" si="597"/>
        <v>51932291.666666672</v>
      </c>
      <c r="AL218" s="1042">
        <f t="shared" si="598"/>
        <v>32567708.333333328</v>
      </c>
      <c r="AM218" s="1042">
        <f t="shared" si="599"/>
        <v>7921875</v>
      </c>
      <c r="AN218" s="1042">
        <f t="shared" si="600"/>
        <v>58973958.333333336</v>
      </c>
      <c r="AO218" s="1042">
        <f t="shared" si="601"/>
        <v>25526041.666666664</v>
      </c>
      <c r="AP218" s="1042">
        <f t="shared" si="602"/>
        <v>10562500</v>
      </c>
      <c r="AQ218" s="1042">
        <f t="shared" si="537"/>
        <v>61614583.333333336</v>
      </c>
      <c r="AR218" s="1042">
        <f t="shared" si="498"/>
        <v>22885416.666666664</v>
      </c>
      <c r="AS218" s="1042">
        <f t="shared" si="603"/>
        <v>7921875</v>
      </c>
      <c r="AT218" s="1042">
        <f t="shared" si="539"/>
        <v>69536458.333333343</v>
      </c>
      <c r="AU218" s="1042">
        <f t="shared" si="604"/>
        <v>14963541.666666657</v>
      </c>
      <c r="AV218" s="1042">
        <f t="shared" si="605"/>
        <v>10562500</v>
      </c>
      <c r="AW218" s="1042">
        <f t="shared" si="606"/>
        <v>72177083.333333343</v>
      </c>
      <c r="AX218" s="1042">
        <f t="shared" si="607"/>
        <v>12322916.666666657</v>
      </c>
      <c r="AY218" s="179"/>
      <c r="AZ218" s="8">
        <f t="shared" si="608"/>
        <v>0</v>
      </c>
      <c r="BB218" s="221"/>
      <c r="BC218" s="179"/>
    </row>
    <row r="219" spans="1:55" s="220" customFormat="1" ht="14.25" customHeight="1">
      <c r="A219" s="17">
        <f t="shared" si="411"/>
        <v>129</v>
      </c>
      <c r="B219" s="56" t="s">
        <v>617</v>
      </c>
      <c r="C219" s="671">
        <v>43191</v>
      </c>
      <c r="D219" s="55">
        <v>8</v>
      </c>
      <c r="E219" s="6">
        <v>58500000</v>
      </c>
      <c r="F219" s="1041">
        <f t="shared" ref="F219:F238" si="609">E219/D219</f>
        <v>7312500</v>
      </c>
      <c r="G219" s="1046"/>
      <c r="H219" s="1046"/>
      <c r="I219" s="1046"/>
      <c r="J219" s="1046"/>
      <c r="K219" s="1046"/>
      <c r="L219" s="1046"/>
      <c r="M219" s="1046"/>
      <c r="N219" s="1046"/>
      <c r="O219" s="1046"/>
      <c r="P219" s="1046"/>
      <c r="Q219" s="1046"/>
      <c r="R219" s="1046"/>
      <c r="S219" s="1053">
        <f t="shared" si="580"/>
        <v>5484375</v>
      </c>
      <c r="T219" s="1042">
        <f t="shared" si="581"/>
        <v>5484375</v>
      </c>
      <c r="U219" s="1042">
        <f t="shared" ref="U219:U237" si="610">E219-T219</f>
        <v>53015625</v>
      </c>
      <c r="V219" s="1042">
        <f t="shared" si="554"/>
        <v>7312500</v>
      </c>
      <c r="W219" s="1042">
        <f t="shared" ref="W219:W237" si="611">T219+V219</f>
        <v>12796875</v>
      </c>
      <c r="X219" s="1042">
        <f t="shared" ref="X219:X237" si="612">E219-W219</f>
        <v>45703125</v>
      </c>
      <c r="Y219" s="7">
        <v>4875000</v>
      </c>
      <c r="Z219" s="7">
        <f t="shared" ref="Z219:Z238" si="613">E219-Y219</f>
        <v>53625000</v>
      </c>
      <c r="AA219" s="1042">
        <f t="shared" si="566"/>
        <v>7312500</v>
      </c>
      <c r="AB219" s="1042">
        <f t="shared" ref="AB219:AB237" si="614">W219+AA219</f>
        <v>20109375</v>
      </c>
      <c r="AC219" s="1042">
        <f t="shared" ref="AC219:AC237" si="615">E219-AB219</f>
        <v>38390625</v>
      </c>
      <c r="AD219" s="1042">
        <f t="shared" si="582"/>
        <v>7312500</v>
      </c>
      <c r="AE219" s="1042">
        <f t="shared" ref="AE219:AE237" si="616">AB219+AD219</f>
        <v>27421875</v>
      </c>
      <c r="AF219" s="1042">
        <f t="shared" ref="AF219:AF237" si="617">E219-AE219</f>
        <v>31078125</v>
      </c>
      <c r="AG219" s="1042">
        <f t="shared" si="565"/>
        <v>7312500</v>
      </c>
      <c r="AH219" s="1042">
        <f t="shared" ref="AH219:AH238" si="618">AE219+AG219</f>
        <v>34734375</v>
      </c>
      <c r="AI219" s="1042">
        <f t="shared" ref="AI219:AI238" si="619">E219-AH219</f>
        <v>23765625</v>
      </c>
      <c r="AJ219" s="1042">
        <f t="shared" si="596"/>
        <v>609375</v>
      </c>
      <c r="AK219" s="1042">
        <f t="shared" si="597"/>
        <v>35343750</v>
      </c>
      <c r="AL219" s="1042">
        <f t="shared" si="598"/>
        <v>23156250</v>
      </c>
      <c r="AM219" s="1042">
        <f t="shared" si="599"/>
        <v>5484375</v>
      </c>
      <c r="AN219" s="1042">
        <f t="shared" si="600"/>
        <v>40218750</v>
      </c>
      <c r="AO219" s="1042">
        <f t="shared" si="601"/>
        <v>18281250</v>
      </c>
      <c r="AP219" s="1042">
        <f t="shared" si="602"/>
        <v>7312500</v>
      </c>
      <c r="AQ219" s="1042">
        <f t="shared" si="537"/>
        <v>42046875</v>
      </c>
      <c r="AR219" s="1042">
        <f t="shared" ref="AR219:AR238" si="620">E219-AQ219</f>
        <v>16453125</v>
      </c>
      <c r="AS219" s="1042">
        <f t="shared" si="603"/>
        <v>5484375</v>
      </c>
      <c r="AT219" s="1042">
        <f t="shared" si="539"/>
        <v>47531250</v>
      </c>
      <c r="AU219" s="1042">
        <f t="shared" si="604"/>
        <v>10968750</v>
      </c>
      <c r="AV219" s="1042">
        <f t="shared" si="605"/>
        <v>7312500</v>
      </c>
      <c r="AW219" s="1042">
        <f t="shared" si="606"/>
        <v>49359375</v>
      </c>
      <c r="AX219" s="1042">
        <f t="shared" si="607"/>
        <v>9140625</v>
      </c>
      <c r="AY219" s="179"/>
      <c r="AZ219" s="8">
        <f t="shared" si="608"/>
        <v>0</v>
      </c>
      <c r="BB219" s="221"/>
      <c r="BC219" s="179"/>
    </row>
    <row r="220" spans="1:55" s="220" customFormat="1" ht="14.25" customHeight="1">
      <c r="A220" s="17">
        <f t="shared" si="411"/>
        <v>130</v>
      </c>
      <c r="B220" s="56" t="s">
        <v>622</v>
      </c>
      <c r="C220" s="671">
        <v>43191</v>
      </c>
      <c r="D220" s="55">
        <v>8</v>
      </c>
      <c r="E220" s="6">
        <v>320545392</v>
      </c>
      <c r="F220" s="1041">
        <f t="shared" si="609"/>
        <v>40068174</v>
      </c>
      <c r="G220" s="1046"/>
      <c r="H220" s="1046"/>
      <c r="I220" s="1046"/>
      <c r="J220" s="1046"/>
      <c r="K220" s="1046"/>
      <c r="L220" s="1046"/>
      <c r="M220" s="1046"/>
      <c r="N220" s="1046"/>
      <c r="O220" s="1046"/>
      <c r="P220" s="1046"/>
      <c r="Q220" s="1046"/>
      <c r="R220" s="1046"/>
      <c r="S220" s="1053">
        <f t="shared" si="580"/>
        <v>30051130.5</v>
      </c>
      <c r="T220" s="1042">
        <f t="shared" si="581"/>
        <v>30051130.5</v>
      </c>
      <c r="U220" s="1042">
        <f t="shared" si="610"/>
        <v>290494261.5</v>
      </c>
      <c r="V220" s="1042">
        <f t="shared" si="554"/>
        <v>40068174</v>
      </c>
      <c r="W220" s="1042">
        <f t="shared" si="611"/>
        <v>70119304.5</v>
      </c>
      <c r="X220" s="1042">
        <f t="shared" si="612"/>
        <v>250426087.5</v>
      </c>
      <c r="Y220" s="7">
        <v>26712116</v>
      </c>
      <c r="Z220" s="7">
        <f t="shared" si="613"/>
        <v>293833276</v>
      </c>
      <c r="AA220" s="1042">
        <f t="shared" si="566"/>
        <v>40068174</v>
      </c>
      <c r="AB220" s="1042">
        <f t="shared" si="614"/>
        <v>110187478.5</v>
      </c>
      <c r="AC220" s="1042">
        <f t="shared" si="615"/>
        <v>210357913.5</v>
      </c>
      <c r="AD220" s="1042">
        <f t="shared" si="582"/>
        <v>40068174</v>
      </c>
      <c r="AE220" s="1042">
        <f t="shared" si="616"/>
        <v>150255652.5</v>
      </c>
      <c r="AF220" s="1042">
        <f t="shared" si="617"/>
        <v>170289739.5</v>
      </c>
      <c r="AG220" s="1042">
        <f t="shared" si="565"/>
        <v>40068174</v>
      </c>
      <c r="AH220" s="1042">
        <f t="shared" si="618"/>
        <v>190323826.5</v>
      </c>
      <c r="AI220" s="1042">
        <f t="shared" si="619"/>
        <v>130221565.5</v>
      </c>
      <c r="AJ220" s="1042">
        <f t="shared" si="596"/>
        <v>3339014.5</v>
      </c>
      <c r="AK220" s="1042">
        <f t="shared" si="597"/>
        <v>193662841</v>
      </c>
      <c r="AL220" s="1042">
        <f t="shared" si="598"/>
        <v>126882551</v>
      </c>
      <c r="AM220" s="1042">
        <f t="shared" si="599"/>
        <v>30051130.5</v>
      </c>
      <c r="AN220" s="1042">
        <f t="shared" si="600"/>
        <v>220374957</v>
      </c>
      <c r="AO220" s="1042">
        <f t="shared" si="601"/>
        <v>100170435</v>
      </c>
      <c r="AP220" s="1042">
        <f t="shared" si="602"/>
        <v>40068174</v>
      </c>
      <c r="AQ220" s="1042">
        <f t="shared" si="537"/>
        <v>230392000.5</v>
      </c>
      <c r="AR220" s="1042">
        <f t="shared" si="620"/>
        <v>90153391.5</v>
      </c>
      <c r="AS220" s="1042">
        <f t="shared" si="603"/>
        <v>30051130.5</v>
      </c>
      <c r="AT220" s="1042">
        <f t="shared" si="539"/>
        <v>260443131</v>
      </c>
      <c r="AU220" s="1042">
        <f t="shared" si="604"/>
        <v>60102261</v>
      </c>
      <c r="AV220" s="1042">
        <f t="shared" si="605"/>
        <v>40068174</v>
      </c>
      <c r="AW220" s="1042">
        <f t="shared" si="606"/>
        <v>270460174.5</v>
      </c>
      <c r="AX220" s="1042">
        <f t="shared" si="607"/>
        <v>50085217.5</v>
      </c>
      <c r="AY220" s="179"/>
      <c r="AZ220" s="8">
        <f t="shared" si="608"/>
        <v>0</v>
      </c>
      <c r="BB220" s="221"/>
      <c r="BC220" s="179"/>
    </row>
    <row r="221" spans="1:55" s="220" customFormat="1" ht="14.25" customHeight="1">
      <c r="A221" s="17">
        <f t="shared" ref="A221:A238" si="621">A220+1</f>
        <v>131</v>
      </c>
      <c r="B221" s="56" t="s">
        <v>619</v>
      </c>
      <c r="C221" s="671">
        <v>43191</v>
      </c>
      <c r="D221" s="55">
        <v>8</v>
      </c>
      <c r="E221" s="6">
        <v>43000001</v>
      </c>
      <c r="F221" s="1041">
        <f t="shared" si="609"/>
        <v>5375000.125</v>
      </c>
      <c r="G221" s="1046"/>
      <c r="H221" s="1046"/>
      <c r="I221" s="1046"/>
      <c r="J221" s="1046"/>
      <c r="K221" s="1046"/>
      <c r="L221" s="1046"/>
      <c r="M221" s="1046"/>
      <c r="N221" s="1046"/>
      <c r="O221" s="1046"/>
      <c r="P221" s="1046"/>
      <c r="Q221" s="1046"/>
      <c r="R221" s="1046"/>
      <c r="S221" s="1053">
        <f t="shared" si="580"/>
        <v>4031250.09375</v>
      </c>
      <c r="T221" s="1042">
        <f t="shared" si="581"/>
        <v>4031250.09375</v>
      </c>
      <c r="U221" s="1042">
        <f t="shared" si="610"/>
        <v>38968750.90625</v>
      </c>
      <c r="V221" s="1042">
        <f t="shared" si="554"/>
        <v>5375000.125</v>
      </c>
      <c r="W221" s="1042">
        <f t="shared" si="611"/>
        <v>9406250.21875</v>
      </c>
      <c r="X221" s="1042">
        <f t="shared" si="612"/>
        <v>33593750.78125</v>
      </c>
      <c r="Y221" s="7">
        <v>3583333.416666667</v>
      </c>
      <c r="Z221" s="7">
        <f t="shared" si="613"/>
        <v>39416667.583333336</v>
      </c>
      <c r="AA221" s="1042">
        <f t="shared" si="566"/>
        <v>5375000.125</v>
      </c>
      <c r="AB221" s="1042">
        <f t="shared" si="614"/>
        <v>14781250.34375</v>
      </c>
      <c r="AC221" s="1042">
        <f t="shared" si="615"/>
        <v>28218750.65625</v>
      </c>
      <c r="AD221" s="1042">
        <f t="shared" si="582"/>
        <v>5375000.125</v>
      </c>
      <c r="AE221" s="1042">
        <f t="shared" si="616"/>
        <v>20156250.46875</v>
      </c>
      <c r="AF221" s="1042">
        <f t="shared" si="617"/>
        <v>22843750.53125</v>
      </c>
      <c r="AG221" s="1042">
        <f t="shared" si="565"/>
        <v>5375000.125</v>
      </c>
      <c r="AH221" s="1042">
        <f t="shared" si="618"/>
        <v>25531250.59375</v>
      </c>
      <c r="AI221" s="1042">
        <f t="shared" si="619"/>
        <v>17468750.40625</v>
      </c>
      <c r="AJ221" s="1042">
        <f t="shared" si="596"/>
        <v>447916.67708333331</v>
      </c>
      <c r="AK221" s="1042">
        <f t="shared" si="597"/>
        <v>25979167.270833332</v>
      </c>
      <c r="AL221" s="1042">
        <f t="shared" si="598"/>
        <v>17020833.729166668</v>
      </c>
      <c r="AM221" s="1042">
        <f t="shared" si="599"/>
        <v>4031250.09375</v>
      </c>
      <c r="AN221" s="1042">
        <f t="shared" si="600"/>
        <v>29562500.6875</v>
      </c>
      <c r="AO221" s="1042">
        <f t="shared" si="601"/>
        <v>13437500.3125</v>
      </c>
      <c r="AP221" s="1042">
        <f t="shared" si="602"/>
        <v>5375000.125</v>
      </c>
      <c r="AQ221" s="1042">
        <f t="shared" si="537"/>
        <v>30906250.71875</v>
      </c>
      <c r="AR221" s="1042">
        <f t="shared" si="620"/>
        <v>12093750.28125</v>
      </c>
      <c r="AS221" s="1042">
        <f t="shared" si="603"/>
        <v>4031250.09375</v>
      </c>
      <c r="AT221" s="1042">
        <f t="shared" si="539"/>
        <v>34937500.8125</v>
      </c>
      <c r="AU221" s="1042">
        <f t="shared" si="604"/>
        <v>8062500.1875</v>
      </c>
      <c r="AV221" s="1042">
        <f t="shared" si="605"/>
        <v>5375000.125</v>
      </c>
      <c r="AW221" s="1042">
        <f t="shared" si="606"/>
        <v>36281250.84375</v>
      </c>
      <c r="AX221" s="1042">
        <f t="shared" si="607"/>
        <v>6718750.15625</v>
      </c>
      <c r="AY221" s="179"/>
      <c r="AZ221" s="8">
        <f t="shared" si="608"/>
        <v>0</v>
      </c>
      <c r="BB221" s="221"/>
      <c r="BC221" s="179"/>
    </row>
    <row r="222" spans="1:55" s="220" customFormat="1" ht="14.25" customHeight="1">
      <c r="A222" s="17">
        <f t="shared" si="621"/>
        <v>132</v>
      </c>
      <c r="B222" s="56" t="s">
        <v>539</v>
      </c>
      <c r="C222" s="671">
        <v>43252</v>
      </c>
      <c r="D222" s="55">
        <v>8</v>
      </c>
      <c r="E222" s="6">
        <v>24219000</v>
      </c>
      <c r="F222" s="1041">
        <f t="shared" si="609"/>
        <v>3027375</v>
      </c>
      <c r="G222" s="1046"/>
      <c r="H222" s="1046"/>
      <c r="I222" s="1046"/>
      <c r="J222" s="1046"/>
      <c r="K222" s="1046"/>
      <c r="L222" s="1046"/>
      <c r="M222" s="1046"/>
      <c r="N222" s="1046"/>
      <c r="O222" s="1046"/>
      <c r="P222" s="1046"/>
      <c r="Q222" s="1046"/>
      <c r="R222" s="1046"/>
      <c r="S222" s="1053">
        <f t="shared" si="580"/>
        <v>1765968.75</v>
      </c>
      <c r="T222" s="1042">
        <f t="shared" si="581"/>
        <v>1765968.75</v>
      </c>
      <c r="U222" s="1042">
        <f t="shared" si="610"/>
        <v>22453031.25</v>
      </c>
      <c r="V222" s="1042">
        <f t="shared" si="554"/>
        <v>3027375</v>
      </c>
      <c r="W222" s="1042">
        <f t="shared" si="611"/>
        <v>4793343.75</v>
      </c>
      <c r="X222" s="1042">
        <f t="shared" si="612"/>
        <v>19425656.25</v>
      </c>
      <c r="Y222" s="7">
        <v>1765968.75</v>
      </c>
      <c r="Z222" s="7">
        <f t="shared" si="613"/>
        <v>22453031.25</v>
      </c>
      <c r="AA222" s="1042">
        <f t="shared" si="566"/>
        <v>3027375</v>
      </c>
      <c r="AB222" s="1042">
        <f t="shared" si="614"/>
        <v>7820718.75</v>
      </c>
      <c r="AC222" s="1042">
        <f t="shared" si="615"/>
        <v>16398281.25</v>
      </c>
      <c r="AD222" s="1042">
        <f t="shared" si="582"/>
        <v>3027375</v>
      </c>
      <c r="AE222" s="1042">
        <f t="shared" si="616"/>
        <v>10848093.75</v>
      </c>
      <c r="AF222" s="1042">
        <f t="shared" si="617"/>
        <v>13370906.25</v>
      </c>
      <c r="AG222" s="1042">
        <f t="shared" si="565"/>
        <v>3027375</v>
      </c>
      <c r="AH222" s="1042">
        <f t="shared" si="618"/>
        <v>13875468.75</v>
      </c>
      <c r="AI222" s="1042">
        <f t="shared" si="619"/>
        <v>10343531.25</v>
      </c>
      <c r="AJ222" s="1042">
        <f t="shared" si="596"/>
        <v>252281.25</v>
      </c>
      <c r="AK222" s="1042">
        <f t="shared" si="597"/>
        <v>14127750</v>
      </c>
      <c r="AL222" s="1042">
        <f t="shared" si="598"/>
        <v>10091250</v>
      </c>
      <c r="AM222" s="1042">
        <f t="shared" si="599"/>
        <v>2270531.25</v>
      </c>
      <c r="AN222" s="1042">
        <f t="shared" si="600"/>
        <v>16146000</v>
      </c>
      <c r="AO222" s="1042">
        <f t="shared" si="601"/>
        <v>8073000</v>
      </c>
      <c r="AP222" s="1042">
        <f t="shared" si="602"/>
        <v>3027375</v>
      </c>
      <c r="AQ222" s="1042">
        <f t="shared" si="537"/>
        <v>16902843.75</v>
      </c>
      <c r="AR222" s="1042">
        <f t="shared" si="620"/>
        <v>7316156.25</v>
      </c>
      <c r="AS222" s="1042">
        <f t="shared" si="603"/>
        <v>2270531.25</v>
      </c>
      <c r="AT222" s="1042">
        <f t="shared" si="539"/>
        <v>19173375</v>
      </c>
      <c r="AU222" s="1042">
        <f t="shared" si="604"/>
        <v>5045625</v>
      </c>
      <c r="AV222" s="1042">
        <f t="shared" si="605"/>
        <v>3027375</v>
      </c>
      <c r="AW222" s="1042">
        <f t="shared" si="606"/>
        <v>19930218.75</v>
      </c>
      <c r="AX222" s="1042">
        <f t="shared" si="607"/>
        <v>4288781.25</v>
      </c>
      <c r="AY222" s="179"/>
      <c r="AZ222" s="8">
        <f t="shared" si="608"/>
        <v>0</v>
      </c>
      <c r="BB222" s="221"/>
      <c r="BC222" s="179"/>
    </row>
    <row r="223" spans="1:55" s="220" customFormat="1" ht="14.25" customHeight="1">
      <c r="A223" s="17">
        <f t="shared" si="621"/>
        <v>133</v>
      </c>
      <c r="B223" s="56" t="s">
        <v>539</v>
      </c>
      <c r="C223" s="671">
        <v>43282</v>
      </c>
      <c r="D223" s="55">
        <v>8</v>
      </c>
      <c r="E223" s="6">
        <v>106000000</v>
      </c>
      <c r="F223" s="1041">
        <f t="shared" si="609"/>
        <v>13250000</v>
      </c>
      <c r="G223" s="1046"/>
      <c r="H223" s="1046"/>
      <c r="I223" s="1046"/>
      <c r="J223" s="1046"/>
      <c r="K223" s="1046"/>
      <c r="L223" s="1046"/>
      <c r="M223" s="1046"/>
      <c r="N223" s="1046"/>
      <c r="O223" s="1046"/>
      <c r="P223" s="1046"/>
      <c r="Q223" s="1046"/>
      <c r="R223" s="1046"/>
      <c r="S223" s="1053">
        <f t="shared" si="580"/>
        <v>6625000</v>
      </c>
      <c r="T223" s="1042">
        <f t="shared" si="581"/>
        <v>6625000</v>
      </c>
      <c r="U223" s="1042">
        <f t="shared" si="610"/>
        <v>99375000</v>
      </c>
      <c r="V223" s="1042">
        <f t="shared" si="554"/>
        <v>13250000</v>
      </c>
      <c r="W223" s="1042">
        <f t="shared" si="611"/>
        <v>19875000</v>
      </c>
      <c r="X223" s="1042">
        <f t="shared" si="612"/>
        <v>86125000</v>
      </c>
      <c r="Y223" s="7">
        <v>5520833.333333334</v>
      </c>
      <c r="Z223" s="7">
        <f t="shared" si="613"/>
        <v>100479166.66666667</v>
      </c>
      <c r="AA223" s="1042">
        <f t="shared" si="566"/>
        <v>13250000</v>
      </c>
      <c r="AB223" s="1042">
        <f t="shared" si="614"/>
        <v>33125000</v>
      </c>
      <c r="AC223" s="1042">
        <f t="shared" si="615"/>
        <v>72875000</v>
      </c>
      <c r="AD223" s="1042">
        <f t="shared" si="582"/>
        <v>13250000</v>
      </c>
      <c r="AE223" s="1042">
        <f t="shared" si="616"/>
        <v>46375000</v>
      </c>
      <c r="AF223" s="1042">
        <f t="shared" si="617"/>
        <v>59625000</v>
      </c>
      <c r="AG223" s="1042">
        <f t="shared" si="565"/>
        <v>13250000</v>
      </c>
      <c r="AH223" s="1042">
        <f t="shared" si="618"/>
        <v>59625000</v>
      </c>
      <c r="AI223" s="1042">
        <f t="shared" si="619"/>
        <v>46375000</v>
      </c>
      <c r="AJ223" s="1042">
        <f t="shared" si="596"/>
        <v>1104166.6666666667</v>
      </c>
      <c r="AK223" s="1042">
        <f t="shared" si="597"/>
        <v>60729166.666666664</v>
      </c>
      <c r="AL223" s="1042">
        <f t="shared" si="598"/>
        <v>45270833.333333336</v>
      </c>
      <c r="AM223" s="1042">
        <f t="shared" si="599"/>
        <v>9937500</v>
      </c>
      <c r="AN223" s="1042">
        <f t="shared" si="600"/>
        <v>69562500</v>
      </c>
      <c r="AO223" s="1042">
        <f t="shared" si="601"/>
        <v>36437500</v>
      </c>
      <c r="AP223" s="1042">
        <f t="shared" si="602"/>
        <v>13250000</v>
      </c>
      <c r="AQ223" s="1042">
        <f t="shared" si="537"/>
        <v>72875000</v>
      </c>
      <c r="AR223" s="1042">
        <f t="shared" si="620"/>
        <v>33125000</v>
      </c>
      <c r="AS223" s="1042">
        <f t="shared" si="603"/>
        <v>9937500</v>
      </c>
      <c r="AT223" s="1042">
        <f t="shared" si="539"/>
        <v>82812500</v>
      </c>
      <c r="AU223" s="1042">
        <f t="shared" si="604"/>
        <v>23187500</v>
      </c>
      <c r="AV223" s="1042">
        <f t="shared" si="605"/>
        <v>13250000</v>
      </c>
      <c r="AW223" s="1042">
        <f t="shared" si="606"/>
        <v>86125000</v>
      </c>
      <c r="AX223" s="1042">
        <f t="shared" si="607"/>
        <v>19875000</v>
      </c>
      <c r="AY223" s="179"/>
      <c r="AZ223" s="8">
        <f t="shared" si="608"/>
        <v>0</v>
      </c>
      <c r="BB223" s="221"/>
      <c r="BC223" s="179"/>
    </row>
    <row r="224" spans="1:55" s="220" customFormat="1" ht="14.25" customHeight="1">
      <c r="A224" s="17">
        <f t="shared" si="621"/>
        <v>134</v>
      </c>
      <c r="B224" s="56" t="s">
        <v>623</v>
      </c>
      <c r="C224" s="671">
        <v>43313</v>
      </c>
      <c r="D224" s="55">
        <v>8</v>
      </c>
      <c r="E224" s="6">
        <v>225000000</v>
      </c>
      <c r="F224" s="1041">
        <f t="shared" si="609"/>
        <v>28125000</v>
      </c>
      <c r="G224" s="1046"/>
      <c r="H224" s="1046"/>
      <c r="I224" s="1046"/>
      <c r="J224" s="1046"/>
      <c r="K224" s="1046"/>
      <c r="L224" s="1046"/>
      <c r="M224" s="1046"/>
      <c r="N224" s="1046"/>
      <c r="O224" s="1046"/>
      <c r="P224" s="1046"/>
      <c r="Q224" s="1046"/>
      <c r="R224" s="1046"/>
      <c r="S224" s="1053">
        <f t="shared" si="580"/>
        <v>11718750</v>
      </c>
      <c r="T224" s="1042">
        <f t="shared" si="581"/>
        <v>11718750</v>
      </c>
      <c r="U224" s="1042">
        <f t="shared" si="610"/>
        <v>213281250</v>
      </c>
      <c r="V224" s="1042">
        <f t="shared" si="554"/>
        <v>28125000</v>
      </c>
      <c r="W224" s="1042">
        <f t="shared" si="611"/>
        <v>39843750</v>
      </c>
      <c r="X224" s="1042">
        <f t="shared" si="612"/>
        <v>185156250</v>
      </c>
      <c r="Y224" s="7">
        <v>9375000</v>
      </c>
      <c r="Z224" s="7">
        <f t="shared" si="613"/>
        <v>215625000</v>
      </c>
      <c r="AA224" s="1042">
        <f t="shared" si="566"/>
        <v>28125000</v>
      </c>
      <c r="AB224" s="1042">
        <f t="shared" si="614"/>
        <v>67968750</v>
      </c>
      <c r="AC224" s="1042">
        <f t="shared" si="615"/>
        <v>157031250</v>
      </c>
      <c r="AD224" s="1042">
        <f t="shared" si="582"/>
        <v>28125000</v>
      </c>
      <c r="AE224" s="1042">
        <f t="shared" si="616"/>
        <v>96093750</v>
      </c>
      <c r="AF224" s="1042">
        <f t="shared" si="617"/>
        <v>128906250</v>
      </c>
      <c r="AG224" s="1042">
        <f t="shared" si="565"/>
        <v>28125000</v>
      </c>
      <c r="AH224" s="1042">
        <f t="shared" si="618"/>
        <v>124218750</v>
      </c>
      <c r="AI224" s="1042">
        <f t="shared" si="619"/>
        <v>100781250</v>
      </c>
      <c r="AJ224" s="1042">
        <f t="shared" si="596"/>
        <v>2343750</v>
      </c>
      <c r="AK224" s="1042">
        <f t="shared" si="597"/>
        <v>126562500</v>
      </c>
      <c r="AL224" s="1042">
        <f t="shared" si="598"/>
        <v>98437500</v>
      </c>
      <c r="AM224" s="1042">
        <f t="shared" si="599"/>
        <v>21093750</v>
      </c>
      <c r="AN224" s="1042">
        <f t="shared" si="600"/>
        <v>145312500</v>
      </c>
      <c r="AO224" s="1042">
        <f t="shared" si="601"/>
        <v>79687500</v>
      </c>
      <c r="AP224" s="1042">
        <f t="shared" si="602"/>
        <v>28125000</v>
      </c>
      <c r="AQ224" s="1042">
        <f t="shared" si="537"/>
        <v>152343750</v>
      </c>
      <c r="AR224" s="1042">
        <f t="shared" si="620"/>
        <v>72656250</v>
      </c>
      <c r="AS224" s="1042">
        <f t="shared" si="603"/>
        <v>21093750</v>
      </c>
      <c r="AT224" s="1042">
        <f t="shared" si="539"/>
        <v>173437500</v>
      </c>
      <c r="AU224" s="1042">
        <f t="shared" si="604"/>
        <v>51562500</v>
      </c>
      <c r="AV224" s="1042">
        <f t="shared" si="605"/>
        <v>28125000</v>
      </c>
      <c r="AW224" s="1042">
        <f t="shared" si="606"/>
        <v>180468750</v>
      </c>
      <c r="AX224" s="1042">
        <f t="shared" si="607"/>
        <v>44531250</v>
      </c>
      <c r="AY224" s="179"/>
      <c r="AZ224" s="8">
        <f t="shared" si="608"/>
        <v>0</v>
      </c>
      <c r="BB224" s="221"/>
      <c r="BC224" s="179"/>
    </row>
    <row r="225" spans="1:55" s="970" customFormat="1" ht="14.25" hidden="1" customHeight="1">
      <c r="A225" s="17">
        <f t="shared" si="621"/>
        <v>135</v>
      </c>
      <c r="B225" s="909" t="s">
        <v>539</v>
      </c>
      <c r="C225" s="903">
        <v>43313</v>
      </c>
      <c r="D225" s="877">
        <v>8</v>
      </c>
      <c r="E225" s="878">
        <f>204800000*0</f>
        <v>0</v>
      </c>
      <c r="F225" s="879">
        <f t="shared" si="609"/>
        <v>0</v>
      </c>
      <c r="G225" s="908"/>
      <c r="H225" s="908"/>
      <c r="I225" s="908"/>
      <c r="J225" s="908"/>
      <c r="K225" s="908"/>
      <c r="L225" s="908"/>
      <c r="M225" s="908"/>
      <c r="N225" s="908"/>
      <c r="O225" s="908"/>
      <c r="P225" s="908"/>
      <c r="Q225" s="908"/>
      <c r="R225" s="908"/>
      <c r="S225" s="910">
        <f t="shared" si="580"/>
        <v>0</v>
      </c>
      <c r="T225" s="880">
        <f t="shared" si="581"/>
        <v>0</v>
      </c>
      <c r="U225" s="880">
        <f t="shared" si="610"/>
        <v>0</v>
      </c>
      <c r="V225" s="880">
        <f t="shared" si="554"/>
        <v>0</v>
      </c>
      <c r="W225" s="880">
        <f t="shared" si="611"/>
        <v>0</v>
      </c>
      <c r="X225" s="880">
        <f t="shared" si="612"/>
        <v>0</v>
      </c>
      <c r="Y225" s="7">
        <v>8533333.333333334</v>
      </c>
      <c r="Z225" s="7">
        <f t="shared" si="613"/>
        <v>-8533333.333333334</v>
      </c>
      <c r="AA225" s="880">
        <f t="shared" si="566"/>
        <v>0</v>
      </c>
      <c r="AB225" s="880">
        <f t="shared" si="614"/>
        <v>0</v>
      </c>
      <c r="AC225" s="880">
        <f t="shared" si="615"/>
        <v>0</v>
      </c>
      <c r="AD225" s="880">
        <f t="shared" si="582"/>
        <v>0</v>
      </c>
      <c r="AE225" s="880">
        <f t="shared" si="616"/>
        <v>0</v>
      </c>
      <c r="AF225" s="880">
        <f t="shared" si="617"/>
        <v>0</v>
      </c>
      <c r="AG225" s="880">
        <f t="shared" si="565"/>
        <v>0</v>
      </c>
      <c r="AH225" s="880">
        <f t="shared" si="618"/>
        <v>0</v>
      </c>
      <c r="AI225" s="880">
        <f t="shared" si="619"/>
        <v>0</v>
      </c>
      <c r="AJ225" s="880"/>
      <c r="AK225" s="880"/>
      <c r="AL225" s="880"/>
      <c r="AM225" s="880"/>
      <c r="AN225" s="880"/>
      <c r="AO225" s="880"/>
      <c r="AP225" s="880">
        <f t="shared" si="488"/>
        <v>0</v>
      </c>
      <c r="AQ225" s="880">
        <f t="shared" si="537"/>
        <v>0</v>
      </c>
      <c r="AR225" s="880">
        <f t="shared" si="620"/>
        <v>0</v>
      </c>
      <c r="AS225" s="896">
        <f t="shared" si="538"/>
        <v>0</v>
      </c>
      <c r="AT225" s="896">
        <f t="shared" si="539"/>
        <v>0</v>
      </c>
      <c r="AU225" s="896"/>
      <c r="AV225" s="896"/>
      <c r="AW225" s="896"/>
      <c r="AX225" s="896"/>
      <c r="AY225" s="969"/>
      <c r="AZ225" s="881">
        <f t="shared" si="540"/>
        <v>0</v>
      </c>
      <c r="BB225" s="971"/>
      <c r="BC225" s="969"/>
    </row>
    <row r="226" spans="1:55" s="220" customFormat="1" ht="14.25" customHeight="1">
      <c r="A226" s="17">
        <f t="shared" si="621"/>
        <v>136</v>
      </c>
      <c r="B226" s="909" t="s">
        <v>539</v>
      </c>
      <c r="C226" s="671">
        <v>43313</v>
      </c>
      <c r="D226" s="55">
        <v>8</v>
      </c>
      <c r="E226" s="6">
        <f>39690000+204800000</f>
        <v>244490000</v>
      </c>
      <c r="F226" s="1041">
        <f t="shared" si="609"/>
        <v>30561250</v>
      </c>
      <c r="G226" s="1046"/>
      <c r="H226" s="1046"/>
      <c r="I226" s="1046"/>
      <c r="J226" s="1046"/>
      <c r="K226" s="1046"/>
      <c r="L226" s="1046"/>
      <c r="M226" s="1046"/>
      <c r="N226" s="1046"/>
      <c r="O226" s="1046"/>
      <c r="P226" s="1046"/>
      <c r="Q226" s="1046"/>
      <c r="R226" s="1046"/>
      <c r="S226" s="1053">
        <f t="shared" si="580"/>
        <v>12733854.166666668</v>
      </c>
      <c r="T226" s="1042">
        <f t="shared" si="581"/>
        <v>12733854.166666668</v>
      </c>
      <c r="U226" s="1042">
        <f t="shared" si="610"/>
        <v>231756145.83333334</v>
      </c>
      <c r="V226" s="1042">
        <f t="shared" si="554"/>
        <v>30561250</v>
      </c>
      <c r="W226" s="1042">
        <f t="shared" si="611"/>
        <v>43295104.166666672</v>
      </c>
      <c r="X226" s="1042">
        <f t="shared" si="612"/>
        <v>201194895.83333331</v>
      </c>
      <c r="Y226" s="7">
        <v>1653750</v>
      </c>
      <c r="Z226" s="7">
        <f t="shared" si="613"/>
        <v>242836250</v>
      </c>
      <c r="AA226" s="1042">
        <f t="shared" si="566"/>
        <v>30561250</v>
      </c>
      <c r="AB226" s="1042">
        <f t="shared" si="614"/>
        <v>73856354.166666672</v>
      </c>
      <c r="AC226" s="1042">
        <f t="shared" si="615"/>
        <v>170633645.83333331</v>
      </c>
      <c r="AD226" s="1042">
        <f t="shared" si="582"/>
        <v>30561250</v>
      </c>
      <c r="AE226" s="1042">
        <f t="shared" si="616"/>
        <v>104417604.16666667</v>
      </c>
      <c r="AF226" s="1042">
        <f t="shared" si="617"/>
        <v>140072395.83333331</v>
      </c>
      <c r="AG226" s="1042">
        <f t="shared" si="565"/>
        <v>30561250</v>
      </c>
      <c r="AH226" s="1042">
        <f t="shared" si="618"/>
        <v>134978854.16666669</v>
      </c>
      <c r="AI226" s="1042">
        <f t="shared" si="619"/>
        <v>109511145.83333331</v>
      </c>
      <c r="AJ226" s="1042">
        <f t="shared" ref="AJ226:AJ238" si="622">(F226/12)*1</f>
        <v>2546770.8333333335</v>
      </c>
      <c r="AK226" s="1042">
        <f t="shared" ref="AK226:AK238" si="623">AH226+AJ226</f>
        <v>137525625.00000003</v>
      </c>
      <c r="AL226" s="1042">
        <f t="shared" ref="AL226:AL238" si="624">E226-AK226</f>
        <v>106964374.99999997</v>
      </c>
      <c r="AM226" s="1042">
        <f t="shared" ref="AM226:AM238" si="625">(F226/12)*9</f>
        <v>22920937.5</v>
      </c>
      <c r="AN226" s="1042">
        <f t="shared" ref="AN226:AN238" si="626">AH226+AM226</f>
        <v>157899791.66666669</v>
      </c>
      <c r="AO226" s="1042">
        <f t="shared" ref="AO226:AO238" si="627">E226-AN226</f>
        <v>86590208.333333313</v>
      </c>
      <c r="AP226" s="1042">
        <f t="shared" ref="AP226:AP238" si="628">(F226/12)*12</f>
        <v>30561250</v>
      </c>
      <c r="AQ226" s="1042">
        <f t="shared" si="537"/>
        <v>165540104.16666669</v>
      </c>
      <c r="AR226" s="1042">
        <f t="shared" si="620"/>
        <v>78949895.833333313</v>
      </c>
      <c r="AS226" s="1042">
        <f t="shared" ref="AS226:AS238" si="629">(F226/12)*9</f>
        <v>22920937.5</v>
      </c>
      <c r="AT226" s="1042">
        <f t="shared" si="539"/>
        <v>188461041.66666669</v>
      </c>
      <c r="AU226" s="1042">
        <f t="shared" ref="AU226:AU238" si="630">E226-AT226</f>
        <v>56028958.333333313</v>
      </c>
      <c r="AV226" s="1042">
        <f t="shared" ref="AV226:AV238" si="631">(F226/12)*12</f>
        <v>30561250</v>
      </c>
      <c r="AW226" s="1042">
        <f t="shared" ref="AW226:AW238" si="632">AQ226+AV226</f>
        <v>196101354.16666669</v>
      </c>
      <c r="AX226" s="1042">
        <f t="shared" ref="AX226:AX238" si="633">E226-AW226</f>
        <v>48388645.833333313</v>
      </c>
      <c r="AY226" s="179"/>
      <c r="AZ226" s="8">
        <f t="shared" ref="AZ226:AZ239" si="634">E226-AW226-AX226</f>
        <v>0</v>
      </c>
      <c r="BB226" s="221"/>
      <c r="BC226" s="179"/>
    </row>
    <row r="227" spans="1:55" s="220" customFormat="1" ht="14.25" customHeight="1">
      <c r="A227" s="17">
        <f t="shared" si="621"/>
        <v>137</v>
      </c>
      <c r="B227" s="56" t="s">
        <v>624</v>
      </c>
      <c r="C227" s="671">
        <v>43344</v>
      </c>
      <c r="D227" s="55">
        <v>8</v>
      </c>
      <c r="E227" s="6">
        <v>265000000</v>
      </c>
      <c r="F227" s="1041">
        <f t="shared" si="609"/>
        <v>33125000</v>
      </c>
      <c r="G227" s="1046"/>
      <c r="H227" s="1046"/>
      <c r="I227" s="1046"/>
      <c r="J227" s="1046"/>
      <c r="K227" s="1046"/>
      <c r="L227" s="1046"/>
      <c r="M227" s="1046"/>
      <c r="N227" s="1046"/>
      <c r="O227" s="1046"/>
      <c r="P227" s="1046"/>
      <c r="Q227" s="1046"/>
      <c r="R227" s="1046"/>
      <c r="S227" s="1053">
        <f t="shared" si="580"/>
        <v>11041666.666666666</v>
      </c>
      <c r="T227" s="1042">
        <f t="shared" si="581"/>
        <v>11041666.666666666</v>
      </c>
      <c r="U227" s="1042">
        <f t="shared" si="610"/>
        <v>253958333.33333334</v>
      </c>
      <c r="V227" s="1042">
        <f t="shared" si="554"/>
        <v>33125000</v>
      </c>
      <c r="W227" s="1042">
        <f t="shared" si="611"/>
        <v>44166666.666666664</v>
      </c>
      <c r="X227" s="1042">
        <f t="shared" si="612"/>
        <v>220833333.33333334</v>
      </c>
      <c r="Y227" s="7">
        <v>8281250</v>
      </c>
      <c r="Z227" s="7">
        <f t="shared" si="613"/>
        <v>256718750</v>
      </c>
      <c r="AA227" s="1042">
        <f t="shared" si="566"/>
        <v>33125000</v>
      </c>
      <c r="AB227" s="1042">
        <f t="shared" si="614"/>
        <v>77291666.666666657</v>
      </c>
      <c r="AC227" s="1042">
        <f t="shared" si="615"/>
        <v>187708333.33333334</v>
      </c>
      <c r="AD227" s="1042">
        <f t="shared" si="582"/>
        <v>33125000</v>
      </c>
      <c r="AE227" s="1042">
        <f t="shared" si="616"/>
        <v>110416666.66666666</v>
      </c>
      <c r="AF227" s="1042">
        <f t="shared" si="617"/>
        <v>154583333.33333334</v>
      </c>
      <c r="AG227" s="1042">
        <f t="shared" si="565"/>
        <v>33125000</v>
      </c>
      <c r="AH227" s="1042">
        <f t="shared" si="618"/>
        <v>143541666.66666666</v>
      </c>
      <c r="AI227" s="1042">
        <f t="shared" si="619"/>
        <v>121458333.33333334</v>
      </c>
      <c r="AJ227" s="1042">
        <f t="shared" si="622"/>
        <v>2760416.6666666665</v>
      </c>
      <c r="AK227" s="1042">
        <f t="shared" si="623"/>
        <v>146302083.33333331</v>
      </c>
      <c r="AL227" s="1042">
        <f t="shared" si="624"/>
        <v>118697916.66666669</v>
      </c>
      <c r="AM227" s="1042">
        <f t="shared" si="625"/>
        <v>24843750</v>
      </c>
      <c r="AN227" s="1042">
        <f t="shared" si="626"/>
        <v>168385416.66666666</v>
      </c>
      <c r="AO227" s="1042">
        <f t="shared" si="627"/>
        <v>96614583.333333343</v>
      </c>
      <c r="AP227" s="1042">
        <f t="shared" si="628"/>
        <v>33125000</v>
      </c>
      <c r="AQ227" s="1042">
        <f t="shared" si="537"/>
        <v>176666666.66666666</v>
      </c>
      <c r="AR227" s="1042">
        <f t="shared" si="620"/>
        <v>88333333.333333343</v>
      </c>
      <c r="AS227" s="1042">
        <f t="shared" si="629"/>
        <v>24843750</v>
      </c>
      <c r="AT227" s="1042">
        <f t="shared" si="539"/>
        <v>201510416.66666666</v>
      </c>
      <c r="AU227" s="1042">
        <f t="shared" si="630"/>
        <v>63489583.333333343</v>
      </c>
      <c r="AV227" s="1042">
        <f t="shared" si="631"/>
        <v>33125000</v>
      </c>
      <c r="AW227" s="1042">
        <f t="shared" si="632"/>
        <v>209791666.66666666</v>
      </c>
      <c r="AX227" s="1042">
        <f t="shared" si="633"/>
        <v>55208333.333333343</v>
      </c>
      <c r="AY227" s="179"/>
      <c r="AZ227" s="8">
        <f t="shared" si="634"/>
        <v>0</v>
      </c>
      <c r="BB227" s="221"/>
      <c r="BC227" s="179"/>
    </row>
    <row r="228" spans="1:55" s="220" customFormat="1" ht="14.25" customHeight="1">
      <c r="A228" s="17">
        <f t="shared" si="621"/>
        <v>138</v>
      </c>
      <c r="B228" s="56" t="s">
        <v>625</v>
      </c>
      <c r="C228" s="671">
        <v>43344</v>
      </c>
      <c r="D228" s="55">
        <v>8</v>
      </c>
      <c r="E228" s="6">
        <v>21500000</v>
      </c>
      <c r="F228" s="1041">
        <f t="shared" si="609"/>
        <v>2687500</v>
      </c>
      <c r="G228" s="1046"/>
      <c r="H228" s="1046"/>
      <c r="I228" s="1046"/>
      <c r="J228" s="1046"/>
      <c r="K228" s="1046"/>
      <c r="L228" s="1046"/>
      <c r="M228" s="1046"/>
      <c r="N228" s="1046"/>
      <c r="O228" s="1046"/>
      <c r="P228" s="1046"/>
      <c r="Q228" s="1046"/>
      <c r="R228" s="1046"/>
      <c r="S228" s="1053">
        <f t="shared" si="580"/>
        <v>895833.33333333337</v>
      </c>
      <c r="T228" s="1042">
        <f t="shared" si="581"/>
        <v>895833.33333333337</v>
      </c>
      <c r="U228" s="1042">
        <f t="shared" si="610"/>
        <v>20604166.666666668</v>
      </c>
      <c r="V228" s="1042">
        <f t="shared" si="554"/>
        <v>2687500</v>
      </c>
      <c r="W228" s="1042">
        <f t="shared" si="611"/>
        <v>3583333.3333333335</v>
      </c>
      <c r="X228" s="1042">
        <f t="shared" si="612"/>
        <v>17916666.666666668</v>
      </c>
      <c r="Y228" s="7">
        <v>671875</v>
      </c>
      <c r="Z228" s="7">
        <f t="shared" si="613"/>
        <v>20828125</v>
      </c>
      <c r="AA228" s="1042">
        <f t="shared" si="566"/>
        <v>2687500</v>
      </c>
      <c r="AB228" s="1042">
        <f t="shared" si="614"/>
        <v>6270833.333333334</v>
      </c>
      <c r="AC228" s="1042">
        <f t="shared" si="615"/>
        <v>15229166.666666666</v>
      </c>
      <c r="AD228" s="1042">
        <f t="shared" si="582"/>
        <v>2687500</v>
      </c>
      <c r="AE228" s="1042">
        <f t="shared" si="616"/>
        <v>8958333.333333334</v>
      </c>
      <c r="AF228" s="1042">
        <f t="shared" si="617"/>
        <v>12541666.666666666</v>
      </c>
      <c r="AG228" s="1042">
        <f t="shared" si="565"/>
        <v>2687500</v>
      </c>
      <c r="AH228" s="1042">
        <f t="shared" si="618"/>
        <v>11645833.333333334</v>
      </c>
      <c r="AI228" s="1042">
        <f t="shared" si="619"/>
        <v>9854166.666666666</v>
      </c>
      <c r="AJ228" s="1042">
        <f t="shared" si="622"/>
        <v>223958.33333333334</v>
      </c>
      <c r="AK228" s="1042">
        <f t="shared" si="623"/>
        <v>11869791.666666668</v>
      </c>
      <c r="AL228" s="1042">
        <f t="shared" si="624"/>
        <v>9630208.3333333321</v>
      </c>
      <c r="AM228" s="1042">
        <f t="shared" si="625"/>
        <v>2015625</v>
      </c>
      <c r="AN228" s="1042">
        <f t="shared" si="626"/>
        <v>13661458.333333334</v>
      </c>
      <c r="AO228" s="1042">
        <f t="shared" si="627"/>
        <v>7838541.666666666</v>
      </c>
      <c r="AP228" s="1042">
        <f t="shared" si="628"/>
        <v>2687500</v>
      </c>
      <c r="AQ228" s="1042">
        <f t="shared" si="537"/>
        <v>14333333.333333334</v>
      </c>
      <c r="AR228" s="1042">
        <f t="shared" si="620"/>
        <v>7166666.666666666</v>
      </c>
      <c r="AS228" s="1042">
        <f t="shared" si="629"/>
        <v>2015625</v>
      </c>
      <c r="AT228" s="1042">
        <f t="shared" si="539"/>
        <v>16348958.333333334</v>
      </c>
      <c r="AU228" s="1042">
        <f t="shared" si="630"/>
        <v>5151041.666666666</v>
      </c>
      <c r="AV228" s="1042">
        <f t="shared" si="631"/>
        <v>2687500</v>
      </c>
      <c r="AW228" s="1042">
        <f t="shared" si="632"/>
        <v>17020833.333333336</v>
      </c>
      <c r="AX228" s="1042">
        <f t="shared" si="633"/>
        <v>4479166.6666666642</v>
      </c>
      <c r="AY228" s="179"/>
      <c r="AZ228" s="8">
        <f t="shared" si="634"/>
        <v>0</v>
      </c>
      <c r="BB228" s="221"/>
      <c r="BC228" s="179"/>
    </row>
    <row r="229" spans="1:55" s="220" customFormat="1" ht="14.25" customHeight="1">
      <c r="A229" s="17">
        <f t="shared" si="621"/>
        <v>139</v>
      </c>
      <c r="B229" s="56" t="s">
        <v>624</v>
      </c>
      <c r="C229" s="671">
        <v>43344</v>
      </c>
      <c r="D229" s="55">
        <v>8</v>
      </c>
      <c r="E229" s="6">
        <v>26500000</v>
      </c>
      <c r="F229" s="1041">
        <f t="shared" si="609"/>
        <v>3312500</v>
      </c>
      <c r="G229" s="1046"/>
      <c r="H229" s="1046"/>
      <c r="I229" s="1046"/>
      <c r="J229" s="1046"/>
      <c r="K229" s="1046"/>
      <c r="L229" s="1046"/>
      <c r="M229" s="1046"/>
      <c r="N229" s="1046"/>
      <c r="O229" s="1046"/>
      <c r="P229" s="1046"/>
      <c r="Q229" s="1046"/>
      <c r="R229" s="1046"/>
      <c r="S229" s="1053">
        <f t="shared" si="580"/>
        <v>1104166.6666666667</v>
      </c>
      <c r="T229" s="1042">
        <f t="shared" si="581"/>
        <v>1104166.6666666667</v>
      </c>
      <c r="U229" s="1042">
        <f t="shared" si="610"/>
        <v>25395833.333333332</v>
      </c>
      <c r="V229" s="1042">
        <f t="shared" si="554"/>
        <v>3312500</v>
      </c>
      <c r="W229" s="1042">
        <f t="shared" si="611"/>
        <v>4416666.666666667</v>
      </c>
      <c r="X229" s="1042">
        <f t="shared" si="612"/>
        <v>22083333.333333332</v>
      </c>
      <c r="Y229" s="7">
        <v>828125</v>
      </c>
      <c r="Z229" s="7">
        <f t="shared" si="613"/>
        <v>25671875</v>
      </c>
      <c r="AA229" s="1042">
        <f t="shared" si="566"/>
        <v>3312500</v>
      </c>
      <c r="AB229" s="1042">
        <f t="shared" si="614"/>
        <v>7729166.666666667</v>
      </c>
      <c r="AC229" s="1042">
        <f t="shared" si="615"/>
        <v>18770833.333333332</v>
      </c>
      <c r="AD229" s="1042">
        <f t="shared" si="582"/>
        <v>3312500</v>
      </c>
      <c r="AE229" s="1042">
        <f t="shared" si="616"/>
        <v>11041666.666666668</v>
      </c>
      <c r="AF229" s="1042">
        <f t="shared" si="617"/>
        <v>15458333.333333332</v>
      </c>
      <c r="AG229" s="1042">
        <f t="shared" si="565"/>
        <v>3312500</v>
      </c>
      <c r="AH229" s="1042">
        <f t="shared" si="618"/>
        <v>14354166.666666668</v>
      </c>
      <c r="AI229" s="1042">
        <f t="shared" si="619"/>
        <v>12145833.333333332</v>
      </c>
      <c r="AJ229" s="1042">
        <f t="shared" si="622"/>
        <v>276041.66666666669</v>
      </c>
      <c r="AK229" s="1042">
        <f t="shared" si="623"/>
        <v>14630208.333333334</v>
      </c>
      <c r="AL229" s="1042">
        <f t="shared" si="624"/>
        <v>11869791.666666666</v>
      </c>
      <c r="AM229" s="1042">
        <f t="shared" si="625"/>
        <v>2484375</v>
      </c>
      <c r="AN229" s="1042">
        <f t="shared" si="626"/>
        <v>16838541.666666668</v>
      </c>
      <c r="AO229" s="1042">
        <f t="shared" si="627"/>
        <v>9661458.3333333321</v>
      </c>
      <c r="AP229" s="1042">
        <f t="shared" si="628"/>
        <v>3312500</v>
      </c>
      <c r="AQ229" s="1042">
        <f t="shared" si="537"/>
        <v>17666666.666666668</v>
      </c>
      <c r="AR229" s="1042">
        <f t="shared" si="620"/>
        <v>8833333.3333333321</v>
      </c>
      <c r="AS229" s="1042">
        <f t="shared" si="629"/>
        <v>2484375</v>
      </c>
      <c r="AT229" s="1042">
        <f t="shared" si="539"/>
        <v>20151041.666666668</v>
      </c>
      <c r="AU229" s="1042">
        <f t="shared" si="630"/>
        <v>6348958.3333333321</v>
      </c>
      <c r="AV229" s="1042">
        <f t="shared" si="631"/>
        <v>3312500</v>
      </c>
      <c r="AW229" s="1042">
        <f t="shared" si="632"/>
        <v>20979166.666666668</v>
      </c>
      <c r="AX229" s="1042">
        <f t="shared" si="633"/>
        <v>5520833.3333333321</v>
      </c>
      <c r="AY229" s="179"/>
      <c r="AZ229" s="8">
        <f t="shared" si="634"/>
        <v>0</v>
      </c>
      <c r="BB229" s="221"/>
      <c r="BC229" s="179"/>
    </row>
    <row r="230" spans="1:55" s="220" customFormat="1" ht="14.25" customHeight="1">
      <c r="A230" s="17">
        <f t="shared" si="621"/>
        <v>140</v>
      </c>
      <c r="B230" s="56" t="s">
        <v>626</v>
      </c>
      <c r="C230" s="671">
        <v>43344</v>
      </c>
      <c r="D230" s="55">
        <v>8</v>
      </c>
      <c r="E230" s="6">
        <v>76800000</v>
      </c>
      <c r="F230" s="1041">
        <f t="shared" si="609"/>
        <v>9600000</v>
      </c>
      <c r="G230" s="1046"/>
      <c r="H230" s="1046"/>
      <c r="I230" s="1046"/>
      <c r="J230" s="1046"/>
      <c r="K230" s="1046"/>
      <c r="L230" s="1046"/>
      <c r="M230" s="1046"/>
      <c r="N230" s="1046"/>
      <c r="O230" s="1046"/>
      <c r="P230" s="1046"/>
      <c r="Q230" s="1046"/>
      <c r="R230" s="1046"/>
      <c r="S230" s="1053">
        <f t="shared" si="580"/>
        <v>3200000</v>
      </c>
      <c r="T230" s="1042">
        <f t="shared" si="581"/>
        <v>3200000</v>
      </c>
      <c r="U230" s="1042">
        <f t="shared" si="610"/>
        <v>73600000</v>
      </c>
      <c r="V230" s="1042">
        <f t="shared" si="554"/>
        <v>9600000</v>
      </c>
      <c r="W230" s="1042">
        <f t="shared" si="611"/>
        <v>12800000</v>
      </c>
      <c r="X230" s="1042">
        <f t="shared" si="612"/>
        <v>64000000</v>
      </c>
      <c r="Y230" s="7">
        <v>2400000</v>
      </c>
      <c r="Z230" s="7">
        <f t="shared" si="613"/>
        <v>74400000</v>
      </c>
      <c r="AA230" s="1042">
        <f t="shared" si="566"/>
        <v>9600000</v>
      </c>
      <c r="AB230" s="1042">
        <f t="shared" si="614"/>
        <v>22400000</v>
      </c>
      <c r="AC230" s="1042">
        <f t="shared" si="615"/>
        <v>54400000</v>
      </c>
      <c r="AD230" s="1042">
        <f t="shared" si="582"/>
        <v>9600000</v>
      </c>
      <c r="AE230" s="1042">
        <f t="shared" si="616"/>
        <v>32000000</v>
      </c>
      <c r="AF230" s="1042">
        <f t="shared" si="617"/>
        <v>44800000</v>
      </c>
      <c r="AG230" s="1042">
        <f t="shared" si="565"/>
        <v>9600000</v>
      </c>
      <c r="AH230" s="1042">
        <f t="shared" si="618"/>
        <v>41600000</v>
      </c>
      <c r="AI230" s="1042">
        <f t="shared" si="619"/>
        <v>35200000</v>
      </c>
      <c r="AJ230" s="1042">
        <f t="shared" si="622"/>
        <v>800000</v>
      </c>
      <c r="AK230" s="1042">
        <f t="shared" si="623"/>
        <v>42400000</v>
      </c>
      <c r="AL230" s="1042">
        <f t="shared" si="624"/>
        <v>34400000</v>
      </c>
      <c r="AM230" s="1042">
        <f t="shared" si="625"/>
        <v>7200000</v>
      </c>
      <c r="AN230" s="1042">
        <f t="shared" si="626"/>
        <v>48800000</v>
      </c>
      <c r="AO230" s="1042">
        <f t="shared" si="627"/>
        <v>28000000</v>
      </c>
      <c r="AP230" s="1042">
        <f t="shared" si="628"/>
        <v>9600000</v>
      </c>
      <c r="AQ230" s="1042">
        <f t="shared" si="537"/>
        <v>51200000</v>
      </c>
      <c r="AR230" s="1042">
        <f t="shared" si="620"/>
        <v>25600000</v>
      </c>
      <c r="AS230" s="1042">
        <f t="shared" si="629"/>
        <v>7200000</v>
      </c>
      <c r="AT230" s="1042">
        <f t="shared" si="539"/>
        <v>58400000</v>
      </c>
      <c r="AU230" s="1042">
        <f t="shared" si="630"/>
        <v>18400000</v>
      </c>
      <c r="AV230" s="1042">
        <f t="shared" si="631"/>
        <v>9600000</v>
      </c>
      <c r="AW230" s="1042">
        <f t="shared" si="632"/>
        <v>60800000</v>
      </c>
      <c r="AX230" s="1042">
        <f t="shared" si="633"/>
        <v>16000000</v>
      </c>
      <c r="AY230" s="179"/>
      <c r="AZ230" s="8">
        <f t="shared" si="634"/>
        <v>0</v>
      </c>
      <c r="BB230" s="221"/>
      <c r="BC230" s="179"/>
    </row>
    <row r="231" spans="1:55" s="220" customFormat="1" ht="14.25" customHeight="1">
      <c r="A231" s="17">
        <f t="shared" si="621"/>
        <v>141</v>
      </c>
      <c r="B231" s="56" t="s">
        <v>625</v>
      </c>
      <c r="C231" s="671">
        <v>43344</v>
      </c>
      <c r="D231" s="55">
        <v>8</v>
      </c>
      <c r="E231" s="6">
        <v>64500000</v>
      </c>
      <c r="F231" s="1041">
        <f t="shared" si="609"/>
        <v>8062500</v>
      </c>
      <c r="G231" s="1046"/>
      <c r="H231" s="1046"/>
      <c r="I231" s="1046"/>
      <c r="J231" s="1046"/>
      <c r="K231" s="1046"/>
      <c r="L231" s="1046"/>
      <c r="M231" s="1046"/>
      <c r="N231" s="1046"/>
      <c r="O231" s="1046"/>
      <c r="P231" s="1046"/>
      <c r="Q231" s="1046"/>
      <c r="R231" s="1046"/>
      <c r="S231" s="1053">
        <f t="shared" si="580"/>
        <v>2687500</v>
      </c>
      <c r="T231" s="1042">
        <f t="shared" si="581"/>
        <v>2687500</v>
      </c>
      <c r="U231" s="1042">
        <f t="shared" si="610"/>
        <v>61812500</v>
      </c>
      <c r="V231" s="1042">
        <f t="shared" si="554"/>
        <v>8062500</v>
      </c>
      <c r="W231" s="1042">
        <f t="shared" si="611"/>
        <v>10750000</v>
      </c>
      <c r="X231" s="1042">
        <f t="shared" si="612"/>
        <v>53750000</v>
      </c>
      <c r="Y231" s="7">
        <v>2015625</v>
      </c>
      <c r="Z231" s="7">
        <f t="shared" si="613"/>
        <v>62484375</v>
      </c>
      <c r="AA231" s="1042">
        <f t="shared" si="566"/>
        <v>8062500</v>
      </c>
      <c r="AB231" s="1042">
        <f t="shared" si="614"/>
        <v>18812500</v>
      </c>
      <c r="AC231" s="1042">
        <f t="shared" si="615"/>
        <v>45687500</v>
      </c>
      <c r="AD231" s="1042">
        <f t="shared" si="582"/>
        <v>8062500</v>
      </c>
      <c r="AE231" s="1042">
        <f t="shared" si="616"/>
        <v>26875000</v>
      </c>
      <c r="AF231" s="1042">
        <f t="shared" si="617"/>
        <v>37625000</v>
      </c>
      <c r="AG231" s="1042">
        <f t="shared" si="565"/>
        <v>8062500</v>
      </c>
      <c r="AH231" s="1042">
        <f t="shared" si="618"/>
        <v>34937500</v>
      </c>
      <c r="AI231" s="1042">
        <f t="shared" si="619"/>
        <v>29562500</v>
      </c>
      <c r="AJ231" s="1042">
        <f t="shared" si="622"/>
        <v>671875</v>
      </c>
      <c r="AK231" s="1042">
        <f t="shared" si="623"/>
        <v>35609375</v>
      </c>
      <c r="AL231" s="1042">
        <f t="shared" si="624"/>
        <v>28890625</v>
      </c>
      <c r="AM231" s="1042">
        <f t="shared" si="625"/>
        <v>6046875</v>
      </c>
      <c r="AN231" s="1042">
        <f t="shared" si="626"/>
        <v>40984375</v>
      </c>
      <c r="AO231" s="1042">
        <f t="shared" si="627"/>
        <v>23515625</v>
      </c>
      <c r="AP231" s="1042">
        <f t="shared" si="628"/>
        <v>8062500</v>
      </c>
      <c r="AQ231" s="1042">
        <f t="shared" si="537"/>
        <v>43000000</v>
      </c>
      <c r="AR231" s="1042">
        <f t="shared" si="620"/>
        <v>21500000</v>
      </c>
      <c r="AS231" s="1042">
        <f t="shared" si="629"/>
        <v>6046875</v>
      </c>
      <c r="AT231" s="1042">
        <f t="shared" si="539"/>
        <v>49046875</v>
      </c>
      <c r="AU231" s="1042">
        <f t="shared" si="630"/>
        <v>15453125</v>
      </c>
      <c r="AV231" s="1042">
        <f t="shared" si="631"/>
        <v>8062500</v>
      </c>
      <c r="AW231" s="1042">
        <f t="shared" si="632"/>
        <v>51062500</v>
      </c>
      <c r="AX231" s="1042">
        <f t="shared" si="633"/>
        <v>13437500</v>
      </c>
      <c r="AY231" s="179"/>
      <c r="AZ231" s="8">
        <f t="shared" si="634"/>
        <v>0</v>
      </c>
      <c r="BB231" s="221"/>
      <c r="BC231" s="179"/>
    </row>
    <row r="232" spans="1:55" s="220" customFormat="1" ht="14.25" customHeight="1">
      <c r="A232" s="17">
        <f t="shared" si="621"/>
        <v>142</v>
      </c>
      <c r="B232" s="56" t="s">
        <v>627</v>
      </c>
      <c r="C232" s="671">
        <v>43344</v>
      </c>
      <c r="D232" s="55">
        <v>8</v>
      </c>
      <c r="E232" s="6">
        <v>60547500</v>
      </c>
      <c r="F232" s="1041">
        <f t="shared" si="609"/>
        <v>7568437.5</v>
      </c>
      <c r="G232" s="1046"/>
      <c r="H232" s="1046"/>
      <c r="I232" s="1046"/>
      <c r="J232" s="1046"/>
      <c r="K232" s="1046"/>
      <c r="L232" s="1046"/>
      <c r="M232" s="1046"/>
      <c r="N232" s="1046"/>
      <c r="O232" s="1046"/>
      <c r="P232" s="1046"/>
      <c r="Q232" s="1046"/>
      <c r="R232" s="1046"/>
      <c r="S232" s="1053">
        <f t="shared" si="580"/>
        <v>2522812.5</v>
      </c>
      <c r="T232" s="1042">
        <f t="shared" si="581"/>
        <v>2522812.5</v>
      </c>
      <c r="U232" s="1042">
        <f t="shared" si="610"/>
        <v>58024687.5</v>
      </c>
      <c r="V232" s="1042">
        <f t="shared" si="554"/>
        <v>7568437.5</v>
      </c>
      <c r="W232" s="1042">
        <f t="shared" si="611"/>
        <v>10091250</v>
      </c>
      <c r="X232" s="1042">
        <f t="shared" si="612"/>
        <v>50456250</v>
      </c>
      <c r="Y232" s="7">
        <v>1892109.375</v>
      </c>
      <c r="Z232" s="7">
        <f t="shared" si="613"/>
        <v>58655390.625</v>
      </c>
      <c r="AA232" s="1042">
        <f t="shared" si="566"/>
        <v>7568437.5</v>
      </c>
      <c r="AB232" s="1042">
        <f t="shared" si="614"/>
        <v>17659687.5</v>
      </c>
      <c r="AC232" s="1042">
        <f t="shared" si="615"/>
        <v>42887812.5</v>
      </c>
      <c r="AD232" s="1042">
        <f t="shared" si="582"/>
        <v>7568437.5</v>
      </c>
      <c r="AE232" s="1042">
        <f t="shared" si="616"/>
        <v>25228125</v>
      </c>
      <c r="AF232" s="1042">
        <f t="shared" si="617"/>
        <v>35319375</v>
      </c>
      <c r="AG232" s="1042">
        <f t="shared" si="565"/>
        <v>7568437.5</v>
      </c>
      <c r="AH232" s="1042">
        <f t="shared" si="618"/>
        <v>32796562.5</v>
      </c>
      <c r="AI232" s="1042">
        <f t="shared" si="619"/>
        <v>27750937.5</v>
      </c>
      <c r="AJ232" s="1042">
        <f t="shared" si="622"/>
        <v>630703.125</v>
      </c>
      <c r="AK232" s="1042">
        <f t="shared" si="623"/>
        <v>33427265.625</v>
      </c>
      <c r="AL232" s="1042">
        <f t="shared" si="624"/>
        <v>27120234.375</v>
      </c>
      <c r="AM232" s="1042">
        <f t="shared" si="625"/>
        <v>5676328.125</v>
      </c>
      <c r="AN232" s="1042">
        <f t="shared" si="626"/>
        <v>38472890.625</v>
      </c>
      <c r="AO232" s="1042">
        <f t="shared" si="627"/>
        <v>22074609.375</v>
      </c>
      <c r="AP232" s="1042">
        <f t="shared" si="628"/>
        <v>7568437.5</v>
      </c>
      <c r="AQ232" s="1042">
        <f t="shared" si="537"/>
        <v>40365000</v>
      </c>
      <c r="AR232" s="1042">
        <f t="shared" si="620"/>
        <v>20182500</v>
      </c>
      <c r="AS232" s="1042">
        <f t="shared" si="629"/>
        <v>5676328.125</v>
      </c>
      <c r="AT232" s="1042">
        <f t="shared" si="539"/>
        <v>46041328.125</v>
      </c>
      <c r="AU232" s="1042">
        <f t="shared" si="630"/>
        <v>14506171.875</v>
      </c>
      <c r="AV232" s="1042">
        <f t="shared" si="631"/>
        <v>7568437.5</v>
      </c>
      <c r="AW232" s="1042">
        <f t="shared" si="632"/>
        <v>47933437.5</v>
      </c>
      <c r="AX232" s="1042">
        <f t="shared" si="633"/>
        <v>12614062.5</v>
      </c>
      <c r="AY232" s="179"/>
      <c r="AZ232" s="8">
        <f t="shared" si="634"/>
        <v>0</v>
      </c>
      <c r="BB232" s="221"/>
      <c r="BC232" s="179"/>
    </row>
    <row r="233" spans="1:55" s="220" customFormat="1" ht="14.25" customHeight="1">
      <c r="A233" s="17">
        <f t="shared" si="621"/>
        <v>143</v>
      </c>
      <c r="B233" s="56" t="s">
        <v>617</v>
      </c>
      <c r="C233" s="671">
        <v>43344</v>
      </c>
      <c r="D233" s="55">
        <v>8</v>
      </c>
      <c r="E233" s="6">
        <v>51200000</v>
      </c>
      <c r="F233" s="1041">
        <f t="shared" si="609"/>
        <v>6400000</v>
      </c>
      <c r="G233" s="1046"/>
      <c r="H233" s="1046"/>
      <c r="I233" s="1046"/>
      <c r="J233" s="1046"/>
      <c r="K233" s="1046"/>
      <c r="L233" s="1046"/>
      <c r="M233" s="1046"/>
      <c r="N233" s="1046"/>
      <c r="O233" s="1046"/>
      <c r="P233" s="1046"/>
      <c r="Q233" s="1046"/>
      <c r="R233" s="1046"/>
      <c r="S233" s="1053">
        <f t="shared" si="580"/>
        <v>2133333.3333333335</v>
      </c>
      <c r="T233" s="1042">
        <f t="shared" si="581"/>
        <v>2133333.3333333335</v>
      </c>
      <c r="U233" s="1042">
        <f t="shared" si="610"/>
        <v>49066666.666666664</v>
      </c>
      <c r="V233" s="1042">
        <f t="shared" si="554"/>
        <v>6400000</v>
      </c>
      <c r="W233" s="1042">
        <f t="shared" si="611"/>
        <v>8533333.333333334</v>
      </c>
      <c r="X233" s="1042">
        <f t="shared" si="612"/>
        <v>42666666.666666664</v>
      </c>
      <c r="Y233" s="7">
        <v>1600000</v>
      </c>
      <c r="Z233" s="7">
        <f t="shared" si="613"/>
        <v>49600000</v>
      </c>
      <c r="AA233" s="1042">
        <f t="shared" si="566"/>
        <v>6400000</v>
      </c>
      <c r="AB233" s="1042">
        <f t="shared" si="614"/>
        <v>14933333.333333334</v>
      </c>
      <c r="AC233" s="1042">
        <f t="shared" si="615"/>
        <v>36266666.666666664</v>
      </c>
      <c r="AD233" s="1042">
        <f t="shared" si="582"/>
        <v>6400000</v>
      </c>
      <c r="AE233" s="1042">
        <f t="shared" si="616"/>
        <v>21333333.333333336</v>
      </c>
      <c r="AF233" s="1042">
        <f t="shared" si="617"/>
        <v>29866666.666666664</v>
      </c>
      <c r="AG233" s="1042">
        <f t="shared" si="565"/>
        <v>6400000</v>
      </c>
      <c r="AH233" s="1042">
        <f t="shared" si="618"/>
        <v>27733333.333333336</v>
      </c>
      <c r="AI233" s="1042">
        <f t="shared" si="619"/>
        <v>23466666.666666664</v>
      </c>
      <c r="AJ233" s="1042">
        <f t="shared" si="622"/>
        <v>533333.33333333337</v>
      </c>
      <c r="AK233" s="1042">
        <f t="shared" si="623"/>
        <v>28266666.666666668</v>
      </c>
      <c r="AL233" s="1042">
        <f t="shared" si="624"/>
        <v>22933333.333333332</v>
      </c>
      <c r="AM233" s="1042">
        <f t="shared" si="625"/>
        <v>4800000</v>
      </c>
      <c r="AN233" s="1042">
        <f t="shared" si="626"/>
        <v>32533333.333333336</v>
      </c>
      <c r="AO233" s="1042">
        <f t="shared" si="627"/>
        <v>18666666.666666664</v>
      </c>
      <c r="AP233" s="1042">
        <f t="shared" si="628"/>
        <v>6400000</v>
      </c>
      <c r="AQ233" s="1042">
        <f t="shared" si="537"/>
        <v>34133333.333333336</v>
      </c>
      <c r="AR233" s="1042">
        <f t="shared" si="620"/>
        <v>17066666.666666664</v>
      </c>
      <c r="AS233" s="1042">
        <f t="shared" si="629"/>
        <v>4800000</v>
      </c>
      <c r="AT233" s="1042">
        <f t="shared" si="539"/>
        <v>38933333.333333336</v>
      </c>
      <c r="AU233" s="1042">
        <f t="shared" si="630"/>
        <v>12266666.666666664</v>
      </c>
      <c r="AV233" s="1042">
        <f t="shared" si="631"/>
        <v>6400000</v>
      </c>
      <c r="AW233" s="1042">
        <f t="shared" si="632"/>
        <v>40533333.333333336</v>
      </c>
      <c r="AX233" s="1042">
        <f t="shared" si="633"/>
        <v>10666666.666666664</v>
      </c>
      <c r="AY233" s="179"/>
      <c r="AZ233" s="8">
        <f t="shared" si="634"/>
        <v>0</v>
      </c>
      <c r="BB233" s="221"/>
      <c r="BC233" s="179"/>
    </row>
    <row r="234" spans="1:55" s="220" customFormat="1" ht="14.25" customHeight="1">
      <c r="A234" s="17">
        <f t="shared" si="621"/>
        <v>144</v>
      </c>
      <c r="B234" s="56" t="s">
        <v>628</v>
      </c>
      <c r="C234" s="671">
        <v>43344</v>
      </c>
      <c r="D234" s="55">
        <v>8</v>
      </c>
      <c r="E234" s="6">
        <v>242937500</v>
      </c>
      <c r="F234" s="1041">
        <f t="shared" si="609"/>
        <v>30367187.5</v>
      </c>
      <c r="G234" s="1046"/>
      <c r="H234" s="1046"/>
      <c r="I234" s="1046"/>
      <c r="J234" s="1046"/>
      <c r="K234" s="1046"/>
      <c r="L234" s="1046"/>
      <c r="M234" s="1046"/>
      <c r="N234" s="1046"/>
      <c r="O234" s="1046"/>
      <c r="P234" s="1046"/>
      <c r="Q234" s="1046"/>
      <c r="R234" s="1046"/>
      <c r="S234" s="1053">
        <f t="shared" si="580"/>
        <v>10122395.833333334</v>
      </c>
      <c r="T234" s="1042">
        <f t="shared" si="581"/>
        <v>10122395.833333334</v>
      </c>
      <c r="U234" s="1042">
        <f t="shared" si="610"/>
        <v>232815104.16666666</v>
      </c>
      <c r="V234" s="1042">
        <f t="shared" si="554"/>
        <v>30367187.5</v>
      </c>
      <c r="W234" s="1042">
        <f t="shared" si="611"/>
        <v>40489583.333333336</v>
      </c>
      <c r="X234" s="1042">
        <f t="shared" si="612"/>
        <v>202447916.66666666</v>
      </c>
      <c r="Y234" s="7">
        <v>7591796.875</v>
      </c>
      <c r="Z234" s="7">
        <f t="shared" si="613"/>
        <v>235345703.125</v>
      </c>
      <c r="AA234" s="1042">
        <f t="shared" si="566"/>
        <v>30367187.5</v>
      </c>
      <c r="AB234" s="1042">
        <f t="shared" si="614"/>
        <v>70856770.833333343</v>
      </c>
      <c r="AC234" s="1042">
        <f t="shared" si="615"/>
        <v>172080729.16666666</v>
      </c>
      <c r="AD234" s="1042">
        <f t="shared" si="582"/>
        <v>30367187.5</v>
      </c>
      <c r="AE234" s="1042">
        <f t="shared" si="616"/>
        <v>101223958.33333334</v>
      </c>
      <c r="AF234" s="1042">
        <f t="shared" si="617"/>
        <v>141713541.66666666</v>
      </c>
      <c r="AG234" s="1042">
        <f t="shared" si="565"/>
        <v>30367187.5</v>
      </c>
      <c r="AH234" s="1042">
        <f t="shared" si="618"/>
        <v>131591145.83333334</v>
      </c>
      <c r="AI234" s="1042">
        <f t="shared" si="619"/>
        <v>111346354.16666666</v>
      </c>
      <c r="AJ234" s="1042">
        <f t="shared" si="622"/>
        <v>2530598.9583333335</v>
      </c>
      <c r="AK234" s="1042">
        <f t="shared" si="623"/>
        <v>134121744.79166667</v>
      </c>
      <c r="AL234" s="1042">
        <f t="shared" si="624"/>
        <v>108815755.20833333</v>
      </c>
      <c r="AM234" s="1042">
        <f t="shared" si="625"/>
        <v>22775390.625</v>
      </c>
      <c r="AN234" s="1042">
        <f t="shared" si="626"/>
        <v>154366536.45833334</v>
      </c>
      <c r="AO234" s="1042">
        <f t="shared" si="627"/>
        <v>88570963.541666657</v>
      </c>
      <c r="AP234" s="1042">
        <f t="shared" si="628"/>
        <v>30367187.5</v>
      </c>
      <c r="AQ234" s="1042">
        <f t="shared" si="537"/>
        <v>161958333.33333334</v>
      </c>
      <c r="AR234" s="1042">
        <f t="shared" si="620"/>
        <v>80979166.666666657</v>
      </c>
      <c r="AS234" s="1042">
        <f t="shared" si="629"/>
        <v>22775390.625</v>
      </c>
      <c r="AT234" s="1042">
        <f t="shared" si="539"/>
        <v>184733723.95833334</v>
      </c>
      <c r="AU234" s="1042">
        <f t="shared" si="630"/>
        <v>58203776.041666657</v>
      </c>
      <c r="AV234" s="1042">
        <f t="shared" si="631"/>
        <v>30367187.5</v>
      </c>
      <c r="AW234" s="1042">
        <f t="shared" si="632"/>
        <v>192325520.83333334</v>
      </c>
      <c r="AX234" s="1042">
        <f t="shared" si="633"/>
        <v>50611979.166666657</v>
      </c>
      <c r="AY234" s="179"/>
      <c r="AZ234" s="8">
        <f t="shared" si="634"/>
        <v>0</v>
      </c>
      <c r="BB234" s="221"/>
      <c r="BC234" s="179"/>
    </row>
    <row r="235" spans="1:55" s="220" customFormat="1" ht="14.25" customHeight="1">
      <c r="A235" s="17">
        <f t="shared" si="621"/>
        <v>145</v>
      </c>
      <c r="B235" s="56" t="s">
        <v>628</v>
      </c>
      <c r="C235" s="671">
        <v>43344</v>
      </c>
      <c r="D235" s="55">
        <v>8</v>
      </c>
      <c r="E235" s="6">
        <v>242937500</v>
      </c>
      <c r="F235" s="1041">
        <f t="shared" si="609"/>
        <v>30367187.5</v>
      </c>
      <c r="G235" s="1046"/>
      <c r="H235" s="1046"/>
      <c r="I235" s="1046"/>
      <c r="J235" s="1046"/>
      <c r="K235" s="1046"/>
      <c r="L235" s="1046"/>
      <c r="M235" s="1046"/>
      <c r="N235" s="1046"/>
      <c r="O235" s="1046"/>
      <c r="P235" s="1046"/>
      <c r="Q235" s="1046"/>
      <c r="R235" s="1046"/>
      <c r="S235" s="1053">
        <f t="shared" si="580"/>
        <v>10122395.833333334</v>
      </c>
      <c r="T235" s="1042">
        <f t="shared" si="581"/>
        <v>10122395.833333334</v>
      </c>
      <c r="U235" s="1042">
        <f t="shared" si="610"/>
        <v>232815104.16666666</v>
      </c>
      <c r="V235" s="1042">
        <f t="shared" si="554"/>
        <v>30367187.5</v>
      </c>
      <c r="W235" s="1042">
        <f t="shared" si="611"/>
        <v>40489583.333333336</v>
      </c>
      <c r="X235" s="1042">
        <f t="shared" si="612"/>
        <v>202447916.66666666</v>
      </c>
      <c r="Y235" s="7">
        <v>7591796.875</v>
      </c>
      <c r="Z235" s="7">
        <f t="shared" si="613"/>
        <v>235345703.125</v>
      </c>
      <c r="AA235" s="1042">
        <f t="shared" si="566"/>
        <v>30367187.5</v>
      </c>
      <c r="AB235" s="1042">
        <f t="shared" si="614"/>
        <v>70856770.833333343</v>
      </c>
      <c r="AC235" s="1042">
        <f t="shared" si="615"/>
        <v>172080729.16666666</v>
      </c>
      <c r="AD235" s="1042">
        <f t="shared" si="582"/>
        <v>30367187.5</v>
      </c>
      <c r="AE235" s="1042">
        <f t="shared" si="616"/>
        <v>101223958.33333334</v>
      </c>
      <c r="AF235" s="1042">
        <f t="shared" si="617"/>
        <v>141713541.66666666</v>
      </c>
      <c r="AG235" s="1042">
        <f t="shared" si="565"/>
        <v>30367187.5</v>
      </c>
      <c r="AH235" s="1042">
        <f t="shared" si="618"/>
        <v>131591145.83333334</v>
      </c>
      <c r="AI235" s="1042">
        <f t="shared" si="619"/>
        <v>111346354.16666666</v>
      </c>
      <c r="AJ235" s="1042">
        <f t="shared" si="622"/>
        <v>2530598.9583333335</v>
      </c>
      <c r="AK235" s="1042">
        <f t="shared" si="623"/>
        <v>134121744.79166667</v>
      </c>
      <c r="AL235" s="1042">
        <f t="shared" si="624"/>
        <v>108815755.20833333</v>
      </c>
      <c r="AM235" s="1042">
        <f t="shared" si="625"/>
        <v>22775390.625</v>
      </c>
      <c r="AN235" s="1042">
        <f t="shared" si="626"/>
        <v>154366536.45833334</v>
      </c>
      <c r="AO235" s="1042">
        <f t="shared" si="627"/>
        <v>88570963.541666657</v>
      </c>
      <c r="AP235" s="1042">
        <f t="shared" si="628"/>
        <v>30367187.5</v>
      </c>
      <c r="AQ235" s="1042">
        <f t="shared" si="537"/>
        <v>161958333.33333334</v>
      </c>
      <c r="AR235" s="1042">
        <f t="shared" si="620"/>
        <v>80979166.666666657</v>
      </c>
      <c r="AS235" s="1042">
        <f t="shared" si="629"/>
        <v>22775390.625</v>
      </c>
      <c r="AT235" s="1042">
        <f t="shared" si="539"/>
        <v>184733723.95833334</v>
      </c>
      <c r="AU235" s="1042">
        <f t="shared" si="630"/>
        <v>58203776.041666657</v>
      </c>
      <c r="AV235" s="1042">
        <f t="shared" si="631"/>
        <v>30367187.5</v>
      </c>
      <c r="AW235" s="1042">
        <f t="shared" si="632"/>
        <v>192325520.83333334</v>
      </c>
      <c r="AX235" s="1042">
        <f t="shared" si="633"/>
        <v>50611979.166666657</v>
      </c>
      <c r="AY235" s="179"/>
      <c r="AZ235" s="8">
        <f t="shared" si="634"/>
        <v>0</v>
      </c>
      <c r="BB235" s="221"/>
      <c r="BC235" s="179"/>
    </row>
    <row r="236" spans="1:55" s="220" customFormat="1" ht="14.25" customHeight="1">
      <c r="A236" s="17">
        <f t="shared" si="621"/>
        <v>146</v>
      </c>
      <c r="B236" s="56" t="s">
        <v>629</v>
      </c>
      <c r="C236" s="671">
        <v>43374</v>
      </c>
      <c r="D236" s="55">
        <v>8</v>
      </c>
      <c r="E236" s="6">
        <v>400480000</v>
      </c>
      <c r="F236" s="1041">
        <f t="shared" si="609"/>
        <v>50060000</v>
      </c>
      <c r="G236" s="1046"/>
      <c r="H236" s="1046"/>
      <c r="I236" s="1046"/>
      <c r="J236" s="1046"/>
      <c r="K236" s="1046"/>
      <c r="L236" s="1046"/>
      <c r="M236" s="1046"/>
      <c r="N236" s="1046"/>
      <c r="O236" s="1046"/>
      <c r="P236" s="1046"/>
      <c r="Q236" s="1046"/>
      <c r="R236" s="1046"/>
      <c r="S236" s="1053">
        <f t="shared" si="580"/>
        <v>12515000</v>
      </c>
      <c r="T236" s="1042">
        <f t="shared" si="581"/>
        <v>12515000</v>
      </c>
      <c r="U236" s="1042">
        <f t="shared" si="610"/>
        <v>387965000</v>
      </c>
      <c r="V236" s="1042">
        <f t="shared" si="554"/>
        <v>50060000</v>
      </c>
      <c r="W236" s="1042">
        <f t="shared" si="611"/>
        <v>62575000</v>
      </c>
      <c r="X236" s="1042">
        <f t="shared" si="612"/>
        <v>337905000</v>
      </c>
      <c r="Y236" s="7">
        <v>12515000</v>
      </c>
      <c r="Z236" s="7">
        <f t="shared" si="613"/>
        <v>387965000</v>
      </c>
      <c r="AA236" s="1042">
        <f t="shared" si="566"/>
        <v>50060000</v>
      </c>
      <c r="AB236" s="1042">
        <f t="shared" si="614"/>
        <v>112635000</v>
      </c>
      <c r="AC236" s="1042">
        <f t="shared" si="615"/>
        <v>287845000</v>
      </c>
      <c r="AD236" s="1042">
        <f t="shared" si="582"/>
        <v>50060000</v>
      </c>
      <c r="AE236" s="1042">
        <f t="shared" si="616"/>
        <v>162695000</v>
      </c>
      <c r="AF236" s="1042">
        <f t="shared" si="617"/>
        <v>237785000</v>
      </c>
      <c r="AG236" s="1042">
        <f t="shared" si="565"/>
        <v>50060000</v>
      </c>
      <c r="AH236" s="1042">
        <f t="shared" si="618"/>
        <v>212755000</v>
      </c>
      <c r="AI236" s="1042">
        <f t="shared" si="619"/>
        <v>187725000</v>
      </c>
      <c r="AJ236" s="1042">
        <f t="shared" si="622"/>
        <v>4171666.6666666665</v>
      </c>
      <c r="AK236" s="1042">
        <f t="shared" si="623"/>
        <v>216926666.66666666</v>
      </c>
      <c r="AL236" s="1042">
        <f t="shared" si="624"/>
        <v>183553333.33333334</v>
      </c>
      <c r="AM236" s="1042">
        <f t="shared" si="625"/>
        <v>37545000</v>
      </c>
      <c r="AN236" s="1042">
        <f t="shared" si="626"/>
        <v>250300000</v>
      </c>
      <c r="AO236" s="1042">
        <f t="shared" si="627"/>
        <v>150180000</v>
      </c>
      <c r="AP236" s="1042">
        <f t="shared" si="628"/>
        <v>50060000</v>
      </c>
      <c r="AQ236" s="1042">
        <f t="shared" si="537"/>
        <v>262815000</v>
      </c>
      <c r="AR236" s="1042">
        <f t="shared" si="620"/>
        <v>137665000</v>
      </c>
      <c r="AS236" s="1042">
        <f t="shared" si="629"/>
        <v>37545000</v>
      </c>
      <c r="AT236" s="1042">
        <f t="shared" si="539"/>
        <v>300360000</v>
      </c>
      <c r="AU236" s="1042">
        <f t="shared" si="630"/>
        <v>100120000</v>
      </c>
      <c r="AV236" s="1042">
        <f t="shared" si="631"/>
        <v>50060000</v>
      </c>
      <c r="AW236" s="1042">
        <f t="shared" si="632"/>
        <v>312875000</v>
      </c>
      <c r="AX236" s="1042">
        <f t="shared" si="633"/>
        <v>87605000</v>
      </c>
      <c r="AY236" s="179"/>
      <c r="AZ236" s="8">
        <f t="shared" si="634"/>
        <v>0</v>
      </c>
      <c r="BB236" s="221"/>
      <c r="BC236" s="179"/>
    </row>
    <row r="237" spans="1:55" s="220" customFormat="1" ht="14.25" customHeight="1">
      <c r="A237" s="17">
        <f t="shared" si="621"/>
        <v>147</v>
      </c>
      <c r="B237" s="56" t="s">
        <v>630</v>
      </c>
      <c r="C237" s="671">
        <v>43374</v>
      </c>
      <c r="D237" s="55">
        <v>8</v>
      </c>
      <c r="E237" s="6">
        <v>12910400</v>
      </c>
      <c r="F237" s="1041">
        <f t="shared" si="609"/>
        <v>1613800</v>
      </c>
      <c r="G237" s="1046"/>
      <c r="H237" s="1046"/>
      <c r="I237" s="1046"/>
      <c r="J237" s="1046"/>
      <c r="K237" s="1046"/>
      <c r="L237" s="1046"/>
      <c r="M237" s="1046"/>
      <c r="N237" s="1046"/>
      <c r="O237" s="1046"/>
      <c r="P237" s="1046"/>
      <c r="Q237" s="1046"/>
      <c r="R237" s="1046"/>
      <c r="S237" s="1053">
        <f>(F237/12)*(13-IF(C237="","",MONTH(C237)))</f>
        <v>403450</v>
      </c>
      <c r="T237" s="1042">
        <f t="shared" si="581"/>
        <v>403450</v>
      </c>
      <c r="U237" s="1042">
        <f t="shared" si="610"/>
        <v>12506950</v>
      </c>
      <c r="V237" s="1042">
        <f t="shared" si="554"/>
        <v>1613800</v>
      </c>
      <c r="W237" s="1042">
        <f t="shared" si="611"/>
        <v>2017250</v>
      </c>
      <c r="X237" s="1042">
        <f t="shared" si="612"/>
        <v>10893150</v>
      </c>
      <c r="Y237" s="7">
        <v>403450</v>
      </c>
      <c r="Z237" s="7">
        <f t="shared" si="613"/>
        <v>12506950</v>
      </c>
      <c r="AA237" s="1042">
        <f t="shared" si="566"/>
        <v>1613800</v>
      </c>
      <c r="AB237" s="1042">
        <f t="shared" si="614"/>
        <v>3631050</v>
      </c>
      <c r="AC237" s="1042">
        <f t="shared" si="615"/>
        <v>9279350</v>
      </c>
      <c r="AD237" s="1042">
        <f t="shared" si="582"/>
        <v>1613800</v>
      </c>
      <c r="AE237" s="1042">
        <f t="shared" si="616"/>
        <v>5244850</v>
      </c>
      <c r="AF237" s="1042">
        <f t="shared" si="617"/>
        <v>7665550</v>
      </c>
      <c r="AG237" s="1042">
        <f t="shared" si="565"/>
        <v>1613800</v>
      </c>
      <c r="AH237" s="1042">
        <f t="shared" si="618"/>
        <v>6858650</v>
      </c>
      <c r="AI237" s="1042">
        <f t="shared" si="619"/>
        <v>6051750</v>
      </c>
      <c r="AJ237" s="1042">
        <f t="shared" si="622"/>
        <v>134483.33333333334</v>
      </c>
      <c r="AK237" s="1042">
        <f t="shared" si="623"/>
        <v>6993133.333333333</v>
      </c>
      <c r="AL237" s="1042">
        <f t="shared" si="624"/>
        <v>5917266.666666667</v>
      </c>
      <c r="AM237" s="1042">
        <f t="shared" si="625"/>
        <v>1210350</v>
      </c>
      <c r="AN237" s="1042">
        <f t="shared" si="626"/>
        <v>8069000</v>
      </c>
      <c r="AO237" s="1042">
        <f t="shared" si="627"/>
        <v>4841400</v>
      </c>
      <c r="AP237" s="1042">
        <f t="shared" si="628"/>
        <v>1613800</v>
      </c>
      <c r="AQ237" s="1042">
        <f t="shared" si="537"/>
        <v>8472450</v>
      </c>
      <c r="AR237" s="1042">
        <f t="shared" si="620"/>
        <v>4437950</v>
      </c>
      <c r="AS237" s="1042">
        <f t="shared" si="629"/>
        <v>1210350</v>
      </c>
      <c r="AT237" s="1042">
        <f t="shared" si="539"/>
        <v>9682800</v>
      </c>
      <c r="AU237" s="1042">
        <f t="shared" si="630"/>
        <v>3227600</v>
      </c>
      <c r="AV237" s="1042">
        <f t="shared" si="631"/>
        <v>1613800</v>
      </c>
      <c r="AW237" s="1042">
        <f t="shared" si="632"/>
        <v>10086250</v>
      </c>
      <c r="AX237" s="1042">
        <f t="shared" si="633"/>
        <v>2824150</v>
      </c>
      <c r="AY237" s="179"/>
      <c r="AZ237" s="8">
        <f t="shared" si="634"/>
        <v>0</v>
      </c>
      <c r="BB237" s="221"/>
      <c r="BC237" s="179"/>
    </row>
    <row r="238" spans="1:55" s="220" customFormat="1" ht="14.25" customHeight="1">
      <c r="A238" s="17">
        <f t="shared" si="621"/>
        <v>148</v>
      </c>
      <c r="B238" s="56" t="s">
        <v>631</v>
      </c>
      <c r="C238" s="671">
        <v>44652</v>
      </c>
      <c r="D238" s="55">
        <v>8</v>
      </c>
      <c r="E238" s="6">
        <v>16929730</v>
      </c>
      <c r="F238" s="1041">
        <f t="shared" si="609"/>
        <v>2116216.25</v>
      </c>
      <c r="G238" s="1046"/>
      <c r="H238" s="1046"/>
      <c r="I238" s="1046"/>
      <c r="J238" s="1046"/>
      <c r="K238" s="1046"/>
      <c r="L238" s="1046"/>
      <c r="M238" s="1046"/>
      <c r="N238" s="1046"/>
      <c r="O238" s="1046"/>
      <c r="P238" s="1046"/>
      <c r="Q238" s="1046"/>
      <c r="R238" s="1046"/>
      <c r="S238" s="1053"/>
      <c r="T238" s="1042"/>
      <c r="U238" s="1042"/>
      <c r="V238" s="1042"/>
      <c r="W238" s="1042"/>
      <c r="X238" s="1042"/>
      <c r="Y238" s="7"/>
      <c r="Z238" s="7">
        <f t="shared" si="613"/>
        <v>16929730</v>
      </c>
      <c r="AA238" s="1042"/>
      <c r="AB238" s="1042"/>
      <c r="AC238" s="1042"/>
      <c r="AD238" s="1042"/>
      <c r="AE238" s="1042"/>
      <c r="AF238" s="1042"/>
      <c r="AG238" s="1053">
        <f>(F238/12)*9</f>
        <v>1587162.1875</v>
      </c>
      <c r="AH238" s="1042">
        <f t="shared" si="618"/>
        <v>1587162.1875</v>
      </c>
      <c r="AI238" s="1042">
        <f t="shared" si="619"/>
        <v>15342567.8125</v>
      </c>
      <c r="AJ238" s="1042">
        <f t="shared" si="622"/>
        <v>176351.35416666666</v>
      </c>
      <c r="AK238" s="1042">
        <f t="shared" si="623"/>
        <v>1763513.5416666667</v>
      </c>
      <c r="AL238" s="1042">
        <f t="shared" si="624"/>
        <v>15166216.458333334</v>
      </c>
      <c r="AM238" s="1042">
        <f t="shared" si="625"/>
        <v>1587162.1875</v>
      </c>
      <c r="AN238" s="1042">
        <f t="shared" si="626"/>
        <v>3174324.375</v>
      </c>
      <c r="AO238" s="1042">
        <f t="shared" si="627"/>
        <v>13755405.625</v>
      </c>
      <c r="AP238" s="1042">
        <f t="shared" si="628"/>
        <v>2116216.25</v>
      </c>
      <c r="AQ238" s="1042">
        <f t="shared" si="537"/>
        <v>3703378.4375</v>
      </c>
      <c r="AR238" s="1042">
        <f t="shared" si="620"/>
        <v>13226351.5625</v>
      </c>
      <c r="AS238" s="1042">
        <f t="shared" si="629"/>
        <v>1587162.1875</v>
      </c>
      <c r="AT238" s="1042">
        <f t="shared" si="539"/>
        <v>5290540.625</v>
      </c>
      <c r="AU238" s="1042">
        <f t="shared" si="630"/>
        <v>11639189.375</v>
      </c>
      <c r="AV238" s="1042">
        <f t="shared" si="631"/>
        <v>2116216.25</v>
      </c>
      <c r="AW238" s="1042">
        <f t="shared" si="632"/>
        <v>5819594.6875</v>
      </c>
      <c r="AX238" s="1042">
        <f t="shared" si="633"/>
        <v>11110135.3125</v>
      </c>
      <c r="AY238" s="179"/>
      <c r="AZ238" s="8">
        <f t="shared" si="634"/>
        <v>0</v>
      </c>
      <c r="BB238" s="221"/>
      <c r="BC238" s="179"/>
    </row>
    <row r="239" spans="1:55" s="220" customFormat="1" ht="14.25" customHeight="1">
      <c r="A239" s="190">
        <v>3</v>
      </c>
      <c r="B239" s="230" t="s">
        <v>632</v>
      </c>
      <c r="C239" s="234"/>
      <c r="D239" s="216"/>
      <c r="E239" s="217"/>
      <c r="F239" s="1045"/>
      <c r="G239" s="1046"/>
      <c r="H239" s="1046"/>
      <c r="I239" s="1046"/>
      <c r="J239" s="1046"/>
      <c r="K239" s="1046"/>
      <c r="L239" s="1046"/>
      <c r="M239" s="1046"/>
      <c r="N239" s="1046"/>
      <c r="O239" s="1046"/>
      <c r="P239" s="1046"/>
      <c r="Q239" s="1046"/>
      <c r="R239" s="1046"/>
      <c r="S239" s="1046"/>
      <c r="T239" s="1046"/>
      <c r="U239" s="1046"/>
      <c r="V239" s="1046"/>
      <c r="W239" s="1046"/>
      <c r="X239" s="1046"/>
      <c r="Y239" s="219"/>
      <c r="Z239" s="219"/>
      <c r="AA239" s="1046"/>
      <c r="AB239" s="1046"/>
      <c r="AC239" s="1046"/>
      <c r="AD239" s="1046"/>
      <c r="AE239" s="1046"/>
      <c r="AF239" s="1046"/>
      <c r="AG239" s="1046"/>
      <c r="AH239" s="1046"/>
      <c r="AI239" s="1046"/>
      <c r="AJ239" s="1046"/>
      <c r="AK239" s="1046"/>
      <c r="AL239" s="1046"/>
      <c r="AM239" s="1046"/>
      <c r="AN239" s="1046"/>
      <c r="AO239" s="1046"/>
      <c r="AP239" s="1042"/>
      <c r="AQ239" s="1042">
        <f t="shared" si="537"/>
        <v>0</v>
      </c>
      <c r="AR239" s="1042"/>
      <c r="AS239" s="1042"/>
      <c r="AT239" s="1042">
        <f t="shared" si="539"/>
        <v>0</v>
      </c>
      <c r="AU239" s="1042"/>
      <c r="AV239" s="1042"/>
      <c r="AW239" s="1042"/>
      <c r="AX239" s="1042"/>
      <c r="AY239" s="179"/>
      <c r="AZ239" s="8">
        <f t="shared" si="634"/>
        <v>0</v>
      </c>
      <c r="BB239" s="221"/>
      <c r="BC239" s="179"/>
    </row>
    <row r="240" spans="1:55" s="220" customFormat="1" ht="14.25" hidden="1" customHeight="1">
      <c r="A240" s="884">
        <v>1</v>
      </c>
      <c r="B240" s="900" t="s">
        <v>633</v>
      </c>
      <c r="C240" s="886">
        <v>40179</v>
      </c>
      <c r="D240" s="887">
        <v>8</v>
      </c>
      <c r="E240" s="888">
        <f>12100000*0</f>
        <v>0</v>
      </c>
      <c r="F240" s="889">
        <f t="shared" ref="F240:F271" si="635">E240/D240</f>
        <v>0</v>
      </c>
      <c r="G240" s="890">
        <f t="shared" ref="G240:G258" si="636">(F240/12)*(13-IF(C240="","",MONTH(C240)))*5</f>
        <v>0</v>
      </c>
      <c r="H240" s="890">
        <f t="shared" ref="H240:H282" si="637">G240</f>
        <v>0</v>
      </c>
      <c r="I240" s="890">
        <f t="shared" ref="I240:I282" si="638">E240-H240</f>
        <v>0</v>
      </c>
      <c r="J240" s="890">
        <f t="shared" ref="J240:J282" si="639">(F240/12)*12</f>
        <v>0</v>
      </c>
      <c r="K240" s="890">
        <f t="shared" ref="K240:K282" si="640">J240+H240</f>
        <v>0</v>
      </c>
      <c r="L240" s="890">
        <f t="shared" ref="L240:L271" si="641">E240-K240</f>
        <v>0</v>
      </c>
      <c r="M240" s="890">
        <f t="shared" ref="M240:M271" si="642">(F240/12)*12</f>
        <v>0</v>
      </c>
      <c r="N240" s="890">
        <f t="shared" ref="N240:N288" si="643">M240+K240</f>
        <v>0</v>
      </c>
      <c r="O240" s="890">
        <f t="shared" ref="O240:O271" si="644">E240-N240</f>
        <v>0</v>
      </c>
      <c r="P240" s="890">
        <f t="shared" ref="P240:P271" si="645">(F240/12)*12</f>
        <v>0</v>
      </c>
      <c r="Q240" s="890">
        <f t="shared" ref="Q240:Q290" si="646">N240+P240</f>
        <v>0</v>
      </c>
      <c r="R240" s="890">
        <f t="shared" ref="R240:R271" si="647">E240-Q240</f>
        <v>0</v>
      </c>
      <c r="S240" s="890">
        <f t="shared" ref="S240:S271" si="648">(F240/12)*12</f>
        <v>0</v>
      </c>
      <c r="T240" s="890">
        <f t="shared" ref="T240:T292" si="649">Q240+S240</f>
        <v>0</v>
      </c>
      <c r="U240" s="890">
        <f t="shared" ref="U240:U271" si="650">E240-T240</f>
        <v>0</v>
      </c>
      <c r="V240" s="890">
        <f t="shared" ref="V240:V271" si="651">(F240/12)*12</f>
        <v>0</v>
      </c>
      <c r="W240" s="890">
        <f t="shared" ref="W240:W301" si="652">T240+V240</f>
        <v>0</v>
      </c>
      <c r="X240" s="890">
        <f t="shared" ref="X240:X271" si="653">E240-W240</f>
        <v>0</v>
      </c>
      <c r="Y240" s="890">
        <f>6050000*0</f>
        <v>0</v>
      </c>
      <c r="Z240" s="890">
        <f t="shared" ref="Z240:Z271" si="654">E240-Y240</f>
        <v>0</v>
      </c>
      <c r="AA240" s="890">
        <f t="shared" ref="AA240:AA271" si="655">(F240/12)*12</f>
        <v>0</v>
      </c>
      <c r="AB240" s="890">
        <f t="shared" ref="AB240:AB303" si="656">W240+AA240</f>
        <v>0</v>
      </c>
      <c r="AC240" s="890">
        <f t="shared" ref="AC240:AC271" si="657">E240-AB240</f>
        <v>0</v>
      </c>
      <c r="AD240" s="890">
        <f t="shared" ref="AD240:AD271" si="658">(F240/12)*12</f>
        <v>0</v>
      </c>
      <c r="AE240" s="890">
        <f t="shared" ref="AE240:AE303" si="659">AB240+AD240</f>
        <v>0</v>
      </c>
      <c r="AF240" s="890">
        <f t="shared" ref="AF240:AF271" si="660">E240-AE240</f>
        <v>0</v>
      </c>
      <c r="AG240" s="890">
        <f t="shared" ref="AG240:AG271" si="661">(F240/12)*12</f>
        <v>0</v>
      </c>
      <c r="AH240" s="890">
        <f t="shared" ref="AH240:AH303" si="662">AE240+AG240</f>
        <v>0</v>
      </c>
      <c r="AI240" s="890">
        <f t="shared" ref="AI240:AI271" si="663">E240-AH240</f>
        <v>0</v>
      </c>
      <c r="AJ240" s="890"/>
      <c r="AK240" s="890"/>
      <c r="AL240" s="890"/>
      <c r="AM240" s="890"/>
      <c r="AN240" s="890"/>
      <c r="AO240" s="890"/>
      <c r="AP240" s="890">
        <f t="shared" ref="AP240:AP282" si="664">(F240/12)*7</f>
        <v>0</v>
      </c>
      <c r="AQ240" s="890">
        <f t="shared" si="537"/>
        <v>0</v>
      </c>
      <c r="AR240" s="890">
        <f t="shared" ref="AR240:AR271" si="665">E240-AQ240</f>
        <v>0</v>
      </c>
      <c r="AS240" s="1158">
        <f t="shared" si="538"/>
        <v>0</v>
      </c>
      <c r="AT240" s="1158">
        <f t="shared" si="539"/>
        <v>0</v>
      </c>
      <c r="AU240" s="1158"/>
      <c r="AV240" s="1158"/>
      <c r="AW240" s="1158"/>
      <c r="AX240" s="1158"/>
      <c r="AY240" s="179"/>
      <c r="AZ240" s="8">
        <f t="shared" si="540"/>
        <v>0</v>
      </c>
      <c r="BB240" s="221"/>
      <c r="BC240" s="179"/>
    </row>
    <row r="241" spans="1:55" s="220" customFormat="1" ht="14.25" hidden="1" customHeight="1">
      <c r="A241" s="884">
        <f>A240+1</f>
        <v>2</v>
      </c>
      <c r="B241" s="900" t="s">
        <v>613</v>
      </c>
      <c r="C241" s="886">
        <v>40179</v>
      </c>
      <c r="D241" s="887">
        <v>8</v>
      </c>
      <c r="E241" s="888">
        <f>147100000*0</f>
        <v>0</v>
      </c>
      <c r="F241" s="889">
        <f t="shared" si="635"/>
        <v>0</v>
      </c>
      <c r="G241" s="890">
        <f t="shared" si="636"/>
        <v>0</v>
      </c>
      <c r="H241" s="890">
        <f t="shared" si="637"/>
        <v>0</v>
      </c>
      <c r="I241" s="890">
        <f t="shared" si="638"/>
        <v>0</v>
      </c>
      <c r="J241" s="890">
        <f t="shared" si="639"/>
        <v>0</v>
      </c>
      <c r="K241" s="890">
        <f t="shared" si="640"/>
        <v>0</v>
      </c>
      <c r="L241" s="890">
        <f t="shared" si="641"/>
        <v>0</v>
      </c>
      <c r="M241" s="890">
        <f t="shared" si="642"/>
        <v>0</v>
      </c>
      <c r="N241" s="890">
        <f t="shared" si="643"/>
        <v>0</v>
      </c>
      <c r="O241" s="890">
        <f t="shared" si="644"/>
        <v>0</v>
      </c>
      <c r="P241" s="890">
        <f t="shared" si="645"/>
        <v>0</v>
      </c>
      <c r="Q241" s="890">
        <f t="shared" si="646"/>
        <v>0</v>
      </c>
      <c r="R241" s="890">
        <f t="shared" si="647"/>
        <v>0</v>
      </c>
      <c r="S241" s="890">
        <f t="shared" si="648"/>
        <v>0</v>
      </c>
      <c r="T241" s="890">
        <f t="shared" si="649"/>
        <v>0</v>
      </c>
      <c r="U241" s="890">
        <f t="shared" si="650"/>
        <v>0</v>
      </c>
      <c r="V241" s="890">
        <f t="shared" si="651"/>
        <v>0</v>
      </c>
      <c r="W241" s="890">
        <f t="shared" si="652"/>
        <v>0</v>
      </c>
      <c r="X241" s="890">
        <f t="shared" si="653"/>
        <v>0</v>
      </c>
      <c r="Y241" s="890">
        <f>73550000*0</f>
        <v>0</v>
      </c>
      <c r="Z241" s="890">
        <f t="shared" si="654"/>
        <v>0</v>
      </c>
      <c r="AA241" s="890">
        <f t="shared" si="655"/>
        <v>0</v>
      </c>
      <c r="AB241" s="890">
        <f t="shared" si="656"/>
        <v>0</v>
      </c>
      <c r="AC241" s="890">
        <f t="shared" si="657"/>
        <v>0</v>
      </c>
      <c r="AD241" s="890">
        <f t="shared" si="658"/>
        <v>0</v>
      </c>
      <c r="AE241" s="890">
        <f t="shared" si="659"/>
        <v>0</v>
      </c>
      <c r="AF241" s="890">
        <f t="shared" si="660"/>
        <v>0</v>
      </c>
      <c r="AG241" s="890">
        <f t="shared" si="661"/>
        <v>0</v>
      </c>
      <c r="AH241" s="890">
        <f t="shared" si="662"/>
        <v>0</v>
      </c>
      <c r="AI241" s="890">
        <f t="shared" si="663"/>
        <v>0</v>
      </c>
      <c r="AJ241" s="890"/>
      <c r="AK241" s="890"/>
      <c r="AL241" s="890"/>
      <c r="AM241" s="890"/>
      <c r="AN241" s="890"/>
      <c r="AO241" s="890"/>
      <c r="AP241" s="890">
        <f t="shared" si="664"/>
        <v>0</v>
      </c>
      <c r="AQ241" s="890">
        <f t="shared" si="537"/>
        <v>0</v>
      </c>
      <c r="AR241" s="890">
        <f t="shared" si="665"/>
        <v>0</v>
      </c>
      <c r="AS241" s="1158">
        <f t="shared" si="538"/>
        <v>0</v>
      </c>
      <c r="AT241" s="1158">
        <f t="shared" si="539"/>
        <v>0</v>
      </c>
      <c r="AU241" s="1158"/>
      <c r="AV241" s="1158"/>
      <c r="AW241" s="1158"/>
      <c r="AX241" s="1158"/>
      <c r="AY241" s="179"/>
      <c r="AZ241" s="8">
        <f t="shared" si="540"/>
        <v>0</v>
      </c>
      <c r="BB241" s="221"/>
      <c r="BC241" s="179"/>
    </row>
    <row r="242" spans="1:55" s="220" customFormat="1" ht="14.25" hidden="1" customHeight="1">
      <c r="A242" s="884">
        <f t="shared" ref="A242:A305" si="666">A241+1</f>
        <v>3</v>
      </c>
      <c r="B242" s="900" t="s">
        <v>539</v>
      </c>
      <c r="C242" s="886">
        <v>40179</v>
      </c>
      <c r="D242" s="887">
        <v>8</v>
      </c>
      <c r="E242" s="888">
        <f>370200000*0</f>
        <v>0</v>
      </c>
      <c r="F242" s="889">
        <f t="shared" si="635"/>
        <v>0</v>
      </c>
      <c r="G242" s="890">
        <f t="shared" si="636"/>
        <v>0</v>
      </c>
      <c r="H242" s="890">
        <f t="shared" si="637"/>
        <v>0</v>
      </c>
      <c r="I242" s="890">
        <f t="shared" si="638"/>
        <v>0</v>
      </c>
      <c r="J242" s="890">
        <f t="shared" si="639"/>
        <v>0</v>
      </c>
      <c r="K242" s="890">
        <f t="shared" si="640"/>
        <v>0</v>
      </c>
      <c r="L242" s="890">
        <f t="shared" si="641"/>
        <v>0</v>
      </c>
      <c r="M242" s="890">
        <f t="shared" si="642"/>
        <v>0</v>
      </c>
      <c r="N242" s="890">
        <f t="shared" si="643"/>
        <v>0</v>
      </c>
      <c r="O242" s="890">
        <f t="shared" si="644"/>
        <v>0</v>
      </c>
      <c r="P242" s="890">
        <f t="shared" si="645"/>
        <v>0</v>
      </c>
      <c r="Q242" s="890">
        <f t="shared" si="646"/>
        <v>0</v>
      </c>
      <c r="R242" s="890">
        <f t="shared" si="647"/>
        <v>0</v>
      </c>
      <c r="S242" s="890">
        <f t="shared" si="648"/>
        <v>0</v>
      </c>
      <c r="T242" s="890">
        <f t="shared" si="649"/>
        <v>0</v>
      </c>
      <c r="U242" s="890">
        <f t="shared" si="650"/>
        <v>0</v>
      </c>
      <c r="V242" s="890">
        <f t="shared" si="651"/>
        <v>0</v>
      </c>
      <c r="W242" s="890">
        <f t="shared" si="652"/>
        <v>0</v>
      </c>
      <c r="X242" s="890">
        <f t="shared" si="653"/>
        <v>0</v>
      </c>
      <c r="Y242" s="890">
        <f>185100000*0</f>
        <v>0</v>
      </c>
      <c r="Z242" s="890">
        <f t="shared" si="654"/>
        <v>0</v>
      </c>
      <c r="AA242" s="890">
        <f t="shared" si="655"/>
        <v>0</v>
      </c>
      <c r="AB242" s="890">
        <f t="shared" si="656"/>
        <v>0</v>
      </c>
      <c r="AC242" s="890">
        <f t="shared" si="657"/>
        <v>0</v>
      </c>
      <c r="AD242" s="890">
        <f t="shared" si="658"/>
        <v>0</v>
      </c>
      <c r="AE242" s="890">
        <f t="shared" si="659"/>
        <v>0</v>
      </c>
      <c r="AF242" s="890">
        <f t="shared" si="660"/>
        <v>0</v>
      </c>
      <c r="AG242" s="890">
        <f t="shared" si="661"/>
        <v>0</v>
      </c>
      <c r="AH242" s="890">
        <f t="shared" si="662"/>
        <v>0</v>
      </c>
      <c r="AI242" s="890">
        <f t="shared" si="663"/>
        <v>0</v>
      </c>
      <c r="AJ242" s="890"/>
      <c r="AK242" s="890"/>
      <c r="AL242" s="890"/>
      <c r="AM242" s="890"/>
      <c r="AN242" s="890"/>
      <c r="AO242" s="890"/>
      <c r="AP242" s="890">
        <f t="shared" si="664"/>
        <v>0</v>
      </c>
      <c r="AQ242" s="890">
        <f t="shared" si="537"/>
        <v>0</v>
      </c>
      <c r="AR242" s="890">
        <f t="shared" si="665"/>
        <v>0</v>
      </c>
      <c r="AS242" s="1158">
        <f t="shared" si="538"/>
        <v>0</v>
      </c>
      <c r="AT242" s="1158">
        <f t="shared" si="539"/>
        <v>0</v>
      </c>
      <c r="AU242" s="1158"/>
      <c r="AV242" s="1158"/>
      <c r="AW242" s="1158"/>
      <c r="AX242" s="1158"/>
      <c r="AY242" s="179"/>
      <c r="AZ242" s="8">
        <f t="shared" si="540"/>
        <v>0</v>
      </c>
      <c r="BB242" s="221"/>
      <c r="BC242" s="179"/>
    </row>
    <row r="243" spans="1:55" s="220" customFormat="1" ht="14.25" hidden="1" customHeight="1">
      <c r="A243" s="884">
        <f t="shared" si="666"/>
        <v>4</v>
      </c>
      <c r="B243" s="900" t="s">
        <v>634</v>
      </c>
      <c r="C243" s="886">
        <v>40179</v>
      </c>
      <c r="D243" s="887">
        <v>8</v>
      </c>
      <c r="E243" s="888">
        <f>287300000*0</f>
        <v>0</v>
      </c>
      <c r="F243" s="889">
        <f t="shared" si="635"/>
        <v>0</v>
      </c>
      <c r="G243" s="890">
        <f t="shared" si="636"/>
        <v>0</v>
      </c>
      <c r="H243" s="890">
        <f t="shared" si="637"/>
        <v>0</v>
      </c>
      <c r="I243" s="890">
        <f t="shared" si="638"/>
        <v>0</v>
      </c>
      <c r="J243" s="890">
        <f t="shared" si="639"/>
        <v>0</v>
      </c>
      <c r="K243" s="890">
        <f t="shared" si="640"/>
        <v>0</v>
      </c>
      <c r="L243" s="890">
        <f t="shared" si="641"/>
        <v>0</v>
      </c>
      <c r="M243" s="890">
        <f t="shared" si="642"/>
        <v>0</v>
      </c>
      <c r="N243" s="890">
        <f t="shared" si="643"/>
        <v>0</v>
      </c>
      <c r="O243" s="890">
        <f t="shared" si="644"/>
        <v>0</v>
      </c>
      <c r="P243" s="890">
        <f t="shared" si="645"/>
        <v>0</v>
      </c>
      <c r="Q243" s="890">
        <f t="shared" si="646"/>
        <v>0</v>
      </c>
      <c r="R243" s="890">
        <f t="shared" si="647"/>
        <v>0</v>
      </c>
      <c r="S243" s="890">
        <f t="shared" si="648"/>
        <v>0</v>
      </c>
      <c r="T243" s="890">
        <f t="shared" si="649"/>
        <v>0</v>
      </c>
      <c r="U243" s="890">
        <f t="shared" si="650"/>
        <v>0</v>
      </c>
      <c r="V243" s="890">
        <f t="shared" si="651"/>
        <v>0</v>
      </c>
      <c r="W243" s="890">
        <f t="shared" si="652"/>
        <v>0</v>
      </c>
      <c r="X243" s="890">
        <f t="shared" si="653"/>
        <v>0</v>
      </c>
      <c r="Y243" s="890">
        <f>143650000*0</f>
        <v>0</v>
      </c>
      <c r="Z243" s="890">
        <f t="shared" si="654"/>
        <v>0</v>
      </c>
      <c r="AA243" s="890">
        <f t="shared" si="655"/>
        <v>0</v>
      </c>
      <c r="AB243" s="890">
        <f t="shared" si="656"/>
        <v>0</v>
      </c>
      <c r="AC243" s="890">
        <f t="shared" si="657"/>
        <v>0</v>
      </c>
      <c r="AD243" s="890">
        <f t="shared" si="658"/>
        <v>0</v>
      </c>
      <c r="AE243" s="890">
        <f t="shared" si="659"/>
        <v>0</v>
      </c>
      <c r="AF243" s="890">
        <f t="shared" si="660"/>
        <v>0</v>
      </c>
      <c r="AG243" s="890">
        <f t="shared" si="661"/>
        <v>0</v>
      </c>
      <c r="AH243" s="890">
        <f t="shared" si="662"/>
        <v>0</v>
      </c>
      <c r="AI243" s="890">
        <f t="shared" si="663"/>
        <v>0</v>
      </c>
      <c r="AJ243" s="890"/>
      <c r="AK243" s="890"/>
      <c r="AL243" s="890"/>
      <c r="AM243" s="890"/>
      <c r="AN243" s="890"/>
      <c r="AO243" s="890"/>
      <c r="AP243" s="890">
        <f t="shared" si="664"/>
        <v>0</v>
      </c>
      <c r="AQ243" s="890">
        <f t="shared" si="537"/>
        <v>0</v>
      </c>
      <c r="AR243" s="890">
        <f t="shared" si="665"/>
        <v>0</v>
      </c>
      <c r="AS243" s="1158">
        <f t="shared" si="538"/>
        <v>0</v>
      </c>
      <c r="AT243" s="1158">
        <f t="shared" si="539"/>
        <v>0</v>
      </c>
      <c r="AU243" s="1158"/>
      <c r="AV243" s="1158"/>
      <c r="AW243" s="1158"/>
      <c r="AX243" s="1158"/>
      <c r="AY243" s="179"/>
      <c r="AZ243" s="8">
        <f t="shared" si="540"/>
        <v>0</v>
      </c>
      <c r="BB243" s="221"/>
      <c r="BC243" s="179"/>
    </row>
    <row r="244" spans="1:55" s="220" customFormat="1" ht="14.25" hidden="1" customHeight="1">
      <c r="A244" s="884">
        <f t="shared" si="666"/>
        <v>5</v>
      </c>
      <c r="B244" s="900" t="s">
        <v>526</v>
      </c>
      <c r="C244" s="886">
        <v>40179</v>
      </c>
      <c r="D244" s="887">
        <v>8</v>
      </c>
      <c r="E244" s="888">
        <f>157300000*0</f>
        <v>0</v>
      </c>
      <c r="F244" s="889">
        <f t="shared" si="635"/>
        <v>0</v>
      </c>
      <c r="G244" s="890">
        <f t="shared" si="636"/>
        <v>0</v>
      </c>
      <c r="H244" s="890">
        <f t="shared" si="637"/>
        <v>0</v>
      </c>
      <c r="I244" s="890">
        <f t="shared" si="638"/>
        <v>0</v>
      </c>
      <c r="J244" s="890">
        <f t="shared" si="639"/>
        <v>0</v>
      </c>
      <c r="K244" s="890">
        <f t="shared" si="640"/>
        <v>0</v>
      </c>
      <c r="L244" s="890">
        <f t="shared" si="641"/>
        <v>0</v>
      </c>
      <c r="M244" s="890">
        <f t="shared" si="642"/>
        <v>0</v>
      </c>
      <c r="N244" s="890">
        <f t="shared" si="643"/>
        <v>0</v>
      </c>
      <c r="O244" s="890">
        <f t="shared" si="644"/>
        <v>0</v>
      </c>
      <c r="P244" s="890">
        <f t="shared" si="645"/>
        <v>0</v>
      </c>
      <c r="Q244" s="890">
        <f t="shared" si="646"/>
        <v>0</v>
      </c>
      <c r="R244" s="890">
        <f t="shared" si="647"/>
        <v>0</v>
      </c>
      <c r="S244" s="890">
        <f t="shared" si="648"/>
        <v>0</v>
      </c>
      <c r="T244" s="890">
        <f t="shared" si="649"/>
        <v>0</v>
      </c>
      <c r="U244" s="890">
        <f t="shared" si="650"/>
        <v>0</v>
      </c>
      <c r="V244" s="890">
        <f t="shared" si="651"/>
        <v>0</v>
      </c>
      <c r="W244" s="890">
        <f t="shared" si="652"/>
        <v>0</v>
      </c>
      <c r="X244" s="890">
        <f t="shared" si="653"/>
        <v>0</v>
      </c>
      <c r="Y244" s="890">
        <f>78650000*0</f>
        <v>0</v>
      </c>
      <c r="Z244" s="890">
        <f t="shared" si="654"/>
        <v>0</v>
      </c>
      <c r="AA244" s="890">
        <f t="shared" si="655"/>
        <v>0</v>
      </c>
      <c r="AB244" s="890">
        <f t="shared" si="656"/>
        <v>0</v>
      </c>
      <c r="AC244" s="890">
        <f t="shared" si="657"/>
        <v>0</v>
      </c>
      <c r="AD244" s="890">
        <f t="shared" si="658"/>
        <v>0</v>
      </c>
      <c r="AE244" s="890">
        <f t="shared" si="659"/>
        <v>0</v>
      </c>
      <c r="AF244" s="890">
        <f t="shared" si="660"/>
        <v>0</v>
      </c>
      <c r="AG244" s="890">
        <f t="shared" si="661"/>
        <v>0</v>
      </c>
      <c r="AH244" s="890">
        <f t="shared" si="662"/>
        <v>0</v>
      </c>
      <c r="AI244" s="890">
        <f t="shared" si="663"/>
        <v>0</v>
      </c>
      <c r="AJ244" s="890"/>
      <c r="AK244" s="890"/>
      <c r="AL244" s="890"/>
      <c r="AM244" s="890"/>
      <c r="AN244" s="890"/>
      <c r="AO244" s="890"/>
      <c r="AP244" s="890">
        <f t="shared" si="664"/>
        <v>0</v>
      </c>
      <c r="AQ244" s="890">
        <f t="shared" si="537"/>
        <v>0</v>
      </c>
      <c r="AR244" s="890">
        <f t="shared" si="665"/>
        <v>0</v>
      </c>
      <c r="AS244" s="1158">
        <f t="shared" si="538"/>
        <v>0</v>
      </c>
      <c r="AT244" s="1158">
        <f t="shared" si="539"/>
        <v>0</v>
      </c>
      <c r="AU244" s="1158"/>
      <c r="AV244" s="1158"/>
      <c r="AW244" s="1158"/>
      <c r="AX244" s="1158"/>
      <c r="AY244" s="179"/>
      <c r="AZ244" s="8">
        <f t="shared" si="540"/>
        <v>0</v>
      </c>
      <c r="BB244" s="221"/>
      <c r="BC244" s="179"/>
    </row>
    <row r="245" spans="1:55" s="220" customFormat="1" ht="14.25" hidden="1" customHeight="1">
      <c r="A245" s="884">
        <f t="shared" si="666"/>
        <v>6</v>
      </c>
      <c r="B245" s="900" t="s">
        <v>635</v>
      </c>
      <c r="C245" s="886">
        <v>40179</v>
      </c>
      <c r="D245" s="887">
        <v>16</v>
      </c>
      <c r="E245" s="888">
        <f>952000000*0</f>
        <v>0</v>
      </c>
      <c r="F245" s="889">
        <f t="shared" si="635"/>
        <v>0</v>
      </c>
      <c r="G245" s="890">
        <f t="shared" si="636"/>
        <v>0</v>
      </c>
      <c r="H245" s="890">
        <f t="shared" si="637"/>
        <v>0</v>
      </c>
      <c r="I245" s="890">
        <f t="shared" si="638"/>
        <v>0</v>
      </c>
      <c r="J245" s="890">
        <f t="shared" si="639"/>
        <v>0</v>
      </c>
      <c r="K245" s="890">
        <f t="shared" si="640"/>
        <v>0</v>
      </c>
      <c r="L245" s="890">
        <f t="shared" si="641"/>
        <v>0</v>
      </c>
      <c r="M245" s="890">
        <f t="shared" si="642"/>
        <v>0</v>
      </c>
      <c r="N245" s="890">
        <f t="shared" si="643"/>
        <v>0</v>
      </c>
      <c r="O245" s="890">
        <f t="shared" si="644"/>
        <v>0</v>
      </c>
      <c r="P245" s="890">
        <f t="shared" si="645"/>
        <v>0</v>
      </c>
      <c r="Q245" s="890">
        <f t="shared" si="646"/>
        <v>0</v>
      </c>
      <c r="R245" s="890">
        <f t="shared" si="647"/>
        <v>0</v>
      </c>
      <c r="S245" s="890">
        <f t="shared" si="648"/>
        <v>0</v>
      </c>
      <c r="T245" s="890">
        <f t="shared" si="649"/>
        <v>0</v>
      </c>
      <c r="U245" s="890">
        <f t="shared" si="650"/>
        <v>0</v>
      </c>
      <c r="V245" s="890">
        <f t="shared" si="651"/>
        <v>0</v>
      </c>
      <c r="W245" s="890">
        <f t="shared" si="652"/>
        <v>0</v>
      </c>
      <c r="X245" s="890">
        <f t="shared" si="653"/>
        <v>0</v>
      </c>
      <c r="Y245" s="890">
        <f>476000000*0</f>
        <v>0</v>
      </c>
      <c r="Z245" s="890">
        <f t="shared" si="654"/>
        <v>0</v>
      </c>
      <c r="AA245" s="890">
        <f t="shared" si="655"/>
        <v>0</v>
      </c>
      <c r="AB245" s="890">
        <f t="shared" si="656"/>
        <v>0</v>
      </c>
      <c r="AC245" s="890">
        <f t="shared" si="657"/>
        <v>0</v>
      </c>
      <c r="AD245" s="890">
        <f t="shared" si="658"/>
        <v>0</v>
      </c>
      <c r="AE245" s="890">
        <f t="shared" si="659"/>
        <v>0</v>
      </c>
      <c r="AF245" s="890">
        <f t="shared" si="660"/>
        <v>0</v>
      </c>
      <c r="AG245" s="890">
        <f t="shared" si="661"/>
        <v>0</v>
      </c>
      <c r="AH245" s="890">
        <f t="shared" si="662"/>
        <v>0</v>
      </c>
      <c r="AI245" s="890">
        <f t="shared" si="663"/>
        <v>0</v>
      </c>
      <c r="AJ245" s="890"/>
      <c r="AK245" s="890"/>
      <c r="AL245" s="890"/>
      <c r="AM245" s="890"/>
      <c r="AN245" s="890"/>
      <c r="AO245" s="890"/>
      <c r="AP245" s="890">
        <f t="shared" si="664"/>
        <v>0</v>
      </c>
      <c r="AQ245" s="890">
        <f t="shared" si="537"/>
        <v>0</v>
      </c>
      <c r="AR245" s="890">
        <f t="shared" si="665"/>
        <v>0</v>
      </c>
      <c r="AS245" s="1158">
        <f t="shared" si="538"/>
        <v>0</v>
      </c>
      <c r="AT245" s="1158">
        <f t="shared" si="539"/>
        <v>0</v>
      </c>
      <c r="AU245" s="1158"/>
      <c r="AV245" s="1158"/>
      <c r="AW245" s="1158"/>
      <c r="AX245" s="1158"/>
      <c r="AY245" s="179"/>
      <c r="AZ245" s="8">
        <f t="shared" si="540"/>
        <v>0</v>
      </c>
      <c r="BB245" s="221"/>
      <c r="BC245" s="179"/>
    </row>
    <row r="246" spans="1:55" s="220" customFormat="1" ht="14.25" hidden="1" customHeight="1">
      <c r="A246" s="884">
        <f t="shared" si="666"/>
        <v>7</v>
      </c>
      <c r="B246" s="900" t="s">
        <v>636</v>
      </c>
      <c r="C246" s="886">
        <v>40179</v>
      </c>
      <c r="D246" s="887">
        <v>8</v>
      </c>
      <c r="E246" s="888">
        <f>11700000*0</f>
        <v>0</v>
      </c>
      <c r="F246" s="889">
        <f t="shared" si="635"/>
        <v>0</v>
      </c>
      <c r="G246" s="890">
        <f t="shared" si="636"/>
        <v>0</v>
      </c>
      <c r="H246" s="890">
        <f t="shared" si="637"/>
        <v>0</v>
      </c>
      <c r="I246" s="890">
        <f t="shared" si="638"/>
        <v>0</v>
      </c>
      <c r="J246" s="890">
        <f t="shared" si="639"/>
        <v>0</v>
      </c>
      <c r="K246" s="890">
        <f t="shared" si="640"/>
        <v>0</v>
      </c>
      <c r="L246" s="890">
        <f t="shared" si="641"/>
        <v>0</v>
      </c>
      <c r="M246" s="890">
        <f t="shared" si="642"/>
        <v>0</v>
      </c>
      <c r="N246" s="890">
        <f t="shared" si="643"/>
        <v>0</v>
      </c>
      <c r="O246" s="890">
        <f t="shared" si="644"/>
        <v>0</v>
      </c>
      <c r="P246" s="890">
        <f t="shared" si="645"/>
        <v>0</v>
      </c>
      <c r="Q246" s="890">
        <f t="shared" si="646"/>
        <v>0</v>
      </c>
      <c r="R246" s="890">
        <f t="shared" si="647"/>
        <v>0</v>
      </c>
      <c r="S246" s="890">
        <f t="shared" si="648"/>
        <v>0</v>
      </c>
      <c r="T246" s="890">
        <f t="shared" si="649"/>
        <v>0</v>
      </c>
      <c r="U246" s="890">
        <f t="shared" si="650"/>
        <v>0</v>
      </c>
      <c r="V246" s="890">
        <f t="shared" si="651"/>
        <v>0</v>
      </c>
      <c r="W246" s="890">
        <f t="shared" si="652"/>
        <v>0</v>
      </c>
      <c r="X246" s="890">
        <f t="shared" si="653"/>
        <v>0</v>
      </c>
      <c r="Y246" s="890">
        <f>5850000*0</f>
        <v>0</v>
      </c>
      <c r="Z246" s="890">
        <f t="shared" si="654"/>
        <v>0</v>
      </c>
      <c r="AA246" s="890">
        <f t="shared" si="655"/>
        <v>0</v>
      </c>
      <c r="AB246" s="890">
        <f t="shared" si="656"/>
        <v>0</v>
      </c>
      <c r="AC246" s="890">
        <f t="shared" si="657"/>
        <v>0</v>
      </c>
      <c r="AD246" s="890">
        <f t="shared" si="658"/>
        <v>0</v>
      </c>
      <c r="AE246" s="890">
        <f t="shared" si="659"/>
        <v>0</v>
      </c>
      <c r="AF246" s="890">
        <f t="shared" si="660"/>
        <v>0</v>
      </c>
      <c r="AG246" s="890">
        <f t="shared" si="661"/>
        <v>0</v>
      </c>
      <c r="AH246" s="890">
        <f t="shared" si="662"/>
        <v>0</v>
      </c>
      <c r="AI246" s="890">
        <f t="shared" si="663"/>
        <v>0</v>
      </c>
      <c r="AJ246" s="890"/>
      <c r="AK246" s="890"/>
      <c r="AL246" s="890"/>
      <c r="AM246" s="890"/>
      <c r="AN246" s="890"/>
      <c r="AO246" s="890"/>
      <c r="AP246" s="890">
        <f t="shared" si="664"/>
        <v>0</v>
      </c>
      <c r="AQ246" s="890">
        <f t="shared" si="537"/>
        <v>0</v>
      </c>
      <c r="AR246" s="890">
        <f t="shared" si="665"/>
        <v>0</v>
      </c>
      <c r="AS246" s="1158">
        <f t="shared" si="538"/>
        <v>0</v>
      </c>
      <c r="AT246" s="1158">
        <f t="shared" si="539"/>
        <v>0</v>
      </c>
      <c r="AU246" s="1158"/>
      <c r="AV246" s="1158"/>
      <c r="AW246" s="1158"/>
      <c r="AX246" s="1158"/>
      <c r="AY246" s="179"/>
      <c r="AZ246" s="8">
        <f t="shared" si="540"/>
        <v>0</v>
      </c>
      <c r="BB246" s="221"/>
      <c r="BC246" s="179"/>
    </row>
    <row r="247" spans="1:55" s="220" customFormat="1" ht="14.25" hidden="1" customHeight="1">
      <c r="A247" s="884">
        <f t="shared" si="666"/>
        <v>8</v>
      </c>
      <c r="B247" s="900" t="s">
        <v>637</v>
      </c>
      <c r="C247" s="886">
        <v>40179</v>
      </c>
      <c r="D247" s="887">
        <v>8</v>
      </c>
      <c r="E247" s="888">
        <f>93900000*0</f>
        <v>0</v>
      </c>
      <c r="F247" s="889">
        <f t="shared" si="635"/>
        <v>0</v>
      </c>
      <c r="G247" s="890">
        <f t="shared" si="636"/>
        <v>0</v>
      </c>
      <c r="H247" s="890">
        <f t="shared" si="637"/>
        <v>0</v>
      </c>
      <c r="I247" s="890">
        <f t="shared" si="638"/>
        <v>0</v>
      </c>
      <c r="J247" s="890">
        <f t="shared" si="639"/>
        <v>0</v>
      </c>
      <c r="K247" s="890">
        <f t="shared" si="640"/>
        <v>0</v>
      </c>
      <c r="L247" s="890">
        <f t="shared" si="641"/>
        <v>0</v>
      </c>
      <c r="M247" s="890">
        <f t="shared" si="642"/>
        <v>0</v>
      </c>
      <c r="N247" s="890">
        <f t="shared" si="643"/>
        <v>0</v>
      </c>
      <c r="O247" s="890">
        <f t="shared" si="644"/>
        <v>0</v>
      </c>
      <c r="P247" s="890">
        <f t="shared" si="645"/>
        <v>0</v>
      </c>
      <c r="Q247" s="890">
        <f t="shared" si="646"/>
        <v>0</v>
      </c>
      <c r="R247" s="890">
        <f t="shared" si="647"/>
        <v>0</v>
      </c>
      <c r="S247" s="890">
        <f t="shared" si="648"/>
        <v>0</v>
      </c>
      <c r="T247" s="890">
        <f t="shared" si="649"/>
        <v>0</v>
      </c>
      <c r="U247" s="890">
        <f t="shared" si="650"/>
        <v>0</v>
      </c>
      <c r="V247" s="890">
        <f t="shared" si="651"/>
        <v>0</v>
      </c>
      <c r="W247" s="890">
        <f t="shared" si="652"/>
        <v>0</v>
      </c>
      <c r="X247" s="890">
        <f t="shared" si="653"/>
        <v>0</v>
      </c>
      <c r="Y247" s="890">
        <f>46950000*0</f>
        <v>0</v>
      </c>
      <c r="Z247" s="890">
        <f t="shared" si="654"/>
        <v>0</v>
      </c>
      <c r="AA247" s="890">
        <f t="shared" si="655"/>
        <v>0</v>
      </c>
      <c r="AB247" s="890">
        <f t="shared" si="656"/>
        <v>0</v>
      </c>
      <c r="AC247" s="890">
        <f t="shared" si="657"/>
        <v>0</v>
      </c>
      <c r="AD247" s="890">
        <f t="shared" si="658"/>
        <v>0</v>
      </c>
      <c r="AE247" s="890">
        <f t="shared" si="659"/>
        <v>0</v>
      </c>
      <c r="AF247" s="890">
        <f t="shared" si="660"/>
        <v>0</v>
      </c>
      <c r="AG247" s="890">
        <f t="shared" si="661"/>
        <v>0</v>
      </c>
      <c r="AH247" s="890">
        <f t="shared" si="662"/>
        <v>0</v>
      </c>
      <c r="AI247" s="890">
        <f t="shared" si="663"/>
        <v>0</v>
      </c>
      <c r="AJ247" s="890"/>
      <c r="AK247" s="890"/>
      <c r="AL247" s="890"/>
      <c r="AM247" s="890"/>
      <c r="AN247" s="890"/>
      <c r="AO247" s="890"/>
      <c r="AP247" s="890">
        <f t="shared" si="664"/>
        <v>0</v>
      </c>
      <c r="AQ247" s="890">
        <f t="shared" si="537"/>
        <v>0</v>
      </c>
      <c r="AR247" s="890">
        <f t="shared" si="665"/>
        <v>0</v>
      </c>
      <c r="AS247" s="1158">
        <f t="shared" si="538"/>
        <v>0</v>
      </c>
      <c r="AT247" s="1158">
        <f t="shared" si="539"/>
        <v>0</v>
      </c>
      <c r="AU247" s="1158"/>
      <c r="AV247" s="1158"/>
      <c r="AW247" s="1158"/>
      <c r="AX247" s="1158"/>
      <c r="AY247" s="179"/>
      <c r="AZ247" s="8">
        <f t="shared" si="540"/>
        <v>0</v>
      </c>
      <c r="BB247" s="221"/>
      <c r="BC247" s="179"/>
    </row>
    <row r="248" spans="1:55" s="220" customFormat="1" ht="14.25" hidden="1" customHeight="1">
      <c r="A248" s="884">
        <f t="shared" si="666"/>
        <v>9</v>
      </c>
      <c r="B248" s="900" t="s">
        <v>638</v>
      </c>
      <c r="C248" s="886">
        <v>40179</v>
      </c>
      <c r="D248" s="887">
        <v>8</v>
      </c>
      <c r="E248" s="888">
        <f>5900000*0</f>
        <v>0</v>
      </c>
      <c r="F248" s="889">
        <f t="shared" si="635"/>
        <v>0</v>
      </c>
      <c r="G248" s="890">
        <f t="shared" si="636"/>
        <v>0</v>
      </c>
      <c r="H248" s="890">
        <f t="shared" si="637"/>
        <v>0</v>
      </c>
      <c r="I248" s="890">
        <f t="shared" si="638"/>
        <v>0</v>
      </c>
      <c r="J248" s="890">
        <f t="shared" si="639"/>
        <v>0</v>
      </c>
      <c r="K248" s="890">
        <f t="shared" si="640"/>
        <v>0</v>
      </c>
      <c r="L248" s="890">
        <f t="shared" si="641"/>
        <v>0</v>
      </c>
      <c r="M248" s="890">
        <f t="shared" si="642"/>
        <v>0</v>
      </c>
      <c r="N248" s="890">
        <f t="shared" si="643"/>
        <v>0</v>
      </c>
      <c r="O248" s="890">
        <f t="shared" si="644"/>
        <v>0</v>
      </c>
      <c r="P248" s="890">
        <f t="shared" si="645"/>
        <v>0</v>
      </c>
      <c r="Q248" s="890">
        <f t="shared" si="646"/>
        <v>0</v>
      </c>
      <c r="R248" s="890">
        <f t="shared" si="647"/>
        <v>0</v>
      </c>
      <c r="S248" s="890">
        <f t="shared" si="648"/>
        <v>0</v>
      </c>
      <c r="T248" s="890">
        <f t="shared" si="649"/>
        <v>0</v>
      </c>
      <c r="U248" s="890">
        <f t="shared" si="650"/>
        <v>0</v>
      </c>
      <c r="V248" s="890">
        <f t="shared" si="651"/>
        <v>0</v>
      </c>
      <c r="W248" s="890">
        <f t="shared" si="652"/>
        <v>0</v>
      </c>
      <c r="X248" s="890">
        <f t="shared" si="653"/>
        <v>0</v>
      </c>
      <c r="Y248" s="890">
        <f>2950000*0</f>
        <v>0</v>
      </c>
      <c r="Z248" s="890">
        <f t="shared" si="654"/>
        <v>0</v>
      </c>
      <c r="AA248" s="890">
        <f t="shared" si="655"/>
        <v>0</v>
      </c>
      <c r="AB248" s="890">
        <f t="shared" si="656"/>
        <v>0</v>
      </c>
      <c r="AC248" s="890">
        <f t="shared" si="657"/>
        <v>0</v>
      </c>
      <c r="AD248" s="890">
        <f t="shared" si="658"/>
        <v>0</v>
      </c>
      <c r="AE248" s="890">
        <f t="shared" si="659"/>
        <v>0</v>
      </c>
      <c r="AF248" s="890">
        <f t="shared" si="660"/>
        <v>0</v>
      </c>
      <c r="AG248" s="890">
        <f t="shared" si="661"/>
        <v>0</v>
      </c>
      <c r="AH248" s="890">
        <f t="shared" si="662"/>
        <v>0</v>
      </c>
      <c r="AI248" s="890">
        <f t="shared" si="663"/>
        <v>0</v>
      </c>
      <c r="AJ248" s="890"/>
      <c r="AK248" s="890"/>
      <c r="AL248" s="890"/>
      <c r="AM248" s="890"/>
      <c r="AN248" s="890"/>
      <c r="AO248" s="890"/>
      <c r="AP248" s="890">
        <f t="shared" si="664"/>
        <v>0</v>
      </c>
      <c r="AQ248" s="890">
        <f t="shared" si="537"/>
        <v>0</v>
      </c>
      <c r="AR248" s="890">
        <f t="shared" si="665"/>
        <v>0</v>
      </c>
      <c r="AS248" s="1158">
        <f t="shared" si="538"/>
        <v>0</v>
      </c>
      <c r="AT248" s="1158">
        <f t="shared" si="539"/>
        <v>0</v>
      </c>
      <c r="AU248" s="1158"/>
      <c r="AV248" s="1158"/>
      <c r="AW248" s="1158"/>
      <c r="AX248" s="1158"/>
      <c r="AY248" s="179"/>
      <c r="AZ248" s="8">
        <f t="shared" si="540"/>
        <v>0</v>
      </c>
      <c r="BB248" s="221"/>
      <c r="BC248" s="179"/>
    </row>
    <row r="249" spans="1:55" s="220" customFormat="1" ht="14.25" hidden="1" customHeight="1">
      <c r="A249" s="884">
        <f t="shared" si="666"/>
        <v>10</v>
      </c>
      <c r="B249" s="900" t="s">
        <v>639</v>
      </c>
      <c r="C249" s="886">
        <v>40179</v>
      </c>
      <c r="D249" s="887">
        <v>8</v>
      </c>
      <c r="E249" s="888">
        <f>410000000*0</f>
        <v>0</v>
      </c>
      <c r="F249" s="889">
        <f t="shared" si="635"/>
        <v>0</v>
      </c>
      <c r="G249" s="890">
        <f t="shared" si="636"/>
        <v>0</v>
      </c>
      <c r="H249" s="890">
        <f t="shared" si="637"/>
        <v>0</v>
      </c>
      <c r="I249" s="890">
        <f t="shared" si="638"/>
        <v>0</v>
      </c>
      <c r="J249" s="890">
        <f t="shared" si="639"/>
        <v>0</v>
      </c>
      <c r="K249" s="890">
        <f t="shared" si="640"/>
        <v>0</v>
      </c>
      <c r="L249" s="890">
        <f t="shared" si="641"/>
        <v>0</v>
      </c>
      <c r="M249" s="890">
        <f t="shared" si="642"/>
        <v>0</v>
      </c>
      <c r="N249" s="890">
        <f t="shared" si="643"/>
        <v>0</v>
      </c>
      <c r="O249" s="890">
        <f t="shared" si="644"/>
        <v>0</v>
      </c>
      <c r="P249" s="890">
        <f t="shared" si="645"/>
        <v>0</v>
      </c>
      <c r="Q249" s="890">
        <f t="shared" si="646"/>
        <v>0</v>
      </c>
      <c r="R249" s="890">
        <f t="shared" si="647"/>
        <v>0</v>
      </c>
      <c r="S249" s="890">
        <f t="shared" si="648"/>
        <v>0</v>
      </c>
      <c r="T249" s="890">
        <f t="shared" si="649"/>
        <v>0</v>
      </c>
      <c r="U249" s="890">
        <f t="shared" si="650"/>
        <v>0</v>
      </c>
      <c r="V249" s="890">
        <f t="shared" si="651"/>
        <v>0</v>
      </c>
      <c r="W249" s="890">
        <f t="shared" si="652"/>
        <v>0</v>
      </c>
      <c r="X249" s="890">
        <f t="shared" si="653"/>
        <v>0</v>
      </c>
      <c r="Y249" s="890">
        <f>205000000*0</f>
        <v>0</v>
      </c>
      <c r="Z249" s="890">
        <f t="shared" si="654"/>
        <v>0</v>
      </c>
      <c r="AA249" s="890">
        <f t="shared" si="655"/>
        <v>0</v>
      </c>
      <c r="AB249" s="890">
        <f t="shared" si="656"/>
        <v>0</v>
      </c>
      <c r="AC249" s="890">
        <f t="shared" si="657"/>
        <v>0</v>
      </c>
      <c r="AD249" s="890">
        <f t="shared" si="658"/>
        <v>0</v>
      </c>
      <c r="AE249" s="890">
        <f t="shared" si="659"/>
        <v>0</v>
      </c>
      <c r="AF249" s="890">
        <f t="shared" si="660"/>
        <v>0</v>
      </c>
      <c r="AG249" s="890">
        <f t="shared" si="661"/>
        <v>0</v>
      </c>
      <c r="AH249" s="890">
        <f t="shared" si="662"/>
        <v>0</v>
      </c>
      <c r="AI249" s="890">
        <f t="shared" si="663"/>
        <v>0</v>
      </c>
      <c r="AJ249" s="890"/>
      <c r="AK249" s="890"/>
      <c r="AL249" s="890"/>
      <c r="AM249" s="890"/>
      <c r="AN249" s="890"/>
      <c r="AO249" s="890"/>
      <c r="AP249" s="890">
        <f t="shared" si="664"/>
        <v>0</v>
      </c>
      <c r="AQ249" s="890">
        <f t="shared" si="537"/>
        <v>0</v>
      </c>
      <c r="AR249" s="890">
        <f t="shared" si="665"/>
        <v>0</v>
      </c>
      <c r="AS249" s="1158">
        <f t="shared" si="538"/>
        <v>0</v>
      </c>
      <c r="AT249" s="1158">
        <f t="shared" si="539"/>
        <v>0</v>
      </c>
      <c r="AU249" s="1158"/>
      <c r="AV249" s="1158"/>
      <c r="AW249" s="1158"/>
      <c r="AX249" s="1158"/>
      <c r="AY249" s="179"/>
      <c r="AZ249" s="8">
        <f t="shared" si="540"/>
        <v>0</v>
      </c>
      <c r="BB249" s="221"/>
      <c r="BC249" s="179"/>
    </row>
    <row r="250" spans="1:55" s="220" customFormat="1" ht="14.25" hidden="1" customHeight="1">
      <c r="A250" s="884">
        <f t="shared" si="666"/>
        <v>11</v>
      </c>
      <c r="B250" s="900" t="s">
        <v>640</v>
      </c>
      <c r="C250" s="886">
        <v>40179</v>
      </c>
      <c r="D250" s="887">
        <v>8</v>
      </c>
      <c r="E250" s="888">
        <f>44300000*0</f>
        <v>0</v>
      </c>
      <c r="F250" s="889">
        <f t="shared" si="635"/>
        <v>0</v>
      </c>
      <c r="G250" s="890">
        <f t="shared" si="636"/>
        <v>0</v>
      </c>
      <c r="H250" s="890">
        <f t="shared" si="637"/>
        <v>0</v>
      </c>
      <c r="I250" s="890">
        <f t="shared" si="638"/>
        <v>0</v>
      </c>
      <c r="J250" s="890">
        <f t="shared" si="639"/>
        <v>0</v>
      </c>
      <c r="K250" s="890">
        <f t="shared" si="640"/>
        <v>0</v>
      </c>
      <c r="L250" s="890">
        <f t="shared" si="641"/>
        <v>0</v>
      </c>
      <c r="M250" s="890">
        <f t="shared" si="642"/>
        <v>0</v>
      </c>
      <c r="N250" s="890">
        <f t="shared" si="643"/>
        <v>0</v>
      </c>
      <c r="O250" s="890">
        <f t="shared" si="644"/>
        <v>0</v>
      </c>
      <c r="P250" s="890">
        <f t="shared" si="645"/>
        <v>0</v>
      </c>
      <c r="Q250" s="890">
        <f t="shared" si="646"/>
        <v>0</v>
      </c>
      <c r="R250" s="890">
        <f t="shared" si="647"/>
        <v>0</v>
      </c>
      <c r="S250" s="890">
        <f t="shared" si="648"/>
        <v>0</v>
      </c>
      <c r="T250" s="890">
        <f t="shared" si="649"/>
        <v>0</v>
      </c>
      <c r="U250" s="890">
        <f t="shared" si="650"/>
        <v>0</v>
      </c>
      <c r="V250" s="890">
        <f t="shared" si="651"/>
        <v>0</v>
      </c>
      <c r="W250" s="890">
        <f t="shared" si="652"/>
        <v>0</v>
      </c>
      <c r="X250" s="890">
        <f t="shared" si="653"/>
        <v>0</v>
      </c>
      <c r="Y250" s="890">
        <f>22150000*0</f>
        <v>0</v>
      </c>
      <c r="Z250" s="890">
        <f t="shared" si="654"/>
        <v>0</v>
      </c>
      <c r="AA250" s="890">
        <f t="shared" si="655"/>
        <v>0</v>
      </c>
      <c r="AB250" s="890">
        <f t="shared" si="656"/>
        <v>0</v>
      </c>
      <c r="AC250" s="890">
        <f t="shared" si="657"/>
        <v>0</v>
      </c>
      <c r="AD250" s="890">
        <f t="shared" si="658"/>
        <v>0</v>
      </c>
      <c r="AE250" s="890">
        <f t="shared" si="659"/>
        <v>0</v>
      </c>
      <c r="AF250" s="890">
        <f t="shared" si="660"/>
        <v>0</v>
      </c>
      <c r="AG250" s="890">
        <f t="shared" si="661"/>
        <v>0</v>
      </c>
      <c r="AH250" s="890">
        <f t="shared" si="662"/>
        <v>0</v>
      </c>
      <c r="AI250" s="890">
        <f t="shared" si="663"/>
        <v>0</v>
      </c>
      <c r="AJ250" s="890"/>
      <c r="AK250" s="890"/>
      <c r="AL250" s="890"/>
      <c r="AM250" s="890"/>
      <c r="AN250" s="890"/>
      <c r="AO250" s="890"/>
      <c r="AP250" s="890">
        <f t="shared" si="664"/>
        <v>0</v>
      </c>
      <c r="AQ250" s="890">
        <f t="shared" si="537"/>
        <v>0</v>
      </c>
      <c r="AR250" s="890">
        <f t="shared" si="665"/>
        <v>0</v>
      </c>
      <c r="AS250" s="1158">
        <f t="shared" si="538"/>
        <v>0</v>
      </c>
      <c r="AT250" s="1158">
        <f t="shared" si="539"/>
        <v>0</v>
      </c>
      <c r="AU250" s="1158"/>
      <c r="AV250" s="1158"/>
      <c r="AW250" s="1158"/>
      <c r="AX250" s="1158"/>
      <c r="AY250" s="179"/>
      <c r="AZ250" s="8">
        <f t="shared" si="540"/>
        <v>0</v>
      </c>
      <c r="BB250" s="221"/>
      <c r="BC250" s="179"/>
    </row>
    <row r="251" spans="1:55" s="220" customFormat="1" ht="14.25" hidden="1" customHeight="1">
      <c r="A251" s="884">
        <f t="shared" si="666"/>
        <v>12</v>
      </c>
      <c r="B251" s="900" t="s">
        <v>641</v>
      </c>
      <c r="C251" s="886">
        <v>40179</v>
      </c>
      <c r="D251" s="887">
        <v>8</v>
      </c>
      <c r="E251" s="888">
        <f>128200000*0</f>
        <v>0</v>
      </c>
      <c r="F251" s="889">
        <f t="shared" si="635"/>
        <v>0</v>
      </c>
      <c r="G251" s="890">
        <f t="shared" si="636"/>
        <v>0</v>
      </c>
      <c r="H251" s="890">
        <f t="shared" si="637"/>
        <v>0</v>
      </c>
      <c r="I251" s="890">
        <f t="shared" si="638"/>
        <v>0</v>
      </c>
      <c r="J251" s="890">
        <f t="shared" si="639"/>
        <v>0</v>
      </c>
      <c r="K251" s="890">
        <f t="shared" si="640"/>
        <v>0</v>
      </c>
      <c r="L251" s="890">
        <f t="shared" si="641"/>
        <v>0</v>
      </c>
      <c r="M251" s="890">
        <f t="shared" si="642"/>
        <v>0</v>
      </c>
      <c r="N251" s="890">
        <f t="shared" si="643"/>
        <v>0</v>
      </c>
      <c r="O251" s="890">
        <f t="shared" si="644"/>
        <v>0</v>
      </c>
      <c r="P251" s="890">
        <f t="shared" si="645"/>
        <v>0</v>
      </c>
      <c r="Q251" s="890">
        <f t="shared" si="646"/>
        <v>0</v>
      </c>
      <c r="R251" s="890">
        <f t="shared" si="647"/>
        <v>0</v>
      </c>
      <c r="S251" s="890">
        <f t="shared" si="648"/>
        <v>0</v>
      </c>
      <c r="T251" s="890">
        <f t="shared" si="649"/>
        <v>0</v>
      </c>
      <c r="U251" s="890">
        <f t="shared" si="650"/>
        <v>0</v>
      </c>
      <c r="V251" s="890">
        <f t="shared" si="651"/>
        <v>0</v>
      </c>
      <c r="W251" s="890">
        <f t="shared" si="652"/>
        <v>0</v>
      </c>
      <c r="X251" s="890">
        <f t="shared" si="653"/>
        <v>0</v>
      </c>
      <c r="Y251" s="890">
        <f>64100000*0</f>
        <v>0</v>
      </c>
      <c r="Z251" s="890">
        <f t="shared" si="654"/>
        <v>0</v>
      </c>
      <c r="AA251" s="890">
        <f t="shared" si="655"/>
        <v>0</v>
      </c>
      <c r="AB251" s="890">
        <f t="shared" si="656"/>
        <v>0</v>
      </c>
      <c r="AC251" s="890">
        <f t="shared" si="657"/>
        <v>0</v>
      </c>
      <c r="AD251" s="890">
        <f t="shared" si="658"/>
        <v>0</v>
      </c>
      <c r="AE251" s="890">
        <f t="shared" si="659"/>
        <v>0</v>
      </c>
      <c r="AF251" s="890">
        <f t="shared" si="660"/>
        <v>0</v>
      </c>
      <c r="AG251" s="890">
        <f t="shared" si="661"/>
        <v>0</v>
      </c>
      <c r="AH251" s="890">
        <f t="shared" si="662"/>
        <v>0</v>
      </c>
      <c r="AI251" s="890">
        <f t="shared" si="663"/>
        <v>0</v>
      </c>
      <c r="AJ251" s="890"/>
      <c r="AK251" s="890"/>
      <c r="AL251" s="890"/>
      <c r="AM251" s="890"/>
      <c r="AN251" s="890"/>
      <c r="AO251" s="890"/>
      <c r="AP251" s="890">
        <f t="shared" si="664"/>
        <v>0</v>
      </c>
      <c r="AQ251" s="890">
        <f t="shared" si="537"/>
        <v>0</v>
      </c>
      <c r="AR251" s="890">
        <f t="shared" si="665"/>
        <v>0</v>
      </c>
      <c r="AS251" s="1158">
        <f t="shared" si="538"/>
        <v>0</v>
      </c>
      <c r="AT251" s="1158">
        <f t="shared" si="539"/>
        <v>0</v>
      </c>
      <c r="AU251" s="1158"/>
      <c r="AV251" s="1158"/>
      <c r="AW251" s="1158"/>
      <c r="AX251" s="1158"/>
      <c r="AY251" s="179"/>
      <c r="AZ251" s="8">
        <f t="shared" si="540"/>
        <v>0</v>
      </c>
      <c r="BB251" s="221"/>
      <c r="BC251" s="179"/>
    </row>
    <row r="252" spans="1:55" s="220" customFormat="1" ht="14.25" hidden="1" customHeight="1">
      <c r="A252" s="884">
        <f t="shared" si="666"/>
        <v>13</v>
      </c>
      <c r="B252" s="900" t="s">
        <v>642</v>
      </c>
      <c r="C252" s="886">
        <v>40179</v>
      </c>
      <c r="D252" s="887">
        <v>8</v>
      </c>
      <c r="E252" s="888">
        <f>64900000*0</f>
        <v>0</v>
      </c>
      <c r="F252" s="889">
        <f t="shared" si="635"/>
        <v>0</v>
      </c>
      <c r="G252" s="890">
        <f t="shared" si="636"/>
        <v>0</v>
      </c>
      <c r="H252" s="890">
        <f t="shared" si="637"/>
        <v>0</v>
      </c>
      <c r="I252" s="890">
        <f t="shared" si="638"/>
        <v>0</v>
      </c>
      <c r="J252" s="890">
        <f t="shared" si="639"/>
        <v>0</v>
      </c>
      <c r="K252" s="890">
        <f t="shared" si="640"/>
        <v>0</v>
      </c>
      <c r="L252" s="890">
        <f t="shared" si="641"/>
        <v>0</v>
      </c>
      <c r="M252" s="890">
        <f t="shared" si="642"/>
        <v>0</v>
      </c>
      <c r="N252" s="890">
        <f t="shared" si="643"/>
        <v>0</v>
      </c>
      <c r="O252" s="890">
        <f t="shared" si="644"/>
        <v>0</v>
      </c>
      <c r="P252" s="890">
        <f t="shared" si="645"/>
        <v>0</v>
      </c>
      <c r="Q252" s="890">
        <f t="shared" si="646"/>
        <v>0</v>
      </c>
      <c r="R252" s="890">
        <f t="shared" si="647"/>
        <v>0</v>
      </c>
      <c r="S252" s="890">
        <f t="shared" si="648"/>
        <v>0</v>
      </c>
      <c r="T252" s="890">
        <f t="shared" si="649"/>
        <v>0</v>
      </c>
      <c r="U252" s="890">
        <f t="shared" si="650"/>
        <v>0</v>
      </c>
      <c r="V252" s="890">
        <f t="shared" si="651"/>
        <v>0</v>
      </c>
      <c r="W252" s="890">
        <f t="shared" si="652"/>
        <v>0</v>
      </c>
      <c r="X252" s="890">
        <f t="shared" si="653"/>
        <v>0</v>
      </c>
      <c r="Y252" s="890">
        <f>32450000*0</f>
        <v>0</v>
      </c>
      <c r="Z252" s="890">
        <f t="shared" si="654"/>
        <v>0</v>
      </c>
      <c r="AA252" s="890">
        <f t="shared" si="655"/>
        <v>0</v>
      </c>
      <c r="AB252" s="890">
        <f t="shared" si="656"/>
        <v>0</v>
      </c>
      <c r="AC252" s="890">
        <f t="shared" si="657"/>
        <v>0</v>
      </c>
      <c r="AD252" s="890">
        <f t="shared" si="658"/>
        <v>0</v>
      </c>
      <c r="AE252" s="890">
        <f t="shared" si="659"/>
        <v>0</v>
      </c>
      <c r="AF252" s="890">
        <f t="shared" si="660"/>
        <v>0</v>
      </c>
      <c r="AG252" s="890">
        <f t="shared" si="661"/>
        <v>0</v>
      </c>
      <c r="AH252" s="890">
        <f t="shared" si="662"/>
        <v>0</v>
      </c>
      <c r="AI252" s="890">
        <f t="shared" si="663"/>
        <v>0</v>
      </c>
      <c r="AJ252" s="890"/>
      <c r="AK252" s="890"/>
      <c r="AL252" s="890"/>
      <c r="AM252" s="890"/>
      <c r="AN252" s="890"/>
      <c r="AO252" s="890"/>
      <c r="AP252" s="890">
        <f t="shared" si="664"/>
        <v>0</v>
      </c>
      <c r="AQ252" s="890">
        <f t="shared" si="537"/>
        <v>0</v>
      </c>
      <c r="AR252" s="890">
        <f t="shared" si="665"/>
        <v>0</v>
      </c>
      <c r="AS252" s="1158">
        <f t="shared" si="538"/>
        <v>0</v>
      </c>
      <c r="AT252" s="1158">
        <f t="shared" si="539"/>
        <v>0</v>
      </c>
      <c r="AU252" s="1158"/>
      <c r="AV252" s="1158"/>
      <c r="AW252" s="1158"/>
      <c r="AX252" s="1158"/>
      <c r="AY252" s="179"/>
      <c r="AZ252" s="8">
        <f t="shared" si="540"/>
        <v>0</v>
      </c>
      <c r="BB252" s="221"/>
      <c r="BC252" s="179"/>
    </row>
    <row r="253" spans="1:55" s="220" customFormat="1" ht="14.25" hidden="1" customHeight="1">
      <c r="A253" s="884">
        <f t="shared" si="666"/>
        <v>14</v>
      </c>
      <c r="B253" s="900" t="s">
        <v>643</v>
      </c>
      <c r="C253" s="886">
        <v>40179</v>
      </c>
      <c r="D253" s="887">
        <v>8</v>
      </c>
      <c r="E253" s="888">
        <f>19200000*0</f>
        <v>0</v>
      </c>
      <c r="F253" s="889">
        <f t="shared" si="635"/>
        <v>0</v>
      </c>
      <c r="G253" s="890">
        <f t="shared" si="636"/>
        <v>0</v>
      </c>
      <c r="H253" s="890">
        <f t="shared" si="637"/>
        <v>0</v>
      </c>
      <c r="I253" s="890">
        <f t="shared" si="638"/>
        <v>0</v>
      </c>
      <c r="J253" s="890">
        <f t="shared" si="639"/>
        <v>0</v>
      </c>
      <c r="K253" s="890">
        <f t="shared" si="640"/>
        <v>0</v>
      </c>
      <c r="L253" s="890">
        <f t="shared" si="641"/>
        <v>0</v>
      </c>
      <c r="M253" s="890">
        <f t="shared" si="642"/>
        <v>0</v>
      </c>
      <c r="N253" s="890">
        <f t="shared" si="643"/>
        <v>0</v>
      </c>
      <c r="O253" s="890">
        <f t="shared" si="644"/>
        <v>0</v>
      </c>
      <c r="P253" s="890">
        <f t="shared" si="645"/>
        <v>0</v>
      </c>
      <c r="Q253" s="890">
        <f t="shared" si="646"/>
        <v>0</v>
      </c>
      <c r="R253" s="890">
        <f t="shared" si="647"/>
        <v>0</v>
      </c>
      <c r="S253" s="890">
        <f t="shared" si="648"/>
        <v>0</v>
      </c>
      <c r="T253" s="890">
        <f t="shared" si="649"/>
        <v>0</v>
      </c>
      <c r="U253" s="890">
        <f t="shared" si="650"/>
        <v>0</v>
      </c>
      <c r="V253" s="890">
        <f t="shared" si="651"/>
        <v>0</v>
      </c>
      <c r="W253" s="890">
        <f t="shared" si="652"/>
        <v>0</v>
      </c>
      <c r="X253" s="890">
        <f t="shared" si="653"/>
        <v>0</v>
      </c>
      <c r="Y253" s="890">
        <f>9600000*0</f>
        <v>0</v>
      </c>
      <c r="Z253" s="890">
        <f t="shared" si="654"/>
        <v>0</v>
      </c>
      <c r="AA253" s="890">
        <f t="shared" si="655"/>
        <v>0</v>
      </c>
      <c r="AB253" s="890">
        <f t="shared" si="656"/>
        <v>0</v>
      </c>
      <c r="AC253" s="890">
        <f t="shared" si="657"/>
        <v>0</v>
      </c>
      <c r="AD253" s="890">
        <f t="shared" si="658"/>
        <v>0</v>
      </c>
      <c r="AE253" s="890">
        <f t="shared" si="659"/>
        <v>0</v>
      </c>
      <c r="AF253" s="890">
        <f t="shared" si="660"/>
        <v>0</v>
      </c>
      <c r="AG253" s="890">
        <f t="shared" si="661"/>
        <v>0</v>
      </c>
      <c r="AH253" s="890">
        <f t="shared" si="662"/>
        <v>0</v>
      </c>
      <c r="AI253" s="890">
        <f t="shared" si="663"/>
        <v>0</v>
      </c>
      <c r="AJ253" s="890"/>
      <c r="AK253" s="890"/>
      <c r="AL253" s="890"/>
      <c r="AM253" s="890"/>
      <c r="AN253" s="890"/>
      <c r="AO253" s="890"/>
      <c r="AP253" s="890">
        <f t="shared" si="664"/>
        <v>0</v>
      </c>
      <c r="AQ253" s="890">
        <f t="shared" si="537"/>
        <v>0</v>
      </c>
      <c r="AR253" s="890">
        <f t="shared" si="665"/>
        <v>0</v>
      </c>
      <c r="AS253" s="1158">
        <f t="shared" si="538"/>
        <v>0</v>
      </c>
      <c r="AT253" s="1158">
        <f t="shared" si="539"/>
        <v>0</v>
      </c>
      <c r="AU253" s="1158"/>
      <c r="AV253" s="1158"/>
      <c r="AW253" s="1158"/>
      <c r="AX253" s="1158"/>
      <c r="AY253" s="179"/>
      <c r="AZ253" s="8">
        <f t="shared" si="540"/>
        <v>0</v>
      </c>
      <c r="BB253" s="221"/>
      <c r="BC253" s="179"/>
    </row>
    <row r="254" spans="1:55" s="220" customFormat="1" ht="14.25" hidden="1" customHeight="1">
      <c r="A254" s="884">
        <f t="shared" si="666"/>
        <v>15</v>
      </c>
      <c r="B254" s="900" t="s">
        <v>644</v>
      </c>
      <c r="C254" s="886">
        <v>40179</v>
      </c>
      <c r="D254" s="887">
        <v>8</v>
      </c>
      <c r="E254" s="888">
        <f>3300000*0</f>
        <v>0</v>
      </c>
      <c r="F254" s="889">
        <f t="shared" si="635"/>
        <v>0</v>
      </c>
      <c r="G254" s="890">
        <f t="shared" si="636"/>
        <v>0</v>
      </c>
      <c r="H254" s="890">
        <f t="shared" si="637"/>
        <v>0</v>
      </c>
      <c r="I254" s="890">
        <f t="shared" si="638"/>
        <v>0</v>
      </c>
      <c r="J254" s="890">
        <f t="shared" si="639"/>
        <v>0</v>
      </c>
      <c r="K254" s="890">
        <f t="shared" si="640"/>
        <v>0</v>
      </c>
      <c r="L254" s="890">
        <f t="shared" si="641"/>
        <v>0</v>
      </c>
      <c r="M254" s="890">
        <f t="shared" si="642"/>
        <v>0</v>
      </c>
      <c r="N254" s="890">
        <f t="shared" si="643"/>
        <v>0</v>
      </c>
      <c r="O254" s="890">
        <f t="shared" si="644"/>
        <v>0</v>
      </c>
      <c r="P254" s="890">
        <f t="shared" si="645"/>
        <v>0</v>
      </c>
      <c r="Q254" s="890">
        <f t="shared" si="646"/>
        <v>0</v>
      </c>
      <c r="R254" s="890">
        <f t="shared" si="647"/>
        <v>0</v>
      </c>
      <c r="S254" s="890">
        <f t="shared" si="648"/>
        <v>0</v>
      </c>
      <c r="T254" s="890">
        <f t="shared" si="649"/>
        <v>0</v>
      </c>
      <c r="U254" s="890">
        <f t="shared" si="650"/>
        <v>0</v>
      </c>
      <c r="V254" s="890">
        <f t="shared" si="651"/>
        <v>0</v>
      </c>
      <c r="W254" s="890">
        <f t="shared" si="652"/>
        <v>0</v>
      </c>
      <c r="X254" s="890">
        <f t="shared" si="653"/>
        <v>0</v>
      </c>
      <c r="Y254" s="890">
        <f>1650000*0</f>
        <v>0</v>
      </c>
      <c r="Z254" s="890">
        <f t="shared" si="654"/>
        <v>0</v>
      </c>
      <c r="AA254" s="890">
        <f t="shared" si="655"/>
        <v>0</v>
      </c>
      <c r="AB254" s="890">
        <f t="shared" si="656"/>
        <v>0</v>
      </c>
      <c r="AC254" s="890">
        <f t="shared" si="657"/>
        <v>0</v>
      </c>
      <c r="AD254" s="890">
        <f t="shared" si="658"/>
        <v>0</v>
      </c>
      <c r="AE254" s="890">
        <f t="shared" si="659"/>
        <v>0</v>
      </c>
      <c r="AF254" s="890">
        <f t="shared" si="660"/>
        <v>0</v>
      </c>
      <c r="AG254" s="890">
        <f t="shared" si="661"/>
        <v>0</v>
      </c>
      <c r="AH254" s="890">
        <f t="shared" si="662"/>
        <v>0</v>
      </c>
      <c r="AI254" s="890">
        <f t="shared" si="663"/>
        <v>0</v>
      </c>
      <c r="AJ254" s="890"/>
      <c r="AK254" s="890"/>
      <c r="AL254" s="890"/>
      <c r="AM254" s="890"/>
      <c r="AN254" s="890"/>
      <c r="AO254" s="890"/>
      <c r="AP254" s="890">
        <f t="shared" si="664"/>
        <v>0</v>
      </c>
      <c r="AQ254" s="890">
        <f t="shared" si="537"/>
        <v>0</v>
      </c>
      <c r="AR254" s="890">
        <f t="shared" si="665"/>
        <v>0</v>
      </c>
      <c r="AS254" s="1158">
        <f t="shared" si="538"/>
        <v>0</v>
      </c>
      <c r="AT254" s="1158">
        <f t="shared" si="539"/>
        <v>0</v>
      </c>
      <c r="AU254" s="1158"/>
      <c r="AV254" s="1158"/>
      <c r="AW254" s="1158"/>
      <c r="AX254" s="1158"/>
      <c r="AY254" s="179"/>
      <c r="AZ254" s="8">
        <f t="shared" si="540"/>
        <v>0</v>
      </c>
      <c r="BB254" s="221"/>
      <c r="BC254" s="179"/>
    </row>
    <row r="255" spans="1:55" s="220" customFormat="1" ht="14.25" hidden="1" customHeight="1">
      <c r="A255" s="884">
        <f t="shared" si="666"/>
        <v>16</v>
      </c>
      <c r="B255" s="900" t="s">
        <v>645</v>
      </c>
      <c r="C255" s="886">
        <v>40179</v>
      </c>
      <c r="D255" s="887">
        <v>8</v>
      </c>
      <c r="E255" s="888">
        <f>310000000*0</f>
        <v>0</v>
      </c>
      <c r="F255" s="889">
        <f t="shared" si="635"/>
        <v>0</v>
      </c>
      <c r="G255" s="890">
        <f t="shared" si="636"/>
        <v>0</v>
      </c>
      <c r="H255" s="890">
        <f t="shared" si="637"/>
        <v>0</v>
      </c>
      <c r="I255" s="890">
        <f t="shared" si="638"/>
        <v>0</v>
      </c>
      <c r="J255" s="890">
        <f t="shared" si="639"/>
        <v>0</v>
      </c>
      <c r="K255" s="890">
        <f t="shared" si="640"/>
        <v>0</v>
      </c>
      <c r="L255" s="890">
        <f t="shared" si="641"/>
        <v>0</v>
      </c>
      <c r="M255" s="890">
        <f t="shared" si="642"/>
        <v>0</v>
      </c>
      <c r="N255" s="890">
        <f t="shared" si="643"/>
        <v>0</v>
      </c>
      <c r="O255" s="890">
        <f t="shared" si="644"/>
        <v>0</v>
      </c>
      <c r="P255" s="890">
        <f t="shared" si="645"/>
        <v>0</v>
      </c>
      <c r="Q255" s="890">
        <f t="shared" si="646"/>
        <v>0</v>
      </c>
      <c r="R255" s="890">
        <f t="shared" si="647"/>
        <v>0</v>
      </c>
      <c r="S255" s="890">
        <f t="shared" si="648"/>
        <v>0</v>
      </c>
      <c r="T255" s="890">
        <f t="shared" si="649"/>
        <v>0</v>
      </c>
      <c r="U255" s="890">
        <f t="shared" si="650"/>
        <v>0</v>
      </c>
      <c r="V255" s="890">
        <f t="shared" si="651"/>
        <v>0</v>
      </c>
      <c r="W255" s="890">
        <f t="shared" si="652"/>
        <v>0</v>
      </c>
      <c r="X255" s="890">
        <f t="shared" si="653"/>
        <v>0</v>
      </c>
      <c r="Y255" s="890">
        <f>155000000*0</f>
        <v>0</v>
      </c>
      <c r="Z255" s="890">
        <f t="shared" si="654"/>
        <v>0</v>
      </c>
      <c r="AA255" s="890">
        <f t="shared" si="655"/>
        <v>0</v>
      </c>
      <c r="AB255" s="890">
        <f t="shared" si="656"/>
        <v>0</v>
      </c>
      <c r="AC255" s="890">
        <f t="shared" si="657"/>
        <v>0</v>
      </c>
      <c r="AD255" s="890">
        <f t="shared" si="658"/>
        <v>0</v>
      </c>
      <c r="AE255" s="890">
        <f t="shared" si="659"/>
        <v>0</v>
      </c>
      <c r="AF255" s="890">
        <f t="shared" si="660"/>
        <v>0</v>
      </c>
      <c r="AG255" s="890">
        <f t="shared" si="661"/>
        <v>0</v>
      </c>
      <c r="AH255" s="890">
        <f t="shared" si="662"/>
        <v>0</v>
      </c>
      <c r="AI255" s="890">
        <f t="shared" si="663"/>
        <v>0</v>
      </c>
      <c r="AJ255" s="890"/>
      <c r="AK255" s="890"/>
      <c r="AL255" s="890"/>
      <c r="AM255" s="890"/>
      <c r="AN255" s="890"/>
      <c r="AO255" s="890"/>
      <c r="AP255" s="890">
        <f t="shared" si="664"/>
        <v>0</v>
      </c>
      <c r="AQ255" s="890">
        <f t="shared" si="537"/>
        <v>0</v>
      </c>
      <c r="AR255" s="890">
        <f t="shared" si="665"/>
        <v>0</v>
      </c>
      <c r="AS255" s="1158">
        <f t="shared" si="538"/>
        <v>0</v>
      </c>
      <c r="AT255" s="1158">
        <f t="shared" si="539"/>
        <v>0</v>
      </c>
      <c r="AU255" s="1158"/>
      <c r="AV255" s="1158"/>
      <c r="AW255" s="1158"/>
      <c r="AX255" s="1158"/>
      <c r="AY255" s="179"/>
      <c r="AZ255" s="8">
        <f t="shared" si="540"/>
        <v>0</v>
      </c>
      <c r="BB255" s="221"/>
      <c r="BC255" s="179"/>
    </row>
    <row r="256" spans="1:55" s="220" customFormat="1" ht="14.25" hidden="1" customHeight="1">
      <c r="A256" s="884">
        <f t="shared" si="666"/>
        <v>17</v>
      </c>
      <c r="B256" s="900" t="s">
        <v>412</v>
      </c>
      <c r="C256" s="886">
        <v>40179</v>
      </c>
      <c r="D256" s="887">
        <v>8</v>
      </c>
      <c r="E256" s="888">
        <f>9400000*0</f>
        <v>0</v>
      </c>
      <c r="F256" s="889">
        <f t="shared" si="635"/>
        <v>0</v>
      </c>
      <c r="G256" s="890">
        <f t="shared" si="636"/>
        <v>0</v>
      </c>
      <c r="H256" s="890">
        <f t="shared" si="637"/>
        <v>0</v>
      </c>
      <c r="I256" s="890">
        <f t="shared" si="638"/>
        <v>0</v>
      </c>
      <c r="J256" s="890">
        <f t="shared" si="639"/>
        <v>0</v>
      </c>
      <c r="K256" s="890">
        <f t="shared" si="640"/>
        <v>0</v>
      </c>
      <c r="L256" s="890">
        <f t="shared" si="641"/>
        <v>0</v>
      </c>
      <c r="M256" s="890">
        <f t="shared" si="642"/>
        <v>0</v>
      </c>
      <c r="N256" s="890">
        <f t="shared" si="643"/>
        <v>0</v>
      </c>
      <c r="O256" s="890">
        <f t="shared" si="644"/>
        <v>0</v>
      </c>
      <c r="P256" s="890">
        <f t="shared" si="645"/>
        <v>0</v>
      </c>
      <c r="Q256" s="890">
        <f t="shared" si="646"/>
        <v>0</v>
      </c>
      <c r="R256" s="890">
        <f t="shared" si="647"/>
        <v>0</v>
      </c>
      <c r="S256" s="890">
        <f t="shared" si="648"/>
        <v>0</v>
      </c>
      <c r="T256" s="890">
        <f t="shared" si="649"/>
        <v>0</v>
      </c>
      <c r="U256" s="890">
        <f t="shared" si="650"/>
        <v>0</v>
      </c>
      <c r="V256" s="890">
        <f t="shared" si="651"/>
        <v>0</v>
      </c>
      <c r="W256" s="890">
        <f t="shared" si="652"/>
        <v>0</v>
      </c>
      <c r="X256" s="890">
        <f t="shared" si="653"/>
        <v>0</v>
      </c>
      <c r="Y256" s="890">
        <f>4700000*0</f>
        <v>0</v>
      </c>
      <c r="Z256" s="890">
        <f t="shared" si="654"/>
        <v>0</v>
      </c>
      <c r="AA256" s="890">
        <f t="shared" si="655"/>
        <v>0</v>
      </c>
      <c r="AB256" s="890">
        <f t="shared" si="656"/>
        <v>0</v>
      </c>
      <c r="AC256" s="890">
        <f t="shared" si="657"/>
        <v>0</v>
      </c>
      <c r="AD256" s="890">
        <f t="shared" si="658"/>
        <v>0</v>
      </c>
      <c r="AE256" s="890">
        <f t="shared" si="659"/>
        <v>0</v>
      </c>
      <c r="AF256" s="890">
        <f t="shared" si="660"/>
        <v>0</v>
      </c>
      <c r="AG256" s="890">
        <f t="shared" si="661"/>
        <v>0</v>
      </c>
      <c r="AH256" s="890">
        <f t="shared" si="662"/>
        <v>0</v>
      </c>
      <c r="AI256" s="890">
        <f t="shared" si="663"/>
        <v>0</v>
      </c>
      <c r="AJ256" s="890"/>
      <c r="AK256" s="890"/>
      <c r="AL256" s="890"/>
      <c r="AM256" s="890"/>
      <c r="AN256" s="890"/>
      <c r="AO256" s="890"/>
      <c r="AP256" s="890">
        <f t="shared" si="664"/>
        <v>0</v>
      </c>
      <c r="AQ256" s="890">
        <f t="shared" si="537"/>
        <v>0</v>
      </c>
      <c r="AR256" s="890">
        <f t="shared" si="665"/>
        <v>0</v>
      </c>
      <c r="AS256" s="1158">
        <f t="shared" si="538"/>
        <v>0</v>
      </c>
      <c r="AT256" s="1158">
        <f t="shared" si="539"/>
        <v>0</v>
      </c>
      <c r="AU256" s="1158"/>
      <c r="AV256" s="1158"/>
      <c r="AW256" s="1158"/>
      <c r="AX256" s="1158"/>
      <c r="AY256" s="179"/>
      <c r="AZ256" s="8">
        <f t="shared" si="540"/>
        <v>0</v>
      </c>
      <c r="BB256" s="221"/>
      <c r="BC256" s="179"/>
    </row>
    <row r="257" spans="1:55" s="220" customFormat="1" ht="14.25" hidden="1" customHeight="1">
      <c r="A257" s="884">
        <f t="shared" si="666"/>
        <v>18</v>
      </c>
      <c r="B257" s="900" t="s">
        <v>646</v>
      </c>
      <c r="C257" s="886">
        <v>40179</v>
      </c>
      <c r="D257" s="887">
        <v>8</v>
      </c>
      <c r="E257" s="888">
        <f>332800000*0</f>
        <v>0</v>
      </c>
      <c r="F257" s="889">
        <f t="shared" si="635"/>
        <v>0</v>
      </c>
      <c r="G257" s="890">
        <f t="shared" si="636"/>
        <v>0</v>
      </c>
      <c r="H257" s="890">
        <f t="shared" si="637"/>
        <v>0</v>
      </c>
      <c r="I257" s="890">
        <f t="shared" si="638"/>
        <v>0</v>
      </c>
      <c r="J257" s="890">
        <f t="shared" si="639"/>
        <v>0</v>
      </c>
      <c r="K257" s="890">
        <f t="shared" si="640"/>
        <v>0</v>
      </c>
      <c r="L257" s="890">
        <f t="shared" si="641"/>
        <v>0</v>
      </c>
      <c r="M257" s="890">
        <f t="shared" si="642"/>
        <v>0</v>
      </c>
      <c r="N257" s="890">
        <f t="shared" si="643"/>
        <v>0</v>
      </c>
      <c r="O257" s="890">
        <f t="shared" si="644"/>
        <v>0</v>
      </c>
      <c r="P257" s="890">
        <f t="shared" si="645"/>
        <v>0</v>
      </c>
      <c r="Q257" s="890">
        <f t="shared" si="646"/>
        <v>0</v>
      </c>
      <c r="R257" s="890">
        <f t="shared" si="647"/>
        <v>0</v>
      </c>
      <c r="S257" s="890">
        <f t="shared" si="648"/>
        <v>0</v>
      </c>
      <c r="T257" s="890">
        <f t="shared" si="649"/>
        <v>0</v>
      </c>
      <c r="U257" s="890">
        <f t="shared" si="650"/>
        <v>0</v>
      </c>
      <c r="V257" s="890">
        <f t="shared" si="651"/>
        <v>0</v>
      </c>
      <c r="W257" s="890">
        <f t="shared" si="652"/>
        <v>0</v>
      </c>
      <c r="X257" s="890">
        <f t="shared" si="653"/>
        <v>0</v>
      </c>
      <c r="Y257" s="890">
        <f>166400000*0</f>
        <v>0</v>
      </c>
      <c r="Z257" s="890">
        <f t="shared" si="654"/>
        <v>0</v>
      </c>
      <c r="AA257" s="890">
        <f t="shared" si="655"/>
        <v>0</v>
      </c>
      <c r="AB257" s="890">
        <f t="shared" si="656"/>
        <v>0</v>
      </c>
      <c r="AC257" s="890">
        <f t="shared" si="657"/>
        <v>0</v>
      </c>
      <c r="AD257" s="890">
        <f t="shared" si="658"/>
        <v>0</v>
      </c>
      <c r="AE257" s="890">
        <f t="shared" si="659"/>
        <v>0</v>
      </c>
      <c r="AF257" s="890">
        <f t="shared" si="660"/>
        <v>0</v>
      </c>
      <c r="AG257" s="890">
        <f t="shared" si="661"/>
        <v>0</v>
      </c>
      <c r="AH257" s="890">
        <f t="shared" si="662"/>
        <v>0</v>
      </c>
      <c r="AI257" s="890">
        <f t="shared" si="663"/>
        <v>0</v>
      </c>
      <c r="AJ257" s="890"/>
      <c r="AK257" s="890"/>
      <c r="AL257" s="890"/>
      <c r="AM257" s="890"/>
      <c r="AN257" s="890"/>
      <c r="AO257" s="890"/>
      <c r="AP257" s="890">
        <f t="shared" si="664"/>
        <v>0</v>
      </c>
      <c r="AQ257" s="890">
        <f t="shared" si="537"/>
        <v>0</v>
      </c>
      <c r="AR257" s="890">
        <f t="shared" si="665"/>
        <v>0</v>
      </c>
      <c r="AS257" s="1158">
        <f t="shared" si="538"/>
        <v>0</v>
      </c>
      <c r="AT257" s="1158">
        <f t="shared" si="539"/>
        <v>0</v>
      </c>
      <c r="AU257" s="1158"/>
      <c r="AV257" s="1158"/>
      <c r="AW257" s="1158"/>
      <c r="AX257" s="1158"/>
      <c r="AY257" s="179"/>
      <c r="AZ257" s="8">
        <f t="shared" si="540"/>
        <v>0</v>
      </c>
      <c r="BB257" s="221"/>
      <c r="BC257" s="179"/>
    </row>
    <row r="258" spans="1:55" s="220" customFormat="1" ht="14.25" hidden="1" customHeight="1">
      <c r="A258" s="884">
        <f t="shared" si="666"/>
        <v>19</v>
      </c>
      <c r="B258" s="900" t="s">
        <v>647</v>
      </c>
      <c r="C258" s="886">
        <v>40179</v>
      </c>
      <c r="D258" s="887">
        <v>8</v>
      </c>
      <c r="E258" s="888">
        <f>40000000*0</f>
        <v>0</v>
      </c>
      <c r="F258" s="889">
        <f t="shared" si="635"/>
        <v>0</v>
      </c>
      <c r="G258" s="890">
        <f t="shared" si="636"/>
        <v>0</v>
      </c>
      <c r="H258" s="890">
        <f t="shared" si="637"/>
        <v>0</v>
      </c>
      <c r="I258" s="890">
        <f t="shared" si="638"/>
        <v>0</v>
      </c>
      <c r="J258" s="890">
        <f t="shared" si="639"/>
        <v>0</v>
      </c>
      <c r="K258" s="890">
        <f t="shared" si="640"/>
        <v>0</v>
      </c>
      <c r="L258" s="890">
        <f t="shared" si="641"/>
        <v>0</v>
      </c>
      <c r="M258" s="890">
        <f t="shared" si="642"/>
        <v>0</v>
      </c>
      <c r="N258" s="890">
        <f t="shared" si="643"/>
        <v>0</v>
      </c>
      <c r="O258" s="890">
        <f t="shared" si="644"/>
        <v>0</v>
      </c>
      <c r="P258" s="890">
        <f t="shared" si="645"/>
        <v>0</v>
      </c>
      <c r="Q258" s="890">
        <f t="shared" si="646"/>
        <v>0</v>
      </c>
      <c r="R258" s="890">
        <f t="shared" si="647"/>
        <v>0</v>
      </c>
      <c r="S258" s="890">
        <f t="shared" si="648"/>
        <v>0</v>
      </c>
      <c r="T258" s="890">
        <f t="shared" si="649"/>
        <v>0</v>
      </c>
      <c r="U258" s="890">
        <f t="shared" si="650"/>
        <v>0</v>
      </c>
      <c r="V258" s="890">
        <f t="shared" si="651"/>
        <v>0</v>
      </c>
      <c r="W258" s="890">
        <f t="shared" si="652"/>
        <v>0</v>
      </c>
      <c r="X258" s="890">
        <f t="shared" si="653"/>
        <v>0</v>
      </c>
      <c r="Y258" s="890">
        <f>20000000*0</f>
        <v>0</v>
      </c>
      <c r="Z258" s="890">
        <f t="shared" si="654"/>
        <v>0</v>
      </c>
      <c r="AA258" s="890">
        <f t="shared" si="655"/>
        <v>0</v>
      </c>
      <c r="AB258" s="890">
        <f t="shared" si="656"/>
        <v>0</v>
      </c>
      <c r="AC258" s="890">
        <f t="shared" si="657"/>
        <v>0</v>
      </c>
      <c r="AD258" s="890">
        <f t="shared" si="658"/>
        <v>0</v>
      </c>
      <c r="AE258" s="890">
        <f t="shared" si="659"/>
        <v>0</v>
      </c>
      <c r="AF258" s="890">
        <f t="shared" si="660"/>
        <v>0</v>
      </c>
      <c r="AG258" s="890">
        <f t="shared" si="661"/>
        <v>0</v>
      </c>
      <c r="AH258" s="890">
        <f t="shared" si="662"/>
        <v>0</v>
      </c>
      <c r="AI258" s="890">
        <f t="shared" si="663"/>
        <v>0</v>
      </c>
      <c r="AJ258" s="890"/>
      <c r="AK258" s="890"/>
      <c r="AL258" s="890"/>
      <c r="AM258" s="890"/>
      <c r="AN258" s="890"/>
      <c r="AO258" s="890"/>
      <c r="AP258" s="890">
        <f t="shared" si="664"/>
        <v>0</v>
      </c>
      <c r="AQ258" s="890">
        <f t="shared" si="537"/>
        <v>0</v>
      </c>
      <c r="AR258" s="890">
        <f t="shared" si="665"/>
        <v>0</v>
      </c>
      <c r="AS258" s="1158">
        <f t="shared" si="538"/>
        <v>0</v>
      </c>
      <c r="AT258" s="1158">
        <f t="shared" si="539"/>
        <v>0</v>
      </c>
      <c r="AU258" s="1158"/>
      <c r="AV258" s="1158"/>
      <c r="AW258" s="1158"/>
      <c r="AX258" s="1158"/>
      <c r="AY258" s="179"/>
      <c r="AZ258" s="8">
        <f t="shared" si="540"/>
        <v>0</v>
      </c>
      <c r="BB258" s="221"/>
      <c r="BC258" s="179"/>
    </row>
    <row r="259" spans="1:55" s="220" customFormat="1" ht="14.25" hidden="1" customHeight="1">
      <c r="A259" s="884">
        <f t="shared" si="666"/>
        <v>20</v>
      </c>
      <c r="B259" s="900" t="s">
        <v>648</v>
      </c>
      <c r="C259" s="886">
        <v>40544</v>
      </c>
      <c r="D259" s="887">
        <v>8</v>
      </c>
      <c r="E259" s="888">
        <f>14700000*0</f>
        <v>0</v>
      </c>
      <c r="F259" s="889">
        <f t="shared" si="635"/>
        <v>0</v>
      </c>
      <c r="G259" s="890">
        <f>(F259/12)*(13-IF(C259="","",MONTH(C259)))*4</f>
        <v>0</v>
      </c>
      <c r="H259" s="890">
        <f t="shared" si="637"/>
        <v>0</v>
      </c>
      <c r="I259" s="890">
        <f t="shared" si="638"/>
        <v>0</v>
      </c>
      <c r="J259" s="890">
        <f t="shared" si="639"/>
        <v>0</v>
      </c>
      <c r="K259" s="890">
        <f t="shared" si="640"/>
        <v>0</v>
      </c>
      <c r="L259" s="890">
        <f t="shared" si="641"/>
        <v>0</v>
      </c>
      <c r="M259" s="890">
        <f t="shared" si="642"/>
        <v>0</v>
      </c>
      <c r="N259" s="890">
        <f t="shared" si="643"/>
        <v>0</v>
      </c>
      <c r="O259" s="890">
        <f t="shared" si="644"/>
        <v>0</v>
      </c>
      <c r="P259" s="890">
        <f t="shared" si="645"/>
        <v>0</v>
      </c>
      <c r="Q259" s="890">
        <f t="shared" si="646"/>
        <v>0</v>
      </c>
      <c r="R259" s="890">
        <f t="shared" si="647"/>
        <v>0</v>
      </c>
      <c r="S259" s="890">
        <f t="shared" si="648"/>
        <v>0</v>
      </c>
      <c r="T259" s="890">
        <f t="shared" si="649"/>
        <v>0</v>
      </c>
      <c r="U259" s="890">
        <f t="shared" si="650"/>
        <v>0</v>
      </c>
      <c r="V259" s="890">
        <f t="shared" si="651"/>
        <v>0</v>
      </c>
      <c r="W259" s="890">
        <f t="shared" si="652"/>
        <v>0</v>
      </c>
      <c r="X259" s="890">
        <f t="shared" si="653"/>
        <v>0</v>
      </c>
      <c r="Y259" s="890">
        <f>7350000*0</f>
        <v>0</v>
      </c>
      <c r="Z259" s="890">
        <f t="shared" si="654"/>
        <v>0</v>
      </c>
      <c r="AA259" s="890">
        <f t="shared" si="655"/>
        <v>0</v>
      </c>
      <c r="AB259" s="890">
        <f t="shared" si="656"/>
        <v>0</v>
      </c>
      <c r="AC259" s="890">
        <f t="shared" si="657"/>
        <v>0</v>
      </c>
      <c r="AD259" s="890">
        <f t="shared" si="658"/>
        <v>0</v>
      </c>
      <c r="AE259" s="890">
        <f t="shared" si="659"/>
        <v>0</v>
      </c>
      <c r="AF259" s="890">
        <f t="shared" si="660"/>
        <v>0</v>
      </c>
      <c r="AG259" s="890">
        <f t="shared" si="661"/>
        <v>0</v>
      </c>
      <c r="AH259" s="890">
        <f t="shared" si="662"/>
        <v>0</v>
      </c>
      <c r="AI259" s="890">
        <f t="shared" si="663"/>
        <v>0</v>
      </c>
      <c r="AJ259" s="890"/>
      <c r="AK259" s="890"/>
      <c r="AL259" s="890"/>
      <c r="AM259" s="890"/>
      <c r="AN259" s="890"/>
      <c r="AO259" s="890"/>
      <c r="AP259" s="890">
        <f t="shared" si="664"/>
        <v>0</v>
      </c>
      <c r="AQ259" s="890">
        <f t="shared" si="537"/>
        <v>0</v>
      </c>
      <c r="AR259" s="890">
        <f t="shared" si="665"/>
        <v>0</v>
      </c>
      <c r="AS259" s="1158">
        <f t="shared" si="538"/>
        <v>0</v>
      </c>
      <c r="AT259" s="1158">
        <f t="shared" si="539"/>
        <v>0</v>
      </c>
      <c r="AU259" s="1158"/>
      <c r="AV259" s="1158"/>
      <c r="AW259" s="1158"/>
      <c r="AX259" s="1158"/>
      <c r="AY259" s="179"/>
      <c r="AZ259" s="8">
        <f t="shared" si="540"/>
        <v>0</v>
      </c>
      <c r="BB259" s="221"/>
      <c r="BC259" s="179"/>
    </row>
    <row r="260" spans="1:55" s="220" customFormat="1" ht="14.25" hidden="1" customHeight="1">
      <c r="A260" s="884">
        <f t="shared" si="666"/>
        <v>21</v>
      </c>
      <c r="B260" s="900" t="s">
        <v>649</v>
      </c>
      <c r="C260" s="886">
        <v>40544</v>
      </c>
      <c r="D260" s="887">
        <v>8</v>
      </c>
      <c r="E260" s="888">
        <f>77500000*0</f>
        <v>0</v>
      </c>
      <c r="F260" s="889">
        <f t="shared" si="635"/>
        <v>0</v>
      </c>
      <c r="G260" s="890">
        <f>(F260/12)*(13-IF(C260="","",MONTH(C260)))*4</f>
        <v>0</v>
      </c>
      <c r="H260" s="890">
        <f t="shared" si="637"/>
        <v>0</v>
      </c>
      <c r="I260" s="890">
        <f t="shared" si="638"/>
        <v>0</v>
      </c>
      <c r="J260" s="890">
        <f t="shared" si="639"/>
        <v>0</v>
      </c>
      <c r="K260" s="890">
        <f t="shared" si="640"/>
        <v>0</v>
      </c>
      <c r="L260" s="890">
        <f t="shared" si="641"/>
        <v>0</v>
      </c>
      <c r="M260" s="890">
        <f t="shared" si="642"/>
        <v>0</v>
      </c>
      <c r="N260" s="890">
        <f t="shared" si="643"/>
        <v>0</v>
      </c>
      <c r="O260" s="890">
        <f t="shared" si="644"/>
        <v>0</v>
      </c>
      <c r="P260" s="890">
        <f t="shared" si="645"/>
        <v>0</v>
      </c>
      <c r="Q260" s="890">
        <f t="shared" si="646"/>
        <v>0</v>
      </c>
      <c r="R260" s="890">
        <f t="shared" si="647"/>
        <v>0</v>
      </c>
      <c r="S260" s="890">
        <f t="shared" si="648"/>
        <v>0</v>
      </c>
      <c r="T260" s="890">
        <f t="shared" si="649"/>
        <v>0</v>
      </c>
      <c r="U260" s="890">
        <f t="shared" si="650"/>
        <v>0</v>
      </c>
      <c r="V260" s="890">
        <f t="shared" si="651"/>
        <v>0</v>
      </c>
      <c r="W260" s="890">
        <f t="shared" si="652"/>
        <v>0</v>
      </c>
      <c r="X260" s="890">
        <f t="shared" si="653"/>
        <v>0</v>
      </c>
      <c r="Y260" s="890">
        <f>38750000*0</f>
        <v>0</v>
      </c>
      <c r="Z260" s="890">
        <f t="shared" si="654"/>
        <v>0</v>
      </c>
      <c r="AA260" s="890">
        <f t="shared" si="655"/>
        <v>0</v>
      </c>
      <c r="AB260" s="890">
        <f t="shared" si="656"/>
        <v>0</v>
      </c>
      <c r="AC260" s="890">
        <f t="shared" si="657"/>
        <v>0</v>
      </c>
      <c r="AD260" s="890">
        <f t="shared" si="658"/>
        <v>0</v>
      </c>
      <c r="AE260" s="890">
        <f t="shared" si="659"/>
        <v>0</v>
      </c>
      <c r="AF260" s="890">
        <f t="shared" si="660"/>
        <v>0</v>
      </c>
      <c r="AG260" s="890">
        <f t="shared" si="661"/>
        <v>0</v>
      </c>
      <c r="AH260" s="890">
        <f t="shared" si="662"/>
        <v>0</v>
      </c>
      <c r="AI260" s="890">
        <f t="shared" si="663"/>
        <v>0</v>
      </c>
      <c r="AJ260" s="890"/>
      <c r="AK260" s="890"/>
      <c r="AL260" s="890"/>
      <c r="AM260" s="890"/>
      <c r="AN260" s="890"/>
      <c r="AO260" s="890"/>
      <c r="AP260" s="890">
        <f t="shared" si="664"/>
        <v>0</v>
      </c>
      <c r="AQ260" s="890">
        <f t="shared" si="537"/>
        <v>0</v>
      </c>
      <c r="AR260" s="890">
        <f t="shared" si="665"/>
        <v>0</v>
      </c>
      <c r="AS260" s="1158">
        <f t="shared" si="538"/>
        <v>0</v>
      </c>
      <c r="AT260" s="1158">
        <f t="shared" si="539"/>
        <v>0</v>
      </c>
      <c r="AU260" s="1158"/>
      <c r="AV260" s="1158"/>
      <c r="AW260" s="1158"/>
      <c r="AX260" s="1158"/>
      <c r="AY260" s="179"/>
      <c r="AZ260" s="8">
        <f t="shared" si="540"/>
        <v>0</v>
      </c>
      <c r="BB260" s="221"/>
      <c r="BC260" s="179"/>
    </row>
    <row r="261" spans="1:55" s="220" customFormat="1" ht="14.25" hidden="1" customHeight="1">
      <c r="A261" s="884">
        <f t="shared" si="666"/>
        <v>22</v>
      </c>
      <c r="B261" s="900" t="s">
        <v>650</v>
      </c>
      <c r="C261" s="886">
        <v>40544</v>
      </c>
      <c r="D261" s="887">
        <v>8</v>
      </c>
      <c r="E261" s="888">
        <f>13800000*0</f>
        <v>0</v>
      </c>
      <c r="F261" s="889">
        <f t="shared" si="635"/>
        <v>0</v>
      </c>
      <c r="G261" s="890">
        <f>(F261/12)*(13-IF(C261="","",MONTH(C261)))*4</f>
        <v>0</v>
      </c>
      <c r="H261" s="890">
        <f t="shared" si="637"/>
        <v>0</v>
      </c>
      <c r="I261" s="890">
        <f t="shared" si="638"/>
        <v>0</v>
      </c>
      <c r="J261" s="890">
        <f t="shared" si="639"/>
        <v>0</v>
      </c>
      <c r="K261" s="890">
        <f t="shared" si="640"/>
        <v>0</v>
      </c>
      <c r="L261" s="890">
        <f t="shared" si="641"/>
        <v>0</v>
      </c>
      <c r="M261" s="890">
        <f t="shared" si="642"/>
        <v>0</v>
      </c>
      <c r="N261" s="890">
        <f t="shared" si="643"/>
        <v>0</v>
      </c>
      <c r="O261" s="890">
        <f t="shared" si="644"/>
        <v>0</v>
      </c>
      <c r="P261" s="890">
        <f t="shared" si="645"/>
        <v>0</v>
      </c>
      <c r="Q261" s="890">
        <f t="shared" si="646"/>
        <v>0</v>
      </c>
      <c r="R261" s="890">
        <f t="shared" si="647"/>
        <v>0</v>
      </c>
      <c r="S261" s="890">
        <f t="shared" si="648"/>
        <v>0</v>
      </c>
      <c r="T261" s="890">
        <f t="shared" si="649"/>
        <v>0</v>
      </c>
      <c r="U261" s="890">
        <f t="shared" si="650"/>
        <v>0</v>
      </c>
      <c r="V261" s="890">
        <f t="shared" si="651"/>
        <v>0</v>
      </c>
      <c r="W261" s="890">
        <f t="shared" si="652"/>
        <v>0</v>
      </c>
      <c r="X261" s="890">
        <f t="shared" si="653"/>
        <v>0</v>
      </c>
      <c r="Y261" s="890">
        <f>6900000*0</f>
        <v>0</v>
      </c>
      <c r="Z261" s="890">
        <f t="shared" si="654"/>
        <v>0</v>
      </c>
      <c r="AA261" s="890">
        <f t="shared" si="655"/>
        <v>0</v>
      </c>
      <c r="AB261" s="890">
        <f t="shared" si="656"/>
        <v>0</v>
      </c>
      <c r="AC261" s="890">
        <f t="shared" si="657"/>
        <v>0</v>
      </c>
      <c r="AD261" s="890">
        <f t="shared" si="658"/>
        <v>0</v>
      </c>
      <c r="AE261" s="890">
        <f t="shared" si="659"/>
        <v>0</v>
      </c>
      <c r="AF261" s="890">
        <f t="shared" si="660"/>
        <v>0</v>
      </c>
      <c r="AG261" s="890">
        <f t="shared" si="661"/>
        <v>0</v>
      </c>
      <c r="AH261" s="890">
        <f t="shared" si="662"/>
        <v>0</v>
      </c>
      <c r="AI261" s="890">
        <f t="shared" si="663"/>
        <v>0</v>
      </c>
      <c r="AJ261" s="890"/>
      <c r="AK261" s="890"/>
      <c r="AL261" s="890"/>
      <c r="AM261" s="890"/>
      <c r="AN261" s="890"/>
      <c r="AO261" s="890"/>
      <c r="AP261" s="890">
        <f t="shared" si="664"/>
        <v>0</v>
      </c>
      <c r="AQ261" s="890">
        <f t="shared" si="537"/>
        <v>0</v>
      </c>
      <c r="AR261" s="890">
        <f t="shared" si="665"/>
        <v>0</v>
      </c>
      <c r="AS261" s="1158">
        <f t="shared" si="538"/>
        <v>0</v>
      </c>
      <c r="AT261" s="1158">
        <f t="shared" si="539"/>
        <v>0</v>
      </c>
      <c r="AU261" s="1158"/>
      <c r="AV261" s="1158"/>
      <c r="AW261" s="1158"/>
      <c r="AX261" s="1158"/>
      <c r="AY261" s="179"/>
      <c r="AZ261" s="8">
        <f t="shared" si="540"/>
        <v>0</v>
      </c>
      <c r="BB261" s="221"/>
      <c r="BC261" s="179"/>
    </row>
    <row r="262" spans="1:55" s="220" customFormat="1" ht="14.25" hidden="1" customHeight="1">
      <c r="A262" s="884">
        <f t="shared" si="666"/>
        <v>23</v>
      </c>
      <c r="B262" s="900" t="s">
        <v>651</v>
      </c>
      <c r="C262" s="886">
        <v>40909</v>
      </c>
      <c r="D262" s="887">
        <v>8</v>
      </c>
      <c r="E262" s="888">
        <f>6800000*0</f>
        <v>0</v>
      </c>
      <c r="F262" s="889">
        <f t="shared" si="635"/>
        <v>0</v>
      </c>
      <c r="G262" s="890">
        <f>(F262/12)*(13-IF(C262="","",MONTH(C262)))</f>
        <v>0</v>
      </c>
      <c r="H262" s="890">
        <f t="shared" si="637"/>
        <v>0</v>
      </c>
      <c r="I262" s="890">
        <f t="shared" si="638"/>
        <v>0</v>
      </c>
      <c r="J262" s="890">
        <f t="shared" si="639"/>
        <v>0</v>
      </c>
      <c r="K262" s="890">
        <f t="shared" si="640"/>
        <v>0</v>
      </c>
      <c r="L262" s="890">
        <f t="shared" si="641"/>
        <v>0</v>
      </c>
      <c r="M262" s="890">
        <f t="shared" si="642"/>
        <v>0</v>
      </c>
      <c r="N262" s="890">
        <f t="shared" si="643"/>
        <v>0</v>
      </c>
      <c r="O262" s="890">
        <f t="shared" si="644"/>
        <v>0</v>
      </c>
      <c r="P262" s="890">
        <f t="shared" si="645"/>
        <v>0</v>
      </c>
      <c r="Q262" s="890">
        <f t="shared" si="646"/>
        <v>0</v>
      </c>
      <c r="R262" s="890">
        <f t="shared" si="647"/>
        <v>0</v>
      </c>
      <c r="S262" s="890">
        <f t="shared" si="648"/>
        <v>0</v>
      </c>
      <c r="T262" s="890">
        <f t="shared" si="649"/>
        <v>0</v>
      </c>
      <c r="U262" s="890">
        <f t="shared" si="650"/>
        <v>0</v>
      </c>
      <c r="V262" s="890">
        <f t="shared" si="651"/>
        <v>0</v>
      </c>
      <c r="W262" s="890">
        <f t="shared" si="652"/>
        <v>0</v>
      </c>
      <c r="X262" s="890">
        <f t="shared" si="653"/>
        <v>0</v>
      </c>
      <c r="Y262" s="890">
        <f>3400000*0</f>
        <v>0</v>
      </c>
      <c r="Z262" s="890">
        <f t="shared" si="654"/>
        <v>0</v>
      </c>
      <c r="AA262" s="890">
        <f t="shared" si="655"/>
        <v>0</v>
      </c>
      <c r="AB262" s="890">
        <f t="shared" si="656"/>
        <v>0</v>
      </c>
      <c r="AC262" s="890">
        <f t="shared" si="657"/>
        <v>0</v>
      </c>
      <c r="AD262" s="890">
        <f t="shared" si="658"/>
        <v>0</v>
      </c>
      <c r="AE262" s="890">
        <f t="shared" si="659"/>
        <v>0</v>
      </c>
      <c r="AF262" s="890">
        <f t="shared" si="660"/>
        <v>0</v>
      </c>
      <c r="AG262" s="890">
        <f t="shared" si="661"/>
        <v>0</v>
      </c>
      <c r="AH262" s="890">
        <f t="shared" si="662"/>
        <v>0</v>
      </c>
      <c r="AI262" s="890">
        <f t="shared" si="663"/>
        <v>0</v>
      </c>
      <c r="AJ262" s="890"/>
      <c r="AK262" s="890"/>
      <c r="AL262" s="890"/>
      <c r="AM262" s="890"/>
      <c r="AN262" s="890"/>
      <c r="AO262" s="890"/>
      <c r="AP262" s="890">
        <f t="shared" si="664"/>
        <v>0</v>
      </c>
      <c r="AQ262" s="890">
        <f t="shared" ref="AQ262:AQ310" si="667">AH262+AP262</f>
        <v>0</v>
      </c>
      <c r="AR262" s="890">
        <f t="shared" si="665"/>
        <v>0</v>
      </c>
      <c r="AS262" s="1158">
        <f t="shared" ref="AS262:AS308" si="668">(F262/12)*1</f>
        <v>0</v>
      </c>
      <c r="AT262" s="1158">
        <f t="shared" si="539"/>
        <v>0</v>
      </c>
      <c r="AU262" s="1158"/>
      <c r="AV262" s="1158"/>
      <c r="AW262" s="1158"/>
      <c r="AX262" s="1158"/>
      <c r="AY262" s="179"/>
      <c r="AZ262" s="8">
        <f t="shared" ref="AZ262:AZ308" si="669">E262-AQ262-AR262</f>
        <v>0</v>
      </c>
      <c r="BB262" s="221"/>
      <c r="BC262" s="179"/>
    </row>
    <row r="263" spans="1:55" s="220" customFormat="1" ht="14.25" hidden="1" customHeight="1">
      <c r="A263" s="884">
        <f t="shared" si="666"/>
        <v>24</v>
      </c>
      <c r="B263" s="900" t="s">
        <v>652</v>
      </c>
      <c r="C263" s="886">
        <v>40909</v>
      </c>
      <c r="D263" s="887">
        <v>8</v>
      </c>
      <c r="E263" s="888">
        <f>12800000*0</f>
        <v>0</v>
      </c>
      <c r="F263" s="889">
        <f t="shared" si="635"/>
        <v>0</v>
      </c>
      <c r="G263" s="890">
        <f>(F263/12)*(13-IF(C263="","",MONTH(C263)))</f>
        <v>0</v>
      </c>
      <c r="H263" s="890">
        <f t="shared" si="637"/>
        <v>0</v>
      </c>
      <c r="I263" s="890">
        <f t="shared" si="638"/>
        <v>0</v>
      </c>
      <c r="J263" s="890">
        <f t="shared" si="639"/>
        <v>0</v>
      </c>
      <c r="K263" s="890">
        <f t="shared" si="640"/>
        <v>0</v>
      </c>
      <c r="L263" s="890">
        <f t="shared" si="641"/>
        <v>0</v>
      </c>
      <c r="M263" s="890">
        <f t="shared" si="642"/>
        <v>0</v>
      </c>
      <c r="N263" s="890">
        <f t="shared" si="643"/>
        <v>0</v>
      </c>
      <c r="O263" s="890">
        <f t="shared" si="644"/>
        <v>0</v>
      </c>
      <c r="P263" s="890">
        <f t="shared" si="645"/>
        <v>0</v>
      </c>
      <c r="Q263" s="890">
        <f t="shared" si="646"/>
        <v>0</v>
      </c>
      <c r="R263" s="890">
        <f t="shared" si="647"/>
        <v>0</v>
      </c>
      <c r="S263" s="890">
        <f t="shared" si="648"/>
        <v>0</v>
      </c>
      <c r="T263" s="890">
        <f t="shared" si="649"/>
        <v>0</v>
      </c>
      <c r="U263" s="890">
        <f t="shared" si="650"/>
        <v>0</v>
      </c>
      <c r="V263" s="890">
        <f t="shared" si="651"/>
        <v>0</v>
      </c>
      <c r="W263" s="890">
        <f t="shared" si="652"/>
        <v>0</v>
      </c>
      <c r="X263" s="890">
        <f t="shared" si="653"/>
        <v>0</v>
      </c>
      <c r="Y263" s="890">
        <f>6400000*0</f>
        <v>0</v>
      </c>
      <c r="Z263" s="890">
        <f t="shared" si="654"/>
        <v>0</v>
      </c>
      <c r="AA263" s="890">
        <f t="shared" si="655"/>
        <v>0</v>
      </c>
      <c r="AB263" s="890">
        <f t="shared" si="656"/>
        <v>0</v>
      </c>
      <c r="AC263" s="890">
        <f t="shared" si="657"/>
        <v>0</v>
      </c>
      <c r="AD263" s="890">
        <f t="shared" si="658"/>
        <v>0</v>
      </c>
      <c r="AE263" s="890">
        <f t="shared" si="659"/>
        <v>0</v>
      </c>
      <c r="AF263" s="890">
        <f t="shared" si="660"/>
        <v>0</v>
      </c>
      <c r="AG263" s="890">
        <f t="shared" si="661"/>
        <v>0</v>
      </c>
      <c r="AH263" s="890">
        <f t="shared" si="662"/>
        <v>0</v>
      </c>
      <c r="AI263" s="890">
        <f t="shared" si="663"/>
        <v>0</v>
      </c>
      <c r="AJ263" s="890"/>
      <c r="AK263" s="890"/>
      <c r="AL263" s="890"/>
      <c r="AM263" s="890"/>
      <c r="AN263" s="890"/>
      <c r="AO263" s="890"/>
      <c r="AP263" s="890">
        <f t="shared" si="664"/>
        <v>0</v>
      </c>
      <c r="AQ263" s="890">
        <f t="shared" si="667"/>
        <v>0</v>
      </c>
      <c r="AR263" s="890">
        <f t="shared" si="665"/>
        <v>0</v>
      </c>
      <c r="AS263" s="1158">
        <f t="shared" si="668"/>
        <v>0</v>
      </c>
      <c r="AT263" s="1158">
        <f t="shared" ref="AT263:AT312" si="670">AQ263+AS263</f>
        <v>0</v>
      </c>
      <c r="AU263" s="1158"/>
      <c r="AV263" s="1158"/>
      <c r="AW263" s="1158"/>
      <c r="AX263" s="1158"/>
      <c r="AY263" s="179"/>
      <c r="AZ263" s="8">
        <f t="shared" si="669"/>
        <v>0</v>
      </c>
      <c r="BB263" s="221"/>
      <c r="BC263" s="179"/>
    </row>
    <row r="264" spans="1:55" s="220" customFormat="1" ht="14.25" hidden="1" customHeight="1">
      <c r="A264" s="884">
        <f t="shared" si="666"/>
        <v>25</v>
      </c>
      <c r="B264" s="900" t="s">
        <v>653</v>
      </c>
      <c r="C264" s="886">
        <v>41275</v>
      </c>
      <c r="D264" s="887">
        <v>8</v>
      </c>
      <c r="E264" s="888">
        <f>57400000*0</f>
        <v>0</v>
      </c>
      <c r="F264" s="889">
        <f t="shared" si="635"/>
        <v>0</v>
      </c>
      <c r="G264" s="890">
        <f t="shared" ref="G264:G270" si="671">(F264/12)*(13-IF(C264="","",MONTH(C264)))*2</f>
        <v>0</v>
      </c>
      <c r="H264" s="890">
        <f t="shared" si="637"/>
        <v>0</v>
      </c>
      <c r="I264" s="890">
        <f t="shared" si="638"/>
        <v>0</v>
      </c>
      <c r="J264" s="890">
        <f t="shared" si="639"/>
        <v>0</v>
      </c>
      <c r="K264" s="890">
        <f t="shared" si="640"/>
        <v>0</v>
      </c>
      <c r="L264" s="890">
        <f t="shared" si="641"/>
        <v>0</v>
      </c>
      <c r="M264" s="890">
        <f t="shared" si="642"/>
        <v>0</v>
      </c>
      <c r="N264" s="890">
        <f t="shared" si="643"/>
        <v>0</v>
      </c>
      <c r="O264" s="890">
        <f t="shared" si="644"/>
        <v>0</v>
      </c>
      <c r="P264" s="890">
        <f t="shared" si="645"/>
        <v>0</v>
      </c>
      <c r="Q264" s="890">
        <f t="shared" si="646"/>
        <v>0</v>
      </c>
      <c r="R264" s="890">
        <f t="shared" si="647"/>
        <v>0</v>
      </c>
      <c r="S264" s="890">
        <f t="shared" si="648"/>
        <v>0</v>
      </c>
      <c r="T264" s="890">
        <f t="shared" si="649"/>
        <v>0</v>
      </c>
      <c r="U264" s="890">
        <f t="shared" si="650"/>
        <v>0</v>
      </c>
      <c r="V264" s="890">
        <f t="shared" si="651"/>
        <v>0</v>
      </c>
      <c r="W264" s="890">
        <f t="shared" si="652"/>
        <v>0</v>
      </c>
      <c r="X264" s="890">
        <f t="shared" si="653"/>
        <v>0</v>
      </c>
      <c r="Y264" s="890">
        <f>28700000*0</f>
        <v>0</v>
      </c>
      <c r="Z264" s="890">
        <f t="shared" si="654"/>
        <v>0</v>
      </c>
      <c r="AA264" s="890">
        <f t="shared" si="655"/>
        <v>0</v>
      </c>
      <c r="AB264" s="890">
        <f t="shared" si="656"/>
        <v>0</v>
      </c>
      <c r="AC264" s="890">
        <f t="shared" si="657"/>
        <v>0</v>
      </c>
      <c r="AD264" s="890">
        <f t="shared" si="658"/>
        <v>0</v>
      </c>
      <c r="AE264" s="890">
        <f t="shared" si="659"/>
        <v>0</v>
      </c>
      <c r="AF264" s="890">
        <f t="shared" si="660"/>
        <v>0</v>
      </c>
      <c r="AG264" s="890">
        <f t="shared" si="661"/>
        <v>0</v>
      </c>
      <c r="AH264" s="890">
        <f t="shared" si="662"/>
        <v>0</v>
      </c>
      <c r="AI264" s="890">
        <f t="shared" si="663"/>
        <v>0</v>
      </c>
      <c r="AJ264" s="890"/>
      <c r="AK264" s="890"/>
      <c r="AL264" s="890"/>
      <c r="AM264" s="890"/>
      <c r="AN264" s="890"/>
      <c r="AO264" s="890"/>
      <c r="AP264" s="890">
        <f t="shared" si="664"/>
        <v>0</v>
      </c>
      <c r="AQ264" s="890">
        <f t="shared" si="667"/>
        <v>0</v>
      </c>
      <c r="AR264" s="890">
        <f t="shared" si="665"/>
        <v>0</v>
      </c>
      <c r="AS264" s="1158">
        <f t="shared" si="668"/>
        <v>0</v>
      </c>
      <c r="AT264" s="1158">
        <f t="shared" si="670"/>
        <v>0</v>
      </c>
      <c r="AU264" s="1158"/>
      <c r="AV264" s="1158"/>
      <c r="AW264" s="1158"/>
      <c r="AX264" s="1158"/>
      <c r="AY264" s="179"/>
      <c r="AZ264" s="8">
        <f t="shared" si="669"/>
        <v>0</v>
      </c>
      <c r="BB264" s="221"/>
      <c r="BC264" s="179"/>
    </row>
    <row r="265" spans="1:55" s="220" customFormat="1" ht="14.25" hidden="1" customHeight="1">
      <c r="A265" s="884">
        <f t="shared" si="666"/>
        <v>26</v>
      </c>
      <c r="B265" s="900" t="s">
        <v>654</v>
      </c>
      <c r="C265" s="886">
        <v>41275</v>
      </c>
      <c r="D265" s="887">
        <v>8</v>
      </c>
      <c r="E265" s="888">
        <f>37000000*0</f>
        <v>0</v>
      </c>
      <c r="F265" s="889">
        <f t="shared" si="635"/>
        <v>0</v>
      </c>
      <c r="G265" s="890">
        <f t="shared" si="671"/>
        <v>0</v>
      </c>
      <c r="H265" s="890">
        <f t="shared" si="637"/>
        <v>0</v>
      </c>
      <c r="I265" s="890">
        <f t="shared" si="638"/>
        <v>0</v>
      </c>
      <c r="J265" s="890">
        <f t="shared" si="639"/>
        <v>0</v>
      </c>
      <c r="K265" s="890">
        <f t="shared" si="640"/>
        <v>0</v>
      </c>
      <c r="L265" s="890">
        <f t="shared" si="641"/>
        <v>0</v>
      </c>
      <c r="M265" s="890">
        <f t="shared" si="642"/>
        <v>0</v>
      </c>
      <c r="N265" s="890">
        <f t="shared" si="643"/>
        <v>0</v>
      </c>
      <c r="O265" s="890">
        <f t="shared" si="644"/>
        <v>0</v>
      </c>
      <c r="P265" s="890">
        <f t="shared" si="645"/>
        <v>0</v>
      </c>
      <c r="Q265" s="890">
        <f t="shared" si="646"/>
        <v>0</v>
      </c>
      <c r="R265" s="890">
        <f t="shared" si="647"/>
        <v>0</v>
      </c>
      <c r="S265" s="890">
        <f t="shared" si="648"/>
        <v>0</v>
      </c>
      <c r="T265" s="890">
        <f t="shared" si="649"/>
        <v>0</v>
      </c>
      <c r="U265" s="890">
        <f t="shared" si="650"/>
        <v>0</v>
      </c>
      <c r="V265" s="890">
        <f t="shared" si="651"/>
        <v>0</v>
      </c>
      <c r="W265" s="890">
        <f t="shared" si="652"/>
        <v>0</v>
      </c>
      <c r="X265" s="890">
        <f t="shared" si="653"/>
        <v>0</v>
      </c>
      <c r="Y265" s="890">
        <f>18500000*0</f>
        <v>0</v>
      </c>
      <c r="Z265" s="890">
        <f t="shared" si="654"/>
        <v>0</v>
      </c>
      <c r="AA265" s="890">
        <f t="shared" si="655"/>
        <v>0</v>
      </c>
      <c r="AB265" s="890">
        <f t="shared" si="656"/>
        <v>0</v>
      </c>
      <c r="AC265" s="890">
        <f t="shared" si="657"/>
        <v>0</v>
      </c>
      <c r="AD265" s="890">
        <f t="shared" si="658"/>
        <v>0</v>
      </c>
      <c r="AE265" s="890">
        <f t="shared" si="659"/>
        <v>0</v>
      </c>
      <c r="AF265" s="890">
        <f t="shared" si="660"/>
        <v>0</v>
      </c>
      <c r="AG265" s="890">
        <f t="shared" si="661"/>
        <v>0</v>
      </c>
      <c r="AH265" s="890">
        <f t="shared" si="662"/>
        <v>0</v>
      </c>
      <c r="AI265" s="890">
        <f t="shared" si="663"/>
        <v>0</v>
      </c>
      <c r="AJ265" s="890"/>
      <c r="AK265" s="890"/>
      <c r="AL265" s="890"/>
      <c r="AM265" s="890"/>
      <c r="AN265" s="890"/>
      <c r="AO265" s="890"/>
      <c r="AP265" s="890">
        <f t="shared" si="664"/>
        <v>0</v>
      </c>
      <c r="AQ265" s="890">
        <f t="shared" si="667"/>
        <v>0</v>
      </c>
      <c r="AR265" s="890">
        <f t="shared" si="665"/>
        <v>0</v>
      </c>
      <c r="AS265" s="1158">
        <f t="shared" si="668"/>
        <v>0</v>
      </c>
      <c r="AT265" s="1158">
        <f t="shared" si="670"/>
        <v>0</v>
      </c>
      <c r="AU265" s="1158"/>
      <c r="AV265" s="1158"/>
      <c r="AW265" s="1158"/>
      <c r="AX265" s="1158"/>
      <c r="AY265" s="179"/>
      <c r="AZ265" s="8">
        <f t="shared" si="669"/>
        <v>0</v>
      </c>
      <c r="BB265" s="221"/>
      <c r="BC265" s="179"/>
    </row>
    <row r="266" spans="1:55" s="220" customFormat="1" ht="14.25" hidden="1" customHeight="1">
      <c r="A266" s="884">
        <f t="shared" si="666"/>
        <v>27</v>
      </c>
      <c r="B266" s="900" t="s">
        <v>655</v>
      </c>
      <c r="C266" s="886">
        <v>41275</v>
      </c>
      <c r="D266" s="887">
        <v>16</v>
      </c>
      <c r="E266" s="888">
        <f>905500000*0</f>
        <v>0</v>
      </c>
      <c r="F266" s="889">
        <f t="shared" si="635"/>
        <v>0</v>
      </c>
      <c r="G266" s="890">
        <f t="shared" si="671"/>
        <v>0</v>
      </c>
      <c r="H266" s="890">
        <f t="shared" si="637"/>
        <v>0</v>
      </c>
      <c r="I266" s="890">
        <f t="shared" si="638"/>
        <v>0</v>
      </c>
      <c r="J266" s="890">
        <f t="shared" si="639"/>
        <v>0</v>
      </c>
      <c r="K266" s="890">
        <f t="shared" si="640"/>
        <v>0</v>
      </c>
      <c r="L266" s="890">
        <f t="shared" si="641"/>
        <v>0</v>
      </c>
      <c r="M266" s="890">
        <f t="shared" si="642"/>
        <v>0</v>
      </c>
      <c r="N266" s="890">
        <f t="shared" si="643"/>
        <v>0</v>
      </c>
      <c r="O266" s="890">
        <f t="shared" si="644"/>
        <v>0</v>
      </c>
      <c r="P266" s="890">
        <f t="shared" si="645"/>
        <v>0</v>
      </c>
      <c r="Q266" s="890">
        <f t="shared" si="646"/>
        <v>0</v>
      </c>
      <c r="R266" s="890">
        <f t="shared" si="647"/>
        <v>0</v>
      </c>
      <c r="S266" s="890">
        <f t="shared" si="648"/>
        <v>0</v>
      </c>
      <c r="T266" s="890">
        <f t="shared" si="649"/>
        <v>0</v>
      </c>
      <c r="U266" s="890">
        <f t="shared" si="650"/>
        <v>0</v>
      </c>
      <c r="V266" s="890">
        <f t="shared" si="651"/>
        <v>0</v>
      </c>
      <c r="W266" s="890">
        <f t="shared" si="652"/>
        <v>0</v>
      </c>
      <c r="X266" s="890">
        <f t="shared" si="653"/>
        <v>0</v>
      </c>
      <c r="Y266" s="890">
        <f>452750000*0</f>
        <v>0</v>
      </c>
      <c r="Z266" s="890">
        <f t="shared" si="654"/>
        <v>0</v>
      </c>
      <c r="AA266" s="890">
        <f t="shared" si="655"/>
        <v>0</v>
      </c>
      <c r="AB266" s="890">
        <f t="shared" si="656"/>
        <v>0</v>
      </c>
      <c r="AC266" s="890">
        <f t="shared" si="657"/>
        <v>0</v>
      </c>
      <c r="AD266" s="890">
        <f t="shared" si="658"/>
        <v>0</v>
      </c>
      <c r="AE266" s="890">
        <f t="shared" si="659"/>
        <v>0</v>
      </c>
      <c r="AF266" s="890">
        <f t="shared" si="660"/>
        <v>0</v>
      </c>
      <c r="AG266" s="890">
        <f t="shared" si="661"/>
        <v>0</v>
      </c>
      <c r="AH266" s="890">
        <f t="shared" si="662"/>
        <v>0</v>
      </c>
      <c r="AI266" s="890">
        <f t="shared" si="663"/>
        <v>0</v>
      </c>
      <c r="AJ266" s="890"/>
      <c r="AK266" s="890"/>
      <c r="AL266" s="890"/>
      <c r="AM266" s="890"/>
      <c r="AN266" s="890"/>
      <c r="AO266" s="890"/>
      <c r="AP266" s="890">
        <f t="shared" si="664"/>
        <v>0</v>
      </c>
      <c r="AQ266" s="890">
        <f t="shared" si="667"/>
        <v>0</v>
      </c>
      <c r="AR266" s="890">
        <f t="shared" si="665"/>
        <v>0</v>
      </c>
      <c r="AS266" s="1158">
        <f t="shared" si="668"/>
        <v>0</v>
      </c>
      <c r="AT266" s="1158">
        <f t="shared" si="670"/>
        <v>0</v>
      </c>
      <c r="AU266" s="1158"/>
      <c r="AV266" s="1158"/>
      <c r="AW266" s="1158"/>
      <c r="AX266" s="1158"/>
      <c r="AY266" s="179"/>
      <c r="AZ266" s="8">
        <f t="shared" si="669"/>
        <v>0</v>
      </c>
      <c r="BB266" s="221"/>
      <c r="BC266" s="179"/>
    </row>
    <row r="267" spans="1:55" s="220" customFormat="1" ht="14.25" hidden="1" customHeight="1">
      <c r="A267" s="884">
        <f t="shared" si="666"/>
        <v>28</v>
      </c>
      <c r="B267" s="900" t="s">
        <v>656</v>
      </c>
      <c r="C267" s="886">
        <v>41275</v>
      </c>
      <c r="D267" s="887">
        <v>8</v>
      </c>
      <c r="E267" s="888">
        <f>14500000*0</f>
        <v>0</v>
      </c>
      <c r="F267" s="889">
        <f t="shared" si="635"/>
        <v>0</v>
      </c>
      <c r="G267" s="890">
        <f t="shared" si="671"/>
        <v>0</v>
      </c>
      <c r="H267" s="890">
        <f t="shared" si="637"/>
        <v>0</v>
      </c>
      <c r="I267" s="890">
        <f t="shared" si="638"/>
        <v>0</v>
      </c>
      <c r="J267" s="890">
        <f t="shared" si="639"/>
        <v>0</v>
      </c>
      <c r="K267" s="890">
        <f t="shared" si="640"/>
        <v>0</v>
      </c>
      <c r="L267" s="890">
        <f t="shared" si="641"/>
        <v>0</v>
      </c>
      <c r="M267" s="890">
        <f t="shared" si="642"/>
        <v>0</v>
      </c>
      <c r="N267" s="890">
        <f t="shared" si="643"/>
        <v>0</v>
      </c>
      <c r="O267" s="890">
        <f t="shared" si="644"/>
        <v>0</v>
      </c>
      <c r="P267" s="890">
        <f t="shared" si="645"/>
        <v>0</v>
      </c>
      <c r="Q267" s="890">
        <f t="shared" si="646"/>
        <v>0</v>
      </c>
      <c r="R267" s="890">
        <f t="shared" si="647"/>
        <v>0</v>
      </c>
      <c r="S267" s="890">
        <f t="shared" si="648"/>
        <v>0</v>
      </c>
      <c r="T267" s="890">
        <f t="shared" si="649"/>
        <v>0</v>
      </c>
      <c r="U267" s="890">
        <f t="shared" si="650"/>
        <v>0</v>
      </c>
      <c r="V267" s="890">
        <f t="shared" si="651"/>
        <v>0</v>
      </c>
      <c r="W267" s="890">
        <f t="shared" si="652"/>
        <v>0</v>
      </c>
      <c r="X267" s="890">
        <f t="shared" si="653"/>
        <v>0</v>
      </c>
      <c r="Y267" s="890">
        <f>7250000*0</f>
        <v>0</v>
      </c>
      <c r="Z267" s="890">
        <f t="shared" si="654"/>
        <v>0</v>
      </c>
      <c r="AA267" s="890">
        <f t="shared" si="655"/>
        <v>0</v>
      </c>
      <c r="AB267" s="890">
        <f t="shared" si="656"/>
        <v>0</v>
      </c>
      <c r="AC267" s="890">
        <f t="shared" si="657"/>
        <v>0</v>
      </c>
      <c r="AD267" s="890">
        <f t="shared" si="658"/>
        <v>0</v>
      </c>
      <c r="AE267" s="890">
        <f t="shared" si="659"/>
        <v>0</v>
      </c>
      <c r="AF267" s="890">
        <f t="shared" si="660"/>
        <v>0</v>
      </c>
      <c r="AG267" s="890">
        <f t="shared" si="661"/>
        <v>0</v>
      </c>
      <c r="AH267" s="890">
        <f t="shared" si="662"/>
        <v>0</v>
      </c>
      <c r="AI267" s="890">
        <f t="shared" si="663"/>
        <v>0</v>
      </c>
      <c r="AJ267" s="890"/>
      <c r="AK267" s="890"/>
      <c r="AL267" s="890"/>
      <c r="AM267" s="890"/>
      <c r="AN267" s="890"/>
      <c r="AO267" s="890"/>
      <c r="AP267" s="890">
        <f t="shared" si="664"/>
        <v>0</v>
      </c>
      <c r="AQ267" s="890">
        <f t="shared" si="667"/>
        <v>0</v>
      </c>
      <c r="AR267" s="890">
        <f t="shared" si="665"/>
        <v>0</v>
      </c>
      <c r="AS267" s="1158">
        <f t="shared" si="668"/>
        <v>0</v>
      </c>
      <c r="AT267" s="1158">
        <f t="shared" si="670"/>
        <v>0</v>
      </c>
      <c r="AU267" s="1158"/>
      <c r="AV267" s="1158"/>
      <c r="AW267" s="1158"/>
      <c r="AX267" s="1158"/>
      <c r="AY267" s="179"/>
      <c r="AZ267" s="8">
        <f t="shared" si="669"/>
        <v>0</v>
      </c>
      <c r="BB267" s="221"/>
      <c r="BC267" s="179"/>
    </row>
    <row r="268" spans="1:55" s="220" customFormat="1" ht="14.25" hidden="1" customHeight="1">
      <c r="A268" s="884">
        <f t="shared" si="666"/>
        <v>29</v>
      </c>
      <c r="B268" s="900" t="s">
        <v>657</v>
      </c>
      <c r="C268" s="886">
        <v>41275</v>
      </c>
      <c r="D268" s="887">
        <v>8</v>
      </c>
      <c r="E268" s="888">
        <f>15200000*0</f>
        <v>0</v>
      </c>
      <c r="F268" s="889">
        <f t="shared" si="635"/>
        <v>0</v>
      </c>
      <c r="G268" s="890">
        <f t="shared" si="671"/>
        <v>0</v>
      </c>
      <c r="H268" s="890">
        <f t="shared" si="637"/>
        <v>0</v>
      </c>
      <c r="I268" s="890">
        <f t="shared" si="638"/>
        <v>0</v>
      </c>
      <c r="J268" s="890">
        <f t="shared" si="639"/>
        <v>0</v>
      </c>
      <c r="K268" s="890">
        <f t="shared" si="640"/>
        <v>0</v>
      </c>
      <c r="L268" s="890">
        <f t="shared" si="641"/>
        <v>0</v>
      </c>
      <c r="M268" s="890">
        <f t="shared" si="642"/>
        <v>0</v>
      </c>
      <c r="N268" s="890">
        <f t="shared" si="643"/>
        <v>0</v>
      </c>
      <c r="O268" s="890">
        <f t="shared" si="644"/>
        <v>0</v>
      </c>
      <c r="P268" s="890">
        <f t="shared" si="645"/>
        <v>0</v>
      </c>
      <c r="Q268" s="890">
        <f t="shared" si="646"/>
        <v>0</v>
      </c>
      <c r="R268" s="890">
        <f t="shared" si="647"/>
        <v>0</v>
      </c>
      <c r="S268" s="890">
        <f t="shared" si="648"/>
        <v>0</v>
      </c>
      <c r="T268" s="890">
        <f t="shared" si="649"/>
        <v>0</v>
      </c>
      <c r="U268" s="890">
        <f t="shared" si="650"/>
        <v>0</v>
      </c>
      <c r="V268" s="890">
        <f t="shared" si="651"/>
        <v>0</v>
      </c>
      <c r="W268" s="890">
        <f t="shared" si="652"/>
        <v>0</v>
      </c>
      <c r="X268" s="890">
        <f t="shared" si="653"/>
        <v>0</v>
      </c>
      <c r="Y268" s="890">
        <f>7600000*0</f>
        <v>0</v>
      </c>
      <c r="Z268" s="890">
        <f t="shared" si="654"/>
        <v>0</v>
      </c>
      <c r="AA268" s="890">
        <f t="shared" si="655"/>
        <v>0</v>
      </c>
      <c r="AB268" s="890">
        <f t="shared" si="656"/>
        <v>0</v>
      </c>
      <c r="AC268" s="890">
        <f t="shared" si="657"/>
        <v>0</v>
      </c>
      <c r="AD268" s="890">
        <f t="shared" si="658"/>
        <v>0</v>
      </c>
      <c r="AE268" s="890">
        <f t="shared" si="659"/>
        <v>0</v>
      </c>
      <c r="AF268" s="890">
        <f t="shared" si="660"/>
        <v>0</v>
      </c>
      <c r="AG268" s="890">
        <f t="shared" si="661"/>
        <v>0</v>
      </c>
      <c r="AH268" s="890">
        <f t="shared" si="662"/>
        <v>0</v>
      </c>
      <c r="AI268" s="890">
        <f t="shared" si="663"/>
        <v>0</v>
      </c>
      <c r="AJ268" s="890"/>
      <c r="AK268" s="890"/>
      <c r="AL268" s="890"/>
      <c r="AM268" s="890"/>
      <c r="AN268" s="890"/>
      <c r="AO268" s="890"/>
      <c r="AP268" s="890">
        <f t="shared" si="664"/>
        <v>0</v>
      </c>
      <c r="AQ268" s="890">
        <f t="shared" si="667"/>
        <v>0</v>
      </c>
      <c r="AR268" s="890">
        <f t="shared" si="665"/>
        <v>0</v>
      </c>
      <c r="AS268" s="1158">
        <f t="shared" si="668"/>
        <v>0</v>
      </c>
      <c r="AT268" s="1158">
        <f t="shared" si="670"/>
        <v>0</v>
      </c>
      <c r="AU268" s="1158"/>
      <c r="AV268" s="1158"/>
      <c r="AW268" s="1158"/>
      <c r="AX268" s="1158"/>
      <c r="AY268" s="179"/>
      <c r="AZ268" s="8">
        <f t="shared" si="669"/>
        <v>0</v>
      </c>
      <c r="BB268" s="221"/>
      <c r="BC268" s="179"/>
    </row>
    <row r="269" spans="1:55" s="220" customFormat="1" ht="14.25" hidden="1" customHeight="1">
      <c r="A269" s="884">
        <f t="shared" si="666"/>
        <v>30</v>
      </c>
      <c r="B269" s="900" t="s">
        <v>658</v>
      </c>
      <c r="C269" s="886">
        <v>41275</v>
      </c>
      <c r="D269" s="887">
        <v>8</v>
      </c>
      <c r="E269" s="888">
        <f>50300000*0</f>
        <v>0</v>
      </c>
      <c r="F269" s="889">
        <f t="shared" si="635"/>
        <v>0</v>
      </c>
      <c r="G269" s="890">
        <f t="shared" si="671"/>
        <v>0</v>
      </c>
      <c r="H269" s="890">
        <f t="shared" si="637"/>
        <v>0</v>
      </c>
      <c r="I269" s="890">
        <f t="shared" si="638"/>
        <v>0</v>
      </c>
      <c r="J269" s="890">
        <f t="shared" si="639"/>
        <v>0</v>
      </c>
      <c r="K269" s="890">
        <f t="shared" si="640"/>
        <v>0</v>
      </c>
      <c r="L269" s="890">
        <f t="shared" si="641"/>
        <v>0</v>
      </c>
      <c r="M269" s="890">
        <f t="shared" si="642"/>
        <v>0</v>
      </c>
      <c r="N269" s="890">
        <f t="shared" si="643"/>
        <v>0</v>
      </c>
      <c r="O269" s="890">
        <f t="shared" si="644"/>
        <v>0</v>
      </c>
      <c r="P269" s="890">
        <f t="shared" si="645"/>
        <v>0</v>
      </c>
      <c r="Q269" s="890">
        <f t="shared" si="646"/>
        <v>0</v>
      </c>
      <c r="R269" s="890">
        <f t="shared" si="647"/>
        <v>0</v>
      </c>
      <c r="S269" s="890">
        <f t="shared" si="648"/>
        <v>0</v>
      </c>
      <c r="T269" s="890">
        <f t="shared" si="649"/>
        <v>0</v>
      </c>
      <c r="U269" s="890">
        <f t="shared" si="650"/>
        <v>0</v>
      </c>
      <c r="V269" s="890">
        <f t="shared" si="651"/>
        <v>0</v>
      </c>
      <c r="W269" s="890">
        <f t="shared" si="652"/>
        <v>0</v>
      </c>
      <c r="X269" s="890">
        <f t="shared" si="653"/>
        <v>0</v>
      </c>
      <c r="Y269" s="890">
        <f>25150000*0</f>
        <v>0</v>
      </c>
      <c r="Z269" s="890">
        <f t="shared" si="654"/>
        <v>0</v>
      </c>
      <c r="AA269" s="890">
        <f t="shared" si="655"/>
        <v>0</v>
      </c>
      <c r="AB269" s="890">
        <f t="shared" si="656"/>
        <v>0</v>
      </c>
      <c r="AC269" s="890">
        <f t="shared" si="657"/>
        <v>0</v>
      </c>
      <c r="AD269" s="890">
        <f t="shared" si="658"/>
        <v>0</v>
      </c>
      <c r="AE269" s="890">
        <f t="shared" si="659"/>
        <v>0</v>
      </c>
      <c r="AF269" s="890">
        <f t="shared" si="660"/>
        <v>0</v>
      </c>
      <c r="AG269" s="890">
        <f t="shared" si="661"/>
        <v>0</v>
      </c>
      <c r="AH269" s="890">
        <f t="shared" si="662"/>
        <v>0</v>
      </c>
      <c r="AI269" s="890">
        <f t="shared" si="663"/>
        <v>0</v>
      </c>
      <c r="AJ269" s="890"/>
      <c r="AK269" s="890"/>
      <c r="AL269" s="890"/>
      <c r="AM269" s="890"/>
      <c r="AN269" s="890"/>
      <c r="AO269" s="890"/>
      <c r="AP269" s="890">
        <f t="shared" si="664"/>
        <v>0</v>
      </c>
      <c r="AQ269" s="890">
        <f t="shared" si="667"/>
        <v>0</v>
      </c>
      <c r="AR269" s="890">
        <f t="shared" si="665"/>
        <v>0</v>
      </c>
      <c r="AS269" s="1158">
        <f t="shared" si="668"/>
        <v>0</v>
      </c>
      <c r="AT269" s="1158">
        <f t="shared" si="670"/>
        <v>0</v>
      </c>
      <c r="AU269" s="1158"/>
      <c r="AV269" s="1158"/>
      <c r="AW269" s="1158"/>
      <c r="AX269" s="1158"/>
      <c r="AY269" s="179"/>
      <c r="AZ269" s="8">
        <f t="shared" si="669"/>
        <v>0</v>
      </c>
      <c r="BB269" s="221"/>
      <c r="BC269" s="179"/>
    </row>
    <row r="270" spans="1:55" s="220" customFormat="1" ht="14.25" hidden="1" customHeight="1">
      <c r="A270" s="884">
        <f t="shared" si="666"/>
        <v>31</v>
      </c>
      <c r="B270" s="900" t="s">
        <v>176</v>
      </c>
      <c r="C270" s="886">
        <v>41275</v>
      </c>
      <c r="D270" s="887">
        <v>8</v>
      </c>
      <c r="E270" s="888">
        <f>16800000*0</f>
        <v>0</v>
      </c>
      <c r="F270" s="889">
        <f t="shared" si="635"/>
        <v>0</v>
      </c>
      <c r="G270" s="890">
        <f t="shared" si="671"/>
        <v>0</v>
      </c>
      <c r="H270" s="890">
        <f t="shared" si="637"/>
        <v>0</v>
      </c>
      <c r="I270" s="890">
        <f t="shared" si="638"/>
        <v>0</v>
      </c>
      <c r="J270" s="890">
        <f t="shared" si="639"/>
        <v>0</v>
      </c>
      <c r="K270" s="890">
        <f t="shared" si="640"/>
        <v>0</v>
      </c>
      <c r="L270" s="890">
        <f t="shared" si="641"/>
        <v>0</v>
      </c>
      <c r="M270" s="890">
        <f t="shared" si="642"/>
        <v>0</v>
      </c>
      <c r="N270" s="890">
        <f t="shared" si="643"/>
        <v>0</v>
      </c>
      <c r="O270" s="890">
        <f t="shared" si="644"/>
        <v>0</v>
      </c>
      <c r="P270" s="890">
        <f t="shared" si="645"/>
        <v>0</v>
      </c>
      <c r="Q270" s="890">
        <f t="shared" si="646"/>
        <v>0</v>
      </c>
      <c r="R270" s="890">
        <f t="shared" si="647"/>
        <v>0</v>
      </c>
      <c r="S270" s="890">
        <f t="shared" si="648"/>
        <v>0</v>
      </c>
      <c r="T270" s="890">
        <f t="shared" si="649"/>
        <v>0</v>
      </c>
      <c r="U270" s="890">
        <f t="shared" si="650"/>
        <v>0</v>
      </c>
      <c r="V270" s="890">
        <f t="shared" si="651"/>
        <v>0</v>
      </c>
      <c r="W270" s="890">
        <f t="shared" si="652"/>
        <v>0</v>
      </c>
      <c r="X270" s="890">
        <f t="shared" si="653"/>
        <v>0</v>
      </c>
      <c r="Y270" s="890">
        <f>8400000*0</f>
        <v>0</v>
      </c>
      <c r="Z270" s="890">
        <f t="shared" si="654"/>
        <v>0</v>
      </c>
      <c r="AA270" s="890">
        <f t="shared" si="655"/>
        <v>0</v>
      </c>
      <c r="AB270" s="890">
        <f t="shared" si="656"/>
        <v>0</v>
      </c>
      <c r="AC270" s="890">
        <f t="shared" si="657"/>
        <v>0</v>
      </c>
      <c r="AD270" s="890">
        <f t="shared" si="658"/>
        <v>0</v>
      </c>
      <c r="AE270" s="890">
        <f t="shared" si="659"/>
        <v>0</v>
      </c>
      <c r="AF270" s="890">
        <f t="shared" si="660"/>
        <v>0</v>
      </c>
      <c r="AG270" s="890">
        <f t="shared" si="661"/>
        <v>0</v>
      </c>
      <c r="AH270" s="890">
        <f t="shared" si="662"/>
        <v>0</v>
      </c>
      <c r="AI270" s="890">
        <f t="shared" si="663"/>
        <v>0</v>
      </c>
      <c r="AJ270" s="890"/>
      <c r="AK270" s="890"/>
      <c r="AL270" s="890"/>
      <c r="AM270" s="890"/>
      <c r="AN270" s="890"/>
      <c r="AO270" s="890"/>
      <c r="AP270" s="890">
        <f t="shared" si="664"/>
        <v>0</v>
      </c>
      <c r="AQ270" s="890">
        <f t="shared" si="667"/>
        <v>0</v>
      </c>
      <c r="AR270" s="890">
        <f t="shared" si="665"/>
        <v>0</v>
      </c>
      <c r="AS270" s="1158">
        <f t="shared" si="668"/>
        <v>0</v>
      </c>
      <c r="AT270" s="1158">
        <f t="shared" si="670"/>
        <v>0</v>
      </c>
      <c r="AU270" s="1158"/>
      <c r="AV270" s="1158"/>
      <c r="AW270" s="1158"/>
      <c r="AX270" s="1158"/>
      <c r="AY270" s="179"/>
      <c r="AZ270" s="8">
        <f t="shared" si="669"/>
        <v>0</v>
      </c>
      <c r="BB270" s="221"/>
      <c r="BC270" s="179"/>
    </row>
    <row r="271" spans="1:55" s="220" customFormat="1" ht="14.25" hidden="1" customHeight="1">
      <c r="A271" s="884">
        <f t="shared" si="666"/>
        <v>32</v>
      </c>
      <c r="B271" s="900" t="s">
        <v>659</v>
      </c>
      <c r="C271" s="886">
        <v>41640</v>
      </c>
      <c r="D271" s="887">
        <v>8</v>
      </c>
      <c r="E271" s="888">
        <f>21000000*0</f>
        <v>0</v>
      </c>
      <c r="F271" s="889">
        <f t="shared" si="635"/>
        <v>0</v>
      </c>
      <c r="G271" s="890">
        <f t="shared" ref="G271:G282" si="672">(F271/12)*(13-IF(C271="","",MONTH(C271)))</f>
        <v>0</v>
      </c>
      <c r="H271" s="890">
        <f t="shared" si="637"/>
        <v>0</v>
      </c>
      <c r="I271" s="890">
        <f t="shared" si="638"/>
        <v>0</v>
      </c>
      <c r="J271" s="890">
        <f t="shared" si="639"/>
        <v>0</v>
      </c>
      <c r="K271" s="890">
        <f t="shared" si="640"/>
        <v>0</v>
      </c>
      <c r="L271" s="890">
        <f t="shared" si="641"/>
        <v>0</v>
      </c>
      <c r="M271" s="890">
        <f t="shared" si="642"/>
        <v>0</v>
      </c>
      <c r="N271" s="890">
        <f t="shared" si="643"/>
        <v>0</v>
      </c>
      <c r="O271" s="890">
        <f t="shared" si="644"/>
        <v>0</v>
      </c>
      <c r="P271" s="890">
        <f t="shared" si="645"/>
        <v>0</v>
      </c>
      <c r="Q271" s="890">
        <f t="shared" si="646"/>
        <v>0</v>
      </c>
      <c r="R271" s="890">
        <f t="shared" si="647"/>
        <v>0</v>
      </c>
      <c r="S271" s="890">
        <f t="shared" si="648"/>
        <v>0</v>
      </c>
      <c r="T271" s="890">
        <f t="shared" si="649"/>
        <v>0</v>
      </c>
      <c r="U271" s="890">
        <f t="shared" si="650"/>
        <v>0</v>
      </c>
      <c r="V271" s="890">
        <f t="shared" si="651"/>
        <v>0</v>
      </c>
      <c r="W271" s="890">
        <f t="shared" si="652"/>
        <v>0</v>
      </c>
      <c r="X271" s="890">
        <f t="shared" si="653"/>
        <v>0</v>
      </c>
      <c r="Y271" s="890">
        <f>10500000*0</f>
        <v>0</v>
      </c>
      <c r="Z271" s="890">
        <f t="shared" si="654"/>
        <v>0</v>
      </c>
      <c r="AA271" s="890">
        <f t="shared" si="655"/>
        <v>0</v>
      </c>
      <c r="AB271" s="890">
        <f t="shared" si="656"/>
        <v>0</v>
      </c>
      <c r="AC271" s="890">
        <f t="shared" si="657"/>
        <v>0</v>
      </c>
      <c r="AD271" s="890">
        <f t="shared" si="658"/>
        <v>0</v>
      </c>
      <c r="AE271" s="890">
        <f t="shared" si="659"/>
        <v>0</v>
      </c>
      <c r="AF271" s="890">
        <f t="shared" si="660"/>
        <v>0</v>
      </c>
      <c r="AG271" s="890">
        <f t="shared" si="661"/>
        <v>0</v>
      </c>
      <c r="AH271" s="890">
        <f t="shared" si="662"/>
        <v>0</v>
      </c>
      <c r="AI271" s="890">
        <f t="shared" si="663"/>
        <v>0</v>
      </c>
      <c r="AJ271" s="890"/>
      <c r="AK271" s="890"/>
      <c r="AL271" s="890"/>
      <c r="AM271" s="890"/>
      <c r="AN271" s="890"/>
      <c r="AO271" s="890"/>
      <c r="AP271" s="890">
        <f t="shared" si="664"/>
        <v>0</v>
      </c>
      <c r="AQ271" s="890">
        <f t="shared" si="667"/>
        <v>0</v>
      </c>
      <c r="AR271" s="890">
        <f t="shared" si="665"/>
        <v>0</v>
      </c>
      <c r="AS271" s="1158">
        <f t="shared" si="668"/>
        <v>0</v>
      </c>
      <c r="AT271" s="1158">
        <f t="shared" si="670"/>
        <v>0</v>
      </c>
      <c r="AU271" s="1158"/>
      <c r="AV271" s="1158"/>
      <c r="AW271" s="1158"/>
      <c r="AX271" s="1158"/>
      <c r="AY271" s="179"/>
      <c r="AZ271" s="8">
        <f t="shared" si="669"/>
        <v>0</v>
      </c>
      <c r="BB271" s="221"/>
      <c r="BC271" s="179"/>
    </row>
    <row r="272" spans="1:55" s="220" customFormat="1" ht="14.25" hidden="1" customHeight="1">
      <c r="A272" s="884">
        <f t="shared" si="666"/>
        <v>33</v>
      </c>
      <c r="B272" s="900" t="s">
        <v>660</v>
      </c>
      <c r="C272" s="886">
        <v>41640</v>
      </c>
      <c r="D272" s="887">
        <v>8</v>
      </c>
      <c r="E272" s="888">
        <f>24200000*0</f>
        <v>0</v>
      </c>
      <c r="F272" s="889">
        <f t="shared" ref="F272:F303" si="673">E272/D272</f>
        <v>0</v>
      </c>
      <c r="G272" s="890">
        <f t="shared" si="672"/>
        <v>0</v>
      </c>
      <c r="H272" s="890">
        <f t="shared" si="637"/>
        <v>0</v>
      </c>
      <c r="I272" s="890">
        <f t="shared" si="638"/>
        <v>0</v>
      </c>
      <c r="J272" s="890">
        <f t="shared" si="639"/>
        <v>0</v>
      </c>
      <c r="K272" s="890">
        <f t="shared" si="640"/>
        <v>0</v>
      </c>
      <c r="L272" s="890">
        <f t="shared" ref="L272:L288" si="674">E272-K272</f>
        <v>0</v>
      </c>
      <c r="M272" s="890">
        <f t="shared" ref="M272:M288" si="675">(F272/12)*12</f>
        <v>0</v>
      </c>
      <c r="N272" s="890">
        <f t="shared" si="643"/>
        <v>0</v>
      </c>
      <c r="O272" s="890">
        <f t="shared" ref="O272:O290" si="676">E272-N272</f>
        <v>0</v>
      </c>
      <c r="P272" s="890">
        <f t="shared" ref="P272:P290" si="677">(F272/12)*12</f>
        <v>0</v>
      </c>
      <c r="Q272" s="890">
        <f t="shared" si="646"/>
        <v>0</v>
      </c>
      <c r="R272" s="890">
        <f t="shared" ref="R272:R292" si="678">E272-Q272</f>
        <v>0</v>
      </c>
      <c r="S272" s="890">
        <f t="shared" ref="S272:S292" si="679">(F272/12)*12</f>
        <v>0</v>
      </c>
      <c r="T272" s="890">
        <f t="shared" si="649"/>
        <v>0</v>
      </c>
      <c r="U272" s="890">
        <f t="shared" ref="U272:U301" si="680">E272-T272</f>
        <v>0</v>
      </c>
      <c r="V272" s="890">
        <f t="shared" ref="V272:V301" si="681">(F272/12)*12</f>
        <v>0</v>
      </c>
      <c r="W272" s="890">
        <f t="shared" si="652"/>
        <v>0</v>
      </c>
      <c r="X272" s="890">
        <f t="shared" ref="X272:X303" si="682">E272-W272</f>
        <v>0</v>
      </c>
      <c r="Y272" s="890">
        <f>12100000*0</f>
        <v>0</v>
      </c>
      <c r="Z272" s="890">
        <f t="shared" ref="Z272:Z303" si="683">E272-Y272</f>
        <v>0</v>
      </c>
      <c r="AA272" s="890">
        <f t="shared" ref="AA272:AA303" si="684">(F272/12)*12</f>
        <v>0</v>
      </c>
      <c r="AB272" s="890">
        <f t="shared" si="656"/>
        <v>0</v>
      </c>
      <c r="AC272" s="890">
        <f t="shared" ref="AC272:AC303" si="685">E272-AB272</f>
        <v>0</v>
      </c>
      <c r="AD272" s="890">
        <f t="shared" ref="AD272:AD308" si="686">(F272/12)*12</f>
        <v>0</v>
      </c>
      <c r="AE272" s="890">
        <f t="shared" si="659"/>
        <v>0</v>
      </c>
      <c r="AF272" s="890">
        <f t="shared" ref="AF272:AF303" si="687">E272-AE272</f>
        <v>0</v>
      </c>
      <c r="AG272" s="890">
        <f t="shared" ref="AG272:AG308" si="688">(F272/12)*12</f>
        <v>0</v>
      </c>
      <c r="AH272" s="890">
        <f t="shared" si="662"/>
        <v>0</v>
      </c>
      <c r="AI272" s="890">
        <f t="shared" ref="AI272:AI303" si="689">E272-AH272</f>
        <v>0</v>
      </c>
      <c r="AJ272" s="890"/>
      <c r="AK272" s="890"/>
      <c r="AL272" s="890"/>
      <c r="AM272" s="890"/>
      <c r="AN272" s="890"/>
      <c r="AO272" s="890"/>
      <c r="AP272" s="890">
        <f t="shared" si="664"/>
        <v>0</v>
      </c>
      <c r="AQ272" s="890">
        <f t="shared" si="667"/>
        <v>0</v>
      </c>
      <c r="AR272" s="890">
        <f t="shared" ref="AR272:AR303" si="690">E272-AQ272</f>
        <v>0</v>
      </c>
      <c r="AS272" s="1158">
        <f t="shared" si="668"/>
        <v>0</v>
      </c>
      <c r="AT272" s="1158">
        <f t="shared" si="670"/>
        <v>0</v>
      </c>
      <c r="AU272" s="1158"/>
      <c r="AV272" s="1158"/>
      <c r="AW272" s="1158"/>
      <c r="AX272" s="1158"/>
      <c r="AY272" s="179"/>
      <c r="AZ272" s="8">
        <f t="shared" si="669"/>
        <v>0</v>
      </c>
      <c r="BB272" s="221"/>
      <c r="BC272" s="179"/>
    </row>
    <row r="273" spans="1:55" s="220" customFormat="1" ht="14.25" hidden="1" customHeight="1">
      <c r="A273" s="884">
        <f t="shared" si="666"/>
        <v>34</v>
      </c>
      <c r="B273" s="900" t="s">
        <v>661</v>
      </c>
      <c r="C273" s="886">
        <v>41640</v>
      </c>
      <c r="D273" s="887">
        <v>8</v>
      </c>
      <c r="E273" s="888">
        <f>31600000*0</f>
        <v>0</v>
      </c>
      <c r="F273" s="889">
        <f t="shared" si="673"/>
        <v>0</v>
      </c>
      <c r="G273" s="890">
        <f t="shared" si="672"/>
        <v>0</v>
      </c>
      <c r="H273" s="890">
        <f t="shared" si="637"/>
        <v>0</v>
      </c>
      <c r="I273" s="890">
        <f t="shared" si="638"/>
        <v>0</v>
      </c>
      <c r="J273" s="890">
        <f t="shared" si="639"/>
        <v>0</v>
      </c>
      <c r="K273" s="890">
        <f t="shared" si="640"/>
        <v>0</v>
      </c>
      <c r="L273" s="890">
        <f t="shared" si="674"/>
        <v>0</v>
      </c>
      <c r="M273" s="890">
        <f t="shared" si="675"/>
        <v>0</v>
      </c>
      <c r="N273" s="890">
        <f t="shared" si="643"/>
        <v>0</v>
      </c>
      <c r="O273" s="890">
        <f t="shared" si="676"/>
        <v>0</v>
      </c>
      <c r="P273" s="890">
        <f t="shared" si="677"/>
        <v>0</v>
      </c>
      <c r="Q273" s="890">
        <f t="shared" si="646"/>
        <v>0</v>
      </c>
      <c r="R273" s="890">
        <f t="shared" si="678"/>
        <v>0</v>
      </c>
      <c r="S273" s="890">
        <f t="shared" si="679"/>
        <v>0</v>
      </c>
      <c r="T273" s="890">
        <f t="shared" si="649"/>
        <v>0</v>
      </c>
      <c r="U273" s="890">
        <f t="shared" si="680"/>
        <v>0</v>
      </c>
      <c r="V273" s="890">
        <f t="shared" si="681"/>
        <v>0</v>
      </c>
      <c r="W273" s="890">
        <f t="shared" si="652"/>
        <v>0</v>
      </c>
      <c r="X273" s="890">
        <f t="shared" si="682"/>
        <v>0</v>
      </c>
      <c r="Y273" s="890">
        <f>15800000*0</f>
        <v>0</v>
      </c>
      <c r="Z273" s="890">
        <f t="shared" si="683"/>
        <v>0</v>
      </c>
      <c r="AA273" s="890">
        <f t="shared" si="684"/>
        <v>0</v>
      </c>
      <c r="AB273" s="890">
        <f t="shared" si="656"/>
        <v>0</v>
      </c>
      <c r="AC273" s="890">
        <f t="shared" si="685"/>
        <v>0</v>
      </c>
      <c r="AD273" s="890">
        <f t="shared" si="686"/>
        <v>0</v>
      </c>
      <c r="AE273" s="890">
        <f t="shared" si="659"/>
        <v>0</v>
      </c>
      <c r="AF273" s="890">
        <f t="shared" si="687"/>
        <v>0</v>
      </c>
      <c r="AG273" s="890">
        <f t="shared" si="688"/>
        <v>0</v>
      </c>
      <c r="AH273" s="890">
        <f t="shared" si="662"/>
        <v>0</v>
      </c>
      <c r="AI273" s="890">
        <f t="shared" si="689"/>
        <v>0</v>
      </c>
      <c r="AJ273" s="890"/>
      <c r="AK273" s="890"/>
      <c r="AL273" s="890"/>
      <c r="AM273" s="890"/>
      <c r="AN273" s="890"/>
      <c r="AO273" s="890"/>
      <c r="AP273" s="890">
        <f t="shared" si="664"/>
        <v>0</v>
      </c>
      <c r="AQ273" s="890">
        <f t="shared" si="667"/>
        <v>0</v>
      </c>
      <c r="AR273" s="890">
        <f t="shared" si="690"/>
        <v>0</v>
      </c>
      <c r="AS273" s="1158">
        <f t="shared" si="668"/>
        <v>0</v>
      </c>
      <c r="AT273" s="1158">
        <f t="shared" si="670"/>
        <v>0</v>
      </c>
      <c r="AU273" s="1158"/>
      <c r="AV273" s="1158"/>
      <c r="AW273" s="1158"/>
      <c r="AX273" s="1158"/>
      <c r="AY273" s="179"/>
      <c r="AZ273" s="8">
        <f t="shared" si="669"/>
        <v>0</v>
      </c>
      <c r="BB273" s="221"/>
      <c r="BC273" s="179"/>
    </row>
    <row r="274" spans="1:55" s="220" customFormat="1" ht="14.25" hidden="1" customHeight="1">
      <c r="A274" s="884">
        <f t="shared" si="666"/>
        <v>35</v>
      </c>
      <c r="B274" s="900" t="s">
        <v>662</v>
      </c>
      <c r="C274" s="886">
        <v>41640</v>
      </c>
      <c r="D274" s="887">
        <v>8</v>
      </c>
      <c r="E274" s="888">
        <f>12100000*0</f>
        <v>0</v>
      </c>
      <c r="F274" s="889">
        <f t="shared" si="673"/>
        <v>0</v>
      </c>
      <c r="G274" s="890">
        <f t="shared" si="672"/>
        <v>0</v>
      </c>
      <c r="H274" s="890">
        <f t="shared" si="637"/>
        <v>0</v>
      </c>
      <c r="I274" s="890">
        <f t="shared" si="638"/>
        <v>0</v>
      </c>
      <c r="J274" s="890">
        <f t="shared" si="639"/>
        <v>0</v>
      </c>
      <c r="K274" s="890">
        <f t="shared" si="640"/>
        <v>0</v>
      </c>
      <c r="L274" s="890">
        <f t="shared" si="674"/>
        <v>0</v>
      </c>
      <c r="M274" s="890">
        <f t="shared" si="675"/>
        <v>0</v>
      </c>
      <c r="N274" s="890">
        <f t="shared" si="643"/>
        <v>0</v>
      </c>
      <c r="O274" s="890">
        <f t="shared" si="676"/>
        <v>0</v>
      </c>
      <c r="P274" s="890">
        <f t="shared" si="677"/>
        <v>0</v>
      </c>
      <c r="Q274" s="890">
        <f t="shared" si="646"/>
        <v>0</v>
      </c>
      <c r="R274" s="890">
        <f t="shared" si="678"/>
        <v>0</v>
      </c>
      <c r="S274" s="890">
        <f t="shared" si="679"/>
        <v>0</v>
      </c>
      <c r="T274" s="890">
        <f t="shared" si="649"/>
        <v>0</v>
      </c>
      <c r="U274" s="890">
        <f t="shared" si="680"/>
        <v>0</v>
      </c>
      <c r="V274" s="890">
        <f t="shared" si="681"/>
        <v>0</v>
      </c>
      <c r="W274" s="890">
        <f t="shared" si="652"/>
        <v>0</v>
      </c>
      <c r="X274" s="890">
        <f t="shared" si="682"/>
        <v>0</v>
      </c>
      <c r="Y274" s="890">
        <f>6050000*0</f>
        <v>0</v>
      </c>
      <c r="Z274" s="890">
        <f t="shared" si="683"/>
        <v>0</v>
      </c>
      <c r="AA274" s="890">
        <f t="shared" si="684"/>
        <v>0</v>
      </c>
      <c r="AB274" s="890">
        <f t="shared" si="656"/>
        <v>0</v>
      </c>
      <c r="AC274" s="890">
        <f t="shared" si="685"/>
        <v>0</v>
      </c>
      <c r="AD274" s="890">
        <f t="shared" si="686"/>
        <v>0</v>
      </c>
      <c r="AE274" s="890">
        <f t="shared" si="659"/>
        <v>0</v>
      </c>
      <c r="AF274" s="890">
        <f t="shared" si="687"/>
        <v>0</v>
      </c>
      <c r="AG274" s="890">
        <f t="shared" si="688"/>
        <v>0</v>
      </c>
      <c r="AH274" s="890">
        <f t="shared" si="662"/>
        <v>0</v>
      </c>
      <c r="AI274" s="890">
        <f t="shared" si="689"/>
        <v>0</v>
      </c>
      <c r="AJ274" s="890"/>
      <c r="AK274" s="890"/>
      <c r="AL274" s="890"/>
      <c r="AM274" s="890"/>
      <c r="AN274" s="890"/>
      <c r="AO274" s="890"/>
      <c r="AP274" s="890">
        <f t="shared" si="664"/>
        <v>0</v>
      </c>
      <c r="AQ274" s="890">
        <f t="shared" si="667"/>
        <v>0</v>
      </c>
      <c r="AR274" s="890">
        <f t="shared" si="690"/>
        <v>0</v>
      </c>
      <c r="AS274" s="1158">
        <f t="shared" si="668"/>
        <v>0</v>
      </c>
      <c r="AT274" s="1158">
        <f t="shared" si="670"/>
        <v>0</v>
      </c>
      <c r="AU274" s="1158"/>
      <c r="AV274" s="1158"/>
      <c r="AW274" s="1158"/>
      <c r="AX274" s="1158"/>
      <c r="AY274" s="179"/>
      <c r="AZ274" s="8">
        <f t="shared" si="669"/>
        <v>0</v>
      </c>
      <c r="BB274" s="221"/>
      <c r="BC274" s="179"/>
    </row>
    <row r="275" spans="1:55" s="220" customFormat="1" ht="14.25" hidden="1" customHeight="1">
      <c r="A275" s="884">
        <f t="shared" si="666"/>
        <v>36</v>
      </c>
      <c r="B275" s="900" t="s">
        <v>663</v>
      </c>
      <c r="C275" s="886">
        <v>41640</v>
      </c>
      <c r="D275" s="887">
        <v>8</v>
      </c>
      <c r="E275" s="888">
        <f>15400000*0</f>
        <v>0</v>
      </c>
      <c r="F275" s="889">
        <f t="shared" si="673"/>
        <v>0</v>
      </c>
      <c r="G275" s="890">
        <f t="shared" si="672"/>
        <v>0</v>
      </c>
      <c r="H275" s="890">
        <f t="shared" si="637"/>
        <v>0</v>
      </c>
      <c r="I275" s="890">
        <f t="shared" si="638"/>
        <v>0</v>
      </c>
      <c r="J275" s="890">
        <f t="shared" si="639"/>
        <v>0</v>
      </c>
      <c r="K275" s="890">
        <f t="shared" si="640"/>
        <v>0</v>
      </c>
      <c r="L275" s="890">
        <f t="shared" si="674"/>
        <v>0</v>
      </c>
      <c r="M275" s="890">
        <f t="shared" si="675"/>
        <v>0</v>
      </c>
      <c r="N275" s="890">
        <f t="shared" si="643"/>
        <v>0</v>
      </c>
      <c r="O275" s="890">
        <f t="shared" si="676"/>
        <v>0</v>
      </c>
      <c r="P275" s="890">
        <f t="shared" si="677"/>
        <v>0</v>
      </c>
      <c r="Q275" s="890">
        <f t="shared" si="646"/>
        <v>0</v>
      </c>
      <c r="R275" s="890">
        <f t="shared" si="678"/>
        <v>0</v>
      </c>
      <c r="S275" s="890">
        <f t="shared" si="679"/>
        <v>0</v>
      </c>
      <c r="T275" s="890">
        <f t="shared" si="649"/>
        <v>0</v>
      </c>
      <c r="U275" s="890">
        <f t="shared" si="680"/>
        <v>0</v>
      </c>
      <c r="V275" s="890">
        <f t="shared" si="681"/>
        <v>0</v>
      </c>
      <c r="W275" s="890">
        <f t="shared" si="652"/>
        <v>0</v>
      </c>
      <c r="X275" s="890">
        <f t="shared" si="682"/>
        <v>0</v>
      </c>
      <c r="Y275" s="890">
        <f>7700000*0</f>
        <v>0</v>
      </c>
      <c r="Z275" s="890">
        <f t="shared" si="683"/>
        <v>0</v>
      </c>
      <c r="AA275" s="890">
        <f t="shared" si="684"/>
        <v>0</v>
      </c>
      <c r="AB275" s="890">
        <f t="shared" si="656"/>
        <v>0</v>
      </c>
      <c r="AC275" s="890">
        <f t="shared" si="685"/>
        <v>0</v>
      </c>
      <c r="AD275" s="890">
        <f t="shared" si="686"/>
        <v>0</v>
      </c>
      <c r="AE275" s="890">
        <f t="shared" si="659"/>
        <v>0</v>
      </c>
      <c r="AF275" s="890">
        <f t="shared" si="687"/>
        <v>0</v>
      </c>
      <c r="AG275" s="890">
        <f t="shared" si="688"/>
        <v>0</v>
      </c>
      <c r="AH275" s="890">
        <f t="shared" si="662"/>
        <v>0</v>
      </c>
      <c r="AI275" s="890">
        <f t="shared" si="689"/>
        <v>0</v>
      </c>
      <c r="AJ275" s="890"/>
      <c r="AK275" s="890"/>
      <c r="AL275" s="890"/>
      <c r="AM275" s="890"/>
      <c r="AN275" s="890"/>
      <c r="AO275" s="890"/>
      <c r="AP275" s="890">
        <f t="shared" si="664"/>
        <v>0</v>
      </c>
      <c r="AQ275" s="890">
        <f t="shared" si="667"/>
        <v>0</v>
      </c>
      <c r="AR275" s="890">
        <f t="shared" si="690"/>
        <v>0</v>
      </c>
      <c r="AS275" s="1158">
        <f t="shared" si="668"/>
        <v>0</v>
      </c>
      <c r="AT275" s="1158">
        <f t="shared" si="670"/>
        <v>0</v>
      </c>
      <c r="AU275" s="1158"/>
      <c r="AV275" s="1158"/>
      <c r="AW275" s="1158"/>
      <c r="AX275" s="1158"/>
      <c r="AY275" s="179"/>
      <c r="AZ275" s="8">
        <f t="shared" si="669"/>
        <v>0</v>
      </c>
      <c r="BB275" s="221"/>
      <c r="BC275" s="179"/>
    </row>
    <row r="276" spans="1:55" s="220" customFormat="1" ht="14.25" hidden="1" customHeight="1">
      <c r="A276" s="884">
        <f t="shared" si="666"/>
        <v>37</v>
      </c>
      <c r="B276" s="900" t="s">
        <v>664</v>
      </c>
      <c r="C276" s="886">
        <v>41640</v>
      </c>
      <c r="D276" s="887">
        <v>8</v>
      </c>
      <c r="E276" s="888">
        <f>60500000*0</f>
        <v>0</v>
      </c>
      <c r="F276" s="889">
        <f t="shared" si="673"/>
        <v>0</v>
      </c>
      <c r="G276" s="890">
        <f t="shared" si="672"/>
        <v>0</v>
      </c>
      <c r="H276" s="890">
        <f t="shared" si="637"/>
        <v>0</v>
      </c>
      <c r="I276" s="890">
        <f t="shared" si="638"/>
        <v>0</v>
      </c>
      <c r="J276" s="890">
        <f t="shared" si="639"/>
        <v>0</v>
      </c>
      <c r="K276" s="890">
        <f t="shared" si="640"/>
        <v>0</v>
      </c>
      <c r="L276" s="890">
        <f t="shared" si="674"/>
        <v>0</v>
      </c>
      <c r="M276" s="890">
        <f t="shared" si="675"/>
        <v>0</v>
      </c>
      <c r="N276" s="890">
        <f t="shared" si="643"/>
        <v>0</v>
      </c>
      <c r="O276" s="890">
        <f t="shared" si="676"/>
        <v>0</v>
      </c>
      <c r="P276" s="890">
        <f t="shared" si="677"/>
        <v>0</v>
      </c>
      <c r="Q276" s="890">
        <f t="shared" si="646"/>
        <v>0</v>
      </c>
      <c r="R276" s="890">
        <f t="shared" si="678"/>
        <v>0</v>
      </c>
      <c r="S276" s="890">
        <f t="shared" si="679"/>
        <v>0</v>
      </c>
      <c r="T276" s="890">
        <f t="shared" si="649"/>
        <v>0</v>
      </c>
      <c r="U276" s="890">
        <f t="shared" si="680"/>
        <v>0</v>
      </c>
      <c r="V276" s="890">
        <f t="shared" si="681"/>
        <v>0</v>
      </c>
      <c r="W276" s="890">
        <f t="shared" si="652"/>
        <v>0</v>
      </c>
      <c r="X276" s="890">
        <f t="shared" si="682"/>
        <v>0</v>
      </c>
      <c r="Y276" s="890">
        <f>30250000*0</f>
        <v>0</v>
      </c>
      <c r="Z276" s="890">
        <f t="shared" si="683"/>
        <v>0</v>
      </c>
      <c r="AA276" s="890">
        <f t="shared" si="684"/>
        <v>0</v>
      </c>
      <c r="AB276" s="890">
        <f t="shared" si="656"/>
        <v>0</v>
      </c>
      <c r="AC276" s="890">
        <f t="shared" si="685"/>
        <v>0</v>
      </c>
      <c r="AD276" s="890">
        <f t="shared" si="686"/>
        <v>0</v>
      </c>
      <c r="AE276" s="890">
        <f t="shared" si="659"/>
        <v>0</v>
      </c>
      <c r="AF276" s="890">
        <f t="shared" si="687"/>
        <v>0</v>
      </c>
      <c r="AG276" s="890">
        <f t="shared" si="688"/>
        <v>0</v>
      </c>
      <c r="AH276" s="890">
        <f t="shared" si="662"/>
        <v>0</v>
      </c>
      <c r="AI276" s="890">
        <f t="shared" si="689"/>
        <v>0</v>
      </c>
      <c r="AJ276" s="890"/>
      <c r="AK276" s="890"/>
      <c r="AL276" s="890"/>
      <c r="AM276" s="890"/>
      <c r="AN276" s="890"/>
      <c r="AO276" s="890"/>
      <c r="AP276" s="890">
        <f t="shared" si="664"/>
        <v>0</v>
      </c>
      <c r="AQ276" s="890">
        <f t="shared" si="667"/>
        <v>0</v>
      </c>
      <c r="AR276" s="890">
        <f t="shared" si="690"/>
        <v>0</v>
      </c>
      <c r="AS276" s="1158">
        <f t="shared" si="668"/>
        <v>0</v>
      </c>
      <c r="AT276" s="1158">
        <f t="shared" si="670"/>
        <v>0</v>
      </c>
      <c r="AU276" s="1158"/>
      <c r="AV276" s="1158"/>
      <c r="AW276" s="1158"/>
      <c r="AX276" s="1158"/>
      <c r="AY276" s="179"/>
      <c r="AZ276" s="8">
        <f t="shared" si="669"/>
        <v>0</v>
      </c>
      <c r="BB276" s="221"/>
      <c r="BC276" s="179"/>
    </row>
    <row r="277" spans="1:55" s="220" customFormat="1" ht="14.25" hidden="1" customHeight="1">
      <c r="A277" s="884">
        <f t="shared" si="666"/>
        <v>38</v>
      </c>
      <c r="B277" s="900" t="s">
        <v>665</v>
      </c>
      <c r="C277" s="886">
        <v>41640</v>
      </c>
      <c r="D277" s="887">
        <v>8</v>
      </c>
      <c r="E277" s="888">
        <f>14200000*0</f>
        <v>0</v>
      </c>
      <c r="F277" s="889">
        <f t="shared" si="673"/>
        <v>0</v>
      </c>
      <c r="G277" s="890">
        <f t="shared" si="672"/>
        <v>0</v>
      </c>
      <c r="H277" s="890">
        <f t="shared" si="637"/>
        <v>0</v>
      </c>
      <c r="I277" s="890">
        <f t="shared" si="638"/>
        <v>0</v>
      </c>
      <c r="J277" s="890">
        <f t="shared" si="639"/>
        <v>0</v>
      </c>
      <c r="K277" s="890">
        <f t="shared" si="640"/>
        <v>0</v>
      </c>
      <c r="L277" s="890">
        <f t="shared" si="674"/>
        <v>0</v>
      </c>
      <c r="M277" s="890">
        <f t="shared" si="675"/>
        <v>0</v>
      </c>
      <c r="N277" s="890">
        <f t="shared" si="643"/>
        <v>0</v>
      </c>
      <c r="O277" s="890">
        <f t="shared" si="676"/>
        <v>0</v>
      </c>
      <c r="P277" s="890">
        <f t="shared" si="677"/>
        <v>0</v>
      </c>
      <c r="Q277" s="890">
        <f t="shared" si="646"/>
        <v>0</v>
      </c>
      <c r="R277" s="890">
        <f t="shared" si="678"/>
        <v>0</v>
      </c>
      <c r="S277" s="890">
        <f t="shared" si="679"/>
        <v>0</v>
      </c>
      <c r="T277" s="890">
        <f t="shared" si="649"/>
        <v>0</v>
      </c>
      <c r="U277" s="890">
        <f t="shared" si="680"/>
        <v>0</v>
      </c>
      <c r="V277" s="890">
        <f t="shared" si="681"/>
        <v>0</v>
      </c>
      <c r="W277" s="890">
        <f t="shared" si="652"/>
        <v>0</v>
      </c>
      <c r="X277" s="890">
        <f t="shared" si="682"/>
        <v>0</v>
      </c>
      <c r="Y277" s="890">
        <f>7100000*0</f>
        <v>0</v>
      </c>
      <c r="Z277" s="890">
        <f t="shared" si="683"/>
        <v>0</v>
      </c>
      <c r="AA277" s="890">
        <f t="shared" si="684"/>
        <v>0</v>
      </c>
      <c r="AB277" s="890">
        <f t="shared" si="656"/>
        <v>0</v>
      </c>
      <c r="AC277" s="890">
        <f t="shared" si="685"/>
        <v>0</v>
      </c>
      <c r="AD277" s="890">
        <f t="shared" si="686"/>
        <v>0</v>
      </c>
      <c r="AE277" s="890">
        <f t="shared" si="659"/>
        <v>0</v>
      </c>
      <c r="AF277" s="890">
        <f t="shared" si="687"/>
        <v>0</v>
      </c>
      <c r="AG277" s="890">
        <f t="shared" si="688"/>
        <v>0</v>
      </c>
      <c r="AH277" s="890">
        <f t="shared" si="662"/>
        <v>0</v>
      </c>
      <c r="AI277" s="890">
        <f t="shared" si="689"/>
        <v>0</v>
      </c>
      <c r="AJ277" s="890"/>
      <c r="AK277" s="890"/>
      <c r="AL277" s="890"/>
      <c r="AM277" s="890"/>
      <c r="AN277" s="890"/>
      <c r="AO277" s="890"/>
      <c r="AP277" s="890">
        <f t="shared" si="664"/>
        <v>0</v>
      </c>
      <c r="AQ277" s="890">
        <f t="shared" si="667"/>
        <v>0</v>
      </c>
      <c r="AR277" s="890">
        <f t="shared" si="690"/>
        <v>0</v>
      </c>
      <c r="AS277" s="1158">
        <f t="shared" si="668"/>
        <v>0</v>
      </c>
      <c r="AT277" s="1158">
        <f t="shared" si="670"/>
        <v>0</v>
      </c>
      <c r="AU277" s="1158"/>
      <c r="AV277" s="1158"/>
      <c r="AW277" s="1158"/>
      <c r="AX277" s="1158"/>
      <c r="AY277" s="179"/>
      <c r="AZ277" s="8">
        <f t="shared" si="669"/>
        <v>0</v>
      </c>
      <c r="BB277" s="221"/>
      <c r="BC277" s="179"/>
    </row>
    <row r="278" spans="1:55" s="220" customFormat="1" ht="14.25" hidden="1" customHeight="1">
      <c r="A278" s="884">
        <f t="shared" si="666"/>
        <v>39</v>
      </c>
      <c r="B278" s="900" t="s">
        <v>665</v>
      </c>
      <c r="C278" s="886">
        <v>41640</v>
      </c>
      <c r="D278" s="887">
        <v>8</v>
      </c>
      <c r="E278" s="888">
        <f>16400000*0</f>
        <v>0</v>
      </c>
      <c r="F278" s="889">
        <f t="shared" si="673"/>
        <v>0</v>
      </c>
      <c r="G278" s="890">
        <f t="shared" si="672"/>
        <v>0</v>
      </c>
      <c r="H278" s="890">
        <f t="shared" si="637"/>
        <v>0</v>
      </c>
      <c r="I278" s="890">
        <f t="shared" si="638"/>
        <v>0</v>
      </c>
      <c r="J278" s="890">
        <f t="shared" si="639"/>
        <v>0</v>
      </c>
      <c r="K278" s="890">
        <f t="shared" si="640"/>
        <v>0</v>
      </c>
      <c r="L278" s="890">
        <f t="shared" si="674"/>
        <v>0</v>
      </c>
      <c r="M278" s="890">
        <f t="shared" si="675"/>
        <v>0</v>
      </c>
      <c r="N278" s="890">
        <f t="shared" si="643"/>
        <v>0</v>
      </c>
      <c r="O278" s="890">
        <f t="shared" si="676"/>
        <v>0</v>
      </c>
      <c r="P278" s="890">
        <f t="shared" si="677"/>
        <v>0</v>
      </c>
      <c r="Q278" s="890">
        <f t="shared" si="646"/>
        <v>0</v>
      </c>
      <c r="R278" s="890">
        <f t="shared" si="678"/>
        <v>0</v>
      </c>
      <c r="S278" s="890">
        <f t="shared" si="679"/>
        <v>0</v>
      </c>
      <c r="T278" s="890">
        <f t="shared" si="649"/>
        <v>0</v>
      </c>
      <c r="U278" s="890">
        <f t="shared" si="680"/>
        <v>0</v>
      </c>
      <c r="V278" s="890">
        <f t="shared" si="681"/>
        <v>0</v>
      </c>
      <c r="W278" s="890">
        <f t="shared" si="652"/>
        <v>0</v>
      </c>
      <c r="X278" s="890">
        <f t="shared" si="682"/>
        <v>0</v>
      </c>
      <c r="Y278" s="890">
        <f>8200000*0</f>
        <v>0</v>
      </c>
      <c r="Z278" s="890">
        <f t="shared" si="683"/>
        <v>0</v>
      </c>
      <c r="AA278" s="890">
        <f t="shared" si="684"/>
        <v>0</v>
      </c>
      <c r="AB278" s="890">
        <f t="shared" si="656"/>
        <v>0</v>
      </c>
      <c r="AC278" s="890">
        <f t="shared" si="685"/>
        <v>0</v>
      </c>
      <c r="AD278" s="890">
        <f t="shared" si="686"/>
        <v>0</v>
      </c>
      <c r="AE278" s="890">
        <f t="shared" si="659"/>
        <v>0</v>
      </c>
      <c r="AF278" s="890">
        <f t="shared" si="687"/>
        <v>0</v>
      </c>
      <c r="AG278" s="890">
        <f t="shared" si="688"/>
        <v>0</v>
      </c>
      <c r="AH278" s="890">
        <f t="shared" si="662"/>
        <v>0</v>
      </c>
      <c r="AI278" s="890">
        <f t="shared" si="689"/>
        <v>0</v>
      </c>
      <c r="AJ278" s="890"/>
      <c r="AK278" s="890"/>
      <c r="AL278" s="890"/>
      <c r="AM278" s="890"/>
      <c r="AN278" s="890"/>
      <c r="AO278" s="890"/>
      <c r="AP278" s="890">
        <f t="shared" si="664"/>
        <v>0</v>
      </c>
      <c r="AQ278" s="890">
        <f t="shared" si="667"/>
        <v>0</v>
      </c>
      <c r="AR278" s="890">
        <f t="shared" si="690"/>
        <v>0</v>
      </c>
      <c r="AS278" s="1158">
        <f t="shared" si="668"/>
        <v>0</v>
      </c>
      <c r="AT278" s="1158">
        <f t="shared" si="670"/>
        <v>0</v>
      </c>
      <c r="AU278" s="1158"/>
      <c r="AV278" s="1158"/>
      <c r="AW278" s="1158"/>
      <c r="AX278" s="1158"/>
      <c r="AY278" s="179"/>
      <c r="AZ278" s="8">
        <f t="shared" si="669"/>
        <v>0</v>
      </c>
      <c r="BB278" s="221"/>
      <c r="BC278" s="179"/>
    </row>
    <row r="279" spans="1:55" s="220" customFormat="1" ht="14.25" hidden="1" customHeight="1">
      <c r="A279" s="884">
        <f t="shared" si="666"/>
        <v>40</v>
      </c>
      <c r="B279" s="900" t="s">
        <v>666</v>
      </c>
      <c r="C279" s="886">
        <v>41640</v>
      </c>
      <c r="D279" s="887">
        <v>8</v>
      </c>
      <c r="E279" s="888">
        <f>113500000*0</f>
        <v>0</v>
      </c>
      <c r="F279" s="889">
        <f t="shared" si="673"/>
        <v>0</v>
      </c>
      <c r="G279" s="890">
        <f t="shared" si="672"/>
        <v>0</v>
      </c>
      <c r="H279" s="890">
        <f t="shared" si="637"/>
        <v>0</v>
      </c>
      <c r="I279" s="890">
        <f t="shared" si="638"/>
        <v>0</v>
      </c>
      <c r="J279" s="890">
        <f t="shared" si="639"/>
        <v>0</v>
      </c>
      <c r="K279" s="890">
        <f t="shared" si="640"/>
        <v>0</v>
      </c>
      <c r="L279" s="890">
        <f t="shared" si="674"/>
        <v>0</v>
      </c>
      <c r="M279" s="890">
        <f t="shared" si="675"/>
        <v>0</v>
      </c>
      <c r="N279" s="890">
        <f t="shared" si="643"/>
        <v>0</v>
      </c>
      <c r="O279" s="890">
        <f t="shared" si="676"/>
        <v>0</v>
      </c>
      <c r="P279" s="890">
        <f t="shared" si="677"/>
        <v>0</v>
      </c>
      <c r="Q279" s="890">
        <f t="shared" si="646"/>
        <v>0</v>
      </c>
      <c r="R279" s="890">
        <f t="shared" si="678"/>
        <v>0</v>
      </c>
      <c r="S279" s="890">
        <f t="shared" si="679"/>
        <v>0</v>
      </c>
      <c r="T279" s="890">
        <f t="shared" si="649"/>
        <v>0</v>
      </c>
      <c r="U279" s="890">
        <f t="shared" si="680"/>
        <v>0</v>
      </c>
      <c r="V279" s="890">
        <f t="shared" si="681"/>
        <v>0</v>
      </c>
      <c r="W279" s="890">
        <f t="shared" si="652"/>
        <v>0</v>
      </c>
      <c r="X279" s="890">
        <f t="shared" si="682"/>
        <v>0</v>
      </c>
      <c r="Y279" s="890">
        <f>56750000*0</f>
        <v>0</v>
      </c>
      <c r="Z279" s="890">
        <f t="shared" si="683"/>
        <v>0</v>
      </c>
      <c r="AA279" s="890">
        <f t="shared" si="684"/>
        <v>0</v>
      </c>
      <c r="AB279" s="890">
        <f t="shared" si="656"/>
        <v>0</v>
      </c>
      <c r="AC279" s="890">
        <f t="shared" si="685"/>
        <v>0</v>
      </c>
      <c r="AD279" s="890">
        <f t="shared" si="686"/>
        <v>0</v>
      </c>
      <c r="AE279" s="890">
        <f t="shared" si="659"/>
        <v>0</v>
      </c>
      <c r="AF279" s="890">
        <f t="shared" si="687"/>
        <v>0</v>
      </c>
      <c r="AG279" s="890">
        <f t="shared" si="688"/>
        <v>0</v>
      </c>
      <c r="AH279" s="890">
        <f t="shared" si="662"/>
        <v>0</v>
      </c>
      <c r="AI279" s="890">
        <f t="shared" si="689"/>
        <v>0</v>
      </c>
      <c r="AJ279" s="890"/>
      <c r="AK279" s="890"/>
      <c r="AL279" s="890"/>
      <c r="AM279" s="890"/>
      <c r="AN279" s="890"/>
      <c r="AO279" s="890"/>
      <c r="AP279" s="890">
        <f t="shared" si="664"/>
        <v>0</v>
      </c>
      <c r="AQ279" s="890">
        <f t="shared" si="667"/>
        <v>0</v>
      </c>
      <c r="AR279" s="890">
        <f t="shared" si="690"/>
        <v>0</v>
      </c>
      <c r="AS279" s="1158">
        <f t="shared" si="668"/>
        <v>0</v>
      </c>
      <c r="AT279" s="1158">
        <f t="shared" si="670"/>
        <v>0</v>
      </c>
      <c r="AU279" s="1158"/>
      <c r="AV279" s="1158"/>
      <c r="AW279" s="1158"/>
      <c r="AX279" s="1158"/>
      <c r="AY279" s="179"/>
      <c r="AZ279" s="8">
        <f t="shared" si="669"/>
        <v>0</v>
      </c>
      <c r="BB279" s="221"/>
      <c r="BC279" s="179"/>
    </row>
    <row r="280" spans="1:55" s="220" customFormat="1" ht="14.25" hidden="1" customHeight="1">
      <c r="A280" s="884">
        <f t="shared" si="666"/>
        <v>41</v>
      </c>
      <c r="B280" s="900" t="s">
        <v>667</v>
      </c>
      <c r="C280" s="886">
        <v>41640</v>
      </c>
      <c r="D280" s="887">
        <v>8</v>
      </c>
      <c r="E280" s="888">
        <f>8800000*0</f>
        <v>0</v>
      </c>
      <c r="F280" s="889">
        <f t="shared" si="673"/>
        <v>0</v>
      </c>
      <c r="G280" s="890">
        <f t="shared" si="672"/>
        <v>0</v>
      </c>
      <c r="H280" s="890">
        <f t="shared" si="637"/>
        <v>0</v>
      </c>
      <c r="I280" s="890">
        <f t="shared" si="638"/>
        <v>0</v>
      </c>
      <c r="J280" s="890">
        <f t="shared" si="639"/>
        <v>0</v>
      </c>
      <c r="K280" s="890">
        <f t="shared" si="640"/>
        <v>0</v>
      </c>
      <c r="L280" s="890">
        <f t="shared" si="674"/>
        <v>0</v>
      </c>
      <c r="M280" s="890">
        <f t="shared" si="675"/>
        <v>0</v>
      </c>
      <c r="N280" s="890">
        <f t="shared" si="643"/>
        <v>0</v>
      </c>
      <c r="O280" s="890">
        <f t="shared" si="676"/>
        <v>0</v>
      </c>
      <c r="P280" s="890">
        <f t="shared" si="677"/>
        <v>0</v>
      </c>
      <c r="Q280" s="890">
        <f t="shared" si="646"/>
        <v>0</v>
      </c>
      <c r="R280" s="890">
        <f t="shared" si="678"/>
        <v>0</v>
      </c>
      <c r="S280" s="890">
        <f t="shared" si="679"/>
        <v>0</v>
      </c>
      <c r="T280" s="890">
        <f t="shared" si="649"/>
        <v>0</v>
      </c>
      <c r="U280" s="890">
        <f t="shared" si="680"/>
        <v>0</v>
      </c>
      <c r="V280" s="890">
        <f t="shared" si="681"/>
        <v>0</v>
      </c>
      <c r="W280" s="890">
        <f t="shared" si="652"/>
        <v>0</v>
      </c>
      <c r="X280" s="890">
        <f t="shared" si="682"/>
        <v>0</v>
      </c>
      <c r="Y280" s="890">
        <f>4400000*0</f>
        <v>0</v>
      </c>
      <c r="Z280" s="890">
        <f t="shared" si="683"/>
        <v>0</v>
      </c>
      <c r="AA280" s="890">
        <f t="shared" si="684"/>
        <v>0</v>
      </c>
      <c r="AB280" s="890">
        <f t="shared" si="656"/>
        <v>0</v>
      </c>
      <c r="AC280" s="890">
        <f t="shared" si="685"/>
        <v>0</v>
      </c>
      <c r="AD280" s="890">
        <f t="shared" si="686"/>
        <v>0</v>
      </c>
      <c r="AE280" s="890">
        <f t="shared" si="659"/>
        <v>0</v>
      </c>
      <c r="AF280" s="890">
        <f t="shared" si="687"/>
        <v>0</v>
      </c>
      <c r="AG280" s="890">
        <f t="shared" si="688"/>
        <v>0</v>
      </c>
      <c r="AH280" s="890">
        <f t="shared" si="662"/>
        <v>0</v>
      </c>
      <c r="AI280" s="890">
        <f t="shared" si="689"/>
        <v>0</v>
      </c>
      <c r="AJ280" s="890"/>
      <c r="AK280" s="890"/>
      <c r="AL280" s="890"/>
      <c r="AM280" s="890"/>
      <c r="AN280" s="890"/>
      <c r="AO280" s="890"/>
      <c r="AP280" s="890">
        <f t="shared" si="664"/>
        <v>0</v>
      </c>
      <c r="AQ280" s="890">
        <f t="shared" si="667"/>
        <v>0</v>
      </c>
      <c r="AR280" s="890">
        <f t="shared" si="690"/>
        <v>0</v>
      </c>
      <c r="AS280" s="1158">
        <f t="shared" si="668"/>
        <v>0</v>
      </c>
      <c r="AT280" s="1158">
        <f t="shared" si="670"/>
        <v>0</v>
      </c>
      <c r="AU280" s="1158"/>
      <c r="AV280" s="1158"/>
      <c r="AW280" s="1158"/>
      <c r="AX280" s="1158"/>
      <c r="AY280" s="179"/>
      <c r="AZ280" s="8">
        <f t="shared" si="669"/>
        <v>0</v>
      </c>
      <c r="BB280" s="221"/>
      <c r="BC280" s="179"/>
    </row>
    <row r="281" spans="1:55" s="220" customFormat="1" ht="14.25" hidden="1" customHeight="1">
      <c r="A281" s="884">
        <f t="shared" si="666"/>
        <v>42</v>
      </c>
      <c r="B281" s="900" t="s">
        <v>667</v>
      </c>
      <c r="C281" s="886">
        <v>41640</v>
      </c>
      <c r="D281" s="887">
        <v>8</v>
      </c>
      <c r="E281" s="888">
        <f>30300000*0</f>
        <v>0</v>
      </c>
      <c r="F281" s="889">
        <f t="shared" si="673"/>
        <v>0</v>
      </c>
      <c r="G281" s="890">
        <f t="shared" si="672"/>
        <v>0</v>
      </c>
      <c r="H281" s="890">
        <f t="shared" si="637"/>
        <v>0</v>
      </c>
      <c r="I281" s="890">
        <f t="shared" si="638"/>
        <v>0</v>
      </c>
      <c r="J281" s="890">
        <f t="shared" si="639"/>
        <v>0</v>
      </c>
      <c r="K281" s="890">
        <f t="shared" si="640"/>
        <v>0</v>
      </c>
      <c r="L281" s="890">
        <f t="shared" si="674"/>
        <v>0</v>
      </c>
      <c r="M281" s="890">
        <f t="shared" si="675"/>
        <v>0</v>
      </c>
      <c r="N281" s="890">
        <f t="shared" si="643"/>
        <v>0</v>
      </c>
      <c r="O281" s="890">
        <f t="shared" si="676"/>
        <v>0</v>
      </c>
      <c r="P281" s="890">
        <f t="shared" si="677"/>
        <v>0</v>
      </c>
      <c r="Q281" s="890">
        <f t="shared" si="646"/>
        <v>0</v>
      </c>
      <c r="R281" s="890">
        <f t="shared" si="678"/>
        <v>0</v>
      </c>
      <c r="S281" s="890">
        <f t="shared" si="679"/>
        <v>0</v>
      </c>
      <c r="T281" s="890">
        <f t="shared" si="649"/>
        <v>0</v>
      </c>
      <c r="U281" s="890">
        <f t="shared" si="680"/>
        <v>0</v>
      </c>
      <c r="V281" s="890">
        <f t="shared" si="681"/>
        <v>0</v>
      </c>
      <c r="W281" s="890">
        <f t="shared" si="652"/>
        <v>0</v>
      </c>
      <c r="X281" s="890">
        <f t="shared" si="682"/>
        <v>0</v>
      </c>
      <c r="Y281" s="890">
        <f>15150000*0</f>
        <v>0</v>
      </c>
      <c r="Z281" s="890">
        <f t="shared" si="683"/>
        <v>0</v>
      </c>
      <c r="AA281" s="890">
        <f t="shared" si="684"/>
        <v>0</v>
      </c>
      <c r="AB281" s="890">
        <f t="shared" si="656"/>
        <v>0</v>
      </c>
      <c r="AC281" s="890">
        <f t="shared" si="685"/>
        <v>0</v>
      </c>
      <c r="AD281" s="890">
        <f t="shared" si="686"/>
        <v>0</v>
      </c>
      <c r="AE281" s="890">
        <f t="shared" si="659"/>
        <v>0</v>
      </c>
      <c r="AF281" s="890">
        <f t="shared" si="687"/>
        <v>0</v>
      </c>
      <c r="AG281" s="890">
        <f t="shared" si="688"/>
        <v>0</v>
      </c>
      <c r="AH281" s="890">
        <f t="shared" si="662"/>
        <v>0</v>
      </c>
      <c r="AI281" s="890">
        <f t="shared" si="689"/>
        <v>0</v>
      </c>
      <c r="AJ281" s="890"/>
      <c r="AK281" s="890"/>
      <c r="AL281" s="890"/>
      <c r="AM281" s="890"/>
      <c r="AN281" s="890"/>
      <c r="AO281" s="890"/>
      <c r="AP281" s="890">
        <f t="shared" si="664"/>
        <v>0</v>
      </c>
      <c r="AQ281" s="890">
        <f t="shared" si="667"/>
        <v>0</v>
      </c>
      <c r="AR281" s="890">
        <f t="shared" si="690"/>
        <v>0</v>
      </c>
      <c r="AS281" s="1158">
        <f t="shared" si="668"/>
        <v>0</v>
      </c>
      <c r="AT281" s="1158">
        <f t="shared" si="670"/>
        <v>0</v>
      </c>
      <c r="AU281" s="1158"/>
      <c r="AV281" s="1158"/>
      <c r="AW281" s="1158"/>
      <c r="AX281" s="1158"/>
      <c r="AY281" s="179"/>
      <c r="AZ281" s="8">
        <f t="shared" si="669"/>
        <v>0</v>
      </c>
      <c r="BB281" s="221"/>
      <c r="BC281" s="179"/>
    </row>
    <row r="282" spans="1:55" s="220" customFormat="1" ht="14.25" hidden="1" customHeight="1">
      <c r="A282" s="884">
        <f t="shared" si="666"/>
        <v>43</v>
      </c>
      <c r="B282" s="900" t="s">
        <v>668</v>
      </c>
      <c r="C282" s="886">
        <v>41640</v>
      </c>
      <c r="D282" s="887">
        <v>8</v>
      </c>
      <c r="E282" s="888">
        <f>23100000*0</f>
        <v>0</v>
      </c>
      <c r="F282" s="889">
        <f t="shared" si="673"/>
        <v>0</v>
      </c>
      <c r="G282" s="890">
        <f t="shared" si="672"/>
        <v>0</v>
      </c>
      <c r="H282" s="890">
        <f t="shared" si="637"/>
        <v>0</v>
      </c>
      <c r="I282" s="890">
        <f t="shared" si="638"/>
        <v>0</v>
      </c>
      <c r="J282" s="890">
        <f t="shared" si="639"/>
        <v>0</v>
      </c>
      <c r="K282" s="890">
        <f t="shared" si="640"/>
        <v>0</v>
      </c>
      <c r="L282" s="890">
        <f t="shared" si="674"/>
        <v>0</v>
      </c>
      <c r="M282" s="890">
        <f t="shared" si="675"/>
        <v>0</v>
      </c>
      <c r="N282" s="890">
        <f t="shared" si="643"/>
        <v>0</v>
      </c>
      <c r="O282" s="890">
        <f t="shared" si="676"/>
        <v>0</v>
      </c>
      <c r="P282" s="890">
        <f t="shared" si="677"/>
        <v>0</v>
      </c>
      <c r="Q282" s="890">
        <f t="shared" si="646"/>
        <v>0</v>
      </c>
      <c r="R282" s="890">
        <f t="shared" si="678"/>
        <v>0</v>
      </c>
      <c r="S282" s="890">
        <f t="shared" si="679"/>
        <v>0</v>
      </c>
      <c r="T282" s="890">
        <f t="shared" si="649"/>
        <v>0</v>
      </c>
      <c r="U282" s="890">
        <f t="shared" si="680"/>
        <v>0</v>
      </c>
      <c r="V282" s="890">
        <f t="shared" si="681"/>
        <v>0</v>
      </c>
      <c r="W282" s="890">
        <f t="shared" si="652"/>
        <v>0</v>
      </c>
      <c r="X282" s="890">
        <f t="shared" si="682"/>
        <v>0</v>
      </c>
      <c r="Y282" s="890">
        <f>11550000*0</f>
        <v>0</v>
      </c>
      <c r="Z282" s="890">
        <f t="shared" si="683"/>
        <v>0</v>
      </c>
      <c r="AA282" s="890">
        <f t="shared" si="684"/>
        <v>0</v>
      </c>
      <c r="AB282" s="890">
        <f t="shared" si="656"/>
        <v>0</v>
      </c>
      <c r="AC282" s="890">
        <f t="shared" si="685"/>
        <v>0</v>
      </c>
      <c r="AD282" s="890">
        <f t="shared" si="686"/>
        <v>0</v>
      </c>
      <c r="AE282" s="890">
        <f t="shared" si="659"/>
        <v>0</v>
      </c>
      <c r="AF282" s="890">
        <f t="shared" si="687"/>
        <v>0</v>
      </c>
      <c r="AG282" s="890">
        <f t="shared" si="688"/>
        <v>0</v>
      </c>
      <c r="AH282" s="890">
        <f t="shared" si="662"/>
        <v>0</v>
      </c>
      <c r="AI282" s="890">
        <f t="shared" si="689"/>
        <v>0</v>
      </c>
      <c r="AJ282" s="890"/>
      <c r="AK282" s="890"/>
      <c r="AL282" s="890"/>
      <c r="AM282" s="890"/>
      <c r="AN282" s="890"/>
      <c r="AO282" s="890"/>
      <c r="AP282" s="890">
        <f t="shared" si="664"/>
        <v>0</v>
      </c>
      <c r="AQ282" s="890">
        <f t="shared" si="667"/>
        <v>0</v>
      </c>
      <c r="AR282" s="890">
        <f t="shared" si="690"/>
        <v>0</v>
      </c>
      <c r="AS282" s="1158">
        <f t="shared" si="668"/>
        <v>0</v>
      </c>
      <c r="AT282" s="1158">
        <f t="shared" si="670"/>
        <v>0</v>
      </c>
      <c r="AU282" s="1158"/>
      <c r="AV282" s="1158"/>
      <c r="AW282" s="1158"/>
      <c r="AX282" s="1158"/>
      <c r="AY282" s="179"/>
      <c r="AZ282" s="8">
        <f t="shared" si="669"/>
        <v>0</v>
      </c>
      <c r="BB282" s="221"/>
      <c r="BC282" s="179"/>
    </row>
    <row r="283" spans="1:55" s="220" customFormat="1" ht="14.25" hidden="1" customHeight="1">
      <c r="A283" s="884">
        <f t="shared" si="666"/>
        <v>44</v>
      </c>
      <c r="B283" s="900" t="s">
        <v>669</v>
      </c>
      <c r="C283" s="886">
        <v>42005</v>
      </c>
      <c r="D283" s="887">
        <v>8</v>
      </c>
      <c r="E283" s="888">
        <f>379688727*0</f>
        <v>0</v>
      </c>
      <c r="F283" s="889">
        <f t="shared" si="673"/>
        <v>0</v>
      </c>
      <c r="G283" s="895"/>
      <c r="H283" s="895"/>
      <c r="I283" s="895"/>
      <c r="J283" s="890">
        <f t="shared" ref="J283:J288" si="691">(F283/12)*(13-IF(C283="","",MONTH(C283)))</f>
        <v>0</v>
      </c>
      <c r="K283" s="890">
        <f t="shared" ref="K283:K288" si="692">J283+H283</f>
        <v>0</v>
      </c>
      <c r="L283" s="890">
        <f t="shared" si="674"/>
        <v>0</v>
      </c>
      <c r="M283" s="890">
        <f t="shared" si="675"/>
        <v>0</v>
      </c>
      <c r="N283" s="890">
        <f t="shared" si="643"/>
        <v>0</v>
      </c>
      <c r="O283" s="890">
        <f t="shared" si="676"/>
        <v>0</v>
      </c>
      <c r="P283" s="890">
        <f t="shared" si="677"/>
        <v>0</v>
      </c>
      <c r="Q283" s="890">
        <f t="shared" si="646"/>
        <v>0</v>
      </c>
      <c r="R283" s="890">
        <f t="shared" si="678"/>
        <v>0</v>
      </c>
      <c r="S283" s="890">
        <f t="shared" si="679"/>
        <v>0</v>
      </c>
      <c r="T283" s="890">
        <f t="shared" si="649"/>
        <v>0</v>
      </c>
      <c r="U283" s="890">
        <f t="shared" si="680"/>
        <v>0</v>
      </c>
      <c r="V283" s="890">
        <f t="shared" si="681"/>
        <v>0</v>
      </c>
      <c r="W283" s="890">
        <f t="shared" si="652"/>
        <v>0</v>
      </c>
      <c r="X283" s="890">
        <f t="shared" si="682"/>
        <v>0</v>
      </c>
      <c r="Y283" s="890">
        <f>227813236.2*0</f>
        <v>0</v>
      </c>
      <c r="Z283" s="890">
        <f t="shared" si="683"/>
        <v>0</v>
      </c>
      <c r="AA283" s="890">
        <f t="shared" si="684"/>
        <v>0</v>
      </c>
      <c r="AB283" s="890">
        <f t="shared" si="656"/>
        <v>0</v>
      </c>
      <c r="AC283" s="890">
        <f t="shared" si="685"/>
        <v>0</v>
      </c>
      <c r="AD283" s="890">
        <f t="shared" si="686"/>
        <v>0</v>
      </c>
      <c r="AE283" s="890">
        <f t="shared" si="659"/>
        <v>0</v>
      </c>
      <c r="AF283" s="890">
        <f t="shared" si="687"/>
        <v>0</v>
      </c>
      <c r="AG283" s="890">
        <f t="shared" si="688"/>
        <v>0</v>
      </c>
      <c r="AH283" s="890">
        <f t="shared" si="662"/>
        <v>0</v>
      </c>
      <c r="AI283" s="890">
        <f t="shared" si="689"/>
        <v>0</v>
      </c>
      <c r="AJ283" s="890"/>
      <c r="AK283" s="890"/>
      <c r="AL283" s="890"/>
      <c r="AM283" s="890"/>
      <c r="AN283" s="890"/>
      <c r="AO283" s="890"/>
      <c r="AP283" s="59">
        <f>(F283/12)*2.4</f>
        <v>0</v>
      </c>
      <c r="AQ283" s="890">
        <f t="shared" si="667"/>
        <v>0</v>
      </c>
      <c r="AR283" s="890">
        <f t="shared" si="690"/>
        <v>0</v>
      </c>
      <c r="AS283" s="1158">
        <f t="shared" si="668"/>
        <v>0</v>
      </c>
      <c r="AT283" s="1158">
        <f t="shared" si="670"/>
        <v>0</v>
      </c>
      <c r="AU283" s="1158"/>
      <c r="AV283" s="1158"/>
      <c r="AW283" s="1158"/>
      <c r="AX283" s="1158"/>
      <c r="AY283" s="179"/>
      <c r="AZ283" s="8">
        <f t="shared" si="669"/>
        <v>0</v>
      </c>
      <c r="BB283" s="221"/>
      <c r="BC283" s="179"/>
    </row>
    <row r="284" spans="1:55" s="220" customFormat="1" ht="14.25" hidden="1" customHeight="1">
      <c r="A284" s="884">
        <f t="shared" si="666"/>
        <v>45</v>
      </c>
      <c r="B284" s="900" t="s">
        <v>670</v>
      </c>
      <c r="C284" s="886">
        <v>42005</v>
      </c>
      <c r="D284" s="887">
        <v>8</v>
      </c>
      <c r="E284" s="888">
        <f>99297924*0</f>
        <v>0</v>
      </c>
      <c r="F284" s="889">
        <f t="shared" si="673"/>
        <v>0</v>
      </c>
      <c r="G284" s="895"/>
      <c r="H284" s="895"/>
      <c r="I284" s="895"/>
      <c r="J284" s="890">
        <f t="shared" si="691"/>
        <v>0</v>
      </c>
      <c r="K284" s="890">
        <f t="shared" si="692"/>
        <v>0</v>
      </c>
      <c r="L284" s="890">
        <f t="shared" si="674"/>
        <v>0</v>
      </c>
      <c r="M284" s="890">
        <f t="shared" si="675"/>
        <v>0</v>
      </c>
      <c r="N284" s="890">
        <f t="shared" si="643"/>
        <v>0</v>
      </c>
      <c r="O284" s="890">
        <f t="shared" si="676"/>
        <v>0</v>
      </c>
      <c r="P284" s="890">
        <f t="shared" si="677"/>
        <v>0</v>
      </c>
      <c r="Q284" s="890">
        <f t="shared" si="646"/>
        <v>0</v>
      </c>
      <c r="R284" s="890">
        <f t="shared" si="678"/>
        <v>0</v>
      </c>
      <c r="S284" s="890">
        <f t="shared" si="679"/>
        <v>0</v>
      </c>
      <c r="T284" s="890">
        <f t="shared" si="649"/>
        <v>0</v>
      </c>
      <c r="U284" s="890">
        <f t="shared" si="680"/>
        <v>0</v>
      </c>
      <c r="V284" s="890">
        <f t="shared" si="681"/>
        <v>0</v>
      </c>
      <c r="W284" s="890">
        <f t="shared" si="652"/>
        <v>0</v>
      </c>
      <c r="X284" s="890">
        <f t="shared" si="682"/>
        <v>0</v>
      </c>
      <c r="Y284" s="890">
        <f>57923789*0</f>
        <v>0</v>
      </c>
      <c r="Z284" s="890">
        <f t="shared" si="683"/>
        <v>0</v>
      </c>
      <c r="AA284" s="890">
        <f t="shared" si="684"/>
        <v>0</v>
      </c>
      <c r="AB284" s="890">
        <f t="shared" si="656"/>
        <v>0</v>
      </c>
      <c r="AC284" s="890">
        <f t="shared" si="685"/>
        <v>0</v>
      </c>
      <c r="AD284" s="890">
        <f t="shared" si="686"/>
        <v>0</v>
      </c>
      <c r="AE284" s="890">
        <f t="shared" si="659"/>
        <v>0</v>
      </c>
      <c r="AF284" s="890">
        <f t="shared" si="687"/>
        <v>0</v>
      </c>
      <c r="AG284" s="890">
        <f t="shared" si="688"/>
        <v>0</v>
      </c>
      <c r="AH284" s="890">
        <f t="shared" si="662"/>
        <v>0</v>
      </c>
      <c r="AI284" s="890">
        <f t="shared" si="689"/>
        <v>0</v>
      </c>
      <c r="AJ284" s="890"/>
      <c r="AK284" s="890"/>
      <c r="AL284" s="890"/>
      <c r="AM284" s="890"/>
      <c r="AN284" s="890"/>
      <c r="AO284" s="890"/>
      <c r="AP284" s="890">
        <f>(F284/12)*4</f>
        <v>0</v>
      </c>
      <c r="AQ284" s="890">
        <f t="shared" si="667"/>
        <v>0</v>
      </c>
      <c r="AR284" s="890">
        <f t="shared" si="690"/>
        <v>0</v>
      </c>
      <c r="AS284" s="1158">
        <f t="shared" si="668"/>
        <v>0</v>
      </c>
      <c r="AT284" s="1158">
        <f t="shared" si="670"/>
        <v>0</v>
      </c>
      <c r="AU284" s="1158"/>
      <c r="AV284" s="1158"/>
      <c r="AW284" s="1158"/>
      <c r="AX284" s="1158"/>
      <c r="AY284" s="179"/>
      <c r="AZ284" s="8">
        <f t="shared" si="669"/>
        <v>0</v>
      </c>
      <c r="BB284" s="221"/>
      <c r="BC284" s="179"/>
    </row>
    <row r="285" spans="1:55" s="220" customFormat="1" ht="14.25" hidden="1" customHeight="1">
      <c r="A285" s="884">
        <f t="shared" si="666"/>
        <v>46</v>
      </c>
      <c r="B285" s="900" t="s">
        <v>671</v>
      </c>
      <c r="C285" s="886">
        <v>42005</v>
      </c>
      <c r="D285" s="887">
        <v>8</v>
      </c>
      <c r="E285" s="888">
        <f>105000000*0</f>
        <v>0</v>
      </c>
      <c r="F285" s="889">
        <f t="shared" si="673"/>
        <v>0</v>
      </c>
      <c r="G285" s="895"/>
      <c r="H285" s="895"/>
      <c r="I285" s="895"/>
      <c r="J285" s="890">
        <f t="shared" si="691"/>
        <v>0</v>
      </c>
      <c r="K285" s="890">
        <f t="shared" si="692"/>
        <v>0</v>
      </c>
      <c r="L285" s="890">
        <f t="shared" si="674"/>
        <v>0</v>
      </c>
      <c r="M285" s="890">
        <f t="shared" si="675"/>
        <v>0</v>
      </c>
      <c r="N285" s="890">
        <f t="shared" si="643"/>
        <v>0</v>
      </c>
      <c r="O285" s="890">
        <f t="shared" si="676"/>
        <v>0</v>
      </c>
      <c r="P285" s="890">
        <f t="shared" si="677"/>
        <v>0</v>
      </c>
      <c r="Q285" s="890">
        <f t="shared" si="646"/>
        <v>0</v>
      </c>
      <c r="R285" s="890">
        <f t="shared" si="678"/>
        <v>0</v>
      </c>
      <c r="S285" s="890">
        <f t="shared" si="679"/>
        <v>0</v>
      </c>
      <c r="T285" s="890">
        <f t="shared" si="649"/>
        <v>0</v>
      </c>
      <c r="U285" s="890">
        <f t="shared" si="680"/>
        <v>0</v>
      </c>
      <c r="V285" s="890">
        <f t="shared" si="681"/>
        <v>0</v>
      </c>
      <c r="W285" s="890">
        <f t="shared" si="652"/>
        <v>0</v>
      </c>
      <c r="X285" s="890">
        <f t="shared" si="682"/>
        <v>0</v>
      </c>
      <c r="Y285" s="890">
        <f>58625000*0</f>
        <v>0</v>
      </c>
      <c r="Z285" s="890">
        <f t="shared" si="683"/>
        <v>0</v>
      </c>
      <c r="AA285" s="890">
        <f t="shared" si="684"/>
        <v>0</v>
      </c>
      <c r="AB285" s="890">
        <f t="shared" si="656"/>
        <v>0</v>
      </c>
      <c r="AC285" s="890">
        <f t="shared" si="685"/>
        <v>0</v>
      </c>
      <c r="AD285" s="890">
        <f t="shared" si="686"/>
        <v>0</v>
      </c>
      <c r="AE285" s="890">
        <f t="shared" si="659"/>
        <v>0</v>
      </c>
      <c r="AF285" s="890">
        <f t="shared" si="687"/>
        <v>0</v>
      </c>
      <c r="AG285" s="890">
        <f t="shared" si="688"/>
        <v>0</v>
      </c>
      <c r="AH285" s="890">
        <f t="shared" si="662"/>
        <v>0</v>
      </c>
      <c r="AI285" s="890">
        <f t="shared" si="689"/>
        <v>0</v>
      </c>
      <c r="AJ285" s="890"/>
      <c r="AK285" s="890"/>
      <c r="AL285" s="890"/>
      <c r="AM285" s="890"/>
      <c r="AN285" s="890"/>
      <c r="AO285" s="890"/>
      <c r="AP285" s="59">
        <f>(F285/12)*6.4</f>
        <v>0</v>
      </c>
      <c r="AQ285" s="890">
        <f t="shared" si="667"/>
        <v>0</v>
      </c>
      <c r="AR285" s="890">
        <f t="shared" si="690"/>
        <v>0</v>
      </c>
      <c r="AS285" s="1158">
        <f t="shared" si="668"/>
        <v>0</v>
      </c>
      <c r="AT285" s="1158">
        <f t="shared" si="670"/>
        <v>0</v>
      </c>
      <c r="AU285" s="1158"/>
      <c r="AV285" s="1158"/>
      <c r="AW285" s="1158"/>
      <c r="AX285" s="1158"/>
      <c r="AY285" s="179"/>
      <c r="AZ285" s="8">
        <f t="shared" si="669"/>
        <v>0</v>
      </c>
      <c r="BB285" s="221"/>
      <c r="BC285" s="179"/>
    </row>
    <row r="286" spans="1:55" s="220" customFormat="1" ht="14.25" hidden="1" customHeight="1">
      <c r="A286" s="884">
        <f t="shared" si="666"/>
        <v>47</v>
      </c>
      <c r="B286" s="900" t="s">
        <v>672</v>
      </c>
      <c r="C286" s="886">
        <v>42005</v>
      </c>
      <c r="D286" s="887">
        <v>8</v>
      </c>
      <c r="E286" s="888">
        <f>70500000*0</f>
        <v>0</v>
      </c>
      <c r="F286" s="889">
        <f t="shared" si="673"/>
        <v>0</v>
      </c>
      <c r="G286" s="895"/>
      <c r="H286" s="895"/>
      <c r="I286" s="895"/>
      <c r="J286" s="890">
        <f t="shared" si="691"/>
        <v>0</v>
      </c>
      <c r="K286" s="890">
        <f t="shared" si="692"/>
        <v>0</v>
      </c>
      <c r="L286" s="890">
        <f t="shared" si="674"/>
        <v>0</v>
      </c>
      <c r="M286" s="890">
        <f t="shared" si="675"/>
        <v>0</v>
      </c>
      <c r="N286" s="890">
        <f t="shared" si="643"/>
        <v>0</v>
      </c>
      <c r="O286" s="890">
        <f t="shared" si="676"/>
        <v>0</v>
      </c>
      <c r="P286" s="890">
        <f t="shared" si="677"/>
        <v>0</v>
      </c>
      <c r="Q286" s="890">
        <f t="shared" si="646"/>
        <v>0</v>
      </c>
      <c r="R286" s="890">
        <f t="shared" si="678"/>
        <v>0</v>
      </c>
      <c r="S286" s="890">
        <f t="shared" si="679"/>
        <v>0</v>
      </c>
      <c r="T286" s="890">
        <f t="shared" si="649"/>
        <v>0</v>
      </c>
      <c r="U286" s="890">
        <f t="shared" si="680"/>
        <v>0</v>
      </c>
      <c r="V286" s="890">
        <f t="shared" si="681"/>
        <v>0</v>
      </c>
      <c r="W286" s="890">
        <f t="shared" si="652"/>
        <v>0</v>
      </c>
      <c r="X286" s="890">
        <f t="shared" si="682"/>
        <v>0</v>
      </c>
      <c r="Y286" s="890">
        <f>37012500*0</f>
        <v>0</v>
      </c>
      <c r="Z286" s="890">
        <f t="shared" si="683"/>
        <v>0</v>
      </c>
      <c r="AA286" s="890">
        <f t="shared" si="684"/>
        <v>0</v>
      </c>
      <c r="AB286" s="890">
        <f t="shared" si="656"/>
        <v>0</v>
      </c>
      <c r="AC286" s="890">
        <f t="shared" si="685"/>
        <v>0</v>
      </c>
      <c r="AD286" s="890">
        <f t="shared" si="686"/>
        <v>0</v>
      </c>
      <c r="AE286" s="890">
        <f t="shared" si="659"/>
        <v>0</v>
      </c>
      <c r="AF286" s="890">
        <f t="shared" si="687"/>
        <v>0</v>
      </c>
      <c r="AG286" s="890">
        <f t="shared" si="688"/>
        <v>0</v>
      </c>
      <c r="AH286" s="890">
        <f t="shared" si="662"/>
        <v>0</v>
      </c>
      <c r="AI286" s="890">
        <f t="shared" si="689"/>
        <v>0</v>
      </c>
      <c r="AJ286" s="890"/>
      <c r="AK286" s="890"/>
      <c r="AL286" s="890"/>
      <c r="AM286" s="890"/>
      <c r="AN286" s="890"/>
      <c r="AO286" s="890"/>
      <c r="AP286" s="890">
        <f t="shared" ref="AP286:AP308" si="693">(F286/12)*7</f>
        <v>0</v>
      </c>
      <c r="AQ286" s="890">
        <f t="shared" si="667"/>
        <v>0</v>
      </c>
      <c r="AR286" s="890">
        <f t="shared" si="690"/>
        <v>0</v>
      </c>
      <c r="AS286" s="1158">
        <f t="shared" si="668"/>
        <v>0</v>
      </c>
      <c r="AT286" s="1158">
        <f t="shared" si="670"/>
        <v>0</v>
      </c>
      <c r="AU286" s="1158"/>
      <c r="AV286" s="1158"/>
      <c r="AW286" s="1158"/>
      <c r="AX286" s="1158"/>
      <c r="AY286" s="179"/>
      <c r="AZ286" s="8">
        <f t="shared" si="669"/>
        <v>0</v>
      </c>
      <c r="BB286" s="221"/>
      <c r="BC286" s="179"/>
    </row>
    <row r="287" spans="1:55" s="220" customFormat="1" ht="14.25" hidden="1" customHeight="1">
      <c r="A287" s="884">
        <f t="shared" si="666"/>
        <v>48</v>
      </c>
      <c r="B287" s="900" t="s">
        <v>673</v>
      </c>
      <c r="C287" s="886">
        <v>42005</v>
      </c>
      <c r="D287" s="887">
        <v>8</v>
      </c>
      <c r="E287" s="888">
        <f>25275000*0</f>
        <v>0</v>
      </c>
      <c r="F287" s="889">
        <f t="shared" si="673"/>
        <v>0</v>
      </c>
      <c r="G287" s="895"/>
      <c r="H287" s="895"/>
      <c r="I287" s="895"/>
      <c r="J287" s="890">
        <f t="shared" si="691"/>
        <v>0</v>
      </c>
      <c r="K287" s="890">
        <f t="shared" si="692"/>
        <v>0</v>
      </c>
      <c r="L287" s="890">
        <f t="shared" si="674"/>
        <v>0</v>
      </c>
      <c r="M287" s="890">
        <f t="shared" si="675"/>
        <v>0</v>
      </c>
      <c r="N287" s="890">
        <f t="shared" si="643"/>
        <v>0</v>
      </c>
      <c r="O287" s="890">
        <f t="shared" si="676"/>
        <v>0</v>
      </c>
      <c r="P287" s="890">
        <f t="shared" si="677"/>
        <v>0</v>
      </c>
      <c r="Q287" s="890">
        <f t="shared" si="646"/>
        <v>0</v>
      </c>
      <c r="R287" s="890">
        <f t="shared" si="678"/>
        <v>0</v>
      </c>
      <c r="S287" s="890">
        <f t="shared" si="679"/>
        <v>0</v>
      </c>
      <c r="T287" s="890">
        <f t="shared" si="649"/>
        <v>0</v>
      </c>
      <c r="U287" s="890">
        <f t="shared" si="680"/>
        <v>0</v>
      </c>
      <c r="V287" s="890">
        <f t="shared" si="681"/>
        <v>0</v>
      </c>
      <c r="W287" s="890">
        <f t="shared" si="652"/>
        <v>0</v>
      </c>
      <c r="X287" s="890">
        <f t="shared" si="682"/>
        <v>0</v>
      </c>
      <c r="Y287" s="890">
        <f>13058750*0</f>
        <v>0</v>
      </c>
      <c r="Z287" s="890">
        <f t="shared" si="683"/>
        <v>0</v>
      </c>
      <c r="AA287" s="890">
        <f t="shared" si="684"/>
        <v>0</v>
      </c>
      <c r="AB287" s="890">
        <f t="shared" si="656"/>
        <v>0</v>
      </c>
      <c r="AC287" s="890">
        <f t="shared" si="685"/>
        <v>0</v>
      </c>
      <c r="AD287" s="890">
        <f t="shared" si="686"/>
        <v>0</v>
      </c>
      <c r="AE287" s="890">
        <f t="shared" si="659"/>
        <v>0</v>
      </c>
      <c r="AF287" s="890">
        <f t="shared" si="687"/>
        <v>0</v>
      </c>
      <c r="AG287" s="890">
        <f t="shared" si="688"/>
        <v>0</v>
      </c>
      <c r="AH287" s="890">
        <f t="shared" si="662"/>
        <v>0</v>
      </c>
      <c r="AI287" s="890">
        <f t="shared" si="689"/>
        <v>0</v>
      </c>
      <c r="AJ287" s="890"/>
      <c r="AK287" s="890"/>
      <c r="AL287" s="890"/>
      <c r="AM287" s="890"/>
      <c r="AN287" s="890"/>
      <c r="AO287" s="890"/>
      <c r="AP287" s="890">
        <f t="shared" si="693"/>
        <v>0</v>
      </c>
      <c r="AQ287" s="890">
        <f t="shared" si="667"/>
        <v>0</v>
      </c>
      <c r="AR287" s="890">
        <f t="shared" si="690"/>
        <v>0</v>
      </c>
      <c r="AS287" s="1158">
        <f t="shared" si="668"/>
        <v>0</v>
      </c>
      <c r="AT287" s="1158">
        <f t="shared" si="670"/>
        <v>0</v>
      </c>
      <c r="AU287" s="1158"/>
      <c r="AV287" s="1158"/>
      <c r="AW287" s="1158"/>
      <c r="AX287" s="1158"/>
      <c r="AY287" s="179"/>
      <c r="AZ287" s="8">
        <f t="shared" si="669"/>
        <v>0</v>
      </c>
      <c r="BB287" s="221"/>
      <c r="BC287" s="179"/>
    </row>
    <row r="288" spans="1:55" s="220" customFormat="1" ht="14.25" hidden="1" customHeight="1">
      <c r="A288" s="884">
        <f t="shared" si="666"/>
        <v>49</v>
      </c>
      <c r="B288" s="900" t="s">
        <v>674</v>
      </c>
      <c r="C288" s="886">
        <v>42005</v>
      </c>
      <c r="D288" s="887">
        <v>8</v>
      </c>
      <c r="E288" s="888">
        <f>3780000*0</f>
        <v>0</v>
      </c>
      <c r="F288" s="889">
        <f t="shared" si="673"/>
        <v>0</v>
      </c>
      <c r="G288" s="895"/>
      <c r="H288" s="895"/>
      <c r="I288" s="895"/>
      <c r="J288" s="890">
        <f t="shared" si="691"/>
        <v>0</v>
      </c>
      <c r="K288" s="890">
        <f t="shared" si="692"/>
        <v>0</v>
      </c>
      <c r="L288" s="890">
        <f t="shared" si="674"/>
        <v>0</v>
      </c>
      <c r="M288" s="890">
        <f t="shared" si="675"/>
        <v>0</v>
      </c>
      <c r="N288" s="890">
        <f t="shared" si="643"/>
        <v>0</v>
      </c>
      <c r="O288" s="890">
        <f t="shared" si="676"/>
        <v>0</v>
      </c>
      <c r="P288" s="890">
        <f t="shared" si="677"/>
        <v>0</v>
      </c>
      <c r="Q288" s="890">
        <f t="shared" si="646"/>
        <v>0</v>
      </c>
      <c r="R288" s="890">
        <f t="shared" si="678"/>
        <v>0</v>
      </c>
      <c r="S288" s="890">
        <f t="shared" si="679"/>
        <v>0</v>
      </c>
      <c r="T288" s="890">
        <f t="shared" si="649"/>
        <v>0</v>
      </c>
      <c r="U288" s="890">
        <f t="shared" si="680"/>
        <v>0</v>
      </c>
      <c r="V288" s="890">
        <f t="shared" si="681"/>
        <v>0</v>
      </c>
      <c r="W288" s="890">
        <f t="shared" si="652"/>
        <v>0</v>
      </c>
      <c r="X288" s="890">
        <f t="shared" si="682"/>
        <v>0</v>
      </c>
      <c r="Y288" s="890">
        <f>1953000*0</f>
        <v>0</v>
      </c>
      <c r="Z288" s="890">
        <f t="shared" si="683"/>
        <v>0</v>
      </c>
      <c r="AA288" s="890">
        <f t="shared" si="684"/>
        <v>0</v>
      </c>
      <c r="AB288" s="890">
        <f t="shared" si="656"/>
        <v>0</v>
      </c>
      <c r="AC288" s="890">
        <f t="shared" si="685"/>
        <v>0</v>
      </c>
      <c r="AD288" s="890">
        <f t="shared" si="686"/>
        <v>0</v>
      </c>
      <c r="AE288" s="890">
        <f t="shared" si="659"/>
        <v>0</v>
      </c>
      <c r="AF288" s="890">
        <f t="shared" si="687"/>
        <v>0</v>
      </c>
      <c r="AG288" s="890">
        <f t="shared" si="688"/>
        <v>0</v>
      </c>
      <c r="AH288" s="890">
        <f t="shared" si="662"/>
        <v>0</v>
      </c>
      <c r="AI288" s="890">
        <f t="shared" si="689"/>
        <v>0</v>
      </c>
      <c r="AJ288" s="890"/>
      <c r="AK288" s="890"/>
      <c r="AL288" s="890"/>
      <c r="AM288" s="890"/>
      <c r="AN288" s="890"/>
      <c r="AO288" s="890"/>
      <c r="AP288" s="890">
        <f t="shared" si="693"/>
        <v>0</v>
      </c>
      <c r="AQ288" s="890">
        <f t="shared" si="667"/>
        <v>0</v>
      </c>
      <c r="AR288" s="890">
        <f t="shared" si="690"/>
        <v>0</v>
      </c>
      <c r="AS288" s="1158">
        <f t="shared" si="668"/>
        <v>0</v>
      </c>
      <c r="AT288" s="1158">
        <f t="shared" si="670"/>
        <v>0</v>
      </c>
      <c r="AU288" s="1158"/>
      <c r="AV288" s="1158"/>
      <c r="AW288" s="1158"/>
      <c r="AX288" s="1158"/>
      <c r="AY288" s="179"/>
      <c r="AZ288" s="8">
        <f t="shared" si="669"/>
        <v>0</v>
      </c>
      <c r="BB288" s="221"/>
      <c r="BC288" s="179"/>
    </row>
    <row r="289" spans="1:55" s="220" customFormat="1" ht="14.25" hidden="1" customHeight="1">
      <c r="A289" s="884">
        <f t="shared" si="666"/>
        <v>50</v>
      </c>
      <c r="B289" s="900" t="s">
        <v>675</v>
      </c>
      <c r="C289" s="886">
        <v>42370</v>
      </c>
      <c r="D289" s="887">
        <v>8</v>
      </c>
      <c r="E289" s="888">
        <f>24300000*0</f>
        <v>0</v>
      </c>
      <c r="F289" s="889">
        <f t="shared" si="673"/>
        <v>0</v>
      </c>
      <c r="G289" s="895"/>
      <c r="H289" s="895"/>
      <c r="I289" s="895"/>
      <c r="J289" s="895"/>
      <c r="K289" s="895"/>
      <c r="L289" s="895"/>
      <c r="M289" s="890">
        <f>(F289/12)*(13-IF(C289="","",MONTH(C289)))</f>
        <v>0</v>
      </c>
      <c r="N289" s="890">
        <f t="shared" ref="N289:N290" si="694">M289+K289</f>
        <v>0</v>
      </c>
      <c r="O289" s="890">
        <f t="shared" si="676"/>
        <v>0</v>
      </c>
      <c r="P289" s="890">
        <f t="shared" si="677"/>
        <v>0</v>
      </c>
      <c r="Q289" s="890">
        <f t="shared" si="646"/>
        <v>0</v>
      </c>
      <c r="R289" s="890">
        <f t="shared" si="678"/>
        <v>0</v>
      </c>
      <c r="S289" s="890">
        <f t="shared" si="679"/>
        <v>0</v>
      </c>
      <c r="T289" s="890">
        <f t="shared" si="649"/>
        <v>0</v>
      </c>
      <c r="U289" s="890">
        <f t="shared" si="680"/>
        <v>0</v>
      </c>
      <c r="V289" s="890">
        <f t="shared" si="681"/>
        <v>0</v>
      </c>
      <c r="W289" s="890">
        <f t="shared" si="652"/>
        <v>0</v>
      </c>
      <c r="X289" s="890">
        <f t="shared" si="682"/>
        <v>0</v>
      </c>
      <c r="Y289" s="890">
        <f>10884375*0</f>
        <v>0</v>
      </c>
      <c r="Z289" s="890">
        <f t="shared" si="683"/>
        <v>0</v>
      </c>
      <c r="AA289" s="890">
        <f t="shared" si="684"/>
        <v>0</v>
      </c>
      <c r="AB289" s="890">
        <f t="shared" si="656"/>
        <v>0</v>
      </c>
      <c r="AC289" s="890">
        <f t="shared" si="685"/>
        <v>0</v>
      </c>
      <c r="AD289" s="890">
        <f t="shared" si="686"/>
        <v>0</v>
      </c>
      <c r="AE289" s="890">
        <f t="shared" si="659"/>
        <v>0</v>
      </c>
      <c r="AF289" s="890">
        <f t="shared" si="687"/>
        <v>0</v>
      </c>
      <c r="AG289" s="890">
        <f t="shared" si="688"/>
        <v>0</v>
      </c>
      <c r="AH289" s="890">
        <f t="shared" si="662"/>
        <v>0</v>
      </c>
      <c r="AI289" s="890">
        <f t="shared" si="689"/>
        <v>0</v>
      </c>
      <c r="AJ289" s="890"/>
      <c r="AK289" s="890"/>
      <c r="AL289" s="890"/>
      <c r="AM289" s="890"/>
      <c r="AN289" s="890"/>
      <c r="AO289" s="890"/>
      <c r="AP289" s="890">
        <f t="shared" si="693"/>
        <v>0</v>
      </c>
      <c r="AQ289" s="890">
        <f t="shared" si="667"/>
        <v>0</v>
      </c>
      <c r="AR289" s="890">
        <f t="shared" si="690"/>
        <v>0</v>
      </c>
      <c r="AS289" s="1158">
        <f t="shared" si="668"/>
        <v>0</v>
      </c>
      <c r="AT289" s="1158">
        <f t="shared" si="670"/>
        <v>0</v>
      </c>
      <c r="AU289" s="1158"/>
      <c r="AV289" s="1158"/>
      <c r="AW289" s="1158"/>
      <c r="AX289" s="1158"/>
      <c r="AY289" s="179"/>
      <c r="AZ289" s="8">
        <f t="shared" si="669"/>
        <v>0</v>
      </c>
      <c r="BB289" s="221"/>
      <c r="BC289" s="179"/>
    </row>
    <row r="290" spans="1:55" s="220" customFormat="1" ht="14.25" hidden="1" customHeight="1">
      <c r="A290" s="884">
        <f t="shared" si="666"/>
        <v>51</v>
      </c>
      <c r="B290" s="900" t="s">
        <v>607</v>
      </c>
      <c r="C290" s="886">
        <v>42370</v>
      </c>
      <c r="D290" s="887">
        <v>16</v>
      </c>
      <c r="E290" s="888">
        <f>1270000000*0</f>
        <v>0</v>
      </c>
      <c r="F290" s="889">
        <f t="shared" si="673"/>
        <v>0</v>
      </c>
      <c r="G290" s="895"/>
      <c r="H290" s="895"/>
      <c r="I290" s="895"/>
      <c r="J290" s="895"/>
      <c r="K290" s="895"/>
      <c r="L290" s="895"/>
      <c r="M290" s="890">
        <f>(F290/12)*(13-IF(C290="","",MONTH(C290)))</f>
        <v>0</v>
      </c>
      <c r="N290" s="890">
        <f t="shared" si="694"/>
        <v>0</v>
      </c>
      <c r="O290" s="890">
        <f t="shared" si="676"/>
        <v>0</v>
      </c>
      <c r="P290" s="890">
        <f t="shared" si="677"/>
        <v>0</v>
      </c>
      <c r="Q290" s="890">
        <f t="shared" si="646"/>
        <v>0</v>
      </c>
      <c r="R290" s="890">
        <f t="shared" si="678"/>
        <v>0</v>
      </c>
      <c r="S290" s="890">
        <f t="shared" si="679"/>
        <v>0</v>
      </c>
      <c r="T290" s="890">
        <f t="shared" si="649"/>
        <v>0</v>
      </c>
      <c r="U290" s="890">
        <f t="shared" si="680"/>
        <v>0</v>
      </c>
      <c r="V290" s="890">
        <f t="shared" si="681"/>
        <v>0</v>
      </c>
      <c r="W290" s="890">
        <f t="shared" si="652"/>
        <v>0</v>
      </c>
      <c r="X290" s="890">
        <f t="shared" si="682"/>
        <v>0</v>
      </c>
      <c r="Y290" s="890">
        <f>476250000*0</f>
        <v>0</v>
      </c>
      <c r="Z290" s="890">
        <f t="shared" si="683"/>
        <v>0</v>
      </c>
      <c r="AA290" s="890">
        <f t="shared" si="684"/>
        <v>0</v>
      </c>
      <c r="AB290" s="890">
        <f t="shared" si="656"/>
        <v>0</v>
      </c>
      <c r="AC290" s="890">
        <f t="shared" si="685"/>
        <v>0</v>
      </c>
      <c r="AD290" s="890">
        <f t="shared" si="686"/>
        <v>0</v>
      </c>
      <c r="AE290" s="890">
        <f t="shared" si="659"/>
        <v>0</v>
      </c>
      <c r="AF290" s="890">
        <f t="shared" si="687"/>
        <v>0</v>
      </c>
      <c r="AG290" s="890">
        <f t="shared" si="688"/>
        <v>0</v>
      </c>
      <c r="AH290" s="890">
        <f t="shared" si="662"/>
        <v>0</v>
      </c>
      <c r="AI290" s="890">
        <f t="shared" si="689"/>
        <v>0</v>
      </c>
      <c r="AJ290" s="890"/>
      <c r="AK290" s="890"/>
      <c r="AL290" s="890"/>
      <c r="AM290" s="890"/>
      <c r="AN290" s="890"/>
      <c r="AO290" s="890"/>
      <c r="AP290" s="890">
        <f t="shared" si="693"/>
        <v>0</v>
      </c>
      <c r="AQ290" s="890">
        <f t="shared" si="667"/>
        <v>0</v>
      </c>
      <c r="AR290" s="890">
        <f t="shared" si="690"/>
        <v>0</v>
      </c>
      <c r="AS290" s="1158">
        <f t="shared" si="668"/>
        <v>0</v>
      </c>
      <c r="AT290" s="1158">
        <f t="shared" si="670"/>
        <v>0</v>
      </c>
      <c r="AU290" s="1158"/>
      <c r="AV290" s="1158"/>
      <c r="AW290" s="1158"/>
      <c r="AX290" s="1158"/>
      <c r="AY290" s="179"/>
      <c r="AZ290" s="8">
        <f t="shared" si="669"/>
        <v>0</v>
      </c>
      <c r="BB290" s="221"/>
      <c r="BC290" s="179"/>
    </row>
    <row r="291" spans="1:55" s="220" customFormat="1" ht="14.25" hidden="1" customHeight="1">
      <c r="A291" s="884">
        <f t="shared" si="666"/>
        <v>52</v>
      </c>
      <c r="B291" s="900" t="s">
        <v>676</v>
      </c>
      <c r="C291" s="886">
        <v>42736</v>
      </c>
      <c r="D291" s="887">
        <v>8</v>
      </c>
      <c r="E291" s="888">
        <f>72000000*0</f>
        <v>0</v>
      </c>
      <c r="F291" s="889">
        <f t="shared" si="673"/>
        <v>0</v>
      </c>
      <c r="G291" s="895"/>
      <c r="H291" s="895"/>
      <c r="I291" s="895"/>
      <c r="J291" s="895"/>
      <c r="K291" s="895"/>
      <c r="L291" s="895"/>
      <c r="M291" s="895"/>
      <c r="N291" s="895"/>
      <c r="O291" s="895"/>
      <c r="P291" s="918">
        <f>(F291/12)*(13-IF(C291="","",MONTH(C291)))</f>
        <v>0</v>
      </c>
      <c r="Q291" s="890">
        <f t="shared" ref="Q291:Q292" si="695">N291+P291</f>
        <v>0</v>
      </c>
      <c r="R291" s="890">
        <f t="shared" si="678"/>
        <v>0</v>
      </c>
      <c r="S291" s="890">
        <f t="shared" si="679"/>
        <v>0</v>
      </c>
      <c r="T291" s="890">
        <f t="shared" si="649"/>
        <v>0</v>
      </c>
      <c r="U291" s="890">
        <f t="shared" si="680"/>
        <v>0</v>
      </c>
      <c r="V291" s="890">
        <f t="shared" si="681"/>
        <v>0</v>
      </c>
      <c r="W291" s="890">
        <f t="shared" si="652"/>
        <v>0</v>
      </c>
      <c r="X291" s="890">
        <f t="shared" si="682"/>
        <v>0</v>
      </c>
      <c r="Y291" s="890">
        <f>24750000*0</f>
        <v>0</v>
      </c>
      <c r="Z291" s="890">
        <f t="shared" si="683"/>
        <v>0</v>
      </c>
      <c r="AA291" s="890">
        <f t="shared" si="684"/>
        <v>0</v>
      </c>
      <c r="AB291" s="890">
        <f t="shared" si="656"/>
        <v>0</v>
      </c>
      <c r="AC291" s="890">
        <f t="shared" si="685"/>
        <v>0</v>
      </c>
      <c r="AD291" s="890">
        <f t="shared" si="686"/>
        <v>0</v>
      </c>
      <c r="AE291" s="890">
        <f t="shared" si="659"/>
        <v>0</v>
      </c>
      <c r="AF291" s="890">
        <f t="shared" si="687"/>
        <v>0</v>
      </c>
      <c r="AG291" s="890">
        <f t="shared" si="688"/>
        <v>0</v>
      </c>
      <c r="AH291" s="890">
        <f t="shared" si="662"/>
        <v>0</v>
      </c>
      <c r="AI291" s="890">
        <f t="shared" si="689"/>
        <v>0</v>
      </c>
      <c r="AJ291" s="890"/>
      <c r="AK291" s="890"/>
      <c r="AL291" s="890"/>
      <c r="AM291" s="890"/>
      <c r="AN291" s="890"/>
      <c r="AO291" s="890"/>
      <c r="AP291" s="890">
        <f t="shared" si="693"/>
        <v>0</v>
      </c>
      <c r="AQ291" s="890">
        <f t="shared" si="667"/>
        <v>0</v>
      </c>
      <c r="AR291" s="890">
        <f t="shared" si="690"/>
        <v>0</v>
      </c>
      <c r="AS291" s="1158">
        <f t="shared" si="668"/>
        <v>0</v>
      </c>
      <c r="AT291" s="1158">
        <f t="shared" si="670"/>
        <v>0</v>
      </c>
      <c r="AU291" s="1158"/>
      <c r="AV291" s="1158"/>
      <c r="AW291" s="1158"/>
      <c r="AX291" s="1158"/>
      <c r="AY291" s="179"/>
      <c r="AZ291" s="8">
        <f t="shared" si="669"/>
        <v>0</v>
      </c>
      <c r="BB291" s="221"/>
      <c r="BC291" s="179"/>
    </row>
    <row r="292" spans="1:55" s="220" customFormat="1" ht="14.25" hidden="1" customHeight="1">
      <c r="A292" s="884">
        <f t="shared" si="666"/>
        <v>53</v>
      </c>
      <c r="B292" s="900" t="s">
        <v>677</v>
      </c>
      <c r="C292" s="886">
        <v>42736</v>
      </c>
      <c r="D292" s="887">
        <v>16</v>
      </c>
      <c r="E292" s="888">
        <f>635000000*0</f>
        <v>0</v>
      </c>
      <c r="F292" s="889">
        <f t="shared" si="673"/>
        <v>0</v>
      </c>
      <c r="G292" s="895"/>
      <c r="H292" s="895"/>
      <c r="I292" s="895"/>
      <c r="J292" s="895"/>
      <c r="K292" s="895"/>
      <c r="L292" s="895"/>
      <c r="M292" s="895"/>
      <c r="N292" s="895"/>
      <c r="O292" s="895"/>
      <c r="P292" s="918">
        <f>(F292/12)*(13-IF(C292="","",MONTH(C292)))</f>
        <v>0</v>
      </c>
      <c r="Q292" s="890">
        <f t="shared" si="695"/>
        <v>0</v>
      </c>
      <c r="R292" s="890">
        <f t="shared" si="678"/>
        <v>0</v>
      </c>
      <c r="S292" s="890">
        <f t="shared" si="679"/>
        <v>0</v>
      </c>
      <c r="T292" s="890">
        <f t="shared" si="649"/>
        <v>0</v>
      </c>
      <c r="U292" s="890">
        <f t="shared" si="680"/>
        <v>0</v>
      </c>
      <c r="V292" s="890">
        <f t="shared" si="681"/>
        <v>0</v>
      </c>
      <c r="W292" s="890">
        <f t="shared" si="652"/>
        <v>0</v>
      </c>
      <c r="X292" s="890">
        <f t="shared" si="682"/>
        <v>0</v>
      </c>
      <c r="Y292" s="890">
        <f>198437500*0</f>
        <v>0</v>
      </c>
      <c r="Z292" s="890">
        <f t="shared" si="683"/>
        <v>0</v>
      </c>
      <c r="AA292" s="890">
        <f t="shared" si="684"/>
        <v>0</v>
      </c>
      <c r="AB292" s="890">
        <f t="shared" si="656"/>
        <v>0</v>
      </c>
      <c r="AC292" s="890">
        <f t="shared" si="685"/>
        <v>0</v>
      </c>
      <c r="AD292" s="890">
        <f t="shared" si="686"/>
        <v>0</v>
      </c>
      <c r="AE292" s="890">
        <f t="shared" si="659"/>
        <v>0</v>
      </c>
      <c r="AF292" s="890">
        <f t="shared" si="687"/>
        <v>0</v>
      </c>
      <c r="AG292" s="890">
        <f t="shared" si="688"/>
        <v>0</v>
      </c>
      <c r="AH292" s="890">
        <f t="shared" si="662"/>
        <v>0</v>
      </c>
      <c r="AI292" s="890">
        <f t="shared" si="689"/>
        <v>0</v>
      </c>
      <c r="AJ292" s="890"/>
      <c r="AK292" s="890"/>
      <c r="AL292" s="890"/>
      <c r="AM292" s="890"/>
      <c r="AN292" s="890"/>
      <c r="AO292" s="890"/>
      <c r="AP292" s="890">
        <f t="shared" si="693"/>
        <v>0</v>
      </c>
      <c r="AQ292" s="890">
        <f t="shared" si="667"/>
        <v>0</v>
      </c>
      <c r="AR292" s="890">
        <f t="shared" si="690"/>
        <v>0</v>
      </c>
      <c r="AS292" s="1158">
        <f t="shared" si="668"/>
        <v>0</v>
      </c>
      <c r="AT292" s="1158">
        <f t="shared" si="670"/>
        <v>0</v>
      </c>
      <c r="AU292" s="1158"/>
      <c r="AV292" s="1158"/>
      <c r="AW292" s="1158"/>
      <c r="AX292" s="1158"/>
      <c r="AY292" s="179"/>
      <c r="AZ292" s="8">
        <f t="shared" si="669"/>
        <v>0</v>
      </c>
      <c r="BB292" s="221"/>
      <c r="BC292" s="179"/>
    </row>
    <row r="293" spans="1:55" s="220" customFormat="1" ht="14.25" hidden="1" customHeight="1">
      <c r="A293" s="884">
        <f t="shared" si="666"/>
        <v>54</v>
      </c>
      <c r="B293" s="900" t="s">
        <v>174</v>
      </c>
      <c r="C293" s="886">
        <v>43101</v>
      </c>
      <c r="D293" s="887">
        <v>16</v>
      </c>
      <c r="E293" s="888">
        <f>777978111.82*0</f>
        <v>0</v>
      </c>
      <c r="F293" s="889">
        <f t="shared" si="673"/>
        <v>0</v>
      </c>
      <c r="G293" s="895"/>
      <c r="H293" s="895"/>
      <c r="I293" s="895"/>
      <c r="J293" s="895"/>
      <c r="K293" s="895"/>
      <c r="L293" s="895"/>
      <c r="M293" s="895"/>
      <c r="N293" s="895"/>
      <c r="O293" s="895"/>
      <c r="P293" s="895"/>
      <c r="Q293" s="895"/>
      <c r="R293" s="895"/>
      <c r="S293" s="918">
        <f t="shared" ref="S293:S301" si="696">(F293/12)*(13-IF(C293="","",MONTH(C293)))</f>
        <v>0</v>
      </c>
      <c r="T293" s="890">
        <f t="shared" ref="T293:T301" si="697">Q293+S293</f>
        <v>0</v>
      </c>
      <c r="U293" s="890">
        <f t="shared" si="680"/>
        <v>0</v>
      </c>
      <c r="V293" s="890">
        <f t="shared" si="681"/>
        <v>0</v>
      </c>
      <c r="W293" s="890">
        <f t="shared" si="652"/>
        <v>0</v>
      </c>
      <c r="X293" s="890">
        <f t="shared" si="682"/>
        <v>0</v>
      </c>
      <c r="Y293" s="890">
        <f>178286650.625417*0</f>
        <v>0</v>
      </c>
      <c r="Z293" s="890">
        <f t="shared" si="683"/>
        <v>0</v>
      </c>
      <c r="AA293" s="890">
        <f t="shared" si="684"/>
        <v>0</v>
      </c>
      <c r="AB293" s="890">
        <f t="shared" si="656"/>
        <v>0</v>
      </c>
      <c r="AC293" s="890">
        <f t="shared" si="685"/>
        <v>0</v>
      </c>
      <c r="AD293" s="890">
        <f t="shared" si="686"/>
        <v>0</v>
      </c>
      <c r="AE293" s="890">
        <f t="shared" si="659"/>
        <v>0</v>
      </c>
      <c r="AF293" s="890">
        <f t="shared" si="687"/>
        <v>0</v>
      </c>
      <c r="AG293" s="890">
        <f t="shared" si="688"/>
        <v>0</v>
      </c>
      <c r="AH293" s="890">
        <f t="shared" si="662"/>
        <v>0</v>
      </c>
      <c r="AI293" s="890">
        <f t="shared" si="689"/>
        <v>0</v>
      </c>
      <c r="AJ293" s="890"/>
      <c r="AK293" s="890"/>
      <c r="AL293" s="890"/>
      <c r="AM293" s="890"/>
      <c r="AN293" s="890"/>
      <c r="AO293" s="890"/>
      <c r="AP293" s="890">
        <f t="shared" si="693"/>
        <v>0</v>
      </c>
      <c r="AQ293" s="890">
        <f t="shared" si="667"/>
        <v>0</v>
      </c>
      <c r="AR293" s="890">
        <f t="shared" si="690"/>
        <v>0</v>
      </c>
      <c r="AS293" s="1158">
        <f t="shared" si="668"/>
        <v>0</v>
      </c>
      <c r="AT293" s="1158">
        <f t="shared" si="670"/>
        <v>0</v>
      </c>
      <c r="AU293" s="1158"/>
      <c r="AV293" s="1158"/>
      <c r="AW293" s="1158"/>
      <c r="AX293" s="1158"/>
      <c r="AY293" s="179"/>
      <c r="AZ293" s="8">
        <f t="shared" si="669"/>
        <v>0</v>
      </c>
      <c r="BB293" s="221"/>
      <c r="BC293" s="179"/>
    </row>
    <row r="294" spans="1:55" s="220" customFormat="1" ht="14.25" hidden="1" customHeight="1">
      <c r="A294" s="884">
        <f t="shared" si="666"/>
        <v>55</v>
      </c>
      <c r="B294" s="900" t="s">
        <v>678</v>
      </c>
      <c r="C294" s="886">
        <v>43101</v>
      </c>
      <c r="D294" s="887">
        <v>8</v>
      </c>
      <c r="E294" s="888">
        <f>10500000*0</f>
        <v>0</v>
      </c>
      <c r="F294" s="889">
        <f t="shared" si="673"/>
        <v>0</v>
      </c>
      <c r="G294" s="895"/>
      <c r="H294" s="895"/>
      <c r="I294" s="895"/>
      <c r="J294" s="895"/>
      <c r="K294" s="895"/>
      <c r="L294" s="895"/>
      <c r="M294" s="895"/>
      <c r="N294" s="895"/>
      <c r="O294" s="895"/>
      <c r="P294" s="895"/>
      <c r="Q294" s="895"/>
      <c r="R294" s="895"/>
      <c r="S294" s="918">
        <f t="shared" si="696"/>
        <v>0</v>
      </c>
      <c r="T294" s="890">
        <f t="shared" si="697"/>
        <v>0</v>
      </c>
      <c r="U294" s="890">
        <f t="shared" si="680"/>
        <v>0</v>
      </c>
      <c r="V294" s="890">
        <f t="shared" si="681"/>
        <v>0</v>
      </c>
      <c r="W294" s="890">
        <f t="shared" si="652"/>
        <v>0</v>
      </c>
      <c r="X294" s="890">
        <f t="shared" si="682"/>
        <v>0</v>
      </c>
      <c r="Y294" s="890">
        <f>2187500*0</f>
        <v>0</v>
      </c>
      <c r="Z294" s="890">
        <f t="shared" si="683"/>
        <v>0</v>
      </c>
      <c r="AA294" s="890">
        <f t="shared" si="684"/>
        <v>0</v>
      </c>
      <c r="AB294" s="890">
        <f t="shared" si="656"/>
        <v>0</v>
      </c>
      <c r="AC294" s="890">
        <f t="shared" si="685"/>
        <v>0</v>
      </c>
      <c r="AD294" s="890">
        <f t="shared" si="686"/>
        <v>0</v>
      </c>
      <c r="AE294" s="890">
        <f t="shared" si="659"/>
        <v>0</v>
      </c>
      <c r="AF294" s="890">
        <f t="shared" si="687"/>
        <v>0</v>
      </c>
      <c r="AG294" s="890">
        <f t="shared" si="688"/>
        <v>0</v>
      </c>
      <c r="AH294" s="890">
        <f t="shared" si="662"/>
        <v>0</v>
      </c>
      <c r="AI294" s="890">
        <f t="shared" si="689"/>
        <v>0</v>
      </c>
      <c r="AJ294" s="890"/>
      <c r="AK294" s="890"/>
      <c r="AL294" s="890"/>
      <c r="AM294" s="890"/>
      <c r="AN294" s="890"/>
      <c r="AO294" s="890"/>
      <c r="AP294" s="890">
        <f t="shared" si="693"/>
        <v>0</v>
      </c>
      <c r="AQ294" s="890">
        <f t="shared" si="667"/>
        <v>0</v>
      </c>
      <c r="AR294" s="890">
        <f t="shared" si="690"/>
        <v>0</v>
      </c>
      <c r="AS294" s="1158">
        <f t="shared" si="668"/>
        <v>0</v>
      </c>
      <c r="AT294" s="1158">
        <f t="shared" si="670"/>
        <v>0</v>
      </c>
      <c r="AU294" s="1158"/>
      <c r="AV294" s="1158"/>
      <c r="AW294" s="1158"/>
      <c r="AX294" s="1158"/>
      <c r="AY294" s="179"/>
      <c r="AZ294" s="8">
        <f t="shared" si="669"/>
        <v>0</v>
      </c>
      <c r="BB294" s="221"/>
      <c r="BC294" s="179"/>
    </row>
    <row r="295" spans="1:55" s="220" customFormat="1" ht="14.25" hidden="1" customHeight="1">
      <c r="A295" s="884">
        <f t="shared" si="666"/>
        <v>56</v>
      </c>
      <c r="B295" s="900" t="s">
        <v>583</v>
      </c>
      <c r="C295" s="886">
        <v>43101</v>
      </c>
      <c r="D295" s="887">
        <v>8</v>
      </c>
      <c r="E295" s="888">
        <f>18900000*0</f>
        <v>0</v>
      </c>
      <c r="F295" s="889">
        <f t="shared" si="673"/>
        <v>0</v>
      </c>
      <c r="G295" s="895"/>
      <c r="H295" s="895"/>
      <c r="I295" s="895"/>
      <c r="J295" s="895"/>
      <c r="K295" s="895"/>
      <c r="L295" s="895"/>
      <c r="M295" s="895"/>
      <c r="N295" s="895"/>
      <c r="O295" s="895"/>
      <c r="P295" s="895"/>
      <c r="Q295" s="895"/>
      <c r="R295" s="895"/>
      <c r="S295" s="918">
        <f t="shared" si="696"/>
        <v>0</v>
      </c>
      <c r="T295" s="890">
        <f t="shared" si="697"/>
        <v>0</v>
      </c>
      <c r="U295" s="890">
        <f t="shared" si="680"/>
        <v>0</v>
      </c>
      <c r="V295" s="890">
        <f t="shared" si="681"/>
        <v>0</v>
      </c>
      <c r="W295" s="890">
        <f t="shared" si="652"/>
        <v>0</v>
      </c>
      <c r="X295" s="890">
        <f t="shared" si="682"/>
        <v>0</v>
      </c>
      <c r="Y295" s="890">
        <f>3740625*0</f>
        <v>0</v>
      </c>
      <c r="Z295" s="890">
        <f t="shared" si="683"/>
        <v>0</v>
      </c>
      <c r="AA295" s="890">
        <f t="shared" si="684"/>
        <v>0</v>
      </c>
      <c r="AB295" s="890">
        <f t="shared" si="656"/>
        <v>0</v>
      </c>
      <c r="AC295" s="890">
        <f t="shared" si="685"/>
        <v>0</v>
      </c>
      <c r="AD295" s="890">
        <f t="shared" si="686"/>
        <v>0</v>
      </c>
      <c r="AE295" s="890">
        <f t="shared" si="659"/>
        <v>0</v>
      </c>
      <c r="AF295" s="890">
        <f t="shared" si="687"/>
        <v>0</v>
      </c>
      <c r="AG295" s="890">
        <f t="shared" si="688"/>
        <v>0</v>
      </c>
      <c r="AH295" s="890">
        <f t="shared" si="662"/>
        <v>0</v>
      </c>
      <c r="AI295" s="890">
        <f t="shared" si="689"/>
        <v>0</v>
      </c>
      <c r="AJ295" s="890"/>
      <c r="AK295" s="890"/>
      <c r="AL295" s="890"/>
      <c r="AM295" s="890"/>
      <c r="AN295" s="890"/>
      <c r="AO295" s="890"/>
      <c r="AP295" s="890">
        <f t="shared" si="693"/>
        <v>0</v>
      </c>
      <c r="AQ295" s="890">
        <f t="shared" si="667"/>
        <v>0</v>
      </c>
      <c r="AR295" s="890">
        <f t="shared" si="690"/>
        <v>0</v>
      </c>
      <c r="AS295" s="1158">
        <f t="shared" si="668"/>
        <v>0</v>
      </c>
      <c r="AT295" s="1158">
        <f t="shared" si="670"/>
        <v>0</v>
      </c>
      <c r="AU295" s="1158"/>
      <c r="AV295" s="1158"/>
      <c r="AW295" s="1158"/>
      <c r="AX295" s="1158"/>
      <c r="AY295" s="179"/>
      <c r="AZ295" s="8">
        <f t="shared" si="669"/>
        <v>0</v>
      </c>
      <c r="BB295" s="221"/>
      <c r="BC295" s="179"/>
    </row>
    <row r="296" spans="1:55" s="220" customFormat="1" ht="14.25" hidden="1" customHeight="1">
      <c r="A296" s="884">
        <f t="shared" si="666"/>
        <v>57</v>
      </c>
      <c r="B296" s="900" t="s">
        <v>545</v>
      </c>
      <c r="C296" s="886">
        <v>43101</v>
      </c>
      <c r="D296" s="887">
        <v>8</v>
      </c>
      <c r="E296" s="888">
        <f>13958000*0</f>
        <v>0</v>
      </c>
      <c r="F296" s="889">
        <f t="shared" si="673"/>
        <v>0</v>
      </c>
      <c r="G296" s="895"/>
      <c r="H296" s="895"/>
      <c r="I296" s="895"/>
      <c r="J296" s="895"/>
      <c r="K296" s="895"/>
      <c r="L296" s="895"/>
      <c r="M296" s="895"/>
      <c r="N296" s="895"/>
      <c r="O296" s="895"/>
      <c r="P296" s="895"/>
      <c r="Q296" s="895"/>
      <c r="R296" s="895"/>
      <c r="S296" s="918">
        <f t="shared" si="696"/>
        <v>0</v>
      </c>
      <c r="T296" s="890">
        <f t="shared" si="697"/>
        <v>0</v>
      </c>
      <c r="U296" s="890">
        <f t="shared" si="680"/>
        <v>0</v>
      </c>
      <c r="V296" s="890">
        <f t="shared" si="681"/>
        <v>0</v>
      </c>
      <c r="W296" s="890">
        <f t="shared" si="652"/>
        <v>0</v>
      </c>
      <c r="X296" s="890">
        <f t="shared" si="682"/>
        <v>0</v>
      </c>
      <c r="Y296" s="890">
        <f>2762520.83333333*0</f>
        <v>0</v>
      </c>
      <c r="Z296" s="890">
        <f t="shared" si="683"/>
        <v>0</v>
      </c>
      <c r="AA296" s="890">
        <f t="shared" si="684"/>
        <v>0</v>
      </c>
      <c r="AB296" s="890">
        <f t="shared" si="656"/>
        <v>0</v>
      </c>
      <c r="AC296" s="890">
        <f t="shared" si="685"/>
        <v>0</v>
      </c>
      <c r="AD296" s="890">
        <f t="shared" si="686"/>
        <v>0</v>
      </c>
      <c r="AE296" s="890">
        <f t="shared" si="659"/>
        <v>0</v>
      </c>
      <c r="AF296" s="890">
        <f t="shared" si="687"/>
        <v>0</v>
      </c>
      <c r="AG296" s="890">
        <f t="shared" si="688"/>
        <v>0</v>
      </c>
      <c r="AH296" s="890">
        <f t="shared" si="662"/>
        <v>0</v>
      </c>
      <c r="AI296" s="890">
        <f t="shared" si="689"/>
        <v>0</v>
      </c>
      <c r="AJ296" s="890"/>
      <c r="AK296" s="890"/>
      <c r="AL296" s="890"/>
      <c r="AM296" s="890"/>
      <c r="AN296" s="890"/>
      <c r="AO296" s="890"/>
      <c r="AP296" s="890">
        <f t="shared" si="693"/>
        <v>0</v>
      </c>
      <c r="AQ296" s="890">
        <f t="shared" si="667"/>
        <v>0</v>
      </c>
      <c r="AR296" s="890">
        <f t="shared" si="690"/>
        <v>0</v>
      </c>
      <c r="AS296" s="1158">
        <f t="shared" si="668"/>
        <v>0</v>
      </c>
      <c r="AT296" s="1158">
        <f t="shared" si="670"/>
        <v>0</v>
      </c>
      <c r="AU296" s="1158"/>
      <c r="AV296" s="1158"/>
      <c r="AW296" s="1158"/>
      <c r="AX296" s="1158"/>
      <c r="AY296" s="179"/>
      <c r="AZ296" s="8">
        <f t="shared" si="669"/>
        <v>0</v>
      </c>
      <c r="BB296" s="221"/>
      <c r="BC296" s="179"/>
    </row>
    <row r="297" spans="1:55" s="220" customFormat="1" ht="14.25" hidden="1" customHeight="1">
      <c r="A297" s="884">
        <f t="shared" si="666"/>
        <v>58</v>
      </c>
      <c r="B297" s="900" t="s">
        <v>679</v>
      </c>
      <c r="C297" s="886">
        <v>43101</v>
      </c>
      <c r="D297" s="887">
        <v>8</v>
      </c>
      <c r="E297" s="888">
        <f>37260000*0</f>
        <v>0</v>
      </c>
      <c r="F297" s="889">
        <f t="shared" si="673"/>
        <v>0</v>
      </c>
      <c r="G297" s="895"/>
      <c r="H297" s="895"/>
      <c r="I297" s="895"/>
      <c r="J297" s="895"/>
      <c r="K297" s="895"/>
      <c r="L297" s="895"/>
      <c r="M297" s="895"/>
      <c r="N297" s="895"/>
      <c r="O297" s="895"/>
      <c r="P297" s="895"/>
      <c r="Q297" s="895"/>
      <c r="R297" s="895"/>
      <c r="S297" s="918">
        <f t="shared" si="696"/>
        <v>0</v>
      </c>
      <c r="T297" s="890">
        <f t="shared" si="697"/>
        <v>0</v>
      </c>
      <c r="U297" s="890">
        <f t="shared" si="680"/>
        <v>0</v>
      </c>
      <c r="V297" s="890">
        <f t="shared" si="681"/>
        <v>0</v>
      </c>
      <c r="W297" s="890">
        <f t="shared" si="652"/>
        <v>0</v>
      </c>
      <c r="X297" s="890">
        <f t="shared" si="682"/>
        <v>0</v>
      </c>
      <c r="Y297" s="890">
        <f>7374375*0</f>
        <v>0</v>
      </c>
      <c r="Z297" s="890">
        <f t="shared" si="683"/>
        <v>0</v>
      </c>
      <c r="AA297" s="890">
        <f t="shared" si="684"/>
        <v>0</v>
      </c>
      <c r="AB297" s="890">
        <f t="shared" si="656"/>
        <v>0</v>
      </c>
      <c r="AC297" s="890">
        <f t="shared" si="685"/>
        <v>0</v>
      </c>
      <c r="AD297" s="890">
        <f t="shared" si="686"/>
        <v>0</v>
      </c>
      <c r="AE297" s="890">
        <f t="shared" si="659"/>
        <v>0</v>
      </c>
      <c r="AF297" s="890">
        <f t="shared" si="687"/>
        <v>0</v>
      </c>
      <c r="AG297" s="890">
        <f t="shared" si="688"/>
        <v>0</v>
      </c>
      <c r="AH297" s="890">
        <f t="shared" si="662"/>
        <v>0</v>
      </c>
      <c r="AI297" s="890">
        <f t="shared" si="689"/>
        <v>0</v>
      </c>
      <c r="AJ297" s="890"/>
      <c r="AK297" s="890"/>
      <c r="AL297" s="890"/>
      <c r="AM297" s="890"/>
      <c r="AN297" s="890"/>
      <c r="AO297" s="890"/>
      <c r="AP297" s="890">
        <f t="shared" si="693"/>
        <v>0</v>
      </c>
      <c r="AQ297" s="890">
        <f t="shared" si="667"/>
        <v>0</v>
      </c>
      <c r="AR297" s="890">
        <f t="shared" si="690"/>
        <v>0</v>
      </c>
      <c r="AS297" s="1158">
        <f t="shared" si="668"/>
        <v>0</v>
      </c>
      <c r="AT297" s="1158">
        <f t="shared" si="670"/>
        <v>0</v>
      </c>
      <c r="AU297" s="1158"/>
      <c r="AV297" s="1158"/>
      <c r="AW297" s="1158"/>
      <c r="AX297" s="1158"/>
      <c r="AY297" s="179"/>
      <c r="AZ297" s="8">
        <f t="shared" si="669"/>
        <v>0</v>
      </c>
      <c r="BB297" s="221"/>
      <c r="BC297" s="179"/>
    </row>
    <row r="298" spans="1:55" s="220" customFormat="1" ht="14.25" hidden="1" customHeight="1">
      <c r="A298" s="884">
        <f t="shared" si="666"/>
        <v>59</v>
      </c>
      <c r="B298" s="900" t="s">
        <v>680</v>
      </c>
      <c r="C298" s="886">
        <v>43101</v>
      </c>
      <c r="D298" s="887">
        <v>16</v>
      </c>
      <c r="E298" s="888">
        <f>646100000*0</f>
        <v>0</v>
      </c>
      <c r="F298" s="889">
        <f t="shared" si="673"/>
        <v>0</v>
      </c>
      <c r="G298" s="895"/>
      <c r="H298" s="895"/>
      <c r="I298" s="895"/>
      <c r="J298" s="895"/>
      <c r="K298" s="895"/>
      <c r="L298" s="895"/>
      <c r="M298" s="895"/>
      <c r="N298" s="895"/>
      <c r="O298" s="895"/>
      <c r="P298" s="895"/>
      <c r="Q298" s="895"/>
      <c r="R298" s="895"/>
      <c r="S298" s="918">
        <f t="shared" si="696"/>
        <v>0</v>
      </c>
      <c r="T298" s="890">
        <f t="shared" si="697"/>
        <v>0</v>
      </c>
      <c r="U298" s="890">
        <f t="shared" si="680"/>
        <v>0</v>
      </c>
      <c r="V298" s="890">
        <f t="shared" si="681"/>
        <v>0</v>
      </c>
      <c r="W298" s="890">
        <f t="shared" si="652"/>
        <v>0</v>
      </c>
      <c r="X298" s="890">
        <f t="shared" si="682"/>
        <v>0</v>
      </c>
      <c r="Y298" s="890">
        <f>114413541.666667*0</f>
        <v>0</v>
      </c>
      <c r="Z298" s="890">
        <f t="shared" si="683"/>
        <v>0</v>
      </c>
      <c r="AA298" s="890">
        <f t="shared" si="684"/>
        <v>0</v>
      </c>
      <c r="AB298" s="890">
        <f t="shared" si="656"/>
        <v>0</v>
      </c>
      <c r="AC298" s="890">
        <f t="shared" si="685"/>
        <v>0</v>
      </c>
      <c r="AD298" s="890">
        <f t="shared" si="686"/>
        <v>0</v>
      </c>
      <c r="AE298" s="890">
        <f t="shared" si="659"/>
        <v>0</v>
      </c>
      <c r="AF298" s="890">
        <f t="shared" si="687"/>
        <v>0</v>
      </c>
      <c r="AG298" s="890">
        <f t="shared" si="688"/>
        <v>0</v>
      </c>
      <c r="AH298" s="890">
        <f t="shared" si="662"/>
        <v>0</v>
      </c>
      <c r="AI298" s="890">
        <f t="shared" si="689"/>
        <v>0</v>
      </c>
      <c r="AJ298" s="890"/>
      <c r="AK298" s="890"/>
      <c r="AL298" s="890"/>
      <c r="AM298" s="890"/>
      <c r="AN298" s="890"/>
      <c r="AO298" s="890"/>
      <c r="AP298" s="890">
        <f t="shared" si="693"/>
        <v>0</v>
      </c>
      <c r="AQ298" s="890">
        <f t="shared" si="667"/>
        <v>0</v>
      </c>
      <c r="AR298" s="890">
        <f t="shared" si="690"/>
        <v>0</v>
      </c>
      <c r="AS298" s="1158">
        <f t="shared" si="668"/>
        <v>0</v>
      </c>
      <c r="AT298" s="1158">
        <f t="shared" si="670"/>
        <v>0</v>
      </c>
      <c r="AU298" s="1158"/>
      <c r="AV298" s="1158"/>
      <c r="AW298" s="1158"/>
      <c r="AX298" s="1158"/>
      <c r="AY298" s="179"/>
      <c r="AZ298" s="8">
        <f t="shared" si="669"/>
        <v>0</v>
      </c>
      <c r="BB298" s="221"/>
      <c r="BC298" s="179"/>
    </row>
    <row r="299" spans="1:55" s="220" customFormat="1" ht="14.25" hidden="1" customHeight="1">
      <c r="A299" s="884">
        <f t="shared" si="666"/>
        <v>60</v>
      </c>
      <c r="B299" s="900" t="s">
        <v>681</v>
      </c>
      <c r="C299" s="886">
        <v>43101</v>
      </c>
      <c r="D299" s="887">
        <v>8</v>
      </c>
      <c r="E299" s="888">
        <f>6850000*0</f>
        <v>0</v>
      </c>
      <c r="F299" s="889">
        <f t="shared" si="673"/>
        <v>0</v>
      </c>
      <c r="G299" s="895"/>
      <c r="H299" s="895"/>
      <c r="I299" s="895"/>
      <c r="J299" s="895"/>
      <c r="K299" s="895"/>
      <c r="L299" s="895"/>
      <c r="M299" s="895"/>
      <c r="N299" s="895"/>
      <c r="O299" s="895"/>
      <c r="P299" s="895"/>
      <c r="Q299" s="895"/>
      <c r="R299" s="895"/>
      <c r="S299" s="918">
        <f t="shared" si="696"/>
        <v>0</v>
      </c>
      <c r="T299" s="890">
        <f t="shared" si="697"/>
        <v>0</v>
      </c>
      <c r="U299" s="890">
        <f t="shared" si="680"/>
        <v>0</v>
      </c>
      <c r="V299" s="890">
        <f t="shared" si="681"/>
        <v>0</v>
      </c>
      <c r="W299" s="890">
        <f t="shared" si="652"/>
        <v>0</v>
      </c>
      <c r="X299" s="890">
        <f t="shared" si="682"/>
        <v>0</v>
      </c>
      <c r="Y299" s="890">
        <f>1070312.5*0</f>
        <v>0</v>
      </c>
      <c r="Z299" s="890">
        <f t="shared" si="683"/>
        <v>0</v>
      </c>
      <c r="AA299" s="890">
        <f t="shared" si="684"/>
        <v>0</v>
      </c>
      <c r="AB299" s="890">
        <f t="shared" si="656"/>
        <v>0</v>
      </c>
      <c r="AC299" s="890">
        <f t="shared" si="685"/>
        <v>0</v>
      </c>
      <c r="AD299" s="890">
        <f t="shared" si="686"/>
        <v>0</v>
      </c>
      <c r="AE299" s="890">
        <f t="shared" si="659"/>
        <v>0</v>
      </c>
      <c r="AF299" s="890">
        <f t="shared" si="687"/>
        <v>0</v>
      </c>
      <c r="AG299" s="890">
        <f t="shared" si="688"/>
        <v>0</v>
      </c>
      <c r="AH299" s="890">
        <f t="shared" si="662"/>
        <v>0</v>
      </c>
      <c r="AI299" s="890">
        <f t="shared" si="689"/>
        <v>0</v>
      </c>
      <c r="AJ299" s="890"/>
      <c r="AK299" s="890"/>
      <c r="AL299" s="890"/>
      <c r="AM299" s="890"/>
      <c r="AN299" s="890"/>
      <c r="AO299" s="890"/>
      <c r="AP299" s="890">
        <f t="shared" si="693"/>
        <v>0</v>
      </c>
      <c r="AQ299" s="890">
        <f t="shared" si="667"/>
        <v>0</v>
      </c>
      <c r="AR299" s="890">
        <f t="shared" si="690"/>
        <v>0</v>
      </c>
      <c r="AS299" s="1158">
        <f t="shared" si="668"/>
        <v>0</v>
      </c>
      <c r="AT299" s="1158">
        <f t="shared" si="670"/>
        <v>0</v>
      </c>
      <c r="AU299" s="1158"/>
      <c r="AV299" s="1158"/>
      <c r="AW299" s="1158"/>
      <c r="AX299" s="1158"/>
      <c r="AY299" s="179"/>
      <c r="AZ299" s="8">
        <f t="shared" si="669"/>
        <v>0</v>
      </c>
      <c r="BB299" s="221"/>
      <c r="BC299" s="179"/>
    </row>
    <row r="300" spans="1:55" s="220" customFormat="1" ht="14.25" hidden="1" customHeight="1">
      <c r="A300" s="884">
        <f t="shared" si="666"/>
        <v>61</v>
      </c>
      <c r="B300" s="900" t="s">
        <v>682</v>
      </c>
      <c r="C300" s="886">
        <v>43101</v>
      </c>
      <c r="D300" s="887">
        <v>16</v>
      </c>
      <c r="E300" s="888">
        <f>875139505*0</f>
        <v>0</v>
      </c>
      <c r="F300" s="889">
        <f t="shared" si="673"/>
        <v>0</v>
      </c>
      <c r="G300" s="895"/>
      <c r="H300" s="895"/>
      <c r="I300" s="895"/>
      <c r="J300" s="895"/>
      <c r="K300" s="895"/>
      <c r="L300" s="895"/>
      <c r="M300" s="895"/>
      <c r="N300" s="895"/>
      <c r="O300" s="895"/>
      <c r="P300" s="895"/>
      <c r="Q300" s="895"/>
      <c r="R300" s="895"/>
      <c r="S300" s="918">
        <f t="shared" si="696"/>
        <v>0</v>
      </c>
      <c r="T300" s="890">
        <f t="shared" si="697"/>
        <v>0</v>
      </c>
      <c r="U300" s="890">
        <f t="shared" si="680"/>
        <v>0</v>
      </c>
      <c r="V300" s="890">
        <f t="shared" si="681"/>
        <v>0</v>
      </c>
      <c r="W300" s="890">
        <f t="shared" si="652"/>
        <v>0</v>
      </c>
      <c r="X300" s="890">
        <f t="shared" si="682"/>
        <v>0</v>
      </c>
      <c r="Y300" s="890">
        <f>118508474.635417*0</f>
        <v>0</v>
      </c>
      <c r="Z300" s="890">
        <f t="shared" si="683"/>
        <v>0</v>
      </c>
      <c r="AA300" s="890">
        <f t="shared" si="684"/>
        <v>0</v>
      </c>
      <c r="AB300" s="890">
        <f t="shared" si="656"/>
        <v>0</v>
      </c>
      <c r="AC300" s="890">
        <f t="shared" si="685"/>
        <v>0</v>
      </c>
      <c r="AD300" s="890">
        <f t="shared" si="686"/>
        <v>0</v>
      </c>
      <c r="AE300" s="890">
        <f t="shared" si="659"/>
        <v>0</v>
      </c>
      <c r="AF300" s="890">
        <f t="shared" si="687"/>
        <v>0</v>
      </c>
      <c r="AG300" s="890">
        <f t="shared" si="688"/>
        <v>0</v>
      </c>
      <c r="AH300" s="890">
        <f t="shared" si="662"/>
        <v>0</v>
      </c>
      <c r="AI300" s="890">
        <f t="shared" si="689"/>
        <v>0</v>
      </c>
      <c r="AJ300" s="890"/>
      <c r="AK300" s="890"/>
      <c r="AL300" s="890"/>
      <c r="AM300" s="890"/>
      <c r="AN300" s="890"/>
      <c r="AO300" s="890"/>
      <c r="AP300" s="890">
        <f t="shared" si="693"/>
        <v>0</v>
      </c>
      <c r="AQ300" s="890">
        <f t="shared" si="667"/>
        <v>0</v>
      </c>
      <c r="AR300" s="890">
        <f t="shared" si="690"/>
        <v>0</v>
      </c>
      <c r="AS300" s="1158">
        <f t="shared" si="668"/>
        <v>0</v>
      </c>
      <c r="AT300" s="1158">
        <f t="shared" si="670"/>
        <v>0</v>
      </c>
      <c r="AU300" s="1158"/>
      <c r="AV300" s="1158"/>
      <c r="AW300" s="1158"/>
      <c r="AX300" s="1158"/>
      <c r="AY300" s="179"/>
      <c r="AZ300" s="8">
        <f t="shared" si="669"/>
        <v>0</v>
      </c>
      <c r="BB300" s="221"/>
      <c r="BC300" s="179"/>
    </row>
    <row r="301" spans="1:55" s="220" customFormat="1" ht="14.25" hidden="1" customHeight="1">
      <c r="A301" s="884">
        <f t="shared" si="666"/>
        <v>62</v>
      </c>
      <c r="B301" s="900" t="s">
        <v>683</v>
      </c>
      <c r="C301" s="886">
        <v>43101</v>
      </c>
      <c r="D301" s="887">
        <v>8</v>
      </c>
      <c r="E301" s="888">
        <f>1600000*0</f>
        <v>0</v>
      </c>
      <c r="F301" s="889">
        <f t="shared" si="673"/>
        <v>0</v>
      </c>
      <c r="G301" s="895"/>
      <c r="H301" s="895"/>
      <c r="I301" s="895"/>
      <c r="J301" s="895"/>
      <c r="K301" s="895"/>
      <c r="L301" s="895"/>
      <c r="M301" s="895"/>
      <c r="N301" s="895"/>
      <c r="O301" s="895"/>
      <c r="P301" s="895"/>
      <c r="Q301" s="895"/>
      <c r="R301" s="895"/>
      <c r="S301" s="918">
        <f t="shared" si="696"/>
        <v>0</v>
      </c>
      <c r="T301" s="890">
        <f t="shared" si="697"/>
        <v>0</v>
      </c>
      <c r="U301" s="890">
        <f t="shared" si="680"/>
        <v>0</v>
      </c>
      <c r="V301" s="890">
        <f t="shared" si="681"/>
        <v>0</v>
      </c>
      <c r="W301" s="890">
        <f t="shared" si="652"/>
        <v>0</v>
      </c>
      <c r="X301" s="890">
        <f t="shared" si="682"/>
        <v>0</v>
      </c>
      <c r="Y301" s="890">
        <f>200000*0</f>
        <v>0</v>
      </c>
      <c r="Z301" s="890">
        <f t="shared" si="683"/>
        <v>0</v>
      </c>
      <c r="AA301" s="890">
        <f t="shared" si="684"/>
        <v>0</v>
      </c>
      <c r="AB301" s="890">
        <f t="shared" si="656"/>
        <v>0</v>
      </c>
      <c r="AC301" s="890">
        <f t="shared" si="685"/>
        <v>0</v>
      </c>
      <c r="AD301" s="890">
        <f t="shared" si="686"/>
        <v>0</v>
      </c>
      <c r="AE301" s="890">
        <f t="shared" si="659"/>
        <v>0</v>
      </c>
      <c r="AF301" s="890">
        <f t="shared" si="687"/>
        <v>0</v>
      </c>
      <c r="AG301" s="890">
        <f t="shared" si="688"/>
        <v>0</v>
      </c>
      <c r="AH301" s="890">
        <f t="shared" si="662"/>
        <v>0</v>
      </c>
      <c r="AI301" s="890">
        <f t="shared" si="689"/>
        <v>0</v>
      </c>
      <c r="AJ301" s="890"/>
      <c r="AK301" s="890"/>
      <c r="AL301" s="890"/>
      <c r="AM301" s="890"/>
      <c r="AN301" s="890"/>
      <c r="AO301" s="890"/>
      <c r="AP301" s="890">
        <f t="shared" si="693"/>
        <v>0</v>
      </c>
      <c r="AQ301" s="890">
        <f t="shared" si="667"/>
        <v>0</v>
      </c>
      <c r="AR301" s="890">
        <f t="shared" si="690"/>
        <v>0</v>
      </c>
      <c r="AS301" s="1158">
        <f t="shared" si="668"/>
        <v>0</v>
      </c>
      <c r="AT301" s="1158">
        <f t="shared" si="670"/>
        <v>0</v>
      </c>
      <c r="AU301" s="1158"/>
      <c r="AV301" s="1158"/>
      <c r="AW301" s="1158"/>
      <c r="AX301" s="1158"/>
      <c r="AY301" s="179"/>
      <c r="AZ301" s="8">
        <f t="shared" si="669"/>
        <v>0</v>
      </c>
      <c r="BB301" s="221"/>
      <c r="BC301" s="179"/>
    </row>
    <row r="302" spans="1:55" s="220" customFormat="1" ht="14.25" hidden="1" customHeight="1">
      <c r="A302" s="884">
        <f t="shared" si="666"/>
        <v>63</v>
      </c>
      <c r="B302" s="900" t="s">
        <v>664</v>
      </c>
      <c r="C302" s="886">
        <v>43483</v>
      </c>
      <c r="D302" s="887">
        <v>8</v>
      </c>
      <c r="E302" s="888">
        <f>80000000*0</f>
        <v>0</v>
      </c>
      <c r="F302" s="889">
        <f t="shared" si="673"/>
        <v>0</v>
      </c>
      <c r="G302" s="895"/>
      <c r="H302" s="895"/>
      <c r="I302" s="895"/>
      <c r="J302" s="895"/>
      <c r="K302" s="895"/>
      <c r="L302" s="895"/>
      <c r="M302" s="895"/>
      <c r="N302" s="895"/>
      <c r="O302" s="895"/>
      <c r="P302" s="895"/>
      <c r="Q302" s="895"/>
      <c r="R302" s="895"/>
      <c r="S302" s="895"/>
      <c r="T302" s="895"/>
      <c r="U302" s="895"/>
      <c r="V302" s="890">
        <f>(F302/12)*(13-IF(C302="","",MONTH(C302)))</f>
        <v>0</v>
      </c>
      <c r="W302" s="890">
        <f t="shared" ref="W302" si="698">T302+V302</f>
        <v>0</v>
      </c>
      <c r="X302" s="890">
        <f t="shared" si="682"/>
        <v>0</v>
      </c>
      <c r="Y302" s="890">
        <f>9166666.66666667*0</f>
        <v>0</v>
      </c>
      <c r="Z302" s="890">
        <f t="shared" si="683"/>
        <v>0</v>
      </c>
      <c r="AA302" s="890">
        <f t="shared" si="684"/>
        <v>0</v>
      </c>
      <c r="AB302" s="890">
        <f t="shared" si="656"/>
        <v>0</v>
      </c>
      <c r="AC302" s="890">
        <f t="shared" si="685"/>
        <v>0</v>
      </c>
      <c r="AD302" s="890">
        <f t="shared" si="686"/>
        <v>0</v>
      </c>
      <c r="AE302" s="890">
        <f t="shared" si="659"/>
        <v>0</v>
      </c>
      <c r="AF302" s="890">
        <f t="shared" si="687"/>
        <v>0</v>
      </c>
      <c r="AG302" s="890">
        <f t="shared" si="688"/>
        <v>0</v>
      </c>
      <c r="AH302" s="890">
        <f t="shared" si="662"/>
        <v>0</v>
      </c>
      <c r="AI302" s="890">
        <f t="shared" si="689"/>
        <v>0</v>
      </c>
      <c r="AJ302" s="890"/>
      <c r="AK302" s="890"/>
      <c r="AL302" s="890"/>
      <c r="AM302" s="890"/>
      <c r="AN302" s="890"/>
      <c r="AO302" s="890"/>
      <c r="AP302" s="890">
        <f t="shared" si="693"/>
        <v>0</v>
      </c>
      <c r="AQ302" s="890">
        <f t="shared" si="667"/>
        <v>0</v>
      </c>
      <c r="AR302" s="890">
        <f t="shared" si="690"/>
        <v>0</v>
      </c>
      <c r="AS302" s="1158">
        <f t="shared" si="668"/>
        <v>0</v>
      </c>
      <c r="AT302" s="1158">
        <f t="shared" si="670"/>
        <v>0</v>
      </c>
      <c r="AU302" s="1158"/>
      <c r="AV302" s="1158"/>
      <c r="AW302" s="1158"/>
      <c r="AX302" s="1158"/>
      <c r="AY302" s="179"/>
      <c r="AZ302" s="8">
        <f t="shared" si="669"/>
        <v>0</v>
      </c>
      <c r="BB302" s="221"/>
      <c r="BC302" s="179"/>
    </row>
    <row r="303" spans="1:55" s="220" customFormat="1" ht="14.25" hidden="1" customHeight="1">
      <c r="A303" s="884">
        <f t="shared" si="666"/>
        <v>64</v>
      </c>
      <c r="B303" s="900" t="s">
        <v>684</v>
      </c>
      <c r="C303" s="886">
        <v>43524</v>
      </c>
      <c r="D303" s="887">
        <v>16</v>
      </c>
      <c r="E303" s="888">
        <f>1103407131*0</f>
        <v>0</v>
      </c>
      <c r="F303" s="889">
        <f t="shared" si="673"/>
        <v>0</v>
      </c>
      <c r="G303" s="895"/>
      <c r="H303" s="895"/>
      <c r="I303" s="895"/>
      <c r="J303" s="895"/>
      <c r="K303" s="895"/>
      <c r="L303" s="895"/>
      <c r="M303" s="895"/>
      <c r="N303" s="895"/>
      <c r="O303" s="895"/>
      <c r="P303" s="895"/>
      <c r="Q303" s="895"/>
      <c r="R303" s="895"/>
      <c r="S303" s="895"/>
      <c r="T303" s="895"/>
      <c r="U303" s="895"/>
      <c r="V303" s="890">
        <f>(F303/12)*(13-IF(C303="","",MONTH(C303)))</f>
        <v>0</v>
      </c>
      <c r="W303" s="890">
        <f t="shared" ref="W303" si="699">T303+V303</f>
        <v>0</v>
      </c>
      <c r="X303" s="890">
        <f t="shared" si="682"/>
        <v>0</v>
      </c>
      <c r="Y303" s="890">
        <f>114938242.8125*0</f>
        <v>0</v>
      </c>
      <c r="Z303" s="890">
        <f t="shared" si="683"/>
        <v>0</v>
      </c>
      <c r="AA303" s="890">
        <f t="shared" si="684"/>
        <v>0</v>
      </c>
      <c r="AB303" s="890">
        <f t="shared" si="656"/>
        <v>0</v>
      </c>
      <c r="AC303" s="890">
        <f t="shared" si="685"/>
        <v>0</v>
      </c>
      <c r="AD303" s="890">
        <f t="shared" si="686"/>
        <v>0</v>
      </c>
      <c r="AE303" s="890">
        <f t="shared" si="659"/>
        <v>0</v>
      </c>
      <c r="AF303" s="890">
        <f t="shared" si="687"/>
        <v>0</v>
      </c>
      <c r="AG303" s="890">
        <f t="shared" si="688"/>
        <v>0</v>
      </c>
      <c r="AH303" s="890">
        <f t="shared" si="662"/>
        <v>0</v>
      </c>
      <c r="AI303" s="890">
        <f t="shared" si="689"/>
        <v>0</v>
      </c>
      <c r="AJ303" s="890"/>
      <c r="AK303" s="890"/>
      <c r="AL303" s="890"/>
      <c r="AM303" s="890"/>
      <c r="AN303" s="890"/>
      <c r="AO303" s="890"/>
      <c r="AP303" s="890">
        <f t="shared" si="693"/>
        <v>0</v>
      </c>
      <c r="AQ303" s="890">
        <f t="shared" si="667"/>
        <v>0</v>
      </c>
      <c r="AR303" s="890">
        <f t="shared" si="690"/>
        <v>0</v>
      </c>
      <c r="AS303" s="1158">
        <f t="shared" si="668"/>
        <v>0</v>
      </c>
      <c r="AT303" s="1158">
        <f t="shared" si="670"/>
        <v>0</v>
      </c>
      <c r="AU303" s="1158"/>
      <c r="AV303" s="1158"/>
      <c r="AW303" s="1158"/>
      <c r="AX303" s="1158"/>
      <c r="AY303" s="179"/>
      <c r="AZ303" s="8">
        <f t="shared" si="669"/>
        <v>0</v>
      </c>
      <c r="BB303" s="221"/>
      <c r="BC303" s="179"/>
    </row>
    <row r="304" spans="1:55" s="220" customFormat="1" ht="14.25" hidden="1" customHeight="1">
      <c r="A304" s="884">
        <f t="shared" si="666"/>
        <v>65</v>
      </c>
      <c r="B304" s="900" t="s">
        <v>670</v>
      </c>
      <c r="C304" s="886">
        <v>43831</v>
      </c>
      <c r="D304" s="887">
        <v>8</v>
      </c>
      <c r="E304" s="888">
        <f>21120000*0</f>
        <v>0</v>
      </c>
      <c r="F304" s="889">
        <f t="shared" ref="F304:F308" si="700">E304/D304</f>
        <v>0</v>
      </c>
      <c r="G304" s="895"/>
      <c r="H304" s="895"/>
      <c r="I304" s="895"/>
      <c r="J304" s="895"/>
      <c r="K304" s="895"/>
      <c r="L304" s="895"/>
      <c r="M304" s="895"/>
      <c r="N304" s="895"/>
      <c r="O304" s="895"/>
      <c r="P304" s="895"/>
      <c r="Q304" s="895"/>
      <c r="R304" s="895"/>
      <c r="S304" s="895"/>
      <c r="T304" s="895"/>
      <c r="U304" s="895"/>
      <c r="V304" s="895"/>
      <c r="W304" s="895"/>
      <c r="X304" s="895"/>
      <c r="Y304" s="895"/>
      <c r="Z304" s="890"/>
      <c r="AA304" s="890">
        <f>(F304/12)*(13-IF(C304="","",MONTH(C304)))</f>
        <v>0</v>
      </c>
      <c r="AB304" s="890">
        <f t="shared" ref="AB304:AB308" si="701">W304+AA304</f>
        <v>0</v>
      </c>
      <c r="AC304" s="890">
        <f t="shared" ref="AC304:AC308" si="702">E304-AB304</f>
        <v>0</v>
      </c>
      <c r="AD304" s="890">
        <f t="shared" si="686"/>
        <v>0</v>
      </c>
      <c r="AE304" s="890">
        <f t="shared" ref="AE304:AE308" si="703">AB304+AD304</f>
        <v>0</v>
      </c>
      <c r="AF304" s="890">
        <f t="shared" ref="AF304:AF308" si="704">E304-AE304</f>
        <v>0</v>
      </c>
      <c r="AG304" s="890">
        <f t="shared" si="688"/>
        <v>0</v>
      </c>
      <c r="AH304" s="890">
        <f t="shared" ref="AH304:AH308" si="705">AE304+AG304</f>
        <v>0</v>
      </c>
      <c r="AI304" s="890">
        <f t="shared" ref="AI304:AI308" si="706">E304-AH304</f>
        <v>0</v>
      </c>
      <c r="AJ304" s="890"/>
      <c r="AK304" s="890"/>
      <c r="AL304" s="890"/>
      <c r="AM304" s="890"/>
      <c r="AN304" s="890"/>
      <c r="AO304" s="890"/>
      <c r="AP304" s="890">
        <f t="shared" si="693"/>
        <v>0</v>
      </c>
      <c r="AQ304" s="890">
        <f t="shared" si="667"/>
        <v>0</v>
      </c>
      <c r="AR304" s="890">
        <f t="shared" ref="AR304:AR308" si="707">E304-AQ304</f>
        <v>0</v>
      </c>
      <c r="AS304" s="1158">
        <f t="shared" si="668"/>
        <v>0</v>
      </c>
      <c r="AT304" s="1158">
        <f t="shared" si="670"/>
        <v>0</v>
      </c>
      <c r="AU304" s="1158"/>
      <c r="AV304" s="1158"/>
      <c r="AW304" s="1158"/>
      <c r="AX304" s="1158"/>
      <c r="AY304" s="179"/>
      <c r="AZ304" s="8">
        <f t="shared" si="669"/>
        <v>0</v>
      </c>
      <c r="BB304" s="221"/>
      <c r="BC304" s="179"/>
    </row>
    <row r="305" spans="1:55" s="220" customFormat="1" ht="14.25" hidden="1" customHeight="1">
      <c r="A305" s="884">
        <f t="shared" si="666"/>
        <v>66</v>
      </c>
      <c r="B305" s="900" t="s">
        <v>685</v>
      </c>
      <c r="C305" s="886">
        <v>43831</v>
      </c>
      <c r="D305" s="887">
        <v>8</v>
      </c>
      <c r="E305" s="888">
        <f>1350000*0</f>
        <v>0</v>
      </c>
      <c r="F305" s="889">
        <f t="shared" si="700"/>
        <v>0</v>
      </c>
      <c r="G305" s="895"/>
      <c r="H305" s="895"/>
      <c r="I305" s="895"/>
      <c r="J305" s="895"/>
      <c r="K305" s="895"/>
      <c r="L305" s="895"/>
      <c r="M305" s="895"/>
      <c r="N305" s="895"/>
      <c r="O305" s="895"/>
      <c r="P305" s="895"/>
      <c r="Q305" s="895"/>
      <c r="R305" s="895"/>
      <c r="S305" s="895"/>
      <c r="T305" s="895"/>
      <c r="U305" s="895"/>
      <c r="V305" s="895"/>
      <c r="W305" s="895"/>
      <c r="X305" s="895"/>
      <c r="Y305" s="895"/>
      <c r="Z305" s="890"/>
      <c r="AA305" s="890">
        <f>(F305/12)*(13-IF(C305="","",MONTH(C305)))</f>
        <v>0</v>
      </c>
      <c r="AB305" s="890">
        <f t="shared" si="701"/>
        <v>0</v>
      </c>
      <c r="AC305" s="890">
        <f t="shared" si="702"/>
        <v>0</v>
      </c>
      <c r="AD305" s="890">
        <f t="shared" si="686"/>
        <v>0</v>
      </c>
      <c r="AE305" s="890">
        <f t="shared" si="703"/>
        <v>0</v>
      </c>
      <c r="AF305" s="890">
        <f t="shared" si="704"/>
        <v>0</v>
      </c>
      <c r="AG305" s="890">
        <f t="shared" si="688"/>
        <v>0</v>
      </c>
      <c r="AH305" s="890">
        <f t="shared" si="705"/>
        <v>0</v>
      </c>
      <c r="AI305" s="890">
        <f t="shared" si="706"/>
        <v>0</v>
      </c>
      <c r="AJ305" s="890"/>
      <c r="AK305" s="890"/>
      <c r="AL305" s="890"/>
      <c r="AM305" s="890"/>
      <c r="AN305" s="890"/>
      <c r="AO305" s="890"/>
      <c r="AP305" s="890">
        <f t="shared" si="693"/>
        <v>0</v>
      </c>
      <c r="AQ305" s="890">
        <f t="shared" si="667"/>
        <v>0</v>
      </c>
      <c r="AR305" s="890">
        <f t="shared" si="707"/>
        <v>0</v>
      </c>
      <c r="AS305" s="1158">
        <f t="shared" si="668"/>
        <v>0</v>
      </c>
      <c r="AT305" s="1158">
        <f t="shared" si="670"/>
        <v>0</v>
      </c>
      <c r="AU305" s="1158"/>
      <c r="AV305" s="1158"/>
      <c r="AW305" s="1158"/>
      <c r="AX305" s="1158"/>
      <c r="AY305" s="179"/>
      <c r="AZ305" s="8">
        <f t="shared" si="669"/>
        <v>0</v>
      </c>
      <c r="BB305" s="221"/>
      <c r="BC305" s="179"/>
    </row>
    <row r="306" spans="1:55" s="220" customFormat="1" ht="14.25" hidden="1" customHeight="1">
      <c r="A306" s="884">
        <f>A305+1</f>
        <v>67</v>
      </c>
      <c r="B306" s="900" t="s">
        <v>685</v>
      </c>
      <c r="C306" s="886">
        <v>43831</v>
      </c>
      <c r="D306" s="887">
        <v>8</v>
      </c>
      <c r="E306" s="888">
        <f>1350000*0</f>
        <v>0</v>
      </c>
      <c r="F306" s="889">
        <f t="shared" si="700"/>
        <v>0</v>
      </c>
      <c r="G306" s="895"/>
      <c r="H306" s="895"/>
      <c r="I306" s="895"/>
      <c r="J306" s="895"/>
      <c r="K306" s="895"/>
      <c r="L306" s="895"/>
      <c r="M306" s="895"/>
      <c r="N306" s="895"/>
      <c r="O306" s="895"/>
      <c r="P306" s="895"/>
      <c r="Q306" s="895"/>
      <c r="R306" s="895"/>
      <c r="S306" s="895"/>
      <c r="T306" s="895"/>
      <c r="U306" s="895"/>
      <c r="V306" s="895"/>
      <c r="W306" s="895"/>
      <c r="X306" s="895"/>
      <c r="Y306" s="895"/>
      <c r="Z306" s="890"/>
      <c r="AA306" s="890">
        <f>(F306/12)*(13-IF(C306="","",MONTH(C306)))</f>
        <v>0</v>
      </c>
      <c r="AB306" s="890">
        <f t="shared" si="701"/>
        <v>0</v>
      </c>
      <c r="AC306" s="890">
        <f t="shared" si="702"/>
        <v>0</v>
      </c>
      <c r="AD306" s="890">
        <f t="shared" si="686"/>
        <v>0</v>
      </c>
      <c r="AE306" s="890">
        <f t="shared" si="703"/>
        <v>0</v>
      </c>
      <c r="AF306" s="890">
        <f t="shared" si="704"/>
        <v>0</v>
      </c>
      <c r="AG306" s="890">
        <f t="shared" si="688"/>
        <v>0</v>
      </c>
      <c r="AH306" s="890">
        <f t="shared" si="705"/>
        <v>0</v>
      </c>
      <c r="AI306" s="890">
        <f t="shared" si="706"/>
        <v>0</v>
      </c>
      <c r="AJ306" s="890"/>
      <c r="AK306" s="890"/>
      <c r="AL306" s="890"/>
      <c r="AM306" s="890"/>
      <c r="AN306" s="890"/>
      <c r="AO306" s="890"/>
      <c r="AP306" s="890">
        <f t="shared" si="693"/>
        <v>0</v>
      </c>
      <c r="AQ306" s="890">
        <f t="shared" si="667"/>
        <v>0</v>
      </c>
      <c r="AR306" s="890">
        <f t="shared" si="707"/>
        <v>0</v>
      </c>
      <c r="AS306" s="1158">
        <f t="shared" si="668"/>
        <v>0</v>
      </c>
      <c r="AT306" s="1158">
        <f t="shared" si="670"/>
        <v>0</v>
      </c>
      <c r="AU306" s="1158"/>
      <c r="AV306" s="1158"/>
      <c r="AW306" s="1158"/>
      <c r="AX306" s="1158"/>
      <c r="AY306" s="179"/>
      <c r="AZ306" s="8">
        <f t="shared" si="669"/>
        <v>0</v>
      </c>
      <c r="BB306" s="221"/>
      <c r="BC306" s="179"/>
    </row>
    <row r="307" spans="1:55" s="220" customFormat="1" ht="14.25" hidden="1" customHeight="1">
      <c r="A307" s="884">
        <f>A306+1</f>
        <v>68</v>
      </c>
      <c r="B307" s="900" t="s">
        <v>686</v>
      </c>
      <c r="C307" s="886">
        <v>43831</v>
      </c>
      <c r="D307" s="887">
        <v>8</v>
      </c>
      <c r="E307" s="888">
        <f>1650000*0</f>
        <v>0</v>
      </c>
      <c r="F307" s="889">
        <f t="shared" si="700"/>
        <v>0</v>
      </c>
      <c r="G307" s="895"/>
      <c r="H307" s="895"/>
      <c r="I307" s="895"/>
      <c r="J307" s="895"/>
      <c r="K307" s="895"/>
      <c r="L307" s="895"/>
      <c r="M307" s="895"/>
      <c r="N307" s="895"/>
      <c r="O307" s="895"/>
      <c r="P307" s="895"/>
      <c r="Q307" s="895"/>
      <c r="R307" s="895"/>
      <c r="S307" s="895"/>
      <c r="T307" s="895"/>
      <c r="U307" s="895"/>
      <c r="V307" s="895"/>
      <c r="W307" s="895"/>
      <c r="X307" s="895"/>
      <c r="Y307" s="895"/>
      <c r="Z307" s="890"/>
      <c r="AA307" s="890">
        <f>(F307/12)*(13-IF(C307="","",MONTH(C307)))</f>
        <v>0</v>
      </c>
      <c r="AB307" s="890">
        <f t="shared" si="701"/>
        <v>0</v>
      </c>
      <c r="AC307" s="890">
        <f t="shared" si="702"/>
        <v>0</v>
      </c>
      <c r="AD307" s="890">
        <f t="shared" si="686"/>
        <v>0</v>
      </c>
      <c r="AE307" s="890">
        <f t="shared" si="703"/>
        <v>0</v>
      </c>
      <c r="AF307" s="890">
        <f t="shared" si="704"/>
        <v>0</v>
      </c>
      <c r="AG307" s="890">
        <f t="shared" si="688"/>
        <v>0</v>
      </c>
      <c r="AH307" s="890">
        <f t="shared" si="705"/>
        <v>0</v>
      </c>
      <c r="AI307" s="890">
        <f t="shared" si="706"/>
        <v>0</v>
      </c>
      <c r="AJ307" s="890"/>
      <c r="AK307" s="890"/>
      <c r="AL307" s="890"/>
      <c r="AM307" s="890"/>
      <c r="AN307" s="890"/>
      <c r="AO307" s="890"/>
      <c r="AP307" s="890">
        <f t="shared" si="693"/>
        <v>0</v>
      </c>
      <c r="AQ307" s="890">
        <f t="shared" si="667"/>
        <v>0</v>
      </c>
      <c r="AR307" s="890">
        <f t="shared" si="707"/>
        <v>0</v>
      </c>
      <c r="AS307" s="1158">
        <f t="shared" si="668"/>
        <v>0</v>
      </c>
      <c r="AT307" s="1158">
        <f t="shared" si="670"/>
        <v>0</v>
      </c>
      <c r="AU307" s="1158"/>
      <c r="AV307" s="1158"/>
      <c r="AW307" s="1158"/>
      <c r="AX307" s="1158"/>
      <c r="AY307" s="179"/>
      <c r="AZ307" s="8">
        <f t="shared" si="669"/>
        <v>0</v>
      </c>
      <c r="BB307" s="221"/>
      <c r="BC307" s="179"/>
    </row>
    <row r="308" spans="1:55" s="220" customFormat="1" ht="14.25" hidden="1" customHeight="1">
      <c r="A308" s="884">
        <f>A307+1</f>
        <v>69</v>
      </c>
      <c r="B308" s="900" t="s">
        <v>687</v>
      </c>
      <c r="C308" s="886">
        <v>43831</v>
      </c>
      <c r="D308" s="887">
        <v>8</v>
      </c>
      <c r="E308" s="888">
        <f>1950000*0</f>
        <v>0</v>
      </c>
      <c r="F308" s="889">
        <f t="shared" si="700"/>
        <v>0</v>
      </c>
      <c r="G308" s="895"/>
      <c r="H308" s="895"/>
      <c r="I308" s="895"/>
      <c r="J308" s="895"/>
      <c r="K308" s="895"/>
      <c r="L308" s="895"/>
      <c r="M308" s="895"/>
      <c r="N308" s="895"/>
      <c r="O308" s="895"/>
      <c r="P308" s="895"/>
      <c r="Q308" s="895"/>
      <c r="R308" s="895"/>
      <c r="S308" s="895"/>
      <c r="T308" s="895"/>
      <c r="U308" s="895"/>
      <c r="V308" s="895"/>
      <c r="W308" s="895"/>
      <c r="X308" s="895"/>
      <c r="Y308" s="895"/>
      <c r="Z308" s="890"/>
      <c r="AA308" s="890">
        <f>(F308/12)*(13-IF(C308="","",MONTH(C308)))</f>
        <v>0</v>
      </c>
      <c r="AB308" s="890">
        <f t="shared" si="701"/>
        <v>0</v>
      </c>
      <c r="AC308" s="890">
        <f t="shared" si="702"/>
        <v>0</v>
      </c>
      <c r="AD308" s="890">
        <f t="shared" si="686"/>
        <v>0</v>
      </c>
      <c r="AE308" s="890">
        <f t="shared" si="703"/>
        <v>0</v>
      </c>
      <c r="AF308" s="890">
        <f t="shared" si="704"/>
        <v>0</v>
      </c>
      <c r="AG308" s="890">
        <f t="shared" si="688"/>
        <v>0</v>
      </c>
      <c r="AH308" s="890">
        <f t="shared" si="705"/>
        <v>0</v>
      </c>
      <c r="AI308" s="890">
        <f t="shared" si="706"/>
        <v>0</v>
      </c>
      <c r="AJ308" s="890"/>
      <c r="AK308" s="890"/>
      <c r="AL308" s="890"/>
      <c r="AM308" s="890"/>
      <c r="AN308" s="890"/>
      <c r="AO308" s="890"/>
      <c r="AP308" s="890">
        <f t="shared" si="693"/>
        <v>0</v>
      </c>
      <c r="AQ308" s="890">
        <f t="shared" si="667"/>
        <v>0</v>
      </c>
      <c r="AR308" s="890">
        <f t="shared" si="707"/>
        <v>0</v>
      </c>
      <c r="AS308" s="1158">
        <f t="shared" si="668"/>
        <v>0</v>
      </c>
      <c r="AT308" s="1158">
        <f t="shared" si="670"/>
        <v>0</v>
      </c>
      <c r="AU308" s="1158"/>
      <c r="AV308" s="1158"/>
      <c r="AW308" s="1158"/>
      <c r="AX308" s="1158"/>
      <c r="AY308" s="179"/>
      <c r="AZ308" s="8">
        <f t="shared" si="669"/>
        <v>0</v>
      </c>
      <c r="BB308" s="221"/>
      <c r="BC308" s="179"/>
    </row>
    <row r="309" spans="1:55" s="220" customFormat="1" ht="14.25" customHeight="1">
      <c r="A309" s="190">
        <v>4</v>
      </c>
      <c r="B309" s="230" t="s">
        <v>696</v>
      </c>
      <c r="C309" s="234"/>
      <c r="D309" s="216"/>
      <c r="E309" s="217"/>
      <c r="F309" s="1045"/>
      <c r="G309" s="1046"/>
      <c r="H309" s="1046"/>
      <c r="I309" s="1046"/>
      <c r="J309" s="1046"/>
      <c r="K309" s="1046"/>
      <c r="L309" s="1046"/>
      <c r="M309" s="1046"/>
      <c r="N309" s="1046"/>
      <c r="O309" s="1046"/>
      <c r="P309" s="1046"/>
      <c r="Q309" s="1046"/>
      <c r="R309" s="1046"/>
      <c r="S309" s="1046"/>
      <c r="T309" s="1046"/>
      <c r="U309" s="1046"/>
      <c r="V309" s="1046"/>
      <c r="W309" s="1046"/>
      <c r="X309" s="1046"/>
      <c r="Y309" s="219"/>
      <c r="Z309" s="219"/>
      <c r="AA309" s="1046"/>
      <c r="AB309" s="1046"/>
      <c r="AC309" s="1046"/>
      <c r="AD309" s="1046"/>
      <c r="AE309" s="1046"/>
      <c r="AF309" s="1046"/>
      <c r="AG309" s="1046"/>
      <c r="AH309" s="1046"/>
      <c r="AI309" s="1046"/>
      <c r="AJ309" s="1046"/>
      <c r="AK309" s="1046"/>
      <c r="AL309" s="1046"/>
      <c r="AM309" s="1046"/>
      <c r="AN309" s="1046"/>
      <c r="AO309" s="1046"/>
      <c r="AP309" s="1046"/>
      <c r="AQ309" s="1046">
        <f t="shared" si="667"/>
        <v>0</v>
      </c>
      <c r="AR309" s="1046"/>
      <c r="AS309" s="1046"/>
      <c r="AT309" s="1046">
        <f t="shared" si="670"/>
        <v>0</v>
      </c>
      <c r="AU309" s="1046"/>
      <c r="AV309" s="1046"/>
      <c r="AW309" s="1046"/>
      <c r="AX309" s="1046"/>
      <c r="AY309" s="179"/>
      <c r="AZ309" s="8">
        <f t="shared" ref="AZ309:AZ312" si="708">E309-AW309-AX309</f>
        <v>0</v>
      </c>
      <c r="BB309" s="221"/>
      <c r="BC309" s="179"/>
    </row>
    <row r="310" spans="1:55" s="220" customFormat="1" ht="14.25" customHeight="1">
      <c r="A310" s="17">
        <v>1</v>
      </c>
      <c r="B310" s="56" t="s">
        <v>697</v>
      </c>
      <c r="C310" s="238">
        <v>43708</v>
      </c>
      <c r="D310" s="55">
        <v>16</v>
      </c>
      <c r="E310" s="6">
        <v>167045455</v>
      </c>
      <c r="F310" s="1041">
        <f>E310/D310</f>
        <v>10440340.9375</v>
      </c>
      <c r="G310" s="1046"/>
      <c r="H310" s="1046"/>
      <c r="I310" s="1046"/>
      <c r="J310" s="1046"/>
      <c r="K310" s="1046"/>
      <c r="L310" s="1046"/>
      <c r="M310" s="1046"/>
      <c r="N310" s="1046"/>
      <c r="O310" s="1046"/>
      <c r="P310" s="1046"/>
      <c r="Q310" s="1046"/>
      <c r="R310" s="1046"/>
      <c r="S310" s="1046"/>
      <c r="T310" s="1046"/>
      <c r="U310" s="1046"/>
      <c r="V310" s="1053">
        <f>(F310/12)*(13-IF(C310="","",MONTH(C310)))</f>
        <v>4350142.057291667</v>
      </c>
      <c r="W310" s="1042">
        <f t="shared" ref="W310" si="709">T310+V310</f>
        <v>4350142.057291667</v>
      </c>
      <c r="X310" s="1042">
        <f>E310-W310</f>
        <v>162695312.94270834</v>
      </c>
      <c r="Y310" s="7">
        <v>6960227.291666667</v>
      </c>
      <c r="Z310" s="7">
        <f>E310-Y310</f>
        <v>160085227.70833334</v>
      </c>
      <c r="AA310" s="1042">
        <f>(F310/12)*12</f>
        <v>10440340.9375</v>
      </c>
      <c r="AB310" s="1042">
        <f t="shared" ref="AB310:AB311" si="710">W310+AA310</f>
        <v>14790482.994791668</v>
      </c>
      <c r="AC310" s="1042">
        <f>E310-AB310</f>
        <v>152254972.00520834</v>
      </c>
      <c r="AD310" s="1042">
        <f>(F310/12)*12</f>
        <v>10440340.9375</v>
      </c>
      <c r="AE310" s="1042">
        <f t="shared" ref="AE310:AE312" si="711">AB310+AD310</f>
        <v>25230823.932291668</v>
      </c>
      <c r="AF310" s="1042">
        <f>E310-AE310</f>
        <v>141814631.06770834</v>
      </c>
      <c r="AG310" s="1042">
        <f>(F310/12)*12</f>
        <v>10440340.9375</v>
      </c>
      <c r="AH310" s="1042">
        <f t="shared" ref="AH310:AH312" si="712">AE310+AG310</f>
        <v>35671164.869791672</v>
      </c>
      <c r="AI310" s="1042">
        <f>E310-AH310</f>
        <v>131374290.13020833</v>
      </c>
      <c r="AJ310" s="1042">
        <f t="shared" ref="AJ310:AJ312" si="713">(F310/12)*1</f>
        <v>870028.41145833337</v>
      </c>
      <c r="AK310" s="1042">
        <f t="shared" ref="AK310:AK312" si="714">AH310+AJ310</f>
        <v>36541193.281250007</v>
      </c>
      <c r="AL310" s="1042">
        <f t="shared" ref="AL310:AL312" si="715">E310-AK310</f>
        <v>130504261.71875</v>
      </c>
      <c r="AM310" s="1042">
        <f t="shared" ref="AM310:AM311" si="716">(F310/12)*9</f>
        <v>7830255.703125</v>
      </c>
      <c r="AN310" s="1042">
        <f t="shared" ref="AN310:AN312" si="717">AH310+AM310</f>
        <v>43501420.572916672</v>
      </c>
      <c r="AO310" s="1042">
        <f t="shared" ref="AO310:AO312" si="718">E310-AN310</f>
        <v>123544034.42708333</v>
      </c>
      <c r="AP310" s="1042">
        <f t="shared" ref="AP310:AP312" si="719">(F310/12)*12</f>
        <v>10440340.9375</v>
      </c>
      <c r="AQ310" s="1042">
        <f t="shared" si="667"/>
        <v>46111505.807291672</v>
      </c>
      <c r="AR310" s="1042">
        <f>E310-AQ310</f>
        <v>120933949.19270833</v>
      </c>
      <c r="AS310" s="1042">
        <f>(F310/12)*9</f>
        <v>7830255.703125</v>
      </c>
      <c r="AT310" s="1042">
        <f t="shared" si="670"/>
        <v>53941761.510416672</v>
      </c>
      <c r="AU310" s="1042">
        <f t="shared" ref="AU310:AU312" si="720">E310-AT310</f>
        <v>113103693.48958333</v>
      </c>
      <c r="AV310" s="1042">
        <f t="shared" ref="AV310:AV311" si="721">(F310/12)*12</f>
        <v>10440340.9375</v>
      </c>
      <c r="AW310" s="1042">
        <f t="shared" ref="AW310:AW311" si="722">AQ310+AV310</f>
        <v>56551846.744791672</v>
      </c>
      <c r="AX310" s="1042">
        <f t="shared" ref="AX310:AX311" si="723">E310-AW310</f>
        <v>110493608.25520833</v>
      </c>
      <c r="AY310" s="179"/>
      <c r="AZ310" s="8">
        <f t="shared" si="708"/>
        <v>0</v>
      </c>
      <c r="BB310" s="221"/>
      <c r="BC310" s="179"/>
    </row>
    <row r="311" spans="1:55" s="220" customFormat="1" ht="14.25" customHeight="1">
      <c r="A311" s="17">
        <f>A310+1</f>
        <v>2</v>
      </c>
      <c r="B311" s="56" t="s">
        <v>698</v>
      </c>
      <c r="C311" s="238">
        <v>44024</v>
      </c>
      <c r="D311" s="1039">
        <v>8</v>
      </c>
      <c r="E311" s="6">
        <v>9625000</v>
      </c>
      <c r="F311" s="1041">
        <f>E311/D311</f>
        <v>1203125</v>
      </c>
      <c r="G311" s="1042"/>
      <c r="H311" s="1042"/>
      <c r="I311" s="1042"/>
      <c r="J311" s="1042"/>
      <c r="K311" s="1042"/>
      <c r="L311" s="1042"/>
      <c r="M311" s="1042"/>
      <c r="N311" s="1042"/>
      <c r="O311" s="1042"/>
      <c r="P311" s="1042"/>
      <c r="Q311" s="1042"/>
      <c r="R311" s="1042"/>
      <c r="S311" s="1042"/>
      <c r="T311" s="1042"/>
      <c r="U311" s="1042"/>
      <c r="V311" s="1042"/>
      <c r="W311" s="1042"/>
      <c r="X311" s="1042"/>
      <c r="Y311" s="7"/>
      <c r="Z311" s="7"/>
      <c r="AA311" s="1053">
        <f>(F311/12)*6</f>
        <v>601562.5</v>
      </c>
      <c r="AB311" s="1042">
        <f t="shared" si="710"/>
        <v>601562.5</v>
      </c>
      <c r="AC311" s="1042">
        <f>E311-AB311</f>
        <v>9023437.5</v>
      </c>
      <c r="AD311" s="1042">
        <f>(F311/12)*12</f>
        <v>1203125</v>
      </c>
      <c r="AE311" s="1042">
        <f t="shared" si="711"/>
        <v>1804687.5</v>
      </c>
      <c r="AF311" s="1042">
        <f>E311-AE311</f>
        <v>7820312.5</v>
      </c>
      <c r="AG311" s="1042">
        <f>(F311/12)*12</f>
        <v>1203125</v>
      </c>
      <c r="AH311" s="1042">
        <f t="shared" si="712"/>
        <v>3007812.5</v>
      </c>
      <c r="AI311" s="1042">
        <f>E311-AH311</f>
        <v>6617187.5</v>
      </c>
      <c r="AJ311" s="1042">
        <f t="shared" si="713"/>
        <v>100260.41666666667</v>
      </c>
      <c r="AK311" s="1042">
        <f t="shared" si="714"/>
        <v>3108072.9166666665</v>
      </c>
      <c r="AL311" s="1042">
        <f t="shared" si="715"/>
        <v>6516927.083333334</v>
      </c>
      <c r="AM311" s="1042">
        <f t="shared" si="716"/>
        <v>902343.75</v>
      </c>
      <c r="AN311" s="1042">
        <f t="shared" si="717"/>
        <v>3910156.25</v>
      </c>
      <c r="AO311" s="1042">
        <f t="shared" si="718"/>
        <v>5714843.75</v>
      </c>
      <c r="AP311" s="1042">
        <f t="shared" si="719"/>
        <v>1203125</v>
      </c>
      <c r="AQ311" s="1042">
        <f>AH311+AP311</f>
        <v>4210937.5</v>
      </c>
      <c r="AR311" s="1042">
        <f>E311-AQ311</f>
        <v>5414062.5</v>
      </c>
      <c r="AS311" s="1042">
        <f>(F311/12)*9</f>
        <v>902343.75</v>
      </c>
      <c r="AT311" s="1042">
        <f t="shared" si="670"/>
        <v>5113281.25</v>
      </c>
      <c r="AU311" s="1042">
        <f t="shared" si="720"/>
        <v>4511718.75</v>
      </c>
      <c r="AV311" s="1042">
        <f t="shared" si="721"/>
        <v>1203125</v>
      </c>
      <c r="AW311" s="1042">
        <f t="shared" si="722"/>
        <v>5414062.5</v>
      </c>
      <c r="AX311" s="1042">
        <f t="shared" si="723"/>
        <v>4210937.5</v>
      </c>
      <c r="AY311" s="179"/>
      <c r="AZ311" s="8">
        <f t="shared" si="708"/>
        <v>0</v>
      </c>
      <c r="BB311" s="221"/>
      <c r="BC311" s="179"/>
    </row>
    <row r="312" spans="1:55" s="220" customFormat="1" ht="14.25" customHeight="1">
      <c r="A312" s="185">
        <v>3</v>
      </c>
      <c r="B312" s="1327" t="s">
        <v>1291</v>
      </c>
      <c r="C312" s="1333">
        <v>44460</v>
      </c>
      <c r="D312" s="1328">
        <v>8</v>
      </c>
      <c r="E312" s="1329">
        <v>393382163.29997987</v>
      </c>
      <c r="F312" s="1330">
        <v>49172770.412497483</v>
      </c>
      <c r="G312" s="1331"/>
      <c r="H312" s="1331"/>
      <c r="I312" s="1331"/>
      <c r="J312" s="1331"/>
      <c r="K312" s="1331"/>
      <c r="L312" s="1331"/>
      <c r="M312" s="1331"/>
      <c r="N312" s="1331"/>
      <c r="O312" s="1331"/>
      <c r="P312" s="1331"/>
      <c r="Q312" s="1331"/>
      <c r="R312" s="1331"/>
      <c r="S312" s="1331"/>
      <c r="T312" s="1331"/>
      <c r="U312" s="1331"/>
      <c r="V312" s="1331"/>
      <c r="W312" s="1331"/>
      <c r="X312" s="1331"/>
      <c r="Y312" s="1182"/>
      <c r="Z312" s="1182"/>
      <c r="AA312" s="1331"/>
      <c r="AB312" s="1331"/>
      <c r="AC312" s="1331"/>
      <c r="AD312" s="1331">
        <f>F312*3/12</f>
        <v>12293192.603124371</v>
      </c>
      <c r="AE312" s="1332">
        <f t="shared" si="711"/>
        <v>12293192.603124371</v>
      </c>
      <c r="AF312" s="1332">
        <f>E312-AE312</f>
        <v>381088970.69685549</v>
      </c>
      <c r="AG312" s="1332">
        <f>(F312/12)*12</f>
        <v>49172770.412497483</v>
      </c>
      <c r="AH312" s="1332">
        <f t="shared" si="712"/>
        <v>61465963.015621856</v>
      </c>
      <c r="AI312" s="1332">
        <f>E312-AH312</f>
        <v>331916200.28435802</v>
      </c>
      <c r="AJ312" s="1042">
        <f t="shared" si="713"/>
        <v>4097730.8677081238</v>
      </c>
      <c r="AK312" s="1042">
        <f t="shared" si="714"/>
        <v>65563693.88332998</v>
      </c>
      <c r="AL312" s="1042">
        <f t="shared" si="715"/>
        <v>327818469.41664988</v>
      </c>
      <c r="AM312" s="1042">
        <f t="shared" ref="AM312" si="724">(F312/12)*6</f>
        <v>24586385.206248742</v>
      </c>
      <c r="AN312" s="1042">
        <f t="shared" si="717"/>
        <v>86052348.221870601</v>
      </c>
      <c r="AO312" s="1042">
        <f t="shared" si="718"/>
        <v>307329815.07810926</v>
      </c>
      <c r="AP312" s="1332">
        <f t="shared" si="719"/>
        <v>49172770.412497483</v>
      </c>
      <c r="AQ312" s="1332">
        <f>AH312+AP312</f>
        <v>110638733.42811933</v>
      </c>
      <c r="AR312" s="1332">
        <f>E312-AQ312</f>
        <v>282743429.8718605</v>
      </c>
      <c r="AS312" s="1042">
        <f t="shared" ref="AS312" si="725">(F312/12)*6</f>
        <v>24586385.206248742</v>
      </c>
      <c r="AT312" s="1042">
        <f t="shared" si="670"/>
        <v>135225118.63436806</v>
      </c>
      <c r="AU312" s="1042">
        <f t="shared" si="720"/>
        <v>258157044.6656118</v>
      </c>
      <c r="AV312" s="1332">
        <f>(F312/12)*12</f>
        <v>49172770.412497483</v>
      </c>
      <c r="AW312" s="1332">
        <f>AQ312+AV312</f>
        <v>159811503.84061682</v>
      </c>
      <c r="AX312" s="1332">
        <f>E312-AW312</f>
        <v>233570659.45936304</v>
      </c>
      <c r="AY312" s="179"/>
      <c r="AZ312" s="8">
        <f t="shared" si="708"/>
        <v>0</v>
      </c>
      <c r="BB312" s="221"/>
      <c r="BC312" s="179"/>
    </row>
    <row r="313" spans="1:55" ht="14.25" customHeight="1">
      <c r="A313" s="17">
        <v>4</v>
      </c>
      <c r="B313" s="60" t="s">
        <v>1318</v>
      </c>
      <c r="C313" s="1333">
        <v>45570</v>
      </c>
      <c r="D313" s="55">
        <v>8</v>
      </c>
      <c r="E313" s="6">
        <v>170000000</v>
      </c>
      <c r="F313" s="1183">
        <v>49172770.412497483</v>
      </c>
      <c r="G313" s="1042"/>
      <c r="H313" s="1042"/>
      <c r="I313" s="1042"/>
      <c r="J313" s="1042"/>
      <c r="K313" s="1042"/>
      <c r="L313" s="1042"/>
      <c r="M313" s="1042"/>
      <c r="N313" s="1042"/>
      <c r="O313" s="1042"/>
      <c r="P313" s="1042"/>
      <c r="Q313" s="1042"/>
      <c r="R313" s="1042"/>
      <c r="S313" s="1042"/>
      <c r="T313" s="1042"/>
      <c r="U313" s="1042"/>
      <c r="V313" s="1042"/>
      <c r="W313" s="1042"/>
      <c r="X313" s="1042"/>
      <c r="Y313" s="182"/>
      <c r="Z313" s="182"/>
      <c r="AA313" s="1042"/>
      <c r="AB313" s="1042"/>
      <c r="AC313" s="1042"/>
      <c r="AD313" s="1042"/>
      <c r="AE313" s="1042"/>
      <c r="AF313" s="1042"/>
      <c r="AG313" s="1042"/>
      <c r="AH313" s="1042"/>
      <c r="AI313" s="1042"/>
      <c r="AJ313" s="1051"/>
      <c r="AK313" s="1051"/>
      <c r="AL313" s="1051"/>
      <c r="AM313" s="1051"/>
      <c r="AN313" s="1051"/>
      <c r="AO313" s="1051"/>
      <c r="AP313" s="1042"/>
      <c r="AQ313" s="1042"/>
      <c r="AR313" s="1042"/>
      <c r="AS313" s="1051"/>
      <c r="AT313" s="1051"/>
      <c r="AU313" s="1051"/>
      <c r="AV313" s="1053">
        <f>(F313/12)*(13-IF(C313="","",MONTH(C313)))</f>
        <v>12293192.603124371</v>
      </c>
      <c r="AW313" s="1042">
        <f>AQ313+AV313</f>
        <v>12293192.603124371</v>
      </c>
      <c r="AX313" s="1042">
        <f>E313-AW313</f>
        <v>157706807.39687562</v>
      </c>
      <c r="AY313" s="58"/>
      <c r="AZ313" s="19"/>
      <c r="BB313" s="187"/>
      <c r="BC313" s="19"/>
    </row>
    <row r="314" spans="1:55" ht="16" customHeight="1">
      <c r="E314" s="18"/>
      <c r="F314" s="105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58"/>
    </row>
    <row r="315" spans="1:55" ht="14.25" customHeight="1">
      <c r="A315" s="10"/>
      <c r="B315" s="9"/>
      <c r="C315" s="236"/>
      <c r="D315" s="10"/>
      <c r="E315" s="11">
        <f>SUM(E3:E313)</f>
        <v>37788136451.599983</v>
      </c>
      <c r="F315" s="11">
        <f t="shared" ref="F315:AX315" si="726">SUM(F3:F313)</f>
        <v>3431592339.6749949</v>
      </c>
      <c r="G315" s="11">
        <f t="shared" si="726"/>
        <v>0</v>
      </c>
      <c r="H315" s="11">
        <f t="shared" si="726"/>
        <v>0</v>
      </c>
      <c r="I315" s="11">
        <f t="shared" si="726"/>
        <v>18233245455</v>
      </c>
      <c r="J315" s="11">
        <f t="shared" si="726"/>
        <v>164637300.45416665</v>
      </c>
      <c r="K315" s="11">
        <f t="shared" si="726"/>
        <v>164637300.45416665</v>
      </c>
      <c r="L315" s="11">
        <f t="shared" si="726"/>
        <v>19399147224.845837</v>
      </c>
      <c r="M315" s="11">
        <f t="shared" si="726"/>
        <v>1818391773.9958332</v>
      </c>
      <c r="N315" s="11">
        <f t="shared" si="726"/>
        <v>1983029074.45</v>
      </c>
      <c r="O315" s="11">
        <f t="shared" si="726"/>
        <v>19105538450.850002</v>
      </c>
      <c r="P315" s="11">
        <f t="shared" si="726"/>
        <v>2116987559.9958332</v>
      </c>
      <c r="Q315" s="11">
        <f t="shared" si="726"/>
        <v>4100016634.4458342</v>
      </c>
      <c r="R315" s="11">
        <f t="shared" si="726"/>
        <v>19508765706.854164</v>
      </c>
      <c r="S315" s="11">
        <f t="shared" si="726"/>
        <v>2447163252.5270834</v>
      </c>
      <c r="T315" s="11">
        <f t="shared" si="726"/>
        <v>6547179886.9729166</v>
      </c>
      <c r="U315" s="11">
        <f t="shared" si="726"/>
        <v>21303665103.32708</v>
      </c>
      <c r="V315" s="11">
        <f t="shared" si="726"/>
        <v>2682855194.4489579</v>
      </c>
      <c r="W315" s="11">
        <f t="shared" si="726"/>
        <v>9230035081.4218731</v>
      </c>
      <c r="X315" s="11">
        <f t="shared" si="726"/>
        <v>19038477936.87812</v>
      </c>
      <c r="Y315" s="11">
        <f t="shared" si="726"/>
        <v>10697455466.904171</v>
      </c>
      <c r="Z315" s="11">
        <f t="shared" si="726"/>
        <v>17587987281.395824</v>
      </c>
      <c r="AA315" s="11">
        <f t="shared" si="726"/>
        <v>2708680036.3499999</v>
      </c>
      <c r="AB315" s="11">
        <f t="shared" si="726"/>
        <v>11938715117.771873</v>
      </c>
      <c r="AC315" s="11">
        <f t="shared" si="726"/>
        <v>16345672900.528124</v>
      </c>
      <c r="AD315" s="11">
        <f t="shared" si="726"/>
        <v>2825466549.1614575</v>
      </c>
      <c r="AE315" s="11">
        <f t="shared" si="726"/>
        <v>14764181666.933331</v>
      </c>
      <c r="AF315" s="11">
        <f t="shared" si="726"/>
        <v>22837025054.666653</v>
      </c>
      <c r="AG315" s="11">
        <f t="shared" si="726"/>
        <v>3381890515.1999974</v>
      </c>
      <c r="AH315" s="11">
        <f t="shared" si="726"/>
        <v>18146072182.133331</v>
      </c>
      <c r="AI315" s="11">
        <f t="shared" si="726"/>
        <v>19472064269.466648</v>
      </c>
      <c r="AJ315" s="1161">
        <f t="shared" si="726"/>
        <v>268307932.12291652</v>
      </c>
      <c r="AK315" s="1161">
        <f t="shared" si="726"/>
        <v>18414380114.256252</v>
      </c>
      <c r="AL315" s="1161">
        <f t="shared" si="726"/>
        <v>19203756337.343731</v>
      </c>
      <c r="AM315" s="1188">
        <f t="shared" si="726"/>
        <v>2401463529.8364568</v>
      </c>
      <c r="AN315" s="1188">
        <f t="shared" si="726"/>
        <v>20547535711.969791</v>
      </c>
      <c r="AO315" s="1188">
        <f t="shared" si="726"/>
        <v>17070600739.630192</v>
      </c>
      <c r="AP315" s="11">
        <f t="shared" si="726"/>
        <v>3217782268.8083305</v>
      </c>
      <c r="AQ315" s="11">
        <f t="shared" si="726"/>
        <v>21363854450.941666</v>
      </c>
      <c r="AR315" s="11">
        <f t="shared" si="726"/>
        <v>16254282000.658318</v>
      </c>
      <c r="AS315" s="1161">
        <f t="shared" si="726"/>
        <v>1773009945.5135405</v>
      </c>
      <c r="AT315" s="1161">
        <f t="shared" si="726"/>
        <v>23136864396.455208</v>
      </c>
      <c r="AU315" s="1161">
        <f t="shared" si="726"/>
        <v>14481272055.144773</v>
      </c>
      <c r="AV315" s="1204">
        <f>SUM(AV3:AV313)</f>
        <v>2392045987.8697882</v>
      </c>
      <c r="AW315" s="1204">
        <f t="shared" si="726"/>
        <v>23755900438.811455</v>
      </c>
      <c r="AX315" s="1204">
        <f t="shared" si="726"/>
        <v>14032236012.788527</v>
      </c>
      <c r="AY315" s="179">
        <f>AG34/12</f>
        <v>0</v>
      </c>
      <c r="AZ315" s="8">
        <f t="shared" ref="AZ315" si="727">E315-AW315-AX315</f>
        <v>0</v>
      </c>
    </row>
    <row r="316" spans="1:55" ht="14.25" customHeight="1">
      <c r="B316" s="869" t="s">
        <v>1096</v>
      </c>
      <c r="E316" s="1059">
        <v>37618136452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Q316" s="13"/>
      <c r="AR316" s="13"/>
      <c r="AS316" s="13"/>
      <c r="AT316" s="13">
        <v>21448149382.779163</v>
      </c>
      <c r="AU316" s="13"/>
      <c r="AV316" s="13"/>
      <c r="AW316" s="13"/>
      <c r="AX316" s="13"/>
      <c r="AY316" s="179"/>
      <c r="AZ316" s="19"/>
    </row>
    <row r="317" spans="1:55" ht="14.25" customHeight="1">
      <c r="E317" s="13">
        <f>E315-E316</f>
        <v>169999999.59998322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>
        <f>AT316-AT315</f>
        <v>-1688715013.6760445</v>
      </c>
      <c r="AU317" s="13"/>
      <c r="AV317" s="13"/>
      <c r="AW317" s="13"/>
      <c r="AX317" s="13"/>
      <c r="AY317" s="19"/>
    </row>
    <row r="318" spans="1:55" ht="14.25" customHeight="1">
      <c r="B318" s="47"/>
      <c r="C318" s="237"/>
      <c r="D318" s="48"/>
      <c r="E318" s="49"/>
      <c r="F318" s="50" t="s">
        <v>29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5" ht="14.25" customHeight="1">
      <c r="B319" s="51" t="s">
        <v>30</v>
      </c>
      <c r="C319" s="237"/>
      <c r="D319" s="48"/>
      <c r="E319" s="49">
        <v>0</v>
      </c>
      <c r="F319" s="50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5" ht="14.25" customHeight="1">
      <c r="B320" s="51" t="s">
        <v>165</v>
      </c>
      <c r="C320" s="237"/>
      <c r="D320" s="48"/>
      <c r="E320" s="49">
        <f>SUM(E6:E7)+SUM(E9:E12)+SUM(E18:E21)+SUM(E23:E24)+E26+SUM(E28:E33)+SUM(E35:E52)+SUM(E73:E87)+SUM(E91:E172)+SUM(E240:E282)</f>
        <v>18233245455</v>
      </c>
      <c r="F320" s="52">
        <f t="shared" ref="F320:F329" si="728">E320-E319</f>
        <v>18233245455</v>
      </c>
      <c r="H320" s="58"/>
      <c r="W320" s="15"/>
      <c r="AB320" s="15"/>
      <c r="AD320" s="18"/>
      <c r="AE320" s="15"/>
      <c r="AV320" s="19"/>
    </row>
    <row r="321" spans="2:48" ht="14.25" customHeight="1">
      <c r="B321" s="51" t="s">
        <v>166</v>
      </c>
      <c r="C321" s="237"/>
      <c r="D321" s="48"/>
      <c r="E321" s="49">
        <f>E320+SUM(E53:E57)+SUM(E173:E183)+SUM(E283:E288)</f>
        <v>19563784525.299999</v>
      </c>
      <c r="F321" s="52">
        <f t="shared" si="728"/>
        <v>1330539070.2999992</v>
      </c>
      <c r="W321" s="15"/>
      <c r="AB321" s="15"/>
      <c r="AD321" s="18"/>
      <c r="AE321" s="15"/>
      <c r="AV321" s="19"/>
    </row>
    <row r="322" spans="2:48" ht="14.25" customHeight="1">
      <c r="B322" s="51" t="s">
        <v>167</v>
      </c>
      <c r="C322" s="237"/>
      <c r="D322" s="48"/>
      <c r="E322" s="49">
        <f>E321+SUM(E58:E59)+SUM(E184:E194)+SUM(E289:E290)</f>
        <v>21088567525.299999</v>
      </c>
      <c r="F322" s="52">
        <f t="shared" si="728"/>
        <v>1524783000</v>
      </c>
      <c r="W322" s="15"/>
      <c r="AB322" s="15"/>
      <c r="AD322" s="18"/>
      <c r="AE322" s="15"/>
    </row>
    <row r="323" spans="2:48" ht="14.25" customHeight="1">
      <c r="B323" s="51" t="s">
        <v>168</v>
      </c>
      <c r="C323" s="237"/>
      <c r="D323" s="48"/>
      <c r="E323" s="49">
        <f>E322+SUM(E60:E65)+SUM(E195:E207)+SUM(E291:E292)</f>
        <v>23608782341.299999</v>
      </c>
      <c r="F323" s="52">
        <f t="shared" si="728"/>
        <v>2520214816</v>
      </c>
      <c r="W323" s="15"/>
      <c r="AB323" s="15"/>
      <c r="AD323" s="18"/>
      <c r="AE323" s="15"/>
    </row>
    <row r="324" spans="2:48" ht="14.25" customHeight="1">
      <c r="B324" s="51" t="s">
        <v>169</v>
      </c>
      <c r="C324" s="237"/>
      <c r="D324" s="48"/>
      <c r="E324" s="49">
        <f>E323+SUM(E88:E89)+SUM(E208:E237)+SUM(E293:E301)</f>
        <v>27850844990.299999</v>
      </c>
      <c r="F324" s="52">
        <f t="shared" si="728"/>
        <v>4242062649</v>
      </c>
      <c r="W324" s="15"/>
      <c r="AB324" s="15"/>
      <c r="AE324" s="15"/>
    </row>
    <row r="325" spans="2:48" ht="14.25" customHeight="1">
      <c r="B325" s="51" t="s">
        <v>170</v>
      </c>
      <c r="C325" s="237"/>
      <c r="D325" s="48"/>
      <c r="E325" s="49">
        <f>E324+SUM(E66:E68)+SUM(E302:E303)+E310</f>
        <v>28268513018.299999</v>
      </c>
      <c r="F325" s="52">
        <f t="shared" si="728"/>
        <v>417668028</v>
      </c>
      <c r="W325" s="16"/>
      <c r="AB325" s="16"/>
      <c r="AE325" s="16"/>
    </row>
    <row r="326" spans="2:48" ht="14.25" customHeight="1">
      <c r="B326" s="51" t="s">
        <v>171</v>
      </c>
      <c r="C326" s="237"/>
      <c r="D326" s="48"/>
      <c r="E326" s="49">
        <f>E325+SUM(E69:E70)+SUM(E304:E308)+E311</f>
        <v>28284388018.299999</v>
      </c>
      <c r="F326" s="52">
        <f t="shared" si="728"/>
        <v>15875000</v>
      </c>
    </row>
    <row r="327" spans="2:48" ht="14.25" customHeight="1">
      <c r="B327" s="51" t="s">
        <v>172</v>
      </c>
      <c r="C327" s="237"/>
      <c r="D327" s="48"/>
      <c r="E327" s="49">
        <f>E326+SUM(E13:E16)+E71+E312</f>
        <v>37601206721.599983</v>
      </c>
      <c r="F327" s="52">
        <f t="shared" si="728"/>
        <v>9316818703.299984</v>
      </c>
    </row>
    <row r="328" spans="2:48" ht="14.25" customHeight="1">
      <c r="B328" s="51" t="s">
        <v>173</v>
      </c>
      <c r="C328" s="237"/>
      <c r="D328" s="48"/>
      <c r="E328" s="49">
        <f>E327+E238</f>
        <v>37618136451.599983</v>
      </c>
      <c r="F328" s="52">
        <f t="shared" si="728"/>
        <v>16929730</v>
      </c>
    </row>
    <row r="329" spans="2:48" ht="14" customHeight="1">
      <c r="B329" s="51" t="s">
        <v>1225</v>
      </c>
      <c r="C329" s="237"/>
      <c r="D329" s="48"/>
      <c r="E329" s="49">
        <f>E328</f>
        <v>37618136451.599983</v>
      </c>
      <c r="F329" s="52">
        <f t="shared" si="728"/>
        <v>0</v>
      </c>
    </row>
    <row r="330" spans="2:48" ht="14" customHeight="1">
      <c r="B330" s="51" t="s">
        <v>1311</v>
      </c>
      <c r="C330" s="237"/>
      <c r="D330" s="48"/>
      <c r="E330" s="49">
        <f>SUM(E6:E313)</f>
        <v>37788136451.599983</v>
      </c>
      <c r="F330" s="52">
        <f>E330-E329</f>
        <v>170000000</v>
      </c>
    </row>
  </sheetData>
  <autoFilter ref="A1:AY312" xr:uid="{80910257-5BAB-4832-90EB-282391797246}">
    <filterColumn colId="4">
      <filters blank="1">
        <filter val="1.000.000"/>
        <filter val="1.035.300"/>
        <filter val="1.057.336.363"/>
        <filter val="1.100.000"/>
        <filter val="1.176.000.000"/>
        <filter val="1.200.000"/>
        <filter val="1.344.000"/>
        <filter val="1.400.000"/>
        <filter val="1.500.000"/>
        <filter val="1.590.000.000"/>
        <filter val="1.715.900.000"/>
        <filter val="1.750.000"/>
        <filter val="10.000.000"/>
        <filter val="10.400.000"/>
        <filter val="10.500.000"/>
        <filter val="10.727.273"/>
        <filter val="10.800.000"/>
        <filter val="105.000.000"/>
        <filter val="106.000.000"/>
        <filter val="11.400.000"/>
        <filter val="111.400.000"/>
        <filter val="116.100.000"/>
        <filter val="12.500.000"/>
        <filter val="12.910.400"/>
        <filter val="125.000.000"/>
        <filter val="13.272.728"/>
        <filter val="13.500.000"/>
        <filter val="130.971.776"/>
        <filter val="14.300.000"/>
        <filter val="14.500.000"/>
        <filter val="145.800.000"/>
        <filter val="149.509.500"/>
        <filter val="15.200.000"/>
        <filter val="15.272.728"/>
        <filter val="15.300.000"/>
        <filter val="15.800.000"/>
        <filter val="15.900.000"/>
        <filter val="15.925.000"/>
        <filter val="155.200.000"/>
        <filter val="16.400.000"/>
        <filter val="16.500.000"/>
        <filter val="16.929.730"/>
        <filter val="167.045.455"/>
        <filter val="168.100.000"/>
        <filter val="17.100.000"/>
        <filter val="176.900.000"/>
        <filter val="18.100.000"/>
        <filter val="18.600.000"/>
        <filter val="181.200.000"/>
        <filter val="183.300.000"/>
        <filter val="186.300.000"/>
        <filter val="187.063.636"/>
        <filter val="187.500.000"/>
        <filter val="188.400.000"/>
        <filter val="19.100.000"/>
        <filter val="19.700.000"/>
        <filter val="19.800.000"/>
        <filter val="195.000.000"/>
        <filter val="2.000.000"/>
        <filter val="2.100.000"/>
        <filter val="2.300.000"/>
        <filter val="2.318.300.000"/>
        <filter val="2.400.000"/>
        <filter val="2.600.000"/>
        <filter val="20.800.000"/>
        <filter val="20.900.000"/>
        <filter val="204.545.454"/>
        <filter val="21.500.000"/>
        <filter val="21.700.000"/>
        <filter val="22.200.000"/>
        <filter val="225.000.000"/>
        <filter val="228.800.000"/>
        <filter val="237.700.000"/>
        <filter val="239.886.250"/>
        <filter val="24.219.000"/>
        <filter val="242.937.500"/>
        <filter val="244.490.000"/>
        <filter val="244.900.000"/>
        <filter val="248.145.455"/>
        <filter val="25.300.000"/>
        <filter val="251.472.000"/>
        <filter val="252.600.000"/>
        <filter val="26.500.000"/>
        <filter val="26.600.000"/>
        <filter val="26.708.707"/>
        <filter val="262.100.000"/>
        <filter val="265.000.000"/>
        <filter val="27.675.000"/>
        <filter val="277.800.000"/>
        <filter val="28.000.000"/>
        <filter val="287.200.000"/>
        <filter val="3.000.000"/>
        <filter val="3.200.000"/>
        <filter val="3.600.000"/>
        <filter val="3.800.000"/>
        <filter val="3.922.000.000"/>
        <filter val="30.700.000"/>
        <filter val="30.836.364"/>
        <filter val="30.940.000"/>
        <filter val="309.296.000"/>
        <filter val="31.272.800"/>
        <filter val="32.100.000"/>
        <filter val="32.600.000"/>
        <filter val="32.900.000"/>
        <filter val="320.545.392"/>
        <filter val="323.863.636"/>
        <filter val="350.363.643"/>
        <filter val="36.200.000"/>
        <filter val="36.500.000"/>
        <filter val="363.957.360"/>
        <filter val="385.000.000"/>
        <filter val="39.300.000"/>
        <filter val="393.382.163"/>
        <filter val="4.300.000"/>
        <filter val="4.500.000"/>
        <filter val="4.600.000"/>
        <filter val="4.687.273"/>
        <filter val="4.800.000"/>
        <filter val="4.900.000"/>
        <filter val="400.480.000"/>
        <filter val="41.500.000"/>
        <filter val="42.312.000"/>
        <filter val="42.937.232"/>
        <filter val="429.283.800"/>
        <filter val="43.000.001"/>
        <filter val="43.225.000"/>
        <filter val="43.600.000"/>
        <filter val="437.778.900"/>
        <filter val="44.400.000"/>
        <filter val="441.100.000"/>
        <filter val="45.900.000"/>
        <filter val="46.400.000"/>
        <filter val="47.800.000"/>
        <filter val="5.000.000"/>
        <filter val="5.300.000"/>
        <filter val="5.500.000"/>
        <filter val="5.700.000"/>
        <filter val="51.200.000"/>
        <filter val="511.363.650"/>
        <filter val="52.800.000"/>
        <filter val="53.400.000"/>
        <filter val="57.750.000"/>
        <filter val="58.500.000"/>
        <filter val="6.200.000"/>
        <filter val="6.900.000"/>
        <filter val="60.547.500"/>
        <filter val="600.000"/>
        <filter val="635.000.000"/>
        <filter val="64.000.000"/>
        <filter val="64.500.000"/>
        <filter val="7.300.000"/>
        <filter val="7.400.000"/>
        <filter val="7.500.000"/>
        <filter val="7.898.914.340"/>
        <filter val="7.900.000"/>
        <filter val="7.950.000"/>
        <filter val="70.800.000"/>
        <filter val="70.900.000"/>
        <filter val="700.000"/>
        <filter val="732.727.280"/>
        <filter val="74.900.000"/>
        <filter val="75.000.000"/>
        <filter val="750.000"/>
        <filter val="76.800.000"/>
        <filter val="76.900.000"/>
        <filter val="79.636.363"/>
        <filter val="8.200.000"/>
        <filter val="8.300.000"/>
        <filter val="8.600.000"/>
        <filter val="825.700.000"/>
        <filter val="84.500.000"/>
        <filter val="85.100.000"/>
        <filter val="86.200.000"/>
        <filter val="868.700.000"/>
        <filter val="88.300.000"/>
        <filter val="9.200.000"/>
        <filter val="9.300.000"/>
        <filter val="9.600.000"/>
        <filter val="9.625.000"/>
        <filter val="9.800.000"/>
        <filter val="92.500.000"/>
        <filter val="97.100.000"/>
        <filter val="Perolehan"/>
      </filters>
    </filterColumn>
  </autoFilter>
  <mergeCells count="16">
    <mergeCell ref="AV1:AV2"/>
    <mergeCell ref="AS1:AS2"/>
    <mergeCell ref="AP1:AP2"/>
    <mergeCell ref="P1:P2"/>
    <mergeCell ref="A1:A2"/>
    <mergeCell ref="B1:B2"/>
    <mergeCell ref="G1:G2"/>
    <mergeCell ref="J1:J2"/>
    <mergeCell ref="M1:M2"/>
    <mergeCell ref="S1:S2"/>
    <mergeCell ref="V1:V2"/>
    <mergeCell ref="AA1:AA2"/>
    <mergeCell ref="AD1:AD2"/>
    <mergeCell ref="AG1:AG2"/>
    <mergeCell ref="AJ1:AJ2"/>
    <mergeCell ref="AM1:AM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8A4A-3DBA-49E3-B198-CFD01842CFF4}">
  <sheetPr filterMode="1">
    <tabColor theme="5" tint="0.59999389629810485"/>
  </sheetPr>
  <dimension ref="A1:BC57"/>
  <sheetViews>
    <sheetView showGridLines="0" zoomScale="90" zoomScaleNormal="90" workbookViewId="0">
      <pane xSplit="6" ySplit="2" topLeftCell="AI3" activePane="bottomRight" state="frozen"/>
      <selection pane="topRight" activeCell="G1" sqref="G1"/>
      <selection pane="bottomLeft" activeCell="A3" sqref="A3"/>
      <selection pane="bottomRight" activeCell="AV10" sqref="AV10"/>
    </sheetView>
  </sheetViews>
  <sheetFormatPr defaultColWidth="9.1796875" defaultRowHeight="10.5" customHeight="1" outlineLevelCol="1"/>
  <cols>
    <col min="1" max="1" width="2.81640625" style="12" bestFit="1" customWidth="1"/>
    <col min="2" max="2" width="25.8164062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7.453125" style="3" customWidth="1" outlineLevel="1"/>
    <col min="8" max="8" width="14.453125" style="3" customWidth="1" outlineLevel="1"/>
    <col min="9" max="9" width="12.7265625" style="3" customWidth="1" outlineLevel="1"/>
    <col min="10" max="10" width="17.453125" style="3" customWidth="1" outlineLevel="1"/>
    <col min="11" max="11" width="14.453125" style="3" customWidth="1" outlineLevel="1"/>
    <col min="12" max="12" width="12.7265625" style="3" customWidth="1" outlineLevel="1"/>
    <col min="13" max="13" width="17.453125" style="3" customWidth="1" outlineLevel="1"/>
    <col min="14" max="14" width="14.453125" style="3" customWidth="1" outlineLevel="1"/>
    <col min="15" max="15" width="12.7265625" style="3" customWidth="1" outlineLevel="1"/>
    <col min="16" max="16" width="17.453125" style="3" customWidth="1" outlineLevel="1"/>
    <col min="17" max="17" width="14.453125" style="3" customWidth="1" outlineLevel="1"/>
    <col min="18" max="18" width="12.7265625" style="3" customWidth="1" outlineLevel="1"/>
    <col min="19" max="19" width="17.453125" style="3" customWidth="1" outlineLevel="1"/>
    <col min="20" max="20" width="14.453125" style="3" customWidth="1" outlineLevel="1"/>
    <col min="21" max="21" width="12.7265625" style="3" customWidth="1" outlineLevel="1"/>
    <col min="22" max="22" width="17.453125" style="3" customWidth="1" outlineLevel="1"/>
    <col min="23" max="23" width="14.453125" style="3" customWidth="1" outlineLevel="1"/>
    <col min="24" max="24" width="12.7265625" style="3" customWidth="1" outlineLevel="1"/>
    <col min="25" max="26" width="12.7265625" style="3" hidden="1" customWidth="1"/>
    <col min="27" max="27" width="17.453125" style="3" bestFit="1" customWidth="1"/>
    <col min="28" max="28" width="14.453125" style="3" bestFit="1" customWidth="1"/>
    <col min="29" max="29" width="12.7265625" style="3" bestFit="1" customWidth="1"/>
    <col min="30" max="30" width="17.453125" style="3" bestFit="1" customWidth="1"/>
    <col min="31" max="31" width="14.453125" style="3" bestFit="1" customWidth="1"/>
    <col min="32" max="32" width="12.7265625" style="3" bestFit="1" customWidth="1"/>
    <col min="33" max="33" width="13.453125" style="3" customWidth="1"/>
    <col min="34" max="34" width="9.90625" style="3" bestFit="1" customWidth="1"/>
    <col min="35" max="35" width="10.6328125" style="3" bestFit="1" customWidth="1"/>
    <col min="36" max="41" width="10.6328125" style="3" hidden="1" customWidth="1"/>
    <col min="42" max="42" width="11" style="3" customWidth="1"/>
    <col min="43" max="43" width="12.90625" style="3" bestFit="1" customWidth="1"/>
    <col min="44" max="44" width="12.7265625" style="3" bestFit="1" customWidth="1"/>
    <col min="45" max="46" width="12.7265625" style="3" hidden="1" customWidth="1"/>
    <col min="47" max="47" width="11.26953125" style="3" hidden="1" customWidth="1"/>
    <col min="48" max="50" width="11.26953125" style="3" customWidth="1"/>
    <col min="51" max="51" width="10.453125" style="3" customWidth="1"/>
    <col min="52" max="52" width="9.90625" style="3" bestFit="1" customWidth="1"/>
    <col min="53" max="53" width="9.1796875" style="3"/>
    <col min="54" max="54" width="11.453125" style="3" bestFit="1" customWidth="1"/>
    <col min="55" max="55" width="9.90625" style="3" bestFit="1" customWidth="1"/>
    <col min="56" max="56" width="9.1796875" style="3"/>
    <col min="57" max="57" width="9.90625" style="3" bestFit="1" customWidth="1"/>
    <col min="58" max="16384" width="9.1796875" style="3"/>
  </cols>
  <sheetData>
    <row r="1" spans="1:55" ht="14.25" customHeight="1">
      <c r="A1" s="1320" t="s">
        <v>17</v>
      </c>
      <c r="B1" s="131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18" t="s">
        <v>133</v>
      </c>
      <c r="H1" s="1" t="s">
        <v>6</v>
      </c>
      <c r="I1" s="1" t="s">
        <v>7</v>
      </c>
      <c r="J1" s="1318" t="s">
        <v>127</v>
      </c>
      <c r="K1" s="1" t="s">
        <v>6</v>
      </c>
      <c r="L1" s="1" t="s">
        <v>7</v>
      </c>
      <c r="M1" s="1318" t="s">
        <v>130</v>
      </c>
      <c r="N1" s="1" t="s">
        <v>6</v>
      </c>
      <c r="O1" s="1" t="s">
        <v>7</v>
      </c>
      <c r="P1" s="1318" t="s">
        <v>26</v>
      </c>
      <c r="Q1" s="1" t="s">
        <v>6</v>
      </c>
      <c r="R1" s="1" t="s">
        <v>7</v>
      </c>
      <c r="S1" s="1318" t="s">
        <v>18</v>
      </c>
      <c r="T1" s="1" t="s">
        <v>6</v>
      </c>
      <c r="U1" s="1" t="s">
        <v>7</v>
      </c>
      <c r="V1" s="1318" t="s">
        <v>136</v>
      </c>
      <c r="W1" s="1" t="s">
        <v>6</v>
      </c>
      <c r="X1" s="1" t="s">
        <v>7</v>
      </c>
      <c r="Y1" s="1035" t="s">
        <v>1165</v>
      </c>
      <c r="Z1" s="1035" t="s">
        <v>1165</v>
      </c>
      <c r="AA1" s="1318" t="s">
        <v>5</v>
      </c>
      <c r="AB1" s="1" t="s">
        <v>6</v>
      </c>
      <c r="AC1" s="1" t="s">
        <v>7</v>
      </c>
      <c r="AD1" s="1318" t="s">
        <v>8</v>
      </c>
      <c r="AE1" s="1" t="s">
        <v>6</v>
      </c>
      <c r="AF1" s="1" t="s">
        <v>7</v>
      </c>
      <c r="AG1" s="1318" t="s">
        <v>23</v>
      </c>
      <c r="AH1" s="1" t="s">
        <v>6</v>
      </c>
      <c r="AI1" s="1" t="s">
        <v>7</v>
      </c>
      <c r="AJ1" s="1321" t="s">
        <v>1284</v>
      </c>
      <c r="AK1" s="1156" t="s">
        <v>6</v>
      </c>
      <c r="AL1" s="1156" t="s">
        <v>7</v>
      </c>
      <c r="AM1" s="1326" t="s">
        <v>1299</v>
      </c>
      <c r="AN1" s="1185" t="s">
        <v>6</v>
      </c>
      <c r="AO1" s="1185" t="s">
        <v>7</v>
      </c>
      <c r="AP1" s="1318" t="s">
        <v>1219</v>
      </c>
      <c r="AQ1" s="1" t="s">
        <v>6</v>
      </c>
      <c r="AR1" s="1" t="s">
        <v>7</v>
      </c>
      <c r="AS1" s="1321" t="s">
        <v>1302</v>
      </c>
      <c r="AT1" s="1156" t="s">
        <v>6</v>
      </c>
      <c r="AU1" s="1156" t="s">
        <v>7</v>
      </c>
      <c r="AV1" s="1318" t="s">
        <v>1305</v>
      </c>
      <c r="AW1" s="1" t="s">
        <v>6</v>
      </c>
      <c r="AX1" s="1" t="s">
        <v>7</v>
      </c>
      <c r="AY1" s="870"/>
    </row>
    <row r="2" spans="1:55" ht="14.25" customHeight="1">
      <c r="A2" s="1320"/>
      <c r="B2" s="1318"/>
      <c r="C2" s="4" t="s">
        <v>9</v>
      </c>
      <c r="D2" s="4" t="s">
        <v>10</v>
      </c>
      <c r="E2" s="4" t="s">
        <v>9</v>
      </c>
      <c r="F2" s="4" t="s">
        <v>11</v>
      </c>
      <c r="G2" s="1318"/>
      <c r="H2" s="1" t="s">
        <v>134</v>
      </c>
      <c r="I2" s="1" t="s">
        <v>135</v>
      </c>
      <c r="J2" s="1318"/>
      <c r="K2" s="1" t="s">
        <v>128</v>
      </c>
      <c r="L2" s="1" t="s">
        <v>129</v>
      </c>
      <c r="M2" s="1318"/>
      <c r="N2" s="1" t="s">
        <v>131</v>
      </c>
      <c r="O2" s="1" t="s">
        <v>132</v>
      </c>
      <c r="P2" s="1318"/>
      <c r="Q2" s="1" t="s">
        <v>27</v>
      </c>
      <c r="R2" s="1" t="s">
        <v>28</v>
      </c>
      <c r="S2" s="1318"/>
      <c r="T2" s="1" t="s">
        <v>19</v>
      </c>
      <c r="U2" s="1" t="s">
        <v>20</v>
      </c>
      <c r="V2" s="1318"/>
      <c r="W2" s="1" t="s">
        <v>21</v>
      </c>
      <c r="X2" s="1" t="s">
        <v>22</v>
      </c>
      <c r="Y2" s="1035" t="s">
        <v>1166</v>
      </c>
      <c r="Z2" s="1035" t="s">
        <v>1167</v>
      </c>
      <c r="AA2" s="1318"/>
      <c r="AB2" s="1" t="s">
        <v>12</v>
      </c>
      <c r="AC2" s="1" t="s">
        <v>13</v>
      </c>
      <c r="AD2" s="1318"/>
      <c r="AE2" s="1" t="s">
        <v>14</v>
      </c>
      <c r="AF2" s="1" t="s">
        <v>15</v>
      </c>
      <c r="AG2" s="1318"/>
      <c r="AH2" s="1" t="s">
        <v>24</v>
      </c>
      <c r="AI2" s="1" t="s">
        <v>25</v>
      </c>
      <c r="AJ2" s="1321"/>
      <c r="AK2" s="1156" t="s">
        <v>1285</v>
      </c>
      <c r="AL2" s="1156" t="s">
        <v>1286</v>
      </c>
      <c r="AM2" s="1326"/>
      <c r="AN2" s="1185" t="s">
        <v>1300</v>
      </c>
      <c r="AO2" s="1185" t="s">
        <v>1301</v>
      </c>
      <c r="AP2" s="1318"/>
      <c r="AQ2" s="1" t="s">
        <v>1220</v>
      </c>
      <c r="AR2" s="1" t="s">
        <v>1221</v>
      </c>
      <c r="AS2" s="1322"/>
      <c r="AT2" s="1159" t="s">
        <v>1303</v>
      </c>
      <c r="AU2" s="1159" t="s">
        <v>1304</v>
      </c>
      <c r="AV2" s="1318"/>
      <c r="AW2" s="1" t="s">
        <v>1306</v>
      </c>
      <c r="AX2" s="1" t="s">
        <v>1307</v>
      </c>
      <c r="AY2" s="870"/>
      <c r="AZ2" s="5" t="s">
        <v>16</v>
      </c>
    </row>
    <row r="3" spans="1:55" ht="14.25" customHeight="1">
      <c r="A3" s="231" t="s">
        <v>699</v>
      </c>
      <c r="B3" s="53"/>
      <c r="C3" s="54"/>
      <c r="D3" s="55"/>
      <c r="E3" s="6"/>
      <c r="F3" s="2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59"/>
      <c r="AR3" s="7"/>
      <c r="AS3" s="7"/>
      <c r="AT3" s="7"/>
      <c r="AU3" s="1163"/>
      <c r="AV3" s="1163"/>
      <c r="AW3" s="1163"/>
      <c r="AX3" s="1163"/>
      <c r="AY3" s="19"/>
      <c r="AZ3" s="8">
        <f>E3-AH3-AI3</f>
        <v>0</v>
      </c>
      <c r="BB3" s="57"/>
      <c r="BC3" s="19">
        <f>AI3-BB3</f>
        <v>0</v>
      </c>
    </row>
    <row r="4" spans="1:55" s="220" customFormat="1" ht="14.25" customHeight="1">
      <c r="A4" s="190">
        <v>1</v>
      </c>
      <c r="B4" s="214" t="s">
        <v>405</v>
      </c>
      <c r="C4" s="215"/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39"/>
      <c r="AR4" s="219"/>
      <c r="AS4" s="219"/>
      <c r="AT4" s="219"/>
      <c r="AU4" s="1164"/>
      <c r="AV4" s="1164"/>
      <c r="AW4" s="1164"/>
      <c r="AX4" s="1164"/>
      <c r="AY4" s="179"/>
      <c r="AZ4" s="61"/>
      <c r="BB4" s="221"/>
      <c r="BC4" s="179"/>
    </row>
    <row r="5" spans="1:55" ht="14.25" customHeight="1">
      <c r="A5" s="17">
        <v>1</v>
      </c>
      <c r="B5" s="53" t="s">
        <v>700</v>
      </c>
      <c r="C5" s="671">
        <v>37257</v>
      </c>
      <c r="D5" s="55">
        <v>20</v>
      </c>
      <c r="E5" s="6">
        <v>2600000</v>
      </c>
      <c r="F5" s="1041">
        <f>E5/D5</f>
        <v>130000</v>
      </c>
      <c r="G5" s="1053"/>
      <c r="H5" s="1042">
        <f>G5</f>
        <v>0</v>
      </c>
      <c r="I5" s="1042">
        <f t="shared" ref="I5:I10" si="0">E5-H5</f>
        <v>2600000</v>
      </c>
      <c r="J5" s="1042"/>
      <c r="K5" s="1042">
        <f>J5+H5</f>
        <v>0</v>
      </c>
      <c r="L5" s="1042">
        <f>E5-K5</f>
        <v>2600000</v>
      </c>
      <c r="M5" s="1042">
        <f>(F5/12)*12</f>
        <v>130000</v>
      </c>
      <c r="N5" s="1042">
        <f>M5+K5</f>
        <v>130000</v>
      </c>
      <c r="O5" s="1042">
        <f>E5-N5</f>
        <v>2470000</v>
      </c>
      <c r="P5" s="1042">
        <f>(F5/12)*12</f>
        <v>130000</v>
      </c>
      <c r="Q5" s="1042">
        <f>P5+N5</f>
        <v>260000</v>
      </c>
      <c r="R5" s="1042">
        <f>E5-Q5</f>
        <v>2340000</v>
      </c>
      <c r="S5" s="1042">
        <f>(F5/12)*12</f>
        <v>130000</v>
      </c>
      <c r="T5" s="1042">
        <f>Q5+S5</f>
        <v>390000</v>
      </c>
      <c r="U5" s="1042">
        <f>E5-T5</f>
        <v>2210000</v>
      </c>
      <c r="V5" s="1042">
        <f>(F5/12)*12</f>
        <v>130000</v>
      </c>
      <c r="W5" s="1042">
        <f>T5+V5</f>
        <v>520000</v>
      </c>
      <c r="X5" s="1042">
        <f>E5-W5</f>
        <v>2080000</v>
      </c>
      <c r="Y5" s="7">
        <v>520000</v>
      </c>
      <c r="Z5" s="7">
        <f>E5-Y5</f>
        <v>2080000</v>
      </c>
      <c r="AA5" s="1042">
        <f>(F5/12)*12</f>
        <v>130000</v>
      </c>
      <c r="AB5" s="1042">
        <f>W5+AA5</f>
        <v>650000</v>
      </c>
      <c r="AC5" s="1042">
        <f>E5-AB5</f>
        <v>1950000</v>
      </c>
      <c r="AD5" s="1042">
        <f>(F5/12)*12</f>
        <v>130000</v>
      </c>
      <c r="AE5" s="1042">
        <f>AB5+AD5</f>
        <v>780000</v>
      </c>
      <c r="AF5" s="1042">
        <f>E5-AE5</f>
        <v>1820000</v>
      </c>
      <c r="AG5" s="1042">
        <f t="shared" ref="AG5:AG7" si="1">(F5/12)*12</f>
        <v>130000</v>
      </c>
      <c r="AH5" s="1042">
        <f>AE5+AG5</f>
        <v>910000</v>
      </c>
      <c r="AI5" s="1042">
        <f>E5-AH5</f>
        <v>1690000</v>
      </c>
      <c r="AJ5" s="1042">
        <f>(F5/12)*1</f>
        <v>10833.333333333334</v>
      </c>
      <c r="AK5" s="1042">
        <f>AH5+AJ5</f>
        <v>920833.33333333337</v>
      </c>
      <c r="AL5" s="1042">
        <f>E5-AK5</f>
        <v>1679166.6666666665</v>
      </c>
      <c r="AM5" s="1042">
        <f>(F5/12)*9</f>
        <v>97500</v>
      </c>
      <c r="AN5" s="1042">
        <f t="shared" ref="AN5:AN11" si="2">AH5+AM5</f>
        <v>1007500</v>
      </c>
      <c r="AO5" s="1042">
        <f t="shared" ref="AO5:AO11" si="3">E5-AN5</f>
        <v>1592500</v>
      </c>
      <c r="AP5" s="1042">
        <f>(F5/12)*12</f>
        <v>130000</v>
      </c>
      <c r="AQ5" s="1055">
        <f>AH5+AP5</f>
        <v>1040000</v>
      </c>
      <c r="AR5" s="1042">
        <f>E5-AQ5</f>
        <v>1560000</v>
      </c>
      <c r="AS5" s="1042">
        <f>(F5/12)*9</f>
        <v>97500</v>
      </c>
      <c r="AT5" s="1042">
        <f>AQ5+AS5</f>
        <v>1137500</v>
      </c>
      <c r="AU5" s="1163">
        <f>E5-AT5</f>
        <v>1462500</v>
      </c>
      <c r="AV5" s="1163">
        <f>(F5/12)*12</f>
        <v>130000</v>
      </c>
      <c r="AW5" s="1163">
        <f>AQ5+AV5</f>
        <v>1170000</v>
      </c>
      <c r="AX5" s="1163">
        <f>E5-AW5</f>
        <v>1430000</v>
      </c>
      <c r="AY5" s="19"/>
      <c r="AZ5" s="8">
        <f>E5-AW5-AX5</f>
        <v>0</v>
      </c>
      <c r="BB5" s="57"/>
      <c r="BC5" s="19"/>
    </row>
    <row r="6" spans="1:55" ht="14.25" customHeight="1">
      <c r="A6" s="17">
        <f t="shared" ref="A6:A11" si="4">A5+1</f>
        <v>2</v>
      </c>
      <c r="B6" s="53" t="s">
        <v>701</v>
      </c>
      <c r="C6" s="671">
        <v>37257</v>
      </c>
      <c r="D6" s="55">
        <v>20</v>
      </c>
      <c r="E6" s="6">
        <v>263700000</v>
      </c>
      <c r="F6" s="1041">
        <f t="shared" ref="F6:F40" si="5">E6/D6</f>
        <v>13185000</v>
      </c>
      <c r="G6" s="1053"/>
      <c r="H6" s="1042">
        <f t="shared" ref="H6:H10" si="6">G6</f>
        <v>0</v>
      </c>
      <c r="I6" s="1042">
        <f t="shared" si="0"/>
        <v>263700000</v>
      </c>
      <c r="J6" s="1042"/>
      <c r="K6" s="1042">
        <f t="shared" ref="K6:K10" si="7">J6+H6</f>
        <v>0</v>
      </c>
      <c r="L6" s="1042">
        <f t="shared" ref="L6:L10" si="8">E6-K6</f>
        <v>263700000</v>
      </c>
      <c r="M6" s="1042">
        <f t="shared" ref="M6:M10" si="9">(F6/12)*12</f>
        <v>13185000</v>
      </c>
      <c r="N6" s="1042">
        <f t="shared" ref="N6:N10" si="10">M6+K6</f>
        <v>13185000</v>
      </c>
      <c r="O6" s="1042">
        <f t="shared" ref="O6:O10" si="11">E6-N6</f>
        <v>250515000</v>
      </c>
      <c r="P6" s="1042">
        <f t="shared" ref="P6:P10" si="12">(F6/12)*12</f>
        <v>13185000</v>
      </c>
      <c r="Q6" s="1042">
        <f t="shared" ref="Q6:Q10" si="13">P6+N6</f>
        <v>26370000</v>
      </c>
      <c r="R6" s="1042">
        <f t="shared" ref="R6:R10" si="14">E6-Q6</f>
        <v>237330000</v>
      </c>
      <c r="S6" s="1042">
        <f t="shared" ref="S6:S10" si="15">(F6/12)*12</f>
        <v>13185000</v>
      </c>
      <c r="T6" s="1042">
        <f t="shared" ref="T6:T10" si="16">Q6+S6</f>
        <v>39555000</v>
      </c>
      <c r="U6" s="1042">
        <f t="shared" ref="U6:U10" si="17">E6-T6</f>
        <v>224145000</v>
      </c>
      <c r="V6" s="1042">
        <f t="shared" ref="V6:V10" si="18">(F6/12)*12</f>
        <v>13185000</v>
      </c>
      <c r="W6" s="1042">
        <f t="shared" ref="W6:W10" si="19">T6+V6</f>
        <v>52740000</v>
      </c>
      <c r="X6" s="1042">
        <f t="shared" ref="X6:X10" si="20">E6-W6</f>
        <v>210960000</v>
      </c>
      <c r="Y6" s="7">
        <v>25340000</v>
      </c>
      <c r="Z6" s="7">
        <f t="shared" ref="Z6:Z10" si="21">E6-Y6</f>
        <v>238360000</v>
      </c>
      <c r="AA6" s="1042">
        <f t="shared" ref="AA6:AA10" si="22">(F6/12)*12</f>
        <v>13185000</v>
      </c>
      <c r="AB6" s="1042">
        <f t="shared" ref="AB6:AB10" si="23">W6+AA6</f>
        <v>65925000</v>
      </c>
      <c r="AC6" s="1042">
        <f t="shared" ref="AC6:AC10" si="24">E6-AB6</f>
        <v>197775000</v>
      </c>
      <c r="AD6" s="1042">
        <f t="shared" ref="AD6:AD10" si="25">(F6/12)*12</f>
        <v>13185000</v>
      </c>
      <c r="AE6" s="1042">
        <f t="shared" ref="AE6:AE11" si="26">AB6+AD6</f>
        <v>79110000</v>
      </c>
      <c r="AF6" s="1042">
        <f t="shared" ref="AF6:AF10" si="27">E6-AE6</f>
        <v>184590000</v>
      </c>
      <c r="AG6" s="1042">
        <f t="shared" si="1"/>
        <v>13185000</v>
      </c>
      <c r="AH6" s="1042">
        <f t="shared" ref="AH6:AH10" si="28">AE6+AG6</f>
        <v>92295000</v>
      </c>
      <c r="AI6" s="1042">
        <f t="shared" ref="AI6:AI10" si="29">E6-AH6</f>
        <v>171405000</v>
      </c>
      <c r="AJ6" s="1042">
        <f t="shared" ref="AJ6:AJ11" si="30">(F6/12)*1</f>
        <v>1098750</v>
      </c>
      <c r="AK6" s="1042">
        <f t="shared" ref="AK6:AK11" si="31">AH6+AJ6</f>
        <v>93393750</v>
      </c>
      <c r="AL6" s="1042">
        <f t="shared" ref="AL6:AL11" si="32">E6-AK6</f>
        <v>170306250</v>
      </c>
      <c r="AM6" s="1042">
        <f t="shared" ref="AM6:AM11" si="33">(F6/12)*9</f>
        <v>9888750</v>
      </c>
      <c r="AN6" s="1042">
        <f t="shared" si="2"/>
        <v>102183750</v>
      </c>
      <c r="AO6" s="1042">
        <f t="shared" si="3"/>
        <v>161516250</v>
      </c>
      <c r="AP6" s="1042">
        <f t="shared" ref="AP6:AP11" si="34">(F6/12)*12</f>
        <v>13185000</v>
      </c>
      <c r="AQ6" s="1055">
        <f t="shared" ref="AQ6:AQ40" si="35">AH6+AP6</f>
        <v>105480000</v>
      </c>
      <c r="AR6" s="1042">
        <f t="shared" ref="AR6:AR40" si="36">E6-AQ6</f>
        <v>158220000</v>
      </c>
      <c r="AS6" s="1042">
        <f t="shared" ref="AS6:AS11" si="37">(F6/12)*9</f>
        <v>9888750</v>
      </c>
      <c r="AT6" s="1042">
        <f t="shared" ref="AT6:AT11" si="38">AQ6+AS6</f>
        <v>115368750</v>
      </c>
      <c r="AU6" s="1163">
        <f t="shared" ref="AU6:AU11" si="39">E6-AT6</f>
        <v>148331250</v>
      </c>
      <c r="AV6" s="1163">
        <f t="shared" ref="AV6:AV11" si="40">(F6/12)*12</f>
        <v>13185000</v>
      </c>
      <c r="AW6" s="1163">
        <f t="shared" ref="AW6:AW11" si="41">AQ6+AV6</f>
        <v>118665000</v>
      </c>
      <c r="AX6" s="1163">
        <f t="shared" ref="AX6:AX11" si="42">E6-AW6</f>
        <v>145035000</v>
      </c>
      <c r="AY6" s="19"/>
      <c r="AZ6" s="8">
        <f t="shared" ref="AZ6:AZ11" si="43">E6-AW6-AX6</f>
        <v>0</v>
      </c>
      <c r="BB6" s="57"/>
      <c r="BC6" s="19"/>
    </row>
    <row r="7" spans="1:55" ht="14.25" customHeight="1">
      <c r="A7" s="17">
        <f t="shared" si="4"/>
        <v>3</v>
      </c>
      <c r="B7" s="53" t="s">
        <v>702</v>
      </c>
      <c r="C7" s="671">
        <v>37257</v>
      </c>
      <c r="D7" s="55">
        <v>20</v>
      </c>
      <c r="E7" s="6">
        <v>55200000</v>
      </c>
      <c r="F7" s="1041">
        <f t="shared" si="5"/>
        <v>2760000</v>
      </c>
      <c r="G7" s="1053"/>
      <c r="H7" s="1042">
        <f t="shared" si="6"/>
        <v>0</v>
      </c>
      <c r="I7" s="1042">
        <f t="shared" si="0"/>
        <v>55200000</v>
      </c>
      <c r="J7" s="1042"/>
      <c r="K7" s="1042">
        <f t="shared" si="7"/>
        <v>0</v>
      </c>
      <c r="L7" s="1042">
        <f t="shared" si="8"/>
        <v>55200000</v>
      </c>
      <c r="M7" s="1042">
        <f t="shared" si="9"/>
        <v>2760000</v>
      </c>
      <c r="N7" s="1042">
        <f t="shared" si="10"/>
        <v>2760000</v>
      </c>
      <c r="O7" s="1042">
        <f t="shared" si="11"/>
        <v>52440000</v>
      </c>
      <c r="P7" s="1042">
        <f t="shared" si="12"/>
        <v>2760000</v>
      </c>
      <c r="Q7" s="1042">
        <f t="shared" si="13"/>
        <v>5520000</v>
      </c>
      <c r="R7" s="1042">
        <f t="shared" si="14"/>
        <v>49680000</v>
      </c>
      <c r="S7" s="1042">
        <f t="shared" si="15"/>
        <v>2760000</v>
      </c>
      <c r="T7" s="1042">
        <f t="shared" si="16"/>
        <v>8280000</v>
      </c>
      <c r="U7" s="1042">
        <f t="shared" si="17"/>
        <v>46920000</v>
      </c>
      <c r="V7" s="1042">
        <f t="shared" si="18"/>
        <v>2760000</v>
      </c>
      <c r="W7" s="1042">
        <f t="shared" si="19"/>
        <v>11040000</v>
      </c>
      <c r="X7" s="1042">
        <f t="shared" si="20"/>
        <v>44160000</v>
      </c>
      <c r="Y7" s="7">
        <v>52740000</v>
      </c>
      <c r="Z7" s="7">
        <f t="shared" si="21"/>
        <v>2460000</v>
      </c>
      <c r="AA7" s="1042">
        <f t="shared" si="22"/>
        <v>2760000</v>
      </c>
      <c r="AB7" s="1042">
        <f t="shared" si="23"/>
        <v>13800000</v>
      </c>
      <c r="AC7" s="1042">
        <f t="shared" si="24"/>
        <v>41400000</v>
      </c>
      <c r="AD7" s="1042">
        <f>(F7/12)*12</f>
        <v>2760000</v>
      </c>
      <c r="AE7" s="1042">
        <f t="shared" si="26"/>
        <v>16560000</v>
      </c>
      <c r="AF7" s="1042">
        <f t="shared" si="27"/>
        <v>38640000</v>
      </c>
      <c r="AG7" s="1042">
        <f t="shared" si="1"/>
        <v>2760000</v>
      </c>
      <c r="AH7" s="1042">
        <f t="shared" si="28"/>
        <v>19320000</v>
      </c>
      <c r="AI7" s="1042">
        <f t="shared" si="29"/>
        <v>35880000</v>
      </c>
      <c r="AJ7" s="1042">
        <f t="shared" si="30"/>
        <v>230000</v>
      </c>
      <c r="AK7" s="1042">
        <f t="shared" si="31"/>
        <v>19550000</v>
      </c>
      <c r="AL7" s="1042">
        <f t="shared" si="32"/>
        <v>35650000</v>
      </c>
      <c r="AM7" s="1042">
        <f t="shared" si="33"/>
        <v>2070000</v>
      </c>
      <c r="AN7" s="1042">
        <f t="shared" si="2"/>
        <v>21390000</v>
      </c>
      <c r="AO7" s="1042">
        <f t="shared" si="3"/>
        <v>33810000</v>
      </c>
      <c r="AP7" s="1042">
        <f t="shared" si="34"/>
        <v>2760000</v>
      </c>
      <c r="AQ7" s="1055">
        <f t="shared" si="35"/>
        <v>22080000</v>
      </c>
      <c r="AR7" s="1042">
        <f t="shared" si="36"/>
        <v>33120000</v>
      </c>
      <c r="AS7" s="1042">
        <f t="shared" si="37"/>
        <v>2070000</v>
      </c>
      <c r="AT7" s="1042">
        <f t="shared" si="38"/>
        <v>24150000</v>
      </c>
      <c r="AU7" s="1163">
        <f t="shared" si="39"/>
        <v>31050000</v>
      </c>
      <c r="AV7" s="1163">
        <f t="shared" si="40"/>
        <v>2760000</v>
      </c>
      <c r="AW7" s="1163">
        <f t="shared" si="41"/>
        <v>24840000</v>
      </c>
      <c r="AX7" s="1163">
        <f t="shared" si="42"/>
        <v>30360000</v>
      </c>
      <c r="AY7" s="19"/>
      <c r="AZ7" s="8">
        <f t="shared" si="43"/>
        <v>0</v>
      </c>
      <c r="BB7" s="57"/>
      <c r="BC7" s="19"/>
    </row>
    <row r="8" spans="1:55" ht="14.25" customHeight="1">
      <c r="A8" s="17">
        <f t="shared" si="4"/>
        <v>4</v>
      </c>
      <c r="B8" s="53" t="s">
        <v>700</v>
      </c>
      <c r="C8" s="671">
        <v>38353</v>
      </c>
      <c r="D8" s="55">
        <v>20</v>
      </c>
      <c r="E8" s="6">
        <v>126700000</v>
      </c>
      <c r="F8" s="1041">
        <f t="shared" si="5"/>
        <v>6335000</v>
      </c>
      <c r="G8" s="1053"/>
      <c r="H8" s="1042">
        <f t="shared" si="6"/>
        <v>0</v>
      </c>
      <c r="I8" s="1042">
        <f t="shared" si="0"/>
        <v>126700000</v>
      </c>
      <c r="J8" s="1042"/>
      <c r="K8" s="1042">
        <f t="shared" si="7"/>
        <v>0</v>
      </c>
      <c r="L8" s="1042">
        <f t="shared" si="8"/>
        <v>126700000</v>
      </c>
      <c r="M8" s="1042">
        <f t="shared" si="9"/>
        <v>6335000</v>
      </c>
      <c r="N8" s="1042">
        <f t="shared" si="10"/>
        <v>6335000</v>
      </c>
      <c r="O8" s="1042">
        <f t="shared" si="11"/>
        <v>120365000</v>
      </c>
      <c r="P8" s="1042">
        <f t="shared" si="12"/>
        <v>6335000</v>
      </c>
      <c r="Q8" s="1042">
        <f t="shared" si="13"/>
        <v>12670000</v>
      </c>
      <c r="R8" s="1042">
        <f t="shared" si="14"/>
        <v>114030000</v>
      </c>
      <c r="S8" s="1042">
        <f t="shared" si="15"/>
        <v>6335000</v>
      </c>
      <c r="T8" s="1042">
        <f t="shared" si="16"/>
        <v>19005000</v>
      </c>
      <c r="U8" s="1042">
        <f t="shared" si="17"/>
        <v>107695000</v>
      </c>
      <c r="V8" s="1042">
        <f t="shared" si="18"/>
        <v>6335000</v>
      </c>
      <c r="W8" s="1042">
        <f t="shared" si="19"/>
        <v>25340000</v>
      </c>
      <c r="X8" s="1042">
        <f t="shared" si="20"/>
        <v>101360000</v>
      </c>
      <c r="Y8" s="7">
        <v>2320000</v>
      </c>
      <c r="Z8" s="7">
        <f t="shared" si="21"/>
        <v>124380000</v>
      </c>
      <c r="AA8" s="1042">
        <f t="shared" si="22"/>
        <v>6335000</v>
      </c>
      <c r="AB8" s="1042">
        <f t="shared" si="23"/>
        <v>31675000</v>
      </c>
      <c r="AC8" s="1042">
        <f t="shared" si="24"/>
        <v>95025000</v>
      </c>
      <c r="AD8" s="1042">
        <f t="shared" si="25"/>
        <v>6335000</v>
      </c>
      <c r="AE8" s="1042">
        <f t="shared" si="26"/>
        <v>38010000</v>
      </c>
      <c r="AF8" s="1042">
        <f t="shared" si="27"/>
        <v>88690000</v>
      </c>
      <c r="AG8" s="1042">
        <f>(F8/12)*12</f>
        <v>6335000</v>
      </c>
      <c r="AH8" s="1042">
        <f t="shared" si="28"/>
        <v>44345000</v>
      </c>
      <c r="AI8" s="1042">
        <f t="shared" si="29"/>
        <v>82355000</v>
      </c>
      <c r="AJ8" s="1042">
        <f t="shared" si="30"/>
        <v>527916.66666666663</v>
      </c>
      <c r="AK8" s="1042">
        <f t="shared" si="31"/>
        <v>44872916.666666664</v>
      </c>
      <c r="AL8" s="1042">
        <f t="shared" si="32"/>
        <v>81827083.333333343</v>
      </c>
      <c r="AM8" s="1042">
        <f t="shared" si="33"/>
        <v>4751250</v>
      </c>
      <c r="AN8" s="1042">
        <f t="shared" si="2"/>
        <v>49096250</v>
      </c>
      <c r="AO8" s="1042">
        <f t="shared" si="3"/>
        <v>77603750</v>
      </c>
      <c r="AP8" s="1042">
        <f t="shared" si="34"/>
        <v>6335000</v>
      </c>
      <c r="AQ8" s="1055">
        <f t="shared" si="35"/>
        <v>50680000</v>
      </c>
      <c r="AR8" s="1042">
        <f t="shared" si="36"/>
        <v>76020000</v>
      </c>
      <c r="AS8" s="1042">
        <f t="shared" si="37"/>
        <v>4751250</v>
      </c>
      <c r="AT8" s="1042">
        <f t="shared" si="38"/>
        <v>55431250</v>
      </c>
      <c r="AU8" s="1163">
        <f t="shared" si="39"/>
        <v>71268750</v>
      </c>
      <c r="AV8" s="1163">
        <f t="shared" si="40"/>
        <v>6335000</v>
      </c>
      <c r="AW8" s="1163">
        <f t="shared" si="41"/>
        <v>57015000</v>
      </c>
      <c r="AX8" s="1163">
        <f t="shared" si="42"/>
        <v>69685000</v>
      </c>
      <c r="AY8" s="19"/>
      <c r="AZ8" s="8">
        <f t="shared" si="43"/>
        <v>0</v>
      </c>
      <c r="BB8" s="57"/>
      <c r="BC8" s="19"/>
    </row>
    <row r="9" spans="1:55" ht="14.25" customHeight="1">
      <c r="A9" s="17">
        <f t="shared" si="4"/>
        <v>5</v>
      </c>
      <c r="B9" s="53" t="s">
        <v>701</v>
      </c>
      <c r="C9" s="671">
        <v>38353</v>
      </c>
      <c r="D9" s="55">
        <v>20</v>
      </c>
      <c r="E9" s="6">
        <v>11600000</v>
      </c>
      <c r="F9" s="1041">
        <f t="shared" si="5"/>
        <v>580000</v>
      </c>
      <c r="G9" s="1053"/>
      <c r="H9" s="1042">
        <f t="shared" si="6"/>
        <v>0</v>
      </c>
      <c r="I9" s="1042">
        <f t="shared" si="0"/>
        <v>11600000</v>
      </c>
      <c r="J9" s="1042"/>
      <c r="K9" s="1042">
        <f t="shared" si="7"/>
        <v>0</v>
      </c>
      <c r="L9" s="1042">
        <f t="shared" si="8"/>
        <v>11600000</v>
      </c>
      <c r="M9" s="1042">
        <f t="shared" si="9"/>
        <v>580000</v>
      </c>
      <c r="N9" s="1042">
        <f t="shared" si="10"/>
        <v>580000</v>
      </c>
      <c r="O9" s="1042">
        <f t="shared" si="11"/>
        <v>11020000</v>
      </c>
      <c r="P9" s="1042">
        <f t="shared" si="12"/>
        <v>580000</v>
      </c>
      <c r="Q9" s="1042">
        <f t="shared" si="13"/>
        <v>1160000</v>
      </c>
      <c r="R9" s="1042">
        <f t="shared" si="14"/>
        <v>10440000</v>
      </c>
      <c r="S9" s="1042">
        <f t="shared" si="15"/>
        <v>580000</v>
      </c>
      <c r="T9" s="1042">
        <f t="shared" si="16"/>
        <v>1740000</v>
      </c>
      <c r="U9" s="1042">
        <f t="shared" si="17"/>
        <v>9860000</v>
      </c>
      <c r="V9" s="1042">
        <f t="shared" si="18"/>
        <v>580000</v>
      </c>
      <c r="W9" s="1042">
        <f t="shared" si="19"/>
        <v>2320000</v>
      </c>
      <c r="X9" s="1042">
        <f t="shared" si="20"/>
        <v>9280000</v>
      </c>
      <c r="Y9" s="7">
        <v>11040000</v>
      </c>
      <c r="Z9" s="7">
        <f t="shared" si="21"/>
        <v>560000</v>
      </c>
      <c r="AA9" s="1042">
        <f t="shared" si="22"/>
        <v>580000</v>
      </c>
      <c r="AB9" s="1042">
        <f t="shared" si="23"/>
        <v>2900000</v>
      </c>
      <c r="AC9" s="1042">
        <f t="shared" si="24"/>
        <v>8700000</v>
      </c>
      <c r="AD9" s="1042">
        <f>(F9/12)*12</f>
        <v>580000</v>
      </c>
      <c r="AE9" s="1042">
        <f t="shared" si="26"/>
        <v>3480000</v>
      </c>
      <c r="AF9" s="1042">
        <f t="shared" si="27"/>
        <v>8120000</v>
      </c>
      <c r="AG9" s="1042">
        <f>(F9/12)*12</f>
        <v>580000</v>
      </c>
      <c r="AH9" s="1042">
        <f t="shared" si="28"/>
        <v>4060000</v>
      </c>
      <c r="AI9" s="1042">
        <f t="shared" si="29"/>
        <v>7540000</v>
      </c>
      <c r="AJ9" s="1042">
        <f t="shared" si="30"/>
        <v>48333.333333333336</v>
      </c>
      <c r="AK9" s="1042">
        <f t="shared" si="31"/>
        <v>4108333.3333333335</v>
      </c>
      <c r="AL9" s="1042">
        <f t="shared" si="32"/>
        <v>7491666.666666666</v>
      </c>
      <c r="AM9" s="1042">
        <f t="shared" si="33"/>
        <v>435000</v>
      </c>
      <c r="AN9" s="1042">
        <f t="shared" si="2"/>
        <v>4495000</v>
      </c>
      <c r="AO9" s="1042">
        <f t="shared" si="3"/>
        <v>7105000</v>
      </c>
      <c r="AP9" s="1042">
        <f t="shared" si="34"/>
        <v>580000</v>
      </c>
      <c r="AQ9" s="1055">
        <f t="shared" si="35"/>
        <v>4640000</v>
      </c>
      <c r="AR9" s="1042">
        <f t="shared" si="36"/>
        <v>6960000</v>
      </c>
      <c r="AS9" s="1042">
        <f t="shared" si="37"/>
        <v>435000</v>
      </c>
      <c r="AT9" s="1042">
        <f t="shared" si="38"/>
        <v>5075000</v>
      </c>
      <c r="AU9" s="1163">
        <f t="shared" si="39"/>
        <v>6525000</v>
      </c>
      <c r="AV9" s="1163">
        <f t="shared" si="40"/>
        <v>580000</v>
      </c>
      <c r="AW9" s="1163">
        <f t="shared" si="41"/>
        <v>5220000</v>
      </c>
      <c r="AX9" s="1163">
        <f t="shared" si="42"/>
        <v>6380000</v>
      </c>
      <c r="AY9" s="19"/>
      <c r="AZ9" s="8">
        <f t="shared" si="43"/>
        <v>0</v>
      </c>
      <c r="BB9" s="57"/>
      <c r="BC9" s="19"/>
    </row>
    <row r="10" spans="1:55" ht="14.25" customHeight="1">
      <c r="A10" s="17">
        <f t="shared" si="4"/>
        <v>6</v>
      </c>
      <c r="B10" s="53" t="s">
        <v>702</v>
      </c>
      <c r="C10" s="671">
        <v>38353</v>
      </c>
      <c r="D10" s="55">
        <v>20</v>
      </c>
      <c r="E10" s="6">
        <v>548000000</v>
      </c>
      <c r="F10" s="1041">
        <f t="shared" si="5"/>
        <v>27400000</v>
      </c>
      <c r="G10" s="1053"/>
      <c r="H10" s="1042">
        <f t="shared" si="6"/>
        <v>0</v>
      </c>
      <c r="I10" s="1042">
        <f t="shared" si="0"/>
        <v>548000000</v>
      </c>
      <c r="J10" s="1042"/>
      <c r="K10" s="1042">
        <f t="shared" si="7"/>
        <v>0</v>
      </c>
      <c r="L10" s="1042">
        <f t="shared" si="8"/>
        <v>548000000</v>
      </c>
      <c r="M10" s="1042">
        <f t="shared" si="9"/>
        <v>27400000</v>
      </c>
      <c r="N10" s="1042">
        <f t="shared" si="10"/>
        <v>27400000</v>
      </c>
      <c r="O10" s="1042">
        <f t="shared" si="11"/>
        <v>520600000</v>
      </c>
      <c r="P10" s="1042">
        <f t="shared" si="12"/>
        <v>27400000</v>
      </c>
      <c r="Q10" s="1042">
        <f t="shared" si="13"/>
        <v>54800000</v>
      </c>
      <c r="R10" s="1042">
        <f t="shared" si="14"/>
        <v>493200000</v>
      </c>
      <c r="S10" s="1042">
        <f t="shared" si="15"/>
        <v>27400000</v>
      </c>
      <c r="T10" s="1042">
        <f t="shared" si="16"/>
        <v>82200000</v>
      </c>
      <c r="U10" s="1042">
        <f t="shared" si="17"/>
        <v>465800000</v>
      </c>
      <c r="V10" s="1042">
        <f t="shared" si="18"/>
        <v>27400000</v>
      </c>
      <c r="W10" s="1042">
        <f t="shared" si="19"/>
        <v>109600000</v>
      </c>
      <c r="X10" s="1042">
        <f t="shared" si="20"/>
        <v>438400000</v>
      </c>
      <c r="Y10" s="7">
        <v>109600000</v>
      </c>
      <c r="Z10" s="7">
        <f t="shared" si="21"/>
        <v>438400000</v>
      </c>
      <c r="AA10" s="1042">
        <f t="shared" si="22"/>
        <v>27400000</v>
      </c>
      <c r="AB10" s="1042">
        <f t="shared" si="23"/>
        <v>137000000</v>
      </c>
      <c r="AC10" s="1042">
        <f t="shared" si="24"/>
        <v>411000000</v>
      </c>
      <c r="AD10" s="1042">
        <f t="shared" si="25"/>
        <v>27400000</v>
      </c>
      <c r="AE10" s="1042">
        <f t="shared" si="26"/>
        <v>164400000</v>
      </c>
      <c r="AF10" s="1042">
        <f t="shared" si="27"/>
        <v>383600000</v>
      </c>
      <c r="AG10" s="1042">
        <f t="shared" ref="AG10" si="44">(F10/12)*12</f>
        <v>27400000</v>
      </c>
      <c r="AH10" s="1042">
        <f t="shared" si="28"/>
        <v>191800000</v>
      </c>
      <c r="AI10" s="1042">
        <f t="shared" si="29"/>
        <v>356200000</v>
      </c>
      <c r="AJ10" s="1042">
        <f t="shared" si="30"/>
        <v>2283333.3333333335</v>
      </c>
      <c r="AK10" s="1042">
        <f t="shared" si="31"/>
        <v>194083333.33333334</v>
      </c>
      <c r="AL10" s="1042">
        <f t="shared" si="32"/>
        <v>353916666.66666663</v>
      </c>
      <c r="AM10" s="1042">
        <f t="shared" si="33"/>
        <v>20550000</v>
      </c>
      <c r="AN10" s="1042">
        <f t="shared" si="2"/>
        <v>212350000</v>
      </c>
      <c r="AO10" s="1042">
        <f t="shared" si="3"/>
        <v>335650000</v>
      </c>
      <c r="AP10" s="1042">
        <f t="shared" si="34"/>
        <v>27400000</v>
      </c>
      <c r="AQ10" s="1055">
        <f t="shared" si="35"/>
        <v>219200000</v>
      </c>
      <c r="AR10" s="1042">
        <f t="shared" si="36"/>
        <v>328800000</v>
      </c>
      <c r="AS10" s="1042">
        <f t="shared" si="37"/>
        <v>20550000</v>
      </c>
      <c r="AT10" s="1042">
        <f t="shared" si="38"/>
        <v>239750000</v>
      </c>
      <c r="AU10" s="1163">
        <f t="shared" si="39"/>
        <v>308250000</v>
      </c>
      <c r="AV10" s="1163">
        <f t="shared" si="40"/>
        <v>27400000</v>
      </c>
      <c r="AW10" s="1163">
        <f t="shared" si="41"/>
        <v>246600000</v>
      </c>
      <c r="AX10" s="1163">
        <f t="shared" si="42"/>
        <v>301400000</v>
      </c>
      <c r="AY10" s="19"/>
      <c r="AZ10" s="8">
        <f t="shared" si="43"/>
        <v>0</v>
      </c>
      <c r="BB10" s="57"/>
      <c r="BC10" s="19"/>
    </row>
    <row r="11" spans="1:55" ht="14.25" customHeight="1">
      <c r="A11" s="17">
        <f t="shared" si="4"/>
        <v>7</v>
      </c>
      <c r="B11" s="53" t="s">
        <v>703</v>
      </c>
      <c r="C11" s="671">
        <v>44197</v>
      </c>
      <c r="D11" s="55">
        <v>20</v>
      </c>
      <c r="E11" s="6">
        <v>444480000</v>
      </c>
      <c r="F11" s="1041">
        <f t="shared" si="5"/>
        <v>22224000</v>
      </c>
      <c r="G11" s="1042"/>
      <c r="H11" s="1042"/>
      <c r="I11" s="1042"/>
      <c r="J11" s="1042"/>
      <c r="K11" s="1042"/>
      <c r="L11" s="1042"/>
      <c r="M11" s="1042"/>
      <c r="N11" s="1042"/>
      <c r="O11" s="1042"/>
      <c r="P11" s="1042"/>
      <c r="Q11" s="1042"/>
      <c r="R11" s="1042"/>
      <c r="S11" s="1042"/>
      <c r="T11" s="1042"/>
      <c r="U11" s="1042"/>
      <c r="V11" s="1042"/>
      <c r="W11" s="1042"/>
      <c r="X11" s="1042"/>
      <c r="Y11" s="7"/>
      <c r="Z11" s="7"/>
      <c r="AA11" s="1042"/>
      <c r="AB11" s="1042"/>
      <c r="AC11" s="1042"/>
      <c r="AD11" s="1053">
        <f>(F11/12)*(13-IF(C11="","",MONTH(C11)))</f>
        <v>22224000</v>
      </c>
      <c r="AE11" s="1042">
        <f t="shared" si="26"/>
        <v>22224000</v>
      </c>
      <c r="AF11" s="1042">
        <f t="shared" ref="AF11" si="45">E11-AE11</f>
        <v>422256000</v>
      </c>
      <c r="AG11" s="1042">
        <f t="shared" ref="AG11" si="46">(F11/12)*12</f>
        <v>22224000</v>
      </c>
      <c r="AH11" s="1042">
        <f t="shared" ref="AH11" si="47">AE11+AG11</f>
        <v>44448000</v>
      </c>
      <c r="AI11" s="1042">
        <f t="shared" ref="AI11" si="48">E11-AH11</f>
        <v>400032000</v>
      </c>
      <c r="AJ11" s="1042">
        <f t="shared" si="30"/>
        <v>1852000</v>
      </c>
      <c r="AK11" s="1042">
        <f t="shared" si="31"/>
        <v>46300000</v>
      </c>
      <c r="AL11" s="1042">
        <f t="shared" si="32"/>
        <v>398180000</v>
      </c>
      <c r="AM11" s="1042">
        <f t="shared" si="33"/>
        <v>16668000</v>
      </c>
      <c r="AN11" s="1042">
        <f t="shared" si="2"/>
        <v>61116000</v>
      </c>
      <c r="AO11" s="1042">
        <f t="shared" si="3"/>
        <v>383364000</v>
      </c>
      <c r="AP11" s="1042">
        <f t="shared" si="34"/>
        <v>22224000</v>
      </c>
      <c r="AQ11" s="1055">
        <f t="shared" si="35"/>
        <v>66672000</v>
      </c>
      <c r="AR11" s="1042">
        <f t="shared" si="36"/>
        <v>377808000</v>
      </c>
      <c r="AS11" s="1042">
        <f t="shared" si="37"/>
        <v>16668000</v>
      </c>
      <c r="AT11" s="1042">
        <f t="shared" si="38"/>
        <v>83340000</v>
      </c>
      <c r="AU11" s="1163">
        <f t="shared" si="39"/>
        <v>361140000</v>
      </c>
      <c r="AV11" s="1163">
        <f t="shared" si="40"/>
        <v>22224000</v>
      </c>
      <c r="AW11" s="1163">
        <f t="shared" si="41"/>
        <v>88896000</v>
      </c>
      <c r="AX11" s="1163">
        <f t="shared" si="42"/>
        <v>355584000</v>
      </c>
      <c r="AY11" s="19"/>
      <c r="AZ11" s="8">
        <f t="shared" si="43"/>
        <v>0</v>
      </c>
      <c r="BB11" s="57"/>
      <c r="BC11" s="19"/>
    </row>
    <row r="12" spans="1:55" s="220" customFormat="1" ht="14.25" customHeight="1">
      <c r="A12" s="213" t="s">
        <v>704</v>
      </c>
      <c r="B12" s="214"/>
      <c r="C12" s="215"/>
      <c r="D12" s="216"/>
      <c r="E12" s="217"/>
      <c r="F12" s="1045"/>
      <c r="G12" s="1046"/>
      <c r="H12" s="1046"/>
      <c r="I12" s="1046"/>
      <c r="J12" s="1046"/>
      <c r="K12" s="1046"/>
      <c r="L12" s="1046"/>
      <c r="M12" s="1046"/>
      <c r="N12" s="1046"/>
      <c r="O12" s="1046"/>
      <c r="P12" s="1046"/>
      <c r="Q12" s="1046"/>
      <c r="R12" s="1046"/>
      <c r="S12" s="1046"/>
      <c r="T12" s="1046"/>
      <c r="U12" s="1046"/>
      <c r="V12" s="1046"/>
      <c r="W12" s="1046"/>
      <c r="X12" s="1046"/>
      <c r="Y12" s="219"/>
      <c r="Z12" s="219"/>
      <c r="AA12" s="1046"/>
      <c r="AB12" s="1046"/>
      <c r="AC12" s="1046"/>
      <c r="AD12" s="1046"/>
      <c r="AE12" s="1046"/>
      <c r="AF12" s="1046"/>
      <c r="AG12" s="1046"/>
      <c r="AH12" s="1046"/>
      <c r="AI12" s="1046"/>
      <c r="AJ12" s="1046"/>
      <c r="AK12" s="1046"/>
      <c r="AL12" s="1046"/>
      <c r="AM12" s="1042"/>
      <c r="AN12" s="1046"/>
      <c r="AO12" s="1046"/>
      <c r="AP12" s="1046"/>
      <c r="AQ12" s="1060"/>
      <c r="AR12" s="1046"/>
      <c r="AS12" s="1046"/>
      <c r="AT12" s="1046"/>
      <c r="AU12" s="1164"/>
      <c r="AV12" s="1164"/>
      <c r="AW12" s="1164"/>
      <c r="AX12" s="1164"/>
      <c r="AY12" s="179"/>
      <c r="AZ12" s="61"/>
      <c r="BB12" s="221"/>
      <c r="BC12" s="179"/>
    </row>
    <row r="13" spans="1:55" ht="14.25" hidden="1" customHeight="1">
      <c r="A13" s="884">
        <v>1</v>
      </c>
      <c r="B13" s="885" t="s">
        <v>705</v>
      </c>
      <c r="C13" s="901">
        <v>40544</v>
      </c>
      <c r="D13" s="887">
        <v>20</v>
      </c>
      <c r="E13" s="888">
        <f>1374200000*0</f>
        <v>0</v>
      </c>
      <c r="F13" s="889">
        <f t="shared" si="5"/>
        <v>0</v>
      </c>
      <c r="G13" s="890">
        <f>(F13/12)*(13-IF(C13="","",MONTH(C13)))*4</f>
        <v>0</v>
      </c>
      <c r="H13" s="890">
        <f t="shared" ref="H13:H38" si="49">G13</f>
        <v>0</v>
      </c>
      <c r="I13" s="890">
        <f t="shared" ref="I13:I38" si="50">E13-H13</f>
        <v>0</v>
      </c>
      <c r="J13" s="890">
        <f t="shared" ref="J13:J38" si="51">(F13/12)*12</f>
        <v>0</v>
      </c>
      <c r="K13" s="890">
        <f t="shared" ref="K13:K40" si="52">J13+H13</f>
        <v>0</v>
      </c>
      <c r="L13" s="890">
        <f t="shared" ref="L13:L40" si="53">E13-K13</f>
        <v>0</v>
      </c>
      <c r="M13" s="890">
        <f t="shared" ref="M13:M40" si="54">(F13/12)*12</f>
        <v>0</v>
      </c>
      <c r="N13" s="890">
        <f t="shared" ref="N13:N40" si="55">M13+K13</f>
        <v>0</v>
      </c>
      <c r="O13" s="890">
        <f t="shared" ref="O13:O40" si="56">E13-N13</f>
        <v>0</v>
      </c>
      <c r="P13" s="890">
        <f t="shared" ref="P13:P40" si="57">(F13/12)*12</f>
        <v>0</v>
      </c>
      <c r="Q13" s="890">
        <f t="shared" ref="Q13:Q40" si="58">P13+N13</f>
        <v>0</v>
      </c>
      <c r="R13" s="890">
        <f t="shared" ref="R13:R40" si="59">E13-Q13</f>
        <v>0</v>
      </c>
      <c r="S13" s="890">
        <f t="shared" ref="S13:S40" si="60">(F13/12)*12</f>
        <v>0</v>
      </c>
      <c r="T13" s="890">
        <f t="shared" ref="T13:T40" si="61">Q13+S13</f>
        <v>0</v>
      </c>
      <c r="U13" s="890">
        <f t="shared" ref="U13:U40" si="62">E13-T13</f>
        <v>0</v>
      </c>
      <c r="V13" s="890">
        <f t="shared" ref="V13:V40" si="63">(F13/12)*12</f>
        <v>0</v>
      </c>
      <c r="W13" s="890">
        <f t="shared" ref="W13:W40" si="64">T13+V13</f>
        <v>0</v>
      </c>
      <c r="X13" s="890">
        <f t="shared" ref="X13:X40" si="65">E13-W13</f>
        <v>0</v>
      </c>
      <c r="Y13" s="890">
        <f>274840000*0</f>
        <v>0</v>
      </c>
      <c r="Z13" s="890">
        <f t="shared" ref="Z13:Z40" si="66">E13-Y13</f>
        <v>0</v>
      </c>
      <c r="AA13" s="890">
        <f t="shared" ref="AA13:AA40" si="67">(F13/12)*12</f>
        <v>0</v>
      </c>
      <c r="AB13" s="890">
        <f t="shared" ref="AB13:AB40" si="68">W13+AA13</f>
        <v>0</v>
      </c>
      <c r="AC13" s="890">
        <f t="shared" ref="AC13:AC40" si="69">E13-AB13</f>
        <v>0</v>
      </c>
      <c r="AD13" s="890">
        <f t="shared" ref="AD13:AD40" si="70">(F13/12)*12</f>
        <v>0</v>
      </c>
      <c r="AE13" s="890">
        <f t="shared" ref="AE13:AE40" si="71">AB13+AD13</f>
        <v>0</v>
      </c>
      <c r="AF13" s="890">
        <f t="shared" ref="AF13:AF40" si="72">E13-AE13</f>
        <v>0</v>
      </c>
      <c r="AG13" s="890">
        <f t="shared" ref="AG13:AG40" si="73">(F13/12)*12</f>
        <v>0</v>
      </c>
      <c r="AH13" s="890">
        <f t="shared" ref="AH13:AH40" si="74">AE13+AG13</f>
        <v>0</v>
      </c>
      <c r="AI13" s="890">
        <f t="shared" ref="AI13:AI40" si="75">E13-AH13</f>
        <v>0</v>
      </c>
      <c r="AJ13" s="890"/>
      <c r="AK13" s="890"/>
      <c r="AL13" s="890"/>
      <c r="AM13" s="890"/>
      <c r="AN13" s="890"/>
      <c r="AO13" s="890"/>
      <c r="AP13" s="890">
        <f t="shared" ref="AP13:AP40" si="76">(F13/12)*7</f>
        <v>0</v>
      </c>
      <c r="AQ13" s="890">
        <f t="shared" si="35"/>
        <v>0</v>
      </c>
      <c r="AR13" s="890">
        <f t="shared" si="36"/>
        <v>0</v>
      </c>
      <c r="AS13" s="1158"/>
      <c r="AT13" s="1158"/>
      <c r="AU13" s="19"/>
      <c r="AV13" s="19"/>
      <c r="AW13" s="19"/>
      <c r="AX13" s="19"/>
      <c r="AY13" s="19"/>
      <c r="AZ13" s="8">
        <f t="shared" ref="AZ13:AZ40" si="77">E13-AQ13-AR13</f>
        <v>0</v>
      </c>
      <c r="BB13" s="57"/>
      <c r="BC13" s="19"/>
    </row>
    <row r="14" spans="1:55" ht="14.25" hidden="1" customHeight="1">
      <c r="A14" s="884">
        <f>A13+1</f>
        <v>2</v>
      </c>
      <c r="B14" s="885" t="s">
        <v>706</v>
      </c>
      <c r="C14" s="901">
        <v>40544</v>
      </c>
      <c r="D14" s="887">
        <v>20</v>
      </c>
      <c r="E14" s="888">
        <f>75200000*0</f>
        <v>0</v>
      </c>
      <c r="F14" s="889">
        <f t="shared" si="5"/>
        <v>0</v>
      </c>
      <c r="G14" s="890">
        <f t="shared" ref="G14:G15" si="78">(F14/12)*(13-IF(C14="","",MONTH(C14)))*4</f>
        <v>0</v>
      </c>
      <c r="H14" s="890">
        <f t="shared" si="49"/>
        <v>0</v>
      </c>
      <c r="I14" s="890">
        <f t="shared" si="50"/>
        <v>0</v>
      </c>
      <c r="J14" s="890">
        <f t="shared" si="51"/>
        <v>0</v>
      </c>
      <c r="K14" s="890">
        <f t="shared" si="52"/>
        <v>0</v>
      </c>
      <c r="L14" s="890">
        <f t="shared" si="53"/>
        <v>0</v>
      </c>
      <c r="M14" s="890">
        <f t="shared" si="54"/>
        <v>0</v>
      </c>
      <c r="N14" s="890">
        <f t="shared" si="55"/>
        <v>0</v>
      </c>
      <c r="O14" s="890">
        <f t="shared" si="56"/>
        <v>0</v>
      </c>
      <c r="P14" s="890">
        <f t="shared" si="57"/>
        <v>0</v>
      </c>
      <c r="Q14" s="890">
        <f t="shared" si="58"/>
        <v>0</v>
      </c>
      <c r="R14" s="890">
        <f t="shared" si="59"/>
        <v>0</v>
      </c>
      <c r="S14" s="890">
        <f t="shared" si="60"/>
        <v>0</v>
      </c>
      <c r="T14" s="890">
        <f t="shared" si="61"/>
        <v>0</v>
      </c>
      <c r="U14" s="890">
        <f t="shared" si="62"/>
        <v>0</v>
      </c>
      <c r="V14" s="890">
        <f t="shared" si="63"/>
        <v>0</v>
      </c>
      <c r="W14" s="890">
        <f t="shared" si="64"/>
        <v>0</v>
      </c>
      <c r="X14" s="890">
        <f t="shared" si="65"/>
        <v>0</v>
      </c>
      <c r="Y14" s="890">
        <f>15040000*0</f>
        <v>0</v>
      </c>
      <c r="Z14" s="890">
        <f t="shared" si="66"/>
        <v>0</v>
      </c>
      <c r="AA14" s="890">
        <f t="shared" si="67"/>
        <v>0</v>
      </c>
      <c r="AB14" s="890">
        <f t="shared" si="68"/>
        <v>0</v>
      </c>
      <c r="AC14" s="890">
        <f t="shared" si="69"/>
        <v>0</v>
      </c>
      <c r="AD14" s="890">
        <f t="shared" si="70"/>
        <v>0</v>
      </c>
      <c r="AE14" s="890">
        <f t="shared" si="71"/>
        <v>0</v>
      </c>
      <c r="AF14" s="890">
        <f t="shared" si="72"/>
        <v>0</v>
      </c>
      <c r="AG14" s="890">
        <f t="shared" si="73"/>
        <v>0</v>
      </c>
      <c r="AH14" s="890">
        <f t="shared" si="74"/>
        <v>0</v>
      </c>
      <c r="AI14" s="890">
        <f t="shared" si="75"/>
        <v>0</v>
      </c>
      <c r="AJ14" s="890"/>
      <c r="AK14" s="890"/>
      <c r="AL14" s="890"/>
      <c r="AM14" s="890"/>
      <c r="AN14" s="890"/>
      <c r="AO14" s="890"/>
      <c r="AP14" s="890">
        <f t="shared" si="76"/>
        <v>0</v>
      </c>
      <c r="AQ14" s="890">
        <f t="shared" si="35"/>
        <v>0</v>
      </c>
      <c r="AR14" s="890">
        <f t="shared" si="36"/>
        <v>0</v>
      </c>
      <c r="AS14" s="1158"/>
      <c r="AT14" s="1158"/>
      <c r="AU14" s="19"/>
      <c r="AV14" s="19"/>
      <c r="AW14" s="19"/>
      <c r="AX14" s="19"/>
      <c r="AY14" s="19"/>
      <c r="AZ14" s="8">
        <f t="shared" si="77"/>
        <v>0</v>
      </c>
      <c r="BB14" s="57"/>
      <c r="BC14" s="19"/>
    </row>
    <row r="15" spans="1:55" ht="14.25" hidden="1" customHeight="1">
      <c r="A15" s="884">
        <f t="shared" ref="A15:A40" si="79">A14+1</f>
        <v>3</v>
      </c>
      <c r="B15" s="885" t="s">
        <v>707</v>
      </c>
      <c r="C15" s="901">
        <v>40544</v>
      </c>
      <c r="D15" s="887">
        <v>20</v>
      </c>
      <c r="E15" s="888">
        <f>87000000*0</f>
        <v>0</v>
      </c>
      <c r="F15" s="889">
        <f t="shared" si="5"/>
        <v>0</v>
      </c>
      <c r="G15" s="890">
        <f t="shared" si="78"/>
        <v>0</v>
      </c>
      <c r="H15" s="890">
        <f t="shared" si="49"/>
        <v>0</v>
      </c>
      <c r="I15" s="890">
        <f t="shared" si="50"/>
        <v>0</v>
      </c>
      <c r="J15" s="890">
        <f t="shared" si="51"/>
        <v>0</v>
      </c>
      <c r="K15" s="890">
        <f t="shared" si="52"/>
        <v>0</v>
      </c>
      <c r="L15" s="890">
        <f t="shared" si="53"/>
        <v>0</v>
      </c>
      <c r="M15" s="890">
        <f t="shared" si="54"/>
        <v>0</v>
      </c>
      <c r="N15" s="890">
        <f t="shared" si="55"/>
        <v>0</v>
      </c>
      <c r="O15" s="890">
        <f t="shared" si="56"/>
        <v>0</v>
      </c>
      <c r="P15" s="890">
        <f t="shared" si="57"/>
        <v>0</v>
      </c>
      <c r="Q15" s="890">
        <f t="shared" si="58"/>
        <v>0</v>
      </c>
      <c r="R15" s="890">
        <f t="shared" si="59"/>
        <v>0</v>
      </c>
      <c r="S15" s="890">
        <f t="shared" si="60"/>
        <v>0</v>
      </c>
      <c r="T15" s="890">
        <f t="shared" si="61"/>
        <v>0</v>
      </c>
      <c r="U15" s="890">
        <f t="shared" si="62"/>
        <v>0</v>
      </c>
      <c r="V15" s="890">
        <f t="shared" si="63"/>
        <v>0</v>
      </c>
      <c r="W15" s="890">
        <f t="shared" si="64"/>
        <v>0</v>
      </c>
      <c r="X15" s="890">
        <f t="shared" si="65"/>
        <v>0</v>
      </c>
      <c r="Y15" s="890">
        <f>17400000*0</f>
        <v>0</v>
      </c>
      <c r="Z15" s="890">
        <f t="shared" si="66"/>
        <v>0</v>
      </c>
      <c r="AA15" s="890">
        <f t="shared" si="67"/>
        <v>0</v>
      </c>
      <c r="AB15" s="890">
        <f t="shared" si="68"/>
        <v>0</v>
      </c>
      <c r="AC15" s="890">
        <f t="shared" si="69"/>
        <v>0</v>
      </c>
      <c r="AD15" s="890">
        <f t="shared" si="70"/>
        <v>0</v>
      </c>
      <c r="AE15" s="890">
        <f t="shared" si="71"/>
        <v>0</v>
      </c>
      <c r="AF15" s="890">
        <f t="shared" si="72"/>
        <v>0</v>
      </c>
      <c r="AG15" s="890">
        <f t="shared" si="73"/>
        <v>0</v>
      </c>
      <c r="AH15" s="890">
        <f t="shared" si="74"/>
        <v>0</v>
      </c>
      <c r="AI15" s="890">
        <f t="shared" si="75"/>
        <v>0</v>
      </c>
      <c r="AJ15" s="890"/>
      <c r="AK15" s="890"/>
      <c r="AL15" s="890"/>
      <c r="AM15" s="890"/>
      <c r="AN15" s="890"/>
      <c r="AO15" s="890"/>
      <c r="AP15" s="890">
        <f t="shared" si="76"/>
        <v>0</v>
      </c>
      <c r="AQ15" s="890">
        <f t="shared" si="35"/>
        <v>0</v>
      </c>
      <c r="AR15" s="890">
        <f t="shared" si="36"/>
        <v>0</v>
      </c>
      <c r="AS15" s="1158"/>
      <c r="AT15" s="1158"/>
      <c r="AU15" s="19"/>
      <c r="AV15" s="19"/>
      <c r="AW15" s="19"/>
      <c r="AX15" s="19"/>
      <c r="AY15" s="19"/>
      <c r="AZ15" s="8">
        <f t="shared" si="77"/>
        <v>0</v>
      </c>
      <c r="BB15" s="57"/>
      <c r="BC15" s="19"/>
    </row>
    <row r="16" spans="1:55" ht="14.25" hidden="1" customHeight="1">
      <c r="A16" s="884">
        <f t="shared" si="79"/>
        <v>4</v>
      </c>
      <c r="B16" s="885" t="s">
        <v>708</v>
      </c>
      <c r="C16" s="901">
        <v>40909</v>
      </c>
      <c r="D16" s="887">
        <v>20</v>
      </c>
      <c r="E16" s="888">
        <f>8200000*0</f>
        <v>0</v>
      </c>
      <c r="F16" s="889">
        <f t="shared" si="5"/>
        <v>0</v>
      </c>
      <c r="G16" s="890">
        <f>(F16/12)*(13-IF(C16="","",MONTH(C16)))*3</f>
        <v>0</v>
      </c>
      <c r="H16" s="890">
        <f t="shared" si="49"/>
        <v>0</v>
      </c>
      <c r="I16" s="890">
        <f t="shared" si="50"/>
        <v>0</v>
      </c>
      <c r="J16" s="890">
        <f t="shared" si="51"/>
        <v>0</v>
      </c>
      <c r="K16" s="890">
        <f t="shared" si="52"/>
        <v>0</v>
      </c>
      <c r="L16" s="890">
        <f t="shared" si="53"/>
        <v>0</v>
      </c>
      <c r="M16" s="890">
        <f t="shared" si="54"/>
        <v>0</v>
      </c>
      <c r="N16" s="890">
        <f t="shared" si="55"/>
        <v>0</v>
      </c>
      <c r="O16" s="890">
        <f t="shared" si="56"/>
        <v>0</v>
      </c>
      <c r="P16" s="890">
        <f t="shared" si="57"/>
        <v>0</v>
      </c>
      <c r="Q16" s="890">
        <f t="shared" si="58"/>
        <v>0</v>
      </c>
      <c r="R16" s="890">
        <f t="shared" si="59"/>
        <v>0</v>
      </c>
      <c r="S16" s="890">
        <f t="shared" si="60"/>
        <v>0</v>
      </c>
      <c r="T16" s="890">
        <f t="shared" si="61"/>
        <v>0</v>
      </c>
      <c r="U16" s="890">
        <f t="shared" si="62"/>
        <v>0</v>
      </c>
      <c r="V16" s="890">
        <f t="shared" si="63"/>
        <v>0</v>
      </c>
      <c r="W16" s="890">
        <f t="shared" si="64"/>
        <v>0</v>
      </c>
      <c r="X16" s="890">
        <f t="shared" si="65"/>
        <v>0</v>
      </c>
      <c r="Y16" s="890">
        <f>1640000*0</f>
        <v>0</v>
      </c>
      <c r="Z16" s="890">
        <f t="shared" si="66"/>
        <v>0</v>
      </c>
      <c r="AA16" s="890">
        <f t="shared" si="67"/>
        <v>0</v>
      </c>
      <c r="AB16" s="890">
        <f t="shared" si="68"/>
        <v>0</v>
      </c>
      <c r="AC16" s="890">
        <f t="shared" si="69"/>
        <v>0</v>
      </c>
      <c r="AD16" s="890">
        <f t="shared" si="70"/>
        <v>0</v>
      </c>
      <c r="AE16" s="890">
        <f t="shared" si="71"/>
        <v>0</v>
      </c>
      <c r="AF16" s="890">
        <f t="shared" si="72"/>
        <v>0</v>
      </c>
      <c r="AG16" s="890">
        <f t="shared" si="73"/>
        <v>0</v>
      </c>
      <c r="AH16" s="890">
        <f t="shared" si="74"/>
        <v>0</v>
      </c>
      <c r="AI16" s="890">
        <f t="shared" si="75"/>
        <v>0</v>
      </c>
      <c r="AJ16" s="890"/>
      <c r="AK16" s="890"/>
      <c r="AL16" s="890"/>
      <c r="AM16" s="890"/>
      <c r="AN16" s="890"/>
      <c r="AO16" s="890"/>
      <c r="AP16" s="890">
        <f t="shared" si="76"/>
        <v>0</v>
      </c>
      <c r="AQ16" s="890">
        <f t="shared" si="35"/>
        <v>0</v>
      </c>
      <c r="AR16" s="890">
        <f t="shared" si="36"/>
        <v>0</v>
      </c>
      <c r="AS16" s="1158"/>
      <c r="AT16" s="1158"/>
      <c r="AU16" s="19"/>
      <c r="AV16" s="19"/>
      <c r="AW16" s="19"/>
      <c r="AX16" s="19"/>
      <c r="AY16" s="19"/>
      <c r="AZ16" s="8">
        <f t="shared" si="77"/>
        <v>0</v>
      </c>
      <c r="BB16" s="57"/>
      <c r="BC16" s="19"/>
    </row>
    <row r="17" spans="1:55" ht="14.25" hidden="1" customHeight="1">
      <c r="A17" s="884">
        <f t="shared" si="79"/>
        <v>5</v>
      </c>
      <c r="B17" s="885" t="s">
        <v>709</v>
      </c>
      <c r="C17" s="901">
        <v>40909</v>
      </c>
      <c r="D17" s="887">
        <v>20</v>
      </c>
      <c r="E17" s="888">
        <f>52800000*0</f>
        <v>0</v>
      </c>
      <c r="F17" s="889">
        <f t="shared" si="5"/>
        <v>0</v>
      </c>
      <c r="G17" s="890">
        <f t="shared" ref="G17:G20" si="80">(F17/12)*(13-IF(C17="","",MONTH(C17)))*3</f>
        <v>0</v>
      </c>
      <c r="H17" s="890">
        <f t="shared" si="49"/>
        <v>0</v>
      </c>
      <c r="I17" s="890">
        <f t="shared" si="50"/>
        <v>0</v>
      </c>
      <c r="J17" s="890">
        <f t="shared" si="51"/>
        <v>0</v>
      </c>
      <c r="K17" s="890">
        <f t="shared" si="52"/>
        <v>0</v>
      </c>
      <c r="L17" s="890">
        <f t="shared" si="53"/>
        <v>0</v>
      </c>
      <c r="M17" s="890">
        <f t="shared" si="54"/>
        <v>0</v>
      </c>
      <c r="N17" s="890">
        <f t="shared" si="55"/>
        <v>0</v>
      </c>
      <c r="O17" s="890">
        <f t="shared" si="56"/>
        <v>0</v>
      </c>
      <c r="P17" s="890">
        <f t="shared" si="57"/>
        <v>0</v>
      </c>
      <c r="Q17" s="890">
        <f t="shared" si="58"/>
        <v>0</v>
      </c>
      <c r="R17" s="890">
        <f t="shared" si="59"/>
        <v>0</v>
      </c>
      <c r="S17" s="890">
        <f t="shared" si="60"/>
        <v>0</v>
      </c>
      <c r="T17" s="890">
        <f t="shared" si="61"/>
        <v>0</v>
      </c>
      <c r="U17" s="890">
        <f t="shared" si="62"/>
        <v>0</v>
      </c>
      <c r="V17" s="890">
        <f t="shared" si="63"/>
        <v>0</v>
      </c>
      <c r="W17" s="890">
        <f t="shared" si="64"/>
        <v>0</v>
      </c>
      <c r="X17" s="890">
        <f t="shared" si="65"/>
        <v>0</v>
      </c>
      <c r="Y17" s="890">
        <f>10560000*0</f>
        <v>0</v>
      </c>
      <c r="Z17" s="890">
        <f t="shared" si="66"/>
        <v>0</v>
      </c>
      <c r="AA17" s="890">
        <f t="shared" si="67"/>
        <v>0</v>
      </c>
      <c r="AB17" s="890">
        <f t="shared" si="68"/>
        <v>0</v>
      </c>
      <c r="AC17" s="890">
        <f t="shared" si="69"/>
        <v>0</v>
      </c>
      <c r="AD17" s="890">
        <f t="shared" si="70"/>
        <v>0</v>
      </c>
      <c r="AE17" s="890">
        <f t="shared" si="71"/>
        <v>0</v>
      </c>
      <c r="AF17" s="890">
        <f t="shared" si="72"/>
        <v>0</v>
      </c>
      <c r="AG17" s="890">
        <f t="shared" si="73"/>
        <v>0</v>
      </c>
      <c r="AH17" s="890">
        <f t="shared" si="74"/>
        <v>0</v>
      </c>
      <c r="AI17" s="890">
        <f t="shared" si="75"/>
        <v>0</v>
      </c>
      <c r="AJ17" s="890"/>
      <c r="AK17" s="890"/>
      <c r="AL17" s="890"/>
      <c r="AM17" s="890"/>
      <c r="AN17" s="890"/>
      <c r="AO17" s="890"/>
      <c r="AP17" s="890">
        <f t="shared" si="76"/>
        <v>0</v>
      </c>
      <c r="AQ17" s="890">
        <f t="shared" si="35"/>
        <v>0</v>
      </c>
      <c r="AR17" s="890">
        <f t="shared" si="36"/>
        <v>0</v>
      </c>
      <c r="AS17" s="1158"/>
      <c r="AT17" s="1158"/>
      <c r="AU17" s="19"/>
      <c r="AV17" s="19"/>
      <c r="AW17" s="19"/>
      <c r="AX17" s="19"/>
      <c r="AY17" s="19"/>
      <c r="AZ17" s="8">
        <f t="shared" si="77"/>
        <v>0</v>
      </c>
      <c r="BB17" s="57"/>
      <c r="BC17" s="19"/>
    </row>
    <row r="18" spans="1:55" ht="14.25" hidden="1" customHeight="1">
      <c r="A18" s="884">
        <f t="shared" si="79"/>
        <v>6</v>
      </c>
      <c r="B18" s="885" t="s">
        <v>710</v>
      </c>
      <c r="C18" s="901">
        <v>40909</v>
      </c>
      <c r="D18" s="887">
        <v>20</v>
      </c>
      <c r="E18" s="888">
        <f>8100000*0</f>
        <v>0</v>
      </c>
      <c r="F18" s="889">
        <f t="shared" si="5"/>
        <v>0</v>
      </c>
      <c r="G18" s="890">
        <f t="shared" si="80"/>
        <v>0</v>
      </c>
      <c r="H18" s="890">
        <f t="shared" si="49"/>
        <v>0</v>
      </c>
      <c r="I18" s="890">
        <f t="shared" si="50"/>
        <v>0</v>
      </c>
      <c r="J18" s="890">
        <f t="shared" si="51"/>
        <v>0</v>
      </c>
      <c r="K18" s="890">
        <f t="shared" si="52"/>
        <v>0</v>
      </c>
      <c r="L18" s="890">
        <f t="shared" si="53"/>
        <v>0</v>
      </c>
      <c r="M18" s="890">
        <f t="shared" si="54"/>
        <v>0</v>
      </c>
      <c r="N18" s="890">
        <f t="shared" si="55"/>
        <v>0</v>
      </c>
      <c r="O18" s="890">
        <f t="shared" si="56"/>
        <v>0</v>
      </c>
      <c r="P18" s="890">
        <f t="shared" si="57"/>
        <v>0</v>
      </c>
      <c r="Q18" s="890">
        <f t="shared" si="58"/>
        <v>0</v>
      </c>
      <c r="R18" s="890">
        <f t="shared" si="59"/>
        <v>0</v>
      </c>
      <c r="S18" s="890">
        <f t="shared" si="60"/>
        <v>0</v>
      </c>
      <c r="T18" s="890">
        <f t="shared" si="61"/>
        <v>0</v>
      </c>
      <c r="U18" s="890">
        <f t="shared" si="62"/>
        <v>0</v>
      </c>
      <c r="V18" s="890">
        <f t="shared" si="63"/>
        <v>0</v>
      </c>
      <c r="W18" s="890">
        <f t="shared" si="64"/>
        <v>0</v>
      </c>
      <c r="X18" s="890">
        <f t="shared" si="65"/>
        <v>0</v>
      </c>
      <c r="Y18" s="890">
        <f>1620000*0</f>
        <v>0</v>
      </c>
      <c r="Z18" s="890">
        <f t="shared" si="66"/>
        <v>0</v>
      </c>
      <c r="AA18" s="890">
        <f t="shared" si="67"/>
        <v>0</v>
      </c>
      <c r="AB18" s="890">
        <f t="shared" si="68"/>
        <v>0</v>
      </c>
      <c r="AC18" s="890">
        <f t="shared" si="69"/>
        <v>0</v>
      </c>
      <c r="AD18" s="890">
        <f t="shared" si="70"/>
        <v>0</v>
      </c>
      <c r="AE18" s="890">
        <f t="shared" si="71"/>
        <v>0</v>
      </c>
      <c r="AF18" s="890">
        <f t="shared" si="72"/>
        <v>0</v>
      </c>
      <c r="AG18" s="890">
        <f t="shared" si="73"/>
        <v>0</v>
      </c>
      <c r="AH18" s="890">
        <f t="shared" si="74"/>
        <v>0</v>
      </c>
      <c r="AI18" s="890">
        <f t="shared" si="75"/>
        <v>0</v>
      </c>
      <c r="AJ18" s="890"/>
      <c r="AK18" s="890"/>
      <c r="AL18" s="890"/>
      <c r="AM18" s="890"/>
      <c r="AN18" s="890"/>
      <c r="AO18" s="890"/>
      <c r="AP18" s="890">
        <f t="shared" si="76"/>
        <v>0</v>
      </c>
      <c r="AQ18" s="890">
        <f t="shared" si="35"/>
        <v>0</v>
      </c>
      <c r="AR18" s="890">
        <f t="shared" si="36"/>
        <v>0</v>
      </c>
      <c r="AS18" s="1158"/>
      <c r="AT18" s="1158"/>
      <c r="AU18" s="19"/>
      <c r="AV18" s="19"/>
      <c r="AW18" s="19"/>
      <c r="AX18" s="19"/>
      <c r="AY18" s="19"/>
      <c r="AZ18" s="8">
        <f t="shared" si="77"/>
        <v>0</v>
      </c>
      <c r="BB18" s="57"/>
      <c r="BC18" s="19"/>
    </row>
    <row r="19" spans="1:55" ht="14.25" hidden="1" customHeight="1">
      <c r="A19" s="884">
        <f t="shared" si="79"/>
        <v>7</v>
      </c>
      <c r="B19" s="885" t="s">
        <v>711</v>
      </c>
      <c r="C19" s="901">
        <v>40909</v>
      </c>
      <c r="D19" s="887">
        <v>20</v>
      </c>
      <c r="E19" s="888">
        <f>5100000*0</f>
        <v>0</v>
      </c>
      <c r="F19" s="889">
        <f t="shared" si="5"/>
        <v>0</v>
      </c>
      <c r="G19" s="890">
        <f t="shared" si="80"/>
        <v>0</v>
      </c>
      <c r="H19" s="890">
        <f t="shared" si="49"/>
        <v>0</v>
      </c>
      <c r="I19" s="890">
        <f t="shared" si="50"/>
        <v>0</v>
      </c>
      <c r="J19" s="890">
        <f t="shared" si="51"/>
        <v>0</v>
      </c>
      <c r="K19" s="890">
        <f t="shared" si="52"/>
        <v>0</v>
      </c>
      <c r="L19" s="890">
        <f t="shared" si="53"/>
        <v>0</v>
      </c>
      <c r="M19" s="890">
        <f t="shared" si="54"/>
        <v>0</v>
      </c>
      <c r="N19" s="890">
        <f t="shared" si="55"/>
        <v>0</v>
      </c>
      <c r="O19" s="890">
        <f t="shared" si="56"/>
        <v>0</v>
      </c>
      <c r="P19" s="890">
        <f t="shared" si="57"/>
        <v>0</v>
      </c>
      <c r="Q19" s="890">
        <f t="shared" si="58"/>
        <v>0</v>
      </c>
      <c r="R19" s="890">
        <f t="shared" si="59"/>
        <v>0</v>
      </c>
      <c r="S19" s="890">
        <f t="shared" si="60"/>
        <v>0</v>
      </c>
      <c r="T19" s="890">
        <f t="shared" si="61"/>
        <v>0</v>
      </c>
      <c r="U19" s="890">
        <f t="shared" si="62"/>
        <v>0</v>
      </c>
      <c r="V19" s="890">
        <f t="shared" si="63"/>
        <v>0</v>
      </c>
      <c r="W19" s="890">
        <f t="shared" si="64"/>
        <v>0</v>
      </c>
      <c r="X19" s="890">
        <f t="shared" si="65"/>
        <v>0</v>
      </c>
      <c r="Y19" s="890">
        <f>1020000*0</f>
        <v>0</v>
      </c>
      <c r="Z19" s="890">
        <f t="shared" si="66"/>
        <v>0</v>
      </c>
      <c r="AA19" s="890">
        <f t="shared" si="67"/>
        <v>0</v>
      </c>
      <c r="AB19" s="890">
        <f t="shared" si="68"/>
        <v>0</v>
      </c>
      <c r="AC19" s="890">
        <f t="shared" si="69"/>
        <v>0</v>
      </c>
      <c r="AD19" s="890">
        <f t="shared" si="70"/>
        <v>0</v>
      </c>
      <c r="AE19" s="890">
        <f t="shared" si="71"/>
        <v>0</v>
      </c>
      <c r="AF19" s="890">
        <f t="shared" si="72"/>
        <v>0</v>
      </c>
      <c r="AG19" s="890">
        <f t="shared" si="73"/>
        <v>0</v>
      </c>
      <c r="AH19" s="890">
        <f t="shared" si="74"/>
        <v>0</v>
      </c>
      <c r="AI19" s="890">
        <f t="shared" si="75"/>
        <v>0</v>
      </c>
      <c r="AJ19" s="890"/>
      <c r="AK19" s="890"/>
      <c r="AL19" s="890"/>
      <c r="AM19" s="890"/>
      <c r="AN19" s="890"/>
      <c r="AO19" s="890"/>
      <c r="AP19" s="890">
        <f t="shared" si="76"/>
        <v>0</v>
      </c>
      <c r="AQ19" s="890">
        <f t="shared" si="35"/>
        <v>0</v>
      </c>
      <c r="AR19" s="890">
        <f t="shared" si="36"/>
        <v>0</v>
      </c>
      <c r="AS19" s="1158"/>
      <c r="AT19" s="1158"/>
      <c r="AU19" s="19"/>
      <c r="AV19" s="19"/>
      <c r="AW19" s="19"/>
      <c r="AX19" s="19"/>
      <c r="AY19" s="19"/>
      <c r="AZ19" s="8">
        <f t="shared" si="77"/>
        <v>0</v>
      </c>
      <c r="BB19" s="57"/>
      <c r="BC19" s="19"/>
    </row>
    <row r="20" spans="1:55" ht="14.25" hidden="1" customHeight="1">
      <c r="A20" s="884">
        <f t="shared" si="79"/>
        <v>8</v>
      </c>
      <c r="B20" s="885" t="s">
        <v>712</v>
      </c>
      <c r="C20" s="901">
        <v>40909</v>
      </c>
      <c r="D20" s="887">
        <v>20</v>
      </c>
      <c r="E20" s="888">
        <f>21800000*0</f>
        <v>0</v>
      </c>
      <c r="F20" s="889">
        <f t="shared" si="5"/>
        <v>0</v>
      </c>
      <c r="G20" s="890">
        <f t="shared" si="80"/>
        <v>0</v>
      </c>
      <c r="H20" s="890">
        <f t="shared" si="49"/>
        <v>0</v>
      </c>
      <c r="I20" s="890">
        <f t="shared" si="50"/>
        <v>0</v>
      </c>
      <c r="J20" s="890">
        <f t="shared" si="51"/>
        <v>0</v>
      </c>
      <c r="K20" s="890">
        <f t="shared" si="52"/>
        <v>0</v>
      </c>
      <c r="L20" s="890">
        <f t="shared" si="53"/>
        <v>0</v>
      </c>
      <c r="M20" s="890">
        <f t="shared" si="54"/>
        <v>0</v>
      </c>
      <c r="N20" s="890">
        <f t="shared" si="55"/>
        <v>0</v>
      </c>
      <c r="O20" s="890">
        <f t="shared" si="56"/>
        <v>0</v>
      </c>
      <c r="P20" s="890">
        <f t="shared" si="57"/>
        <v>0</v>
      </c>
      <c r="Q20" s="890">
        <f t="shared" si="58"/>
        <v>0</v>
      </c>
      <c r="R20" s="890">
        <f t="shared" si="59"/>
        <v>0</v>
      </c>
      <c r="S20" s="890">
        <f t="shared" si="60"/>
        <v>0</v>
      </c>
      <c r="T20" s="890">
        <f t="shared" si="61"/>
        <v>0</v>
      </c>
      <c r="U20" s="890">
        <f t="shared" si="62"/>
        <v>0</v>
      </c>
      <c r="V20" s="890">
        <f t="shared" si="63"/>
        <v>0</v>
      </c>
      <c r="W20" s="890">
        <f t="shared" si="64"/>
        <v>0</v>
      </c>
      <c r="X20" s="890">
        <f t="shared" si="65"/>
        <v>0</v>
      </c>
      <c r="Y20" s="890">
        <f>4360000*0</f>
        <v>0</v>
      </c>
      <c r="Z20" s="890">
        <f t="shared" si="66"/>
        <v>0</v>
      </c>
      <c r="AA20" s="890">
        <f t="shared" si="67"/>
        <v>0</v>
      </c>
      <c r="AB20" s="890">
        <f t="shared" si="68"/>
        <v>0</v>
      </c>
      <c r="AC20" s="890">
        <f t="shared" si="69"/>
        <v>0</v>
      </c>
      <c r="AD20" s="890">
        <f t="shared" si="70"/>
        <v>0</v>
      </c>
      <c r="AE20" s="890">
        <f t="shared" si="71"/>
        <v>0</v>
      </c>
      <c r="AF20" s="890">
        <f t="shared" si="72"/>
        <v>0</v>
      </c>
      <c r="AG20" s="890">
        <f t="shared" si="73"/>
        <v>0</v>
      </c>
      <c r="AH20" s="890">
        <f t="shared" si="74"/>
        <v>0</v>
      </c>
      <c r="AI20" s="890">
        <f t="shared" si="75"/>
        <v>0</v>
      </c>
      <c r="AJ20" s="890"/>
      <c r="AK20" s="890"/>
      <c r="AL20" s="890"/>
      <c r="AM20" s="890"/>
      <c r="AN20" s="890"/>
      <c r="AO20" s="890"/>
      <c r="AP20" s="890">
        <f t="shared" si="76"/>
        <v>0</v>
      </c>
      <c r="AQ20" s="890">
        <f t="shared" si="35"/>
        <v>0</v>
      </c>
      <c r="AR20" s="890">
        <f t="shared" si="36"/>
        <v>0</v>
      </c>
      <c r="AS20" s="1158"/>
      <c r="AT20" s="1158"/>
      <c r="AU20" s="19"/>
      <c r="AV20" s="19"/>
      <c r="AW20" s="19"/>
      <c r="AX20" s="19"/>
      <c r="AY20" s="19"/>
      <c r="AZ20" s="8">
        <f t="shared" si="77"/>
        <v>0</v>
      </c>
      <c r="BB20" s="57"/>
      <c r="BC20" s="19"/>
    </row>
    <row r="21" spans="1:55" ht="14.25" hidden="1" customHeight="1">
      <c r="A21" s="884">
        <f t="shared" si="79"/>
        <v>9</v>
      </c>
      <c r="B21" s="885" t="s">
        <v>713</v>
      </c>
      <c r="C21" s="901">
        <v>41275</v>
      </c>
      <c r="D21" s="887">
        <v>20</v>
      </c>
      <c r="E21" s="888">
        <f>10900000*0</f>
        <v>0</v>
      </c>
      <c r="F21" s="889">
        <f t="shared" si="5"/>
        <v>0</v>
      </c>
      <c r="G21" s="890">
        <f>(F21/12)*(13-IF(C21="","",MONTH(C21)))*2</f>
        <v>0</v>
      </c>
      <c r="H21" s="890">
        <f t="shared" si="49"/>
        <v>0</v>
      </c>
      <c r="I21" s="890">
        <f t="shared" si="50"/>
        <v>0</v>
      </c>
      <c r="J21" s="890">
        <f t="shared" si="51"/>
        <v>0</v>
      </c>
      <c r="K21" s="890">
        <f t="shared" si="52"/>
        <v>0</v>
      </c>
      <c r="L21" s="890">
        <f t="shared" si="53"/>
        <v>0</v>
      </c>
      <c r="M21" s="890">
        <f t="shared" si="54"/>
        <v>0</v>
      </c>
      <c r="N21" s="890">
        <f t="shared" si="55"/>
        <v>0</v>
      </c>
      <c r="O21" s="890">
        <f t="shared" si="56"/>
        <v>0</v>
      </c>
      <c r="P21" s="890">
        <f t="shared" si="57"/>
        <v>0</v>
      </c>
      <c r="Q21" s="890">
        <f t="shared" si="58"/>
        <v>0</v>
      </c>
      <c r="R21" s="890">
        <f t="shared" si="59"/>
        <v>0</v>
      </c>
      <c r="S21" s="890">
        <f t="shared" si="60"/>
        <v>0</v>
      </c>
      <c r="T21" s="890">
        <f t="shared" si="61"/>
        <v>0</v>
      </c>
      <c r="U21" s="890">
        <f t="shared" si="62"/>
        <v>0</v>
      </c>
      <c r="V21" s="890">
        <f t="shared" si="63"/>
        <v>0</v>
      </c>
      <c r="W21" s="890">
        <f t="shared" si="64"/>
        <v>0</v>
      </c>
      <c r="X21" s="890">
        <f t="shared" si="65"/>
        <v>0</v>
      </c>
      <c r="Y21" s="890">
        <f>2180000*0</f>
        <v>0</v>
      </c>
      <c r="Z21" s="890">
        <f t="shared" si="66"/>
        <v>0</v>
      </c>
      <c r="AA21" s="890">
        <f t="shared" si="67"/>
        <v>0</v>
      </c>
      <c r="AB21" s="890">
        <f t="shared" si="68"/>
        <v>0</v>
      </c>
      <c r="AC21" s="890">
        <f t="shared" si="69"/>
        <v>0</v>
      </c>
      <c r="AD21" s="890">
        <f t="shared" si="70"/>
        <v>0</v>
      </c>
      <c r="AE21" s="890">
        <f t="shared" si="71"/>
        <v>0</v>
      </c>
      <c r="AF21" s="890">
        <f t="shared" si="72"/>
        <v>0</v>
      </c>
      <c r="AG21" s="890">
        <f t="shared" si="73"/>
        <v>0</v>
      </c>
      <c r="AH21" s="890">
        <f t="shared" si="74"/>
        <v>0</v>
      </c>
      <c r="AI21" s="890">
        <f t="shared" si="75"/>
        <v>0</v>
      </c>
      <c r="AJ21" s="890"/>
      <c r="AK21" s="890"/>
      <c r="AL21" s="890"/>
      <c r="AM21" s="890"/>
      <c r="AN21" s="890"/>
      <c r="AO21" s="890"/>
      <c r="AP21" s="890">
        <f t="shared" si="76"/>
        <v>0</v>
      </c>
      <c r="AQ21" s="890">
        <f t="shared" si="35"/>
        <v>0</v>
      </c>
      <c r="AR21" s="890">
        <f t="shared" si="36"/>
        <v>0</v>
      </c>
      <c r="AS21" s="1158"/>
      <c r="AT21" s="1158"/>
      <c r="AU21" s="19"/>
      <c r="AV21" s="19"/>
      <c r="AW21" s="19"/>
      <c r="AX21" s="19"/>
      <c r="AY21" s="19"/>
      <c r="AZ21" s="8">
        <f t="shared" si="77"/>
        <v>0</v>
      </c>
      <c r="BB21" s="57"/>
      <c r="BC21" s="19"/>
    </row>
    <row r="22" spans="1:55" ht="14.25" hidden="1" customHeight="1">
      <c r="A22" s="884">
        <f t="shared" si="79"/>
        <v>10</v>
      </c>
      <c r="B22" s="885" t="s">
        <v>714</v>
      </c>
      <c r="C22" s="901">
        <v>41275</v>
      </c>
      <c r="D22" s="887">
        <v>20</v>
      </c>
      <c r="E22" s="888">
        <f>225800000*0</f>
        <v>0</v>
      </c>
      <c r="F22" s="889">
        <f t="shared" si="5"/>
        <v>0</v>
      </c>
      <c r="G22" s="890">
        <f t="shared" ref="G22:G30" si="81">(F22/12)*(13-IF(C22="","",MONTH(C22)))*2</f>
        <v>0</v>
      </c>
      <c r="H22" s="890">
        <f t="shared" si="49"/>
        <v>0</v>
      </c>
      <c r="I22" s="890">
        <f t="shared" si="50"/>
        <v>0</v>
      </c>
      <c r="J22" s="890">
        <f t="shared" si="51"/>
        <v>0</v>
      </c>
      <c r="K22" s="890">
        <f t="shared" si="52"/>
        <v>0</v>
      </c>
      <c r="L22" s="890">
        <f t="shared" si="53"/>
        <v>0</v>
      </c>
      <c r="M22" s="890">
        <f t="shared" si="54"/>
        <v>0</v>
      </c>
      <c r="N22" s="890">
        <f t="shared" si="55"/>
        <v>0</v>
      </c>
      <c r="O22" s="890">
        <f t="shared" si="56"/>
        <v>0</v>
      </c>
      <c r="P22" s="890">
        <f t="shared" si="57"/>
        <v>0</v>
      </c>
      <c r="Q22" s="890">
        <f t="shared" si="58"/>
        <v>0</v>
      </c>
      <c r="R22" s="890">
        <f t="shared" si="59"/>
        <v>0</v>
      </c>
      <c r="S22" s="890">
        <f t="shared" si="60"/>
        <v>0</v>
      </c>
      <c r="T22" s="890">
        <f t="shared" si="61"/>
        <v>0</v>
      </c>
      <c r="U22" s="890">
        <f t="shared" si="62"/>
        <v>0</v>
      </c>
      <c r="V22" s="890">
        <f t="shared" si="63"/>
        <v>0</v>
      </c>
      <c r="W22" s="890">
        <f t="shared" si="64"/>
        <v>0</v>
      </c>
      <c r="X22" s="890">
        <f t="shared" si="65"/>
        <v>0</v>
      </c>
      <c r="Y22" s="890">
        <f>45160000*0</f>
        <v>0</v>
      </c>
      <c r="Z22" s="890">
        <f t="shared" si="66"/>
        <v>0</v>
      </c>
      <c r="AA22" s="890">
        <f t="shared" si="67"/>
        <v>0</v>
      </c>
      <c r="AB22" s="890">
        <f t="shared" si="68"/>
        <v>0</v>
      </c>
      <c r="AC22" s="890">
        <f t="shared" si="69"/>
        <v>0</v>
      </c>
      <c r="AD22" s="890">
        <f t="shared" si="70"/>
        <v>0</v>
      </c>
      <c r="AE22" s="890">
        <f t="shared" si="71"/>
        <v>0</v>
      </c>
      <c r="AF22" s="890">
        <f t="shared" si="72"/>
        <v>0</v>
      </c>
      <c r="AG22" s="890">
        <f t="shared" si="73"/>
        <v>0</v>
      </c>
      <c r="AH22" s="890">
        <f t="shared" si="74"/>
        <v>0</v>
      </c>
      <c r="AI22" s="890">
        <f t="shared" si="75"/>
        <v>0</v>
      </c>
      <c r="AJ22" s="890"/>
      <c r="AK22" s="890"/>
      <c r="AL22" s="890"/>
      <c r="AM22" s="890"/>
      <c r="AN22" s="890"/>
      <c r="AO22" s="890"/>
      <c r="AP22" s="890">
        <f t="shared" si="76"/>
        <v>0</v>
      </c>
      <c r="AQ22" s="890">
        <f t="shared" si="35"/>
        <v>0</v>
      </c>
      <c r="AR22" s="890">
        <f t="shared" si="36"/>
        <v>0</v>
      </c>
      <c r="AS22" s="1158"/>
      <c r="AT22" s="1158"/>
      <c r="AU22" s="19"/>
      <c r="AV22" s="19"/>
      <c r="AW22" s="19"/>
      <c r="AX22" s="19"/>
      <c r="AY22" s="19"/>
      <c r="AZ22" s="8">
        <f t="shared" si="77"/>
        <v>0</v>
      </c>
      <c r="BB22" s="57"/>
      <c r="BC22" s="19"/>
    </row>
    <row r="23" spans="1:55" ht="14.25" hidden="1" customHeight="1">
      <c r="A23" s="884">
        <f t="shared" si="79"/>
        <v>11</v>
      </c>
      <c r="B23" s="885" t="s">
        <v>715</v>
      </c>
      <c r="C23" s="901">
        <v>41275</v>
      </c>
      <c r="D23" s="887">
        <v>20</v>
      </c>
      <c r="E23" s="888">
        <f>7200000*0</f>
        <v>0</v>
      </c>
      <c r="F23" s="889">
        <f t="shared" si="5"/>
        <v>0</v>
      </c>
      <c r="G23" s="890">
        <f t="shared" si="81"/>
        <v>0</v>
      </c>
      <c r="H23" s="890">
        <f t="shared" si="49"/>
        <v>0</v>
      </c>
      <c r="I23" s="890">
        <f t="shared" si="50"/>
        <v>0</v>
      </c>
      <c r="J23" s="890">
        <f t="shared" si="51"/>
        <v>0</v>
      </c>
      <c r="K23" s="890">
        <f t="shared" si="52"/>
        <v>0</v>
      </c>
      <c r="L23" s="890">
        <f t="shared" si="53"/>
        <v>0</v>
      </c>
      <c r="M23" s="890">
        <f t="shared" si="54"/>
        <v>0</v>
      </c>
      <c r="N23" s="890">
        <f t="shared" si="55"/>
        <v>0</v>
      </c>
      <c r="O23" s="890">
        <f t="shared" si="56"/>
        <v>0</v>
      </c>
      <c r="P23" s="890">
        <f t="shared" si="57"/>
        <v>0</v>
      </c>
      <c r="Q23" s="890">
        <f t="shared" si="58"/>
        <v>0</v>
      </c>
      <c r="R23" s="890">
        <f t="shared" si="59"/>
        <v>0</v>
      </c>
      <c r="S23" s="890">
        <f t="shared" si="60"/>
        <v>0</v>
      </c>
      <c r="T23" s="890">
        <f t="shared" si="61"/>
        <v>0</v>
      </c>
      <c r="U23" s="890">
        <f t="shared" si="62"/>
        <v>0</v>
      </c>
      <c r="V23" s="890">
        <f t="shared" si="63"/>
        <v>0</v>
      </c>
      <c r="W23" s="890">
        <f t="shared" si="64"/>
        <v>0</v>
      </c>
      <c r="X23" s="890">
        <f t="shared" si="65"/>
        <v>0</v>
      </c>
      <c r="Y23" s="890">
        <f>1440000*0</f>
        <v>0</v>
      </c>
      <c r="Z23" s="890">
        <f t="shared" si="66"/>
        <v>0</v>
      </c>
      <c r="AA23" s="890">
        <f t="shared" si="67"/>
        <v>0</v>
      </c>
      <c r="AB23" s="890">
        <f t="shared" si="68"/>
        <v>0</v>
      </c>
      <c r="AC23" s="890">
        <f t="shared" si="69"/>
        <v>0</v>
      </c>
      <c r="AD23" s="890">
        <f t="shared" si="70"/>
        <v>0</v>
      </c>
      <c r="AE23" s="890">
        <f t="shared" si="71"/>
        <v>0</v>
      </c>
      <c r="AF23" s="890">
        <f t="shared" si="72"/>
        <v>0</v>
      </c>
      <c r="AG23" s="890">
        <f t="shared" si="73"/>
        <v>0</v>
      </c>
      <c r="AH23" s="890">
        <f t="shared" si="74"/>
        <v>0</v>
      </c>
      <c r="AI23" s="890">
        <f t="shared" si="75"/>
        <v>0</v>
      </c>
      <c r="AJ23" s="890"/>
      <c r="AK23" s="890"/>
      <c r="AL23" s="890"/>
      <c r="AM23" s="890"/>
      <c r="AN23" s="890"/>
      <c r="AO23" s="890"/>
      <c r="AP23" s="890">
        <f t="shared" si="76"/>
        <v>0</v>
      </c>
      <c r="AQ23" s="890">
        <f t="shared" si="35"/>
        <v>0</v>
      </c>
      <c r="AR23" s="890">
        <f t="shared" si="36"/>
        <v>0</v>
      </c>
      <c r="AS23" s="1158"/>
      <c r="AT23" s="1158"/>
      <c r="AU23" s="19"/>
      <c r="AV23" s="19"/>
      <c r="AW23" s="19"/>
      <c r="AX23" s="19"/>
      <c r="AY23" s="19"/>
      <c r="AZ23" s="8">
        <f t="shared" si="77"/>
        <v>0</v>
      </c>
      <c r="BB23" s="57"/>
      <c r="BC23" s="19"/>
    </row>
    <row r="24" spans="1:55" ht="14.25" hidden="1" customHeight="1">
      <c r="A24" s="884">
        <f t="shared" si="79"/>
        <v>12</v>
      </c>
      <c r="B24" s="885" t="s">
        <v>716</v>
      </c>
      <c r="C24" s="901">
        <v>41275</v>
      </c>
      <c r="D24" s="887">
        <v>20</v>
      </c>
      <c r="E24" s="888">
        <f>33500000*0</f>
        <v>0</v>
      </c>
      <c r="F24" s="889">
        <f t="shared" si="5"/>
        <v>0</v>
      </c>
      <c r="G24" s="890">
        <f t="shared" si="81"/>
        <v>0</v>
      </c>
      <c r="H24" s="890">
        <f t="shared" si="49"/>
        <v>0</v>
      </c>
      <c r="I24" s="890">
        <f t="shared" si="50"/>
        <v>0</v>
      </c>
      <c r="J24" s="890">
        <f t="shared" si="51"/>
        <v>0</v>
      </c>
      <c r="K24" s="890">
        <f t="shared" si="52"/>
        <v>0</v>
      </c>
      <c r="L24" s="890">
        <f t="shared" si="53"/>
        <v>0</v>
      </c>
      <c r="M24" s="890">
        <f t="shared" si="54"/>
        <v>0</v>
      </c>
      <c r="N24" s="890">
        <f t="shared" si="55"/>
        <v>0</v>
      </c>
      <c r="O24" s="890">
        <f t="shared" si="56"/>
        <v>0</v>
      </c>
      <c r="P24" s="890">
        <f t="shared" si="57"/>
        <v>0</v>
      </c>
      <c r="Q24" s="890">
        <f t="shared" si="58"/>
        <v>0</v>
      </c>
      <c r="R24" s="890">
        <f t="shared" si="59"/>
        <v>0</v>
      </c>
      <c r="S24" s="890">
        <f t="shared" si="60"/>
        <v>0</v>
      </c>
      <c r="T24" s="890">
        <f t="shared" si="61"/>
        <v>0</v>
      </c>
      <c r="U24" s="890">
        <f t="shared" si="62"/>
        <v>0</v>
      </c>
      <c r="V24" s="890">
        <f t="shared" si="63"/>
        <v>0</v>
      </c>
      <c r="W24" s="890">
        <f t="shared" si="64"/>
        <v>0</v>
      </c>
      <c r="X24" s="890">
        <f t="shared" si="65"/>
        <v>0</v>
      </c>
      <c r="Y24" s="890">
        <f>6700000*0</f>
        <v>0</v>
      </c>
      <c r="Z24" s="890">
        <f t="shared" si="66"/>
        <v>0</v>
      </c>
      <c r="AA24" s="890">
        <f t="shared" si="67"/>
        <v>0</v>
      </c>
      <c r="AB24" s="890">
        <f t="shared" si="68"/>
        <v>0</v>
      </c>
      <c r="AC24" s="890">
        <f t="shared" si="69"/>
        <v>0</v>
      </c>
      <c r="AD24" s="890">
        <f t="shared" si="70"/>
        <v>0</v>
      </c>
      <c r="AE24" s="890">
        <f t="shared" si="71"/>
        <v>0</v>
      </c>
      <c r="AF24" s="890">
        <f t="shared" si="72"/>
        <v>0</v>
      </c>
      <c r="AG24" s="890">
        <f t="shared" si="73"/>
        <v>0</v>
      </c>
      <c r="AH24" s="890">
        <f t="shared" si="74"/>
        <v>0</v>
      </c>
      <c r="AI24" s="890">
        <f t="shared" si="75"/>
        <v>0</v>
      </c>
      <c r="AJ24" s="890"/>
      <c r="AK24" s="890"/>
      <c r="AL24" s="890"/>
      <c r="AM24" s="890"/>
      <c r="AN24" s="890"/>
      <c r="AO24" s="890"/>
      <c r="AP24" s="890">
        <f t="shared" si="76"/>
        <v>0</v>
      </c>
      <c r="AQ24" s="890">
        <f t="shared" si="35"/>
        <v>0</v>
      </c>
      <c r="AR24" s="890">
        <f t="shared" si="36"/>
        <v>0</v>
      </c>
      <c r="AS24" s="1158"/>
      <c r="AT24" s="1158"/>
      <c r="AU24" s="19"/>
      <c r="AV24" s="19"/>
      <c r="AW24" s="19"/>
      <c r="AX24" s="19"/>
      <c r="AY24" s="19"/>
      <c r="AZ24" s="8">
        <f t="shared" si="77"/>
        <v>0</v>
      </c>
      <c r="BB24" s="57"/>
      <c r="BC24" s="19"/>
    </row>
    <row r="25" spans="1:55" ht="14.25" hidden="1" customHeight="1">
      <c r="A25" s="884">
        <f t="shared" si="79"/>
        <v>13</v>
      </c>
      <c r="B25" s="885" t="s">
        <v>717</v>
      </c>
      <c r="C25" s="901">
        <v>41275</v>
      </c>
      <c r="D25" s="887">
        <v>20</v>
      </c>
      <c r="E25" s="888">
        <f>6700000*0</f>
        <v>0</v>
      </c>
      <c r="F25" s="889">
        <f t="shared" si="5"/>
        <v>0</v>
      </c>
      <c r="G25" s="890">
        <f t="shared" si="81"/>
        <v>0</v>
      </c>
      <c r="H25" s="890">
        <f t="shared" si="49"/>
        <v>0</v>
      </c>
      <c r="I25" s="890">
        <f t="shared" si="50"/>
        <v>0</v>
      </c>
      <c r="J25" s="890">
        <f t="shared" si="51"/>
        <v>0</v>
      </c>
      <c r="K25" s="890">
        <f t="shared" si="52"/>
        <v>0</v>
      </c>
      <c r="L25" s="890">
        <f t="shared" si="53"/>
        <v>0</v>
      </c>
      <c r="M25" s="890">
        <f t="shared" si="54"/>
        <v>0</v>
      </c>
      <c r="N25" s="890">
        <f t="shared" si="55"/>
        <v>0</v>
      </c>
      <c r="O25" s="890">
        <f t="shared" si="56"/>
        <v>0</v>
      </c>
      <c r="P25" s="890">
        <f t="shared" si="57"/>
        <v>0</v>
      </c>
      <c r="Q25" s="890">
        <f t="shared" si="58"/>
        <v>0</v>
      </c>
      <c r="R25" s="890">
        <f t="shared" si="59"/>
        <v>0</v>
      </c>
      <c r="S25" s="890">
        <f t="shared" si="60"/>
        <v>0</v>
      </c>
      <c r="T25" s="890">
        <f t="shared" si="61"/>
        <v>0</v>
      </c>
      <c r="U25" s="890">
        <f t="shared" si="62"/>
        <v>0</v>
      </c>
      <c r="V25" s="890">
        <f t="shared" si="63"/>
        <v>0</v>
      </c>
      <c r="W25" s="890">
        <f t="shared" si="64"/>
        <v>0</v>
      </c>
      <c r="X25" s="890">
        <f t="shared" si="65"/>
        <v>0</v>
      </c>
      <c r="Y25" s="890">
        <f>1340000*0</f>
        <v>0</v>
      </c>
      <c r="Z25" s="890">
        <f t="shared" si="66"/>
        <v>0</v>
      </c>
      <c r="AA25" s="890">
        <f t="shared" si="67"/>
        <v>0</v>
      </c>
      <c r="AB25" s="890">
        <f t="shared" si="68"/>
        <v>0</v>
      </c>
      <c r="AC25" s="890">
        <f t="shared" si="69"/>
        <v>0</v>
      </c>
      <c r="AD25" s="890">
        <f t="shared" si="70"/>
        <v>0</v>
      </c>
      <c r="AE25" s="890">
        <f t="shared" si="71"/>
        <v>0</v>
      </c>
      <c r="AF25" s="890">
        <f t="shared" si="72"/>
        <v>0</v>
      </c>
      <c r="AG25" s="890">
        <f t="shared" si="73"/>
        <v>0</v>
      </c>
      <c r="AH25" s="890">
        <f t="shared" si="74"/>
        <v>0</v>
      </c>
      <c r="AI25" s="890">
        <f t="shared" si="75"/>
        <v>0</v>
      </c>
      <c r="AJ25" s="890"/>
      <c r="AK25" s="890"/>
      <c r="AL25" s="890"/>
      <c r="AM25" s="890"/>
      <c r="AN25" s="890"/>
      <c r="AO25" s="890"/>
      <c r="AP25" s="890">
        <f t="shared" si="76"/>
        <v>0</v>
      </c>
      <c r="AQ25" s="890">
        <f t="shared" si="35"/>
        <v>0</v>
      </c>
      <c r="AR25" s="890">
        <f t="shared" si="36"/>
        <v>0</v>
      </c>
      <c r="AS25" s="1158"/>
      <c r="AT25" s="1158"/>
      <c r="AU25" s="19"/>
      <c r="AV25" s="19"/>
      <c r="AW25" s="19"/>
      <c r="AX25" s="19"/>
      <c r="AY25" s="19"/>
      <c r="AZ25" s="8">
        <f t="shared" si="77"/>
        <v>0</v>
      </c>
      <c r="BB25" s="57"/>
      <c r="BC25" s="19"/>
    </row>
    <row r="26" spans="1:55" ht="14.25" hidden="1" customHeight="1">
      <c r="A26" s="884">
        <f t="shared" si="79"/>
        <v>14</v>
      </c>
      <c r="B26" s="885" t="s">
        <v>718</v>
      </c>
      <c r="C26" s="901">
        <v>41275</v>
      </c>
      <c r="D26" s="887">
        <v>20</v>
      </c>
      <c r="E26" s="888">
        <f>78100000*0</f>
        <v>0</v>
      </c>
      <c r="F26" s="889">
        <f t="shared" si="5"/>
        <v>0</v>
      </c>
      <c r="G26" s="890">
        <f t="shared" si="81"/>
        <v>0</v>
      </c>
      <c r="H26" s="890">
        <f t="shared" si="49"/>
        <v>0</v>
      </c>
      <c r="I26" s="890">
        <f t="shared" si="50"/>
        <v>0</v>
      </c>
      <c r="J26" s="890">
        <f t="shared" si="51"/>
        <v>0</v>
      </c>
      <c r="K26" s="890">
        <f t="shared" si="52"/>
        <v>0</v>
      </c>
      <c r="L26" s="890">
        <f t="shared" si="53"/>
        <v>0</v>
      </c>
      <c r="M26" s="890">
        <f t="shared" si="54"/>
        <v>0</v>
      </c>
      <c r="N26" s="890">
        <f t="shared" si="55"/>
        <v>0</v>
      </c>
      <c r="O26" s="890">
        <f t="shared" si="56"/>
        <v>0</v>
      </c>
      <c r="P26" s="890">
        <f t="shared" si="57"/>
        <v>0</v>
      </c>
      <c r="Q26" s="890">
        <f t="shared" si="58"/>
        <v>0</v>
      </c>
      <c r="R26" s="890">
        <f t="shared" si="59"/>
        <v>0</v>
      </c>
      <c r="S26" s="890">
        <f t="shared" si="60"/>
        <v>0</v>
      </c>
      <c r="T26" s="890">
        <f t="shared" si="61"/>
        <v>0</v>
      </c>
      <c r="U26" s="890">
        <f t="shared" si="62"/>
        <v>0</v>
      </c>
      <c r="V26" s="890">
        <f t="shared" si="63"/>
        <v>0</v>
      </c>
      <c r="W26" s="890">
        <f t="shared" si="64"/>
        <v>0</v>
      </c>
      <c r="X26" s="890">
        <f t="shared" si="65"/>
        <v>0</v>
      </c>
      <c r="Y26" s="890">
        <f>15620000*0</f>
        <v>0</v>
      </c>
      <c r="Z26" s="890">
        <f t="shared" si="66"/>
        <v>0</v>
      </c>
      <c r="AA26" s="890">
        <f t="shared" si="67"/>
        <v>0</v>
      </c>
      <c r="AB26" s="890">
        <f t="shared" si="68"/>
        <v>0</v>
      </c>
      <c r="AC26" s="890">
        <f t="shared" si="69"/>
        <v>0</v>
      </c>
      <c r="AD26" s="890">
        <f t="shared" si="70"/>
        <v>0</v>
      </c>
      <c r="AE26" s="890">
        <f t="shared" si="71"/>
        <v>0</v>
      </c>
      <c r="AF26" s="890">
        <f t="shared" si="72"/>
        <v>0</v>
      </c>
      <c r="AG26" s="890">
        <f t="shared" si="73"/>
        <v>0</v>
      </c>
      <c r="AH26" s="890">
        <f t="shared" si="74"/>
        <v>0</v>
      </c>
      <c r="AI26" s="890">
        <f t="shared" si="75"/>
        <v>0</v>
      </c>
      <c r="AJ26" s="890"/>
      <c r="AK26" s="890"/>
      <c r="AL26" s="890"/>
      <c r="AM26" s="890"/>
      <c r="AN26" s="890"/>
      <c r="AO26" s="890"/>
      <c r="AP26" s="890">
        <f t="shared" si="76"/>
        <v>0</v>
      </c>
      <c r="AQ26" s="890">
        <f t="shared" si="35"/>
        <v>0</v>
      </c>
      <c r="AR26" s="890">
        <f t="shared" si="36"/>
        <v>0</v>
      </c>
      <c r="AS26" s="1158"/>
      <c r="AT26" s="1158"/>
      <c r="AU26" s="19"/>
      <c r="AV26" s="19"/>
      <c r="AW26" s="19"/>
      <c r="AX26" s="19"/>
      <c r="AY26" s="19"/>
      <c r="AZ26" s="8">
        <f t="shared" si="77"/>
        <v>0</v>
      </c>
      <c r="BB26" s="57"/>
      <c r="BC26" s="19"/>
    </row>
    <row r="27" spans="1:55" ht="14.25" hidden="1" customHeight="1">
      <c r="A27" s="884">
        <f t="shared" si="79"/>
        <v>15</v>
      </c>
      <c r="B27" s="885" t="s">
        <v>719</v>
      </c>
      <c r="C27" s="901">
        <v>41275</v>
      </c>
      <c r="D27" s="887">
        <v>20</v>
      </c>
      <c r="E27" s="888">
        <f>4300000*0</f>
        <v>0</v>
      </c>
      <c r="F27" s="889">
        <f t="shared" si="5"/>
        <v>0</v>
      </c>
      <c r="G27" s="890">
        <f t="shared" si="81"/>
        <v>0</v>
      </c>
      <c r="H27" s="890">
        <f t="shared" si="49"/>
        <v>0</v>
      </c>
      <c r="I27" s="890">
        <f t="shared" si="50"/>
        <v>0</v>
      </c>
      <c r="J27" s="890">
        <f t="shared" si="51"/>
        <v>0</v>
      </c>
      <c r="K27" s="890">
        <f t="shared" si="52"/>
        <v>0</v>
      </c>
      <c r="L27" s="890">
        <f t="shared" si="53"/>
        <v>0</v>
      </c>
      <c r="M27" s="890">
        <f t="shared" si="54"/>
        <v>0</v>
      </c>
      <c r="N27" s="890">
        <f t="shared" si="55"/>
        <v>0</v>
      </c>
      <c r="O27" s="890">
        <f t="shared" si="56"/>
        <v>0</v>
      </c>
      <c r="P27" s="890">
        <f t="shared" si="57"/>
        <v>0</v>
      </c>
      <c r="Q27" s="890">
        <f t="shared" si="58"/>
        <v>0</v>
      </c>
      <c r="R27" s="890">
        <f t="shared" si="59"/>
        <v>0</v>
      </c>
      <c r="S27" s="890">
        <f t="shared" si="60"/>
        <v>0</v>
      </c>
      <c r="T27" s="890">
        <f t="shared" si="61"/>
        <v>0</v>
      </c>
      <c r="U27" s="890">
        <f t="shared" si="62"/>
        <v>0</v>
      </c>
      <c r="V27" s="890">
        <f t="shared" si="63"/>
        <v>0</v>
      </c>
      <c r="W27" s="890">
        <f t="shared" si="64"/>
        <v>0</v>
      </c>
      <c r="X27" s="890">
        <f t="shared" si="65"/>
        <v>0</v>
      </c>
      <c r="Y27" s="890">
        <f>860000*0</f>
        <v>0</v>
      </c>
      <c r="Z27" s="890">
        <f t="shared" si="66"/>
        <v>0</v>
      </c>
      <c r="AA27" s="890">
        <f t="shared" si="67"/>
        <v>0</v>
      </c>
      <c r="AB27" s="890">
        <f t="shared" si="68"/>
        <v>0</v>
      </c>
      <c r="AC27" s="890">
        <f t="shared" si="69"/>
        <v>0</v>
      </c>
      <c r="AD27" s="890">
        <f t="shared" si="70"/>
        <v>0</v>
      </c>
      <c r="AE27" s="890">
        <f t="shared" si="71"/>
        <v>0</v>
      </c>
      <c r="AF27" s="890">
        <f t="shared" si="72"/>
        <v>0</v>
      </c>
      <c r="AG27" s="890">
        <f t="shared" si="73"/>
        <v>0</v>
      </c>
      <c r="AH27" s="890">
        <f t="shared" si="74"/>
        <v>0</v>
      </c>
      <c r="AI27" s="890">
        <f t="shared" si="75"/>
        <v>0</v>
      </c>
      <c r="AJ27" s="890"/>
      <c r="AK27" s="890"/>
      <c r="AL27" s="890"/>
      <c r="AM27" s="890"/>
      <c r="AN27" s="890"/>
      <c r="AO27" s="890"/>
      <c r="AP27" s="890">
        <f t="shared" si="76"/>
        <v>0</v>
      </c>
      <c r="AQ27" s="890">
        <f t="shared" si="35"/>
        <v>0</v>
      </c>
      <c r="AR27" s="890">
        <f t="shared" si="36"/>
        <v>0</v>
      </c>
      <c r="AS27" s="1158"/>
      <c r="AT27" s="1158"/>
      <c r="AU27" s="19"/>
      <c r="AV27" s="19"/>
      <c r="AW27" s="19"/>
      <c r="AX27" s="19"/>
      <c r="AY27" s="19"/>
      <c r="AZ27" s="8">
        <f t="shared" si="77"/>
        <v>0</v>
      </c>
      <c r="BB27" s="57"/>
      <c r="BC27" s="19"/>
    </row>
    <row r="28" spans="1:55" ht="14.25" hidden="1" customHeight="1">
      <c r="A28" s="884">
        <f t="shared" si="79"/>
        <v>16</v>
      </c>
      <c r="B28" s="885" t="s">
        <v>705</v>
      </c>
      <c r="C28" s="901">
        <v>41275</v>
      </c>
      <c r="D28" s="887">
        <v>20</v>
      </c>
      <c r="E28" s="888">
        <f>381400000*0</f>
        <v>0</v>
      </c>
      <c r="F28" s="889">
        <f t="shared" si="5"/>
        <v>0</v>
      </c>
      <c r="G28" s="890">
        <f t="shared" si="81"/>
        <v>0</v>
      </c>
      <c r="H28" s="890">
        <f t="shared" si="49"/>
        <v>0</v>
      </c>
      <c r="I28" s="890">
        <f t="shared" si="50"/>
        <v>0</v>
      </c>
      <c r="J28" s="890">
        <f t="shared" si="51"/>
        <v>0</v>
      </c>
      <c r="K28" s="890">
        <f t="shared" si="52"/>
        <v>0</v>
      </c>
      <c r="L28" s="890">
        <f t="shared" si="53"/>
        <v>0</v>
      </c>
      <c r="M28" s="890">
        <f t="shared" si="54"/>
        <v>0</v>
      </c>
      <c r="N28" s="890">
        <f t="shared" si="55"/>
        <v>0</v>
      </c>
      <c r="O28" s="890">
        <f t="shared" si="56"/>
        <v>0</v>
      </c>
      <c r="P28" s="890">
        <f t="shared" si="57"/>
        <v>0</v>
      </c>
      <c r="Q28" s="890">
        <f t="shared" si="58"/>
        <v>0</v>
      </c>
      <c r="R28" s="890">
        <f t="shared" si="59"/>
        <v>0</v>
      </c>
      <c r="S28" s="890">
        <f t="shared" si="60"/>
        <v>0</v>
      </c>
      <c r="T28" s="890">
        <f t="shared" si="61"/>
        <v>0</v>
      </c>
      <c r="U28" s="890">
        <f t="shared" si="62"/>
        <v>0</v>
      </c>
      <c r="V28" s="890">
        <f t="shared" si="63"/>
        <v>0</v>
      </c>
      <c r="W28" s="890">
        <f t="shared" si="64"/>
        <v>0</v>
      </c>
      <c r="X28" s="890">
        <f t="shared" si="65"/>
        <v>0</v>
      </c>
      <c r="Y28" s="890">
        <f>76280000*0</f>
        <v>0</v>
      </c>
      <c r="Z28" s="890">
        <f t="shared" si="66"/>
        <v>0</v>
      </c>
      <c r="AA28" s="890">
        <f t="shared" si="67"/>
        <v>0</v>
      </c>
      <c r="AB28" s="890">
        <f t="shared" si="68"/>
        <v>0</v>
      </c>
      <c r="AC28" s="890">
        <f t="shared" si="69"/>
        <v>0</v>
      </c>
      <c r="AD28" s="890">
        <f t="shared" si="70"/>
        <v>0</v>
      </c>
      <c r="AE28" s="890">
        <f t="shared" si="71"/>
        <v>0</v>
      </c>
      <c r="AF28" s="890">
        <f t="shared" si="72"/>
        <v>0</v>
      </c>
      <c r="AG28" s="890">
        <f t="shared" si="73"/>
        <v>0</v>
      </c>
      <c r="AH28" s="890">
        <f t="shared" si="74"/>
        <v>0</v>
      </c>
      <c r="AI28" s="890">
        <f t="shared" si="75"/>
        <v>0</v>
      </c>
      <c r="AJ28" s="890"/>
      <c r="AK28" s="890"/>
      <c r="AL28" s="890"/>
      <c r="AM28" s="890"/>
      <c r="AN28" s="890"/>
      <c r="AO28" s="890"/>
      <c r="AP28" s="890">
        <f t="shared" si="76"/>
        <v>0</v>
      </c>
      <c r="AQ28" s="890">
        <f t="shared" si="35"/>
        <v>0</v>
      </c>
      <c r="AR28" s="890">
        <f t="shared" si="36"/>
        <v>0</v>
      </c>
      <c r="AS28" s="1158"/>
      <c r="AT28" s="1158"/>
      <c r="AU28" s="19"/>
      <c r="AV28" s="19"/>
      <c r="AW28" s="19"/>
      <c r="AX28" s="19"/>
      <c r="AY28" s="19"/>
      <c r="AZ28" s="8">
        <f t="shared" si="77"/>
        <v>0</v>
      </c>
      <c r="BB28" s="57"/>
      <c r="BC28" s="19"/>
    </row>
    <row r="29" spans="1:55" ht="14.25" hidden="1" customHeight="1">
      <c r="A29" s="884">
        <f t="shared" si="79"/>
        <v>17</v>
      </c>
      <c r="B29" s="885" t="s">
        <v>720</v>
      </c>
      <c r="C29" s="901">
        <v>41275</v>
      </c>
      <c r="D29" s="887">
        <v>20</v>
      </c>
      <c r="E29" s="888">
        <f>34000000*0</f>
        <v>0</v>
      </c>
      <c r="F29" s="889">
        <f t="shared" si="5"/>
        <v>0</v>
      </c>
      <c r="G29" s="890">
        <f t="shared" si="81"/>
        <v>0</v>
      </c>
      <c r="H29" s="890">
        <f t="shared" si="49"/>
        <v>0</v>
      </c>
      <c r="I29" s="890">
        <f t="shared" si="50"/>
        <v>0</v>
      </c>
      <c r="J29" s="890">
        <f t="shared" si="51"/>
        <v>0</v>
      </c>
      <c r="K29" s="890">
        <f t="shared" si="52"/>
        <v>0</v>
      </c>
      <c r="L29" s="890">
        <f t="shared" si="53"/>
        <v>0</v>
      </c>
      <c r="M29" s="890">
        <f t="shared" si="54"/>
        <v>0</v>
      </c>
      <c r="N29" s="890">
        <f t="shared" si="55"/>
        <v>0</v>
      </c>
      <c r="O29" s="890">
        <f t="shared" si="56"/>
        <v>0</v>
      </c>
      <c r="P29" s="890">
        <f t="shared" si="57"/>
        <v>0</v>
      </c>
      <c r="Q29" s="890">
        <f t="shared" si="58"/>
        <v>0</v>
      </c>
      <c r="R29" s="890">
        <f t="shared" si="59"/>
        <v>0</v>
      </c>
      <c r="S29" s="890">
        <f t="shared" si="60"/>
        <v>0</v>
      </c>
      <c r="T29" s="890">
        <f t="shared" si="61"/>
        <v>0</v>
      </c>
      <c r="U29" s="890">
        <f t="shared" si="62"/>
        <v>0</v>
      </c>
      <c r="V29" s="890">
        <f t="shared" si="63"/>
        <v>0</v>
      </c>
      <c r="W29" s="890">
        <f t="shared" si="64"/>
        <v>0</v>
      </c>
      <c r="X29" s="890">
        <f t="shared" si="65"/>
        <v>0</v>
      </c>
      <c r="Y29" s="890">
        <f>6800000*0</f>
        <v>0</v>
      </c>
      <c r="Z29" s="890">
        <f t="shared" si="66"/>
        <v>0</v>
      </c>
      <c r="AA29" s="890">
        <f t="shared" si="67"/>
        <v>0</v>
      </c>
      <c r="AB29" s="890">
        <f t="shared" si="68"/>
        <v>0</v>
      </c>
      <c r="AC29" s="890">
        <f t="shared" si="69"/>
        <v>0</v>
      </c>
      <c r="AD29" s="890">
        <f t="shared" si="70"/>
        <v>0</v>
      </c>
      <c r="AE29" s="890">
        <f t="shared" si="71"/>
        <v>0</v>
      </c>
      <c r="AF29" s="890">
        <f t="shared" si="72"/>
        <v>0</v>
      </c>
      <c r="AG29" s="890">
        <f t="shared" si="73"/>
        <v>0</v>
      </c>
      <c r="AH29" s="890">
        <f t="shared" si="74"/>
        <v>0</v>
      </c>
      <c r="AI29" s="890">
        <f t="shared" si="75"/>
        <v>0</v>
      </c>
      <c r="AJ29" s="890"/>
      <c r="AK29" s="890"/>
      <c r="AL29" s="890"/>
      <c r="AM29" s="890"/>
      <c r="AN29" s="890"/>
      <c r="AO29" s="890"/>
      <c r="AP29" s="890">
        <f t="shared" si="76"/>
        <v>0</v>
      </c>
      <c r="AQ29" s="890">
        <f t="shared" si="35"/>
        <v>0</v>
      </c>
      <c r="AR29" s="890">
        <f t="shared" si="36"/>
        <v>0</v>
      </c>
      <c r="AS29" s="1158"/>
      <c r="AT29" s="1158"/>
      <c r="AU29" s="19"/>
      <c r="AV29" s="19"/>
      <c r="AW29" s="19"/>
      <c r="AX29" s="19"/>
      <c r="AY29" s="19"/>
      <c r="AZ29" s="8">
        <f t="shared" si="77"/>
        <v>0</v>
      </c>
      <c r="BB29" s="57"/>
      <c r="BC29" s="19"/>
    </row>
    <row r="30" spans="1:55" ht="14.25" hidden="1" customHeight="1">
      <c r="A30" s="884">
        <f t="shared" si="79"/>
        <v>18</v>
      </c>
      <c r="B30" s="885" t="s">
        <v>721</v>
      </c>
      <c r="C30" s="901">
        <v>41275</v>
      </c>
      <c r="D30" s="887">
        <v>20</v>
      </c>
      <c r="E30" s="888">
        <f>5000000*0</f>
        <v>0</v>
      </c>
      <c r="F30" s="889">
        <f t="shared" si="5"/>
        <v>0</v>
      </c>
      <c r="G30" s="890">
        <f t="shared" si="81"/>
        <v>0</v>
      </c>
      <c r="H30" s="890">
        <f t="shared" si="49"/>
        <v>0</v>
      </c>
      <c r="I30" s="890">
        <f t="shared" si="50"/>
        <v>0</v>
      </c>
      <c r="J30" s="890">
        <f t="shared" si="51"/>
        <v>0</v>
      </c>
      <c r="K30" s="890">
        <f t="shared" si="52"/>
        <v>0</v>
      </c>
      <c r="L30" s="890">
        <f t="shared" si="53"/>
        <v>0</v>
      </c>
      <c r="M30" s="890">
        <f t="shared" si="54"/>
        <v>0</v>
      </c>
      <c r="N30" s="890">
        <f t="shared" si="55"/>
        <v>0</v>
      </c>
      <c r="O30" s="890">
        <f t="shared" si="56"/>
        <v>0</v>
      </c>
      <c r="P30" s="890">
        <f t="shared" si="57"/>
        <v>0</v>
      </c>
      <c r="Q30" s="890">
        <f t="shared" si="58"/>
        <v>0</v>
      </c>
      <c r="R30" s="890">
        <f t="shared" si="59"/>
        <v>0</v>
      </c>
      <c r="S30" s="890">
        <f t="shared" si="60"/>
        <v>0</v>
      </c>
      <c r="T30" s="890">
        <f t="shared" si="61"/>
        <v>0</v>
      </c>
      <c r="U30" s="890">
        <f t="shared" si="62"/>
        <v>0</v>
      </c>
      <c r="V30" s="890">
        <f t="shared" si="63"/>
        <v>0</v>
      </c>
      <c r="W30" s="890">
        <f t="shared" si="64"/>
        <v>0</v>
      </c>
      <c r="X30" s="890">
        <f t="shared" si="65"/>
        <v>0</v>
      </c>
      <c r="Y30" s="890">
        <f>1000000*0</f>
        <v>0</v>
      </c>
      <c r="Z30" s="890">
        <f t="shared" si="66"/>
        <v>0</v>
      </c>
      <c r="AA30" s="890">
        <f t="shared" si="67"/>
        <v>0</v>
      </c>
      <c r="AB30" s="890">
        <f t="shared" si="68"/>
        <v>0</v>
      </c>
      <c r="AC30" s="890">
        <f t="shared" si="69"/>
        <v>0</v>
      </c>
      <c r="AD30" s="890">
        <f t="shared" si="70"/>
        <v>0</v>
      </c>
      <c r="AE30" s="890">
        <f t="shared" si="71"/>
        <v>0</v>
      </c>
      <c r="AF30" s="890">
        <f t="shared" si="72"/>
        <v>0</v>
      </c>
      <c r="AG30" s="890">
        <f t="shared" si="73"/>
        <v>0</v>
      </c>
      <c r="AH30" s="890">
        <f t="shared" si="74"/>
        <v>0</v>
      </c>
      <c r="AI30" s="890">
        <f t="shared" si="75"/>
        <v>0</v>
      </c>
      <c r="AJ30" s="890"/>
      <c r="AK30" s="890"/>
      <c r="AL30" s="890"/>
      <c r="AM30" s="890"/>
      <c r="AN30" s="890"/>
      <c r="AO30" s="890"/>
      <c r="AP30" s="890">
        <f t="shared" si="76"/>
        <v>0</v>
      </c>
      <c r="AQ30" s="890">
        <f t="shared" si="35"/>
        <v>0</v>
      </c>
      <c r="AR30" s="890">
        <f t="shared" si="36"/>
        <v>0</v>
      </c>
      <c r="AS30" s="1158"/>
      <c r="AT30" s="1158"/>
      <c r="AU30" s="19"/>
      <c r="AV30" s="19"/>
      <c r="AW30" s="19"/>
      <c r="AX30" s="19"/>
      <c r="AY30" s="19"/>
      <c r="AZ30" s="8">
        <f t="shared" si="77"/>
        <v>0</v>
      </c>
      <c r="BB30" s="57"/>
      <c r="BC30" s="19"/>
    </row>
    <row r="31" spans="1:55" ht="14.25" hidden="1" customHeight="1">
      <c r="A31" s="884">
        <f t="shared" si="79"/>
        <v>19</v>
      </c>
      <c r="B31" s="885" t="s">
        <v>722</v>
      </c>
      <c r="C31" s="901">
        <v>41640</v>
      </c>
      <c r="D31" s="887">
        <v>20</v>
      </c>
      <c r="E31" s="888">
        <f>42300000*0</f>
        <v>0</v>
      </c>
      <c r="F31" s="889">
        <f t="shared" si="5"/>
        <v>0</v>
      </c>
      <c r="G31" s="890">
        <f>(F31/12)*(13-IF(C31="","",MONTH(C31)))</f>
        <v>0</v>
      </c>
      <c r="H31" s="890">
        <f t="shared" si="49"/>
        <v>0</v>
      </c>
      <c r="I31" s="890">
        <f t="shared" si="50"/>
        <v>0</v>
      </c>
      <c r="J31" s="890">
        <f t="shared" si="51"/>
        <v>0</v>
      </c>
      <c r="K31" s="890">
        <f t="shared" si="52"/>
        <v>0</v>
      </c>
      <c r="L31" s="890">
        <f t="shared" si="53"/>
        <v>0</v>
      </c>
      <c r="M31" s="890">
        <f t="shared" si="54"/>
        <v>0</v>
      </c>
      <c r="N31" s="890">
        <f t="shared" si="55"/>
        <v>0</v>
      </c>
      <c r="O31" s="890">
        <f t="shared" si="56"/>
        <v>0</v>
      </c>
      <c r="P31" s="890">
        <f t="shared" si="57"/>
        <v>0</v>
      </c>
      <c r="Q31" s="890">
        <f t="shared" si="58"/>
        <v>0</v>
      </c>
      <c r="R31" s="890">
        <f t="shared" si="59"/>
        <v>0</v>
      </c>
      <c r="S31" s="890">
        <f t="shared" si="60"/>
        <v>0</v>
      </c>
      <c r="T31" s="890">
        <f t="shared" si="61"/>
        <v>0</v>
      </c>
      <c r="U31" s="890">
        <f t="shared" si="62"/>
        <v>0</v>
      </c>
      <c r="V31" s="890">
        <f t="shared" si="63"/>
        <v>0</v>
      </c>
      <c r="W31" s="890">
        <f t="shared" si="64"/>
        <v>0</v>
      </c>
      <c r="X31" s="890">
        <f t="shared" si="65"/>
        <v>0</v>
      </c>
      <c r="Y31" s="890">
        <f>8460000*0</f>
        <v>0</v>
      </c>
      <c r="Z31" s="890">
        <f t="shared" si="66"/>
        <v>0</v>
      </c>
      <c r="AA31" s="890">
        <f t="shared" si="67"/>
        <v>0</v>
      </c>
      <c r="AB31" s="890">
        <f t="shared" si="68"/>
        <v>0</v>
      </c>
      <c r="AC31" s="890">
        <f t="shared" si="69"/>
        <v>0</v>
      </c>
      <c r="AD31" s="890">
        <f t="shared" si="70"/>
        <v>0</v>
      </c>
      <c r="AE31" s="890">
        <f t="shared" si="71"/>
        <v>0</v>
      </c>
      <c r="AF31" s="890">
        <f t="shared" si="72"/>
        <v>0</v>
      </c>
      <c r="AG31" s="890">
        <f t="shared" si="73"/>
        <v>0</v>
      </c>
      <c r="AH31" s="890">
        <f t="shared" si="74"/>
        <v>0</v>
      </c>
      <c r="AI31" s="890">
        <f t="shared" si="75"/>
        <v>0</v>
      </c>
      <c r="AJ31" s="890"/>
      <c r="AK31" s="890"/>
      <c r="AL31" s="890"/>
      <c r="AM31" s="890"/>
      <c r="AN31" s="890"/>
      <c r="AO31" s="890"/>
      <c r="AP31" s="890">
        <f t="shared" si="76"/>
        <v>0</v>
      </c>
      <c r="AQ31" s="890">
        <f t="shared" si="35"/>
        <v>0</v>
      </c>
      <c r="AR31" s="890">
        <f t="shared" si="36"/>
        <v>0</v>
      </c>
      <c r="AS31" s="1158"/>
      <c r="AT31" s="1158"/>
      <c r="AU31" s="19"/>
      <c r="AV31" s="19"/>
      <c r="AW31" s="19"/>
      <c r="AX31" s="19"/>
      <c r="AY31" s="19"/>
      <c r="AZ31" s="8">
        <f t="shared" si="77"/>
        <v>0</v>
      </c>
      <c r="BB31" s="57"/>
      <c r="BC31" s="19"/>
    </row>
    <row r="32" spans="1:55" ht="14.25" hidden="1" customHeight="1">
      <c r="A32" s="884">
        <f t="shared" si="79"/>
        <v>20</v>
      </c>
      <c r="B32" s="885" t="s">
        <v>720</v>
      </c>
      <c r="C32" s="901">
        <v>41640</v>
      </c>
      <c r="D32" s="887">
        <v>20</v>
      </c>
      <c r="E32" s="888">
        <f>15600000*0</f>
        <v>0</v>
      </c>
      <c r="F32" s="889">
        <f t="shared" si="5"/>
        <v>0</v>
      </c>
      <c r="G32" s="890">
        <f t="shared" ref="G32:G38" si="82">(F32/12)*(13-IF(C32="","",MONTH(C32)))</f>
        <v>0</v>
      </c>
      <c r="H32" s="890">
        <f t="shared" si="49"/>
        <v>0</v>
      </c>
      <c r="I32" s="890">
        <f t="shared" si="50"/>
        <v>0</v>
      </c>
      <c r="J32" s="890">
        <f t="shared" si="51"/>
        <v>0</v>
      </c>
      <c r="K32" s="890">
        <f t="shared" si="52"/>
        <v>0</v>
      </c>
      <c r="L32" s="890">
        <f t="shared" si="53"/>
        <v>0</v>
      </c>
      <c r="M32" s="890">
        <f t="shared" si="54"/>
        <v>0</v>
      </c>
      <c r="N32" s="890">
        <f t="shared" si="55"/>
        <v>0</v>
      </c>
      <c r="O32" s="890">
        <f t="shared" si="56"/>
        <v>0</v>
      </c>
      <c r="P32" s="890">
        <f t="shared" si="57"/>
        <v>0</v>
      </c>
      <c r="Q32" s="890">
        <f t="shared" si="58"/>
        <v>0</v>
      </c>
      <c r="R32" s="890">
        <f t="shared" si="59"/>
        <v>0</v>
      </c>
      <c r="S32" s="890">
        <f t="shared" si="60"/>
        <v>0</v>
      </c>
      <c r="T32" s="890">
        <f t="shared" si="61"/>
        <v>0</v>
      </c>
      <c r="U32" s="890">
        <f t="shared" si="62"/>
        <v>0</v>
      </c>
      <c r="V32" s="890">
        <f t="shared" si="63"/>
        <v>0</v>
      </c>
      <c r="W32" s="890">
        <f t="shared" si="64"/>
        <v>0</v>
      </c>
      <c r="X32" s="890">
        <f t="shared" si="65"/>
        <v>0</v>
      </c>
      <c r="Y32" s="890">
        <f>3120000*0</f>
        <v>0</v>
      </c>
      <c r="Z32" s="890">
        <f t="shared" si="66"/>
        <v>0</v>
      </c>
      <c r="AA32" s="890">
        <f t="shared" si="67"/>
        <v>0</v>
      </c>
      <c r="AB32" s="890">
        <f t="shared" si="68"/>
        <v>0</v>
      </c>
      <c r="AC32" s="890">
        <f t="shared" si="69"/>
        <v>0</v>
      </c>
      <c r="AD32" s="890">
        <f t="shared" si="70"/>
        <v>0</v>
      </c>
      <c r="AE32" s="890">
        <f t="shared" si="71"/>
        <v>0</v>
      </c>
      <c r="AF32" s="890">
        <f t="shared" si="72"/>
        <v>0</v>
      </c>
      <c r="AG32" s="890">
        <f t="shared" si="73"/>
        <v>0</v>
      </c>
      <c r="AH32" s="890">
        <f t="shared" si="74"/>
        <v>0</v>
      </c>
      <c r="AI32" s="890">
        <f t="shared" si="75"/>
        <v>0</v>
      </c>
      <c r="AJ32" s="890"/>
      <c r="AK32" s="890"/>
      <c r="AL32" s="890"/>
      <c r="AM32" s="890"/>
      <c r="AN32" s="890"/>
      <c r="AO32" s="890"/>
      <c r="AP32" s="890">
        <f t="shared" si="76"/>
        <v>0</v>
      </c>
      <c r="AQ32" s="890">
        <f t="shared" si="35"/>
        <v>0</v>
      </c>
      <c r="AR32" s="890">
        <f t="shared" si="36"/>
        <v>0</v>
      </c>
      <c r="AS32" s="1158"/>
      <c r="AT32" s="1158"/>
      <c r="AU32" s="19"/>
      <c r="AV32" s="19"/>
      <c r="AW32" s="19"/>
      <c r="AX32" s="19"/>
      <c r="AY32" s="19"/>
      <c r="AZ32" s="8">
        <f t="shared" si="77"/>
        <v>0</v>
      </c>
      <c r="BB32" s="57"/>
      <c r="BC32" s="19"/>
    </row>
    <row r="33" spans="1:55" ht="14.25" hidden="1" customHeight="1">
      <c r="A33" s="884">
        <f t="shared" si="79"/>
        <v>21</v>
      </c>
      <c r="B33" s="885" t="s">
        <v>720</v>
      </c>
      <c r="C33" s="901">
        <v>41640</v>
      </c>
      <c r="D33" s="887">
        <v>20</v>
      </c>
      <c r="E33" s="888">
        <f>11700000*0</f>
        <v>0</v>
      </c>
      <c r="F33" s="889">
        <f t="shared" si="5"/>
        <v>0</v>
      </c>
      <c r="G33" s="890">
        <f t="shared" si="82"/>
        <v>0</v>
      </c>
      <c r="H33" s="890">
        <f t="shared" si="49"/>
        <v>0</v>
      </c>
      <c r="I33" s="890">
        <f t="shared" si="50"/>
        <v>0</v>
      </c>
      <c r="J33" s="890">
        <f t="shared" si="51"/>
        <v>0</v>
      </c>
      <c r="K33" s="890">
        <f t="shared" si="52"/>
        <v>0</v>
      </c>
      <c r="L33" s="890">
        <f t="shared" si="53"/>
        <v>0</v>
      </c>
      <c r="M33" s="890">
        <f t="shared" si="54"/>
        <v>0</v>
      </c>
      <c r="N33" s="890">
        <f t="shared" si="55"/>
        <v>0</v>
      </c>
      <c r="O33" s="890">
        <f t="shared" si="56"/>
        <v>0</v>
      </c>
      <c r="P33" s="890">
        <f t="shared" si="57"/>
        <v>0</v>
      </c>
      <c r="Q33" s="890">
        <f t="shared" si="58"/>
        <v>0</v>
      </c>
      <c r="R33" s="890">
        <f t="shared" si="59"/>
        <v>0</v>
      </c>
      <c r="S33" s="890">
        <f t="shared" si="60"/>
        <v>0</v>
      </c>
      <c r="T33" s="890">
        <f t="shared" si="61"/>
        <v>0</v>
      </c>
      <c r="U33" s="890">
        <f t="shared" si="62"/>
        <v>0</v>
      </c>
      <c r="V33" s="890">
        <f t="shared" si="63"/>
        <v>0</v>
      </c>
      <c r="W33" s="890">
        <f t="shared" si="64"/>
        <v>0</v>
      </c>
      <c r="X33" s="890">
        <f t="shared" si="65"/>
        <v>0</v>
      </c>
      <c r="Y33" s="890">
        <f>2340000*0</f>
        <v>0</v>
      </c>
      <c r="Z33" s="890">
        <f t="shared" si="66"/>
        <v>0</v>
      </c>
      <c r="AA33" s="890">
        <f t="shared" si="67"/>
        <v>0</v>
      </c>
      <c r="AB33" s="890">
        <f t="shared" si="68"/>
        <v>0</v>
      </c>
      <c r="AC33" s="890">
        <f t="shared" si="69"/>
        <v>0</v>
      </c>
      <c r="AD33" s="890">
        <f t="shared" si="70"/>
        <v>0</v>
      </c>
      <c r="AE33" s="890">
        <f t="shared" si="71"/>
        <v>0</v>
      </c>
      <c r="AF33" s="890">
        <f t="shared" si="72"/>
        <v>0</v>
      </c>
      <c r="AG33" s="890">
        <f t="shared" si="73"/>
        <v>0</v>
      </c>
      <c r="AH33" s="890">
        <f t="shared" si="74"/>
        <v>0</v>
      </c>
      <c r="AI33" s="890">
        <f t="shared" si="75"/>
        <v>0</v>
      </c>
      <c r="AJ33" s="890"/>
      <c r="AK33" s="890"/>
      <c r="AL33" s="890"/>
      <c r="AM33" s="890"/>
      <c r="AN33" s="890"/>
      <c r="AO33" s="890"/>
      <c r="AP33" s="890">
        <f t="shared" si="76"/>
        <v>0</v>
      </c>
      <c r="AQ33" s="890">
        <f t="shared" si="35"/>
        <v>0</v>
      </c>
      <c r="AR33" s="890">
        <f t="shared" si="36"/>
        <v>0</v>
      </c>
      <c r="AS33" s="1158"/>
      <c r="AT33" s="1158"/>
      <c r="AU33" s="19"/>
      <c r="AV33" s="19"/>
      <c r="AW33" s="19"/>
      <c r="AX33" s="19"/>
      <c r="AY33" s="19"/>
      <c r="AZ33" s="8">
        <f t="shared" si="77"/>
        <v>0</v>
      </c>
      <c r="BB33" s="57"/>
      <c r="BC33" s="19"/>
    </row>
    <row r="34" spans="1:55" ht="14.25" hidden="1" customHeight="1">
      <c r="A34" s="884">
        <f t="shared" si="79"/>
        <v>22</v>
      </c>
      <c r="B34" s="885" t="s">
        <v>720</v>
      </c>
      <c r="C34" s="901">
        <v>41640</v>
      </c>
      <c r="D34" s="887">
        <v>20</v>
      </c>
      <c r="E34" s="888">
        <f>11700000*0</f>
        <v>0</v>
      </c>
      <c r="F34" s="889">
        <f t="shared" si="5"/>
        <v>0</v>
      </c>
      <c r="G34" s="890">
        <f t="shared" si="82"/>
        <v>0</v>
      </c>
      <c r="H34" s="890">
        <f t="shared" si="49"/>
        <v>0</v>
      </c>
      <c r="I34" s="890">
        <f t="shared" si="50"/>
        <v>0</v>
      </c>
      <c r="J34" s="890">
        <f t="shared" si="51"/>
        <v>0</v>
      </c>
      <c r="K34" s="890">
        <f t="shared" si="52"/>
        <v>0</v>
      </c>
      <c r="L34" s="890">
        <f t="shared" si="53"/>
        <v>0</v>
      </c>
      <c r="M34" s="890">
        <f t="shared" si="54"/>
        <v>0</v>
      </c>
      <c r="N34" s="890">
        <f t="shared" si="55"/>
        <v>0</v>
      </c>
      <c r="O34" s="890">
        <f t="shared" si="56"/>
        <v>0</v>
      </c>
      <c r="P34" s="890">
        <f t="shared" si="57"/>
        <v>0</v>
      </c>
      <c r="Q34" s="890">
        <f t="shared" si="58"/>
        <v>0</v>
      </c>
      <c r="R34" s="890">
        <f t="shared" si="59"/>
        <v>0</v>
      </c>
      <c r="S34" s="890">
        <f t="shared" si="60"/>
        <v>0</v>
      </c>
      <c r="T34" s="890">
        <f t="shared" si="61"/>
        <v>0</v>
      </c>
      <c r="U34" s="890">
        <f t="shared" si="62"/>
        <v>0</v>
      </c>
      <c r="V34" s="890">
        <f t="shared" si="63"/>
        <v>0</v>
      </c>
      <c r="W34" s="890">
        <f t="shared" si="64"/>
        <v>0</v>
      </c>
      <c r="X34" s="890">
        <f t="shared" si="65"/>
        <v>0</v>
      </c>
      <c r="Y34" s="890">
        <f>2340000*0</f>
        <v>0</v>
      </c>
      <c r="Z34" s="890">
        <f t="shared" si="66"/>
        <v>0</v>
      </c>
      <c r="AA34" s="890">
        <f t="shared" si="67"/>
        <v>0</v>
      </c>
      <c r="AB34" s="890">
        <f t="shared" si="68"/>
        <v>0</v>
      </c>
      <c r="AC34" s="890">
        <f t="shared" si="69"/>
        <v>0</v>
      </c>
      <c r="AD34" s="890">
        <f t="shared" si="70"/>
        <v>0</v>
      </c>
      <c r="AE34" s="890">
        <f t="shared" si="71"/>
        <v>0</v>
      </c>
      <c r="AF34" s="890">
        <f t="shared" si="72"/>
        <v>0</v>
      </c>
      <c r="AG34" s="890">
        <f t="shared" si="73"/>
        <v>0</v>
      </c>
      <c r="AH34" s="890">
        <f t="shared" si="74"/>
        <v>0</v>
      </c>
      <c r="AI34" s="890">
        <f t="shared" si="75"/>
        <v>0</v>
      </c>
      <c r="AJ34" s="890"/>
      <c r="AK34" s="890"/>
      <c r="AL34" s="890"/>
      <c r="AM34" s="890"/>
      <c r="AN34" s="890"/>
      <c r="AO34" s="890"/>
      <c r="AP34" s="890">
        <f t="shared" si="76"/>
        <v>0</v>
      </c>
      <c r="AQ34" s="890">
        <f t="shared" si="35"/>
        <v>0</v>
      </c>
      <c r="AR34" s="890">
        <f t="shared" si="36"/>
        <v>0</v>
      </c>
      <c r="AS34" s="1158"/>
      <c r="AT34" s="1158"/>
      <c r="AU34" s="19"/>
      <c r="AV34" s="19"/>
      <c r="AW34" s="19"/>
      <c r="AX34" s="19"/>
      <c r="AY34" s="19"/>
      <c r="AZ34" s="8">
        <f t="shared" si="77"/>
        <v>0</v>
      </c>
      <c r="BB34" s="57"/>
      <c r="BC34" s="19"/>
    </row>
    <row r="35" spans="1:55" ht="14.25" hidden="1" customHeight="1">
      <c r="A35" s="884">
        <f t="shared" si="79"/>
        <v>23</v>
      </c>
      <c r="B35" s="885" t="s">
        <v>720</v>
      </c>
      <c r="C35" s="901">
        <v>41640</v>
      </c>
      <c r="D35" s="887">
        <v>20</v>
      </c>
      <c r="E35" s="888">
        <f>11700000*0</f>
        <v>0</v>
      </c>
      <c r="F35" s="889">
        <f t="shared" si="5"/>
        <v>0</v>
      </c>
      <c r="G35" s="890">
        <f t="shared" si="82"/>
        <v>0</v>
      </c>
      <c r="H35" s="890">
        <f t="shared" si="49"/>
        <v>0</v>
      </c>
      <c r="I35" s="890">
        <f t="shared" si="50"/>
        <v>0</v>
      </c>
      <c r="J35" s="890">
        <f t="shared" si="51"/>
        <v>0</v>
      </c>
      <c r="K35" s="890">
        <f t="shared" si="52"/>
        <v>0</v>
      </c>
      <c r="L35" s="890">
        <f t="shared" si="53"/>
        <v>0</v>
      </c>
      <c r="M35" s="890">
        <f t="shared" si="54"/>
        <v>0</v>
      </c>
      <c r="N35" s="890">
        <f t="shared" si="55"/>
        <v>0</v>
      </c>
      <c r="O35" s="890">
        <f t="shared" si="56"/>
        <v>0</v>
      </c>
      <c r="P35" s="890">
        <f t="shared" si="57"/>
        <v>0</v>
      </c>
      <c r="Q35" s="890">
        <f t="shared" si="58"/>
        <v>0</v>
      </c>
      <c r="R35" s="890">
        <f t="shared" si="59"/>
        <v>0</v>
      </c>
      <c r="S35" s="890">
        <f t="shared" si="60"/>
        <v>0</v>
      </c>
      <c r="T35" s="890">
        <f t="shared" si="61"/>
        <v>0</v>
      </c>
      <c r="U35" s="890">
        <f t="shared" si="62"/>
        <v>0</v>
      </c>
      <c r="V35" s="890">
        <f t="shared" si="63"/>
        <v>0</v>
      </c>
      <c r="W35" s="890">
        <f t="shared" si="64"/>
        <v>0</v>
      </c>
      <c r="X35" s="890">
        <f t="shared" si="65"/>
        <v>0</v>
      </c>
      <c r="Y35" s="890">
        <f>2340000*0</f>
        <v>0</v>
      </c>
      <c r="Z35" s="890">
        <f t="shared" si="66"/>
        <v>0</v>
      </c>
      <c r="AA35" s="890">
        <f t="shared" si="67"/>
        <v>0</v>
      </c>
      <c r="AB35" s="890">
        <f t="shared" si="68"/>
        <v>0</v>
      </c>
      <c r="AC35" s="890">
        <f t="shared" si="69"/>
        <v>0</v>
      </c>
      <c r="AD35" s="890">
        <f t="shared" si="70"/>
        <v>0</v>
      </c>
      <c r="AE35" s="890">
        <f t="shared" si="71"/>
        <v>0</v>
      </c>
      <c r="AF35" s="890">
        <f t="shared" si="72"/>
        <v>0</v>
      </c>
      <c r="AG35" s="890">
        <f t="shared" si="73"/>
        <v>0</v>
      </c>
      <c r="AH35" s="890">
        <f t="shared" si="74"/>
        <v>0</v>
      </c>
      <c r="AI35" s="890">
        <f t="shared" si="75"/>
        <v>0</v>
      </c>
      <c r="AJ35" s="890"/>
      <c r="AK35" s="890"/>
      <c r="AL35" s="890"/>
      <c r="AM35" s="890"/>
      <c r="AN35" s="890"/>
      <c r="AO35" s="890"/>
      <c r="AP35" s="890">
        <f t="shared" si="76"/>
        <v>0</v>
      </c>
      <c r="AQ35" s="890">
        <f t="shared" si="35"/>
        <v>0</v>
      </c>
      <c r="AR35" s="890">
        <f t="shared" si="36"/>
        <v>0</v>
      </c>
      <c r="AS35" s="1158"/>
      <c r="AT35" s="1158"/>
      <c r="AU35" s="19"/>
      <c r="AV35" s="19"/>
      <c r="AW35" s="19"/>
      <c r="AX35" s="19"/>
      <c r="AY35" s="19"/>
      <c r="AZ35" s="8">
        <f t="shared" si="77"/>
        <v>0</v>
      </c>
      <c r="BB35" s="57"/>
      <c r="BC35" s="19"/>
    </row>
    <row r="36" spans="1:55" ht="14.25" hidden="1" customHeight="1">
      <c r="A36" s="884">
        <f t="shared" si="79"/>
        <v>24</v>
      </c>
      <c r="B36" s="885" t="s">
        <v>720</v>
      </c>
      <c r="C36" s="901">
        <v>41640</v>
      </c>
      <c r="D36" s="887">
        <v>20</v>
      </c>
      <c r="E36" s="888">
        <f>11700000*0</f>
        <v>0</v>
      </c>
      <c r="F36" s="889">
        <f t="shared" si="5"/>
        <v>0</v>
      </c>
      <c r="G36" s="890">
        <f t="shared" si="82"/>
        <v>0</v>
      </c>
      <c r="H36" s="890">
        <f t="shared" si="49"/>
        <v>0</v>
      </c>
      <c r="I36" s="890">
        <f t="shared" si="50"/>
        <v>0</v>
      </c>
      <c r="J36" s="890">
        <f t="shared" si="51"/>
        <v>0</v>
      </c>
      <c r="K36" s="890">
        <f t="shared" si="52"/>
        <v>0</v>
      </c>
      <c r="L36" s="890">
        <f t="shared" si="53"/>
        <v>0</v>
      </c>
      <c r="M36" s="890">
        <f t="shared" si="54"/>
        <v>0</v>
      </c>
      <c r="N36" s="890">
        <f t="shared" si="55"/>
        <v>0</v>
      </c>
      <c r="O36" s="890">
        <f t="shared" si="56"/>
        <v>0</v>
      </c>
      <c r="P36" s="890">
        <f t="shared" si="57"/>
        <v>0</v>
      </c>
      <c r="Q36" s="890">
        <f t="shared" si="58"/>
        <v>0</v>
      </c>
      <c r="R36" s="890">
        <f t="shared" si="59"/>
        <v>0</v>
      </c>
      <c r="S36" s="890">
        <f t="shared" si="60"/>
        <v>0</v>
      </c>
      <c r="T36" s="890">
        <f t="shared" si="61"/>
        <v>0</v>
      </c>
      <c r="U36" s="890">
        <f t="shared" si="62"/>
        <v>0</v>
      </c>
      <c r="V36" s="890">
        <f t="shared" si="63"/>
        <v>0</v>
      </c>
      <c r="W36" s="890">
        <f t="shared" si="64"/>
        <v>0</v>
      </c>
      <c r="X36" s="890">
        <f t="shared" si="65"/>
        <v>0</v>
      </c>
      <c r="Y36" s="890">
        <f>2340000*0</f>
        <v>0</v>
      </c>
      <c r="Z36" s="890">
        <f t="shared" si="66"/>
        <v>0</v>
      </c>
      <c r="AA36" s="890">
        <f t="shared" si="67"/>
        <v>0</v>
      </c>
      <c r="AB36" s="890">
        <f t="shared" si="68"/>
        <v>0</v>
      </c>
      <c r="AC36" s="890">
        <f t="shared" si="69"/>
        <v>0</v>
      </c>
      <c r="AD36" s="890">
        <f t="shared" si="70"/>
        <v>0</v>
      </c>
      <c r="AE36" s="890">
        <f t="shared" si="71"/>
        <v>0</v>
      </c>
      <c r="AF36" s="890">
        <f t="shared" si="72"/>
        <v>0</v>
      </c>
      <c r="AG36" s="890">
        <f t="shared" si="73"/>
        <v>0</v>
      </c>
      <c r="AH36" s="890">
        <f t="shared" si="74"/>
        <v>0</v>
      </c>
      <c r="AI36" s="890">
        <f t="shared" si="75"/>
        <v>0</v>
      </c>
      <c r="AJ36" s="890"/>
      <c r="AK36" s="890"/>
      <c r="AL36" s="890"/>
      <c r="AM36" s="890"/>
      <c r="AN36" s="890"/>
      <c r="AO36" s="890"/>
      <c r="AP36" s="890">
        <f t="shared" si="76"/>
        <v>0</v>
      </c>
      <c r="AQ36" s="890">
        <f t="shared" si="35"/>
        <v>0</v>
      </c>
      <c r="AR36" s="890">
        <f t="shared" si="36"/>
        <v>0</v>
      </c>
      <c r="AS36" s="1158"/>
      <c r="AT36" s="1158"/>
      <c r="AU36" s="19"/>
      <c r="AV36" s="19"/>
      <c r="AW36" s="19"/>
      <c r="AX36" s="19"/>
      <c r="AY36" s="19"/>
      <c r="AZ36" s="8">
        <f t="shared" si="77"/>
        <v>0</v>
      </c>
      <c r="BB36" s="57"/>
      <c r="BC36" s="19"/>
    </row>
    <row r="37" spans="1:55" ht="14.25" hidden="1" customHeight="1">
      <c r="A37" s="884">
        <f t="shared" si="79"/>
        <v>25</v>
      </c>
      <c r="B37" s="885" t="s">
        <v>720</v>
      </c>
      <c r="C37" s="901">
        <v>41640</v>
      </c>
      <c r="D37" s="887">
        <v>20</v>
      </c>
      <c r="E37" s="888">
        <f>3900000*0</f>
        <v>0</v>
      </c>
      <c r="F37" s="889">
        <f t="shared" si="5"/>
        <v>0</v>
      </c>
      <c r="G37" s="890">
        <f t="shared" si="82"/>
        <v>0</v>
      </c>
      <c r="H37" s="890">
        <f t="shared" si="49"/>
        <v>0</v>
      </c>
      <c r="I37" s="890">
        <f t="shared" si="50"/>
        <v>0</v>
      </c>
      <c r="J37" s="890">
        <f t="shared" si="51"/>
        <v>0</v>
      </c>
      <c r="K37" s="890">
        <f t="shared" si="52"/>
        <v>0</v>
      </c>
      <c r="L37" s="890">
        <f t="shared" si="53"/>
        <v>0</v>
      </c>
      <c r="M37" s="890">
        <f t="shared" si="54"/>
        <v>0</v>
      </c>
      <c r="N37" s="890">
        <f t="shared" si="55"/>
        <v>0</v>
      </c>
      <c r="O37" s="890">
        <f t="shared" si="56"/>
        <v>0</v>
      </c>
      <c r="P37" s="890">
        <f t="shared" si="57"/>
        <v>0</v>
      </c>
      <c r="Q37" s="890">
        <f t="shared" si="58"/>
        <v>0</v>
      </c>
      <c r="R37" s="890">
        <f t="shared" si="59"/>
        <v>0</v>
      </c>
      <c r="S37" s="890">
        <f t="shared" si="60"/>
        <v>0</v>
      </c>
      <c r="T37" s="890">
        <f t="shared" si="61"/>
        <v>0</v>
      </c>
      <c r="U37" s="890">
        <f t="shared" si="62"/>
        <v>0</v>
      </c>
      <c r="V37" s="890">
        <f t="shared" si="63"/>
        <v>0</v>
      </c>
      <c r="W37" s="890">
        <f t="shared" si="64"/>
        <v>0</v>
      </c>
      <c r="X37" s="890">
        <f t="shared" si="65"/>
        <v>0</v>
      </c>
      <c r="Y37" s="890">
        <f>780000*0</f>
        <v>0</v>
      </c>
      <c r="Z37" s="890">
        <f t="shared" si="66"/>
        <v>0</v>
      </c>
      <c r="AA37" s="890">
        <f t="shared" si="67"/>
        <v>0</v>
      </c>
      <c r="AB37" s="890">
        <f t="shared" si="68"/>
        <v>0</v>
      </c>
      <c r="AC37" s="890">
        <f t="shared" si="69"/>
        <v>0</v>
      </c>
      <c r="AD37" s="890">
        <f t="shared" si="70"/>
        <v>0</v>
      </c>
      <c r="AE37" s="890">
        <f t="shared" si="71"/>
        <v>0</v>
      </c>
      <c r="AF37" s="890">
        <f t="shared" si="72"/>
        <v>0</v>
      </c>
      <c r="AG37" s="890">
        <f t="shared" si="73"/>
        <v>0</v>
      </c>
      <c r="AH37" s="890">
        <f t="shared" si="74"/>
        <v>0</v>
      </c>
      <c r="AI37" s="890">
        <f t="shared" si="75"/>
        <v>0</v>
      </c>
      <c r="AJ37" s="890"/>
      <c r="AK37" s="890"/>
      <c r="AL37" s="890"/>
      <c r="AM37" s="890"/>
      <c r="AN37" s="890"/>
      <c r="AO37" s="890"/>
      <c r="AP37" s="890">
        <f t="shared" si="76"/>
        <v>0</v>
      </c>
      <c r="AQ37" s="890">
        <f t="shared" si="35"/>
        <v>0</v>
      </c>
      <c r="AR37" s="890">
        <f t="shared" si="36"/>
        <v>0</v>
      </c>
      <c r="AS37" s="1158"/>
      <c r="AT37" s="1158"/>
      <c r="AU37" s="19"/>
      <c r="AV37" s="19"/>
      <c r="AW37" s="19"/>
      <c r="AX37" s="19"/>
      <c r="AY37" s="19"/>
      <c r="AZ37" s="8">
        <f t="shared" si="77"/>
        <v>0</v>
      </c>
      <c r="BB37" s="57"/>
      <c r="BC37" s="19"/>
    </row>
    <row r="38" spans="1:55" ht="14.25" hidden="1" customHeight="1">
      <c r="A38" s="884">
        <f t="shared" si="79"/>
        <v>26</v>
      </c>
      <c r="B38" s="885" t="s">
        <v>723</v>
      </c>
      <c r="C38" s="901">
        <v>41640</v>
      </c>
      <c r="D38" s="887">
        <v>20</v>
      </c>
      <c r="E38" s="888">
        <f>20300000*0</f>
        <v>0</v>
      </c>
      <c r="F38" s="889">
        <f t="shared" si="5"/>
        <v>0</v>
      </c>
      <c r="G38" s="890">
        <f t="shared" si="82"/>
        <v>0</v>
      </c>
      <c r="H38" s="890">
        <f t="shared" si="49"/>
        <v>0</v>
      </c>
      <c r="I38" s="890">
        <f t="shared" si="50"/>
        <v>0</v>
      </c>
      <c r="J38" s="890">
        <f t="shared" si="51"/>
        <v>0</v>
      </c>
      <c r="K38" s="890">
        <f t="shared" si="52"/>
        <v>0</v>
      </c>
      <c r="L38" s="890">
        <f t="shared" si="53"/>
        <v>0</v>
      </c>
      <c r="M38" s="890">
        <f t="shared" si="54"/>
        <v>0</v>
      </c>
      <c r="N38" s="890">
        <f t="shared" si="55"/>
        <v>0</v>
      </c>
      <c r="O38" s="890">
        <f t="shared" si="56"/>
        <v>0</v>
      </c>
      <c r="P38" s="890">
        <f t="shared" si="57"/>
        <v>0</v>
      </c>
      <c r="Q38" s="890">
        <f t="shared" si="58"/>
        <v>0</v>
      </c>
      <c r="R38" s="890">
        <f t="shared" si="59"/>
        <v>0</v>
      </c>
      <c r="S38" s="890">
        <f t="shared" si="60"/>
        <v>0</v>
      </c>
      <c r="T38" s="890">
        <f t="shared" si="61"/>
        <v>0</v>
      </c>
      <c r="U38" s="890">
        <f t="shared" si="62"/>
        <v>0</v>
      </c>
      <c r="V38" s="890">
        <f t="shared" si="63"/>
        <v>0</v>
      </c>
      <c r="W38" s="890">
        <f t="shared" si="64"/>
        <v>0</v>
      </c>
      <c r="X38" s="890">
        <f t="shared" si="65"/>
        <v>0</v>
      </c>
      <c r="Y38" s="890">
        <f>4060000*0</f>
        <v>0</v>
      </c>
      <c r="Z38" s="890">
        <f t="shared" si="66"/>
        <v>0</v>
      </c>
      <c r="AA38" s="890">
        <f t="shared" si="67"/>
        <v>0</v>
      </c>
      <c r="AB38" s="890">
        <f t="shared" si="68"/>
        <v>0</v>
      </c>
      <c r="AC38" s="890">
        <f t="shared" si="69"/>
        <v>0</v>
      </c>
      <c r="AD38" s="890">
        <f t="shared" si="70"/>
        <v>0</v>
      </c>
      <c r="AE38" s="890">
        <f t="shared" si="71"/>
        <v>0</v>
      </c>
      <c r="AF38" s="890">
        <f t="shared" si="72"/>
        <v>0</v>
      </c>
      <c r="AG38" s="890">
        <f t="shared" si="73"/>
        <v>0</v>
      </c>
      <c r="AH38" s="890">
        <f t="shared" si="74"/>
        <v>0</v>
      </c>
      <c r="AI38" s="890">
        <f t="shared" si="75"/>
        <v>0</v>
      </c>
      <c r="AJ38" s="890"/>
      <c r="AK38" s="890"/>
      <c r="AL38" s="890"/>
      <c r="AM38" s="890"/>
      <c r="AN38" s="890"/>
      <c r="AO38" s="890"/>
      <c r="AP38" s="890">
        <f t="shared" si="76"/>
        <v>0</v>
      </c>
      <c r="AQ38" s="890">
        <f t="shared" si="35"/>
        <v>0</v>
      </c>
      <c r="AR38" s="890">
        <f t="shared" si="36"/>
        <v>0</v>
      </c>
      <c r="AS38" s="1158"/>
      <c r="AT38" s="1158"/>
      <c r="AU38" s="19"/>
      <c r="AV38" s="19"/>
      <c r="AW38" s="19"/>
      <c r="AX38" s="19"/>
      <c r="AY38" s="19"/>
      <c r="AZ38" s="8">
        <f t="shared" si="77"/>
        <v>0</v>
      </c>
      <c r="BB38" s="57"/>
      <c r="BC38" s="19"/>
    </row>
    <row r="39" spans="1:55" ht="14.25" hidden="1" customHeight="1">
      <c r="A39" s="884">
        <f t="shared" si="79"/>
        <v>27</v>
      </c>
      <c r="B39" s="885" t="s">
        <v>724</v>
      </c>
      <c r="C39" s="901">
        <v>42005</v>
      </c>
      <c r="D39" s="887">
        <v>20</v>
      </c>
      <c r="E39" s="888">
        <f>61622000*0</f>
        <v>0</v>
      </c>
      <c r="F39" s="889">
        <f t="shared" si="5"/>
        <v>0</v>
      </c>
      <c r="G39" s="890"/>
      <c r="H39" s="890"/>
      <c r="I39" s="890"/>
      <c r="J39" s="890">
        <f>(F39/12)*(13-IF(C39="","",MONTH(C39)))</f>
        <v>0</v>
      </c>
      <c r="K39" s="890">
        <f>J39+H39</f>
        <v>0</v>
      </c>
      <c r="L39" s="890">
        <f t="shared" si="53"/>
        <v>0</v>
      </c>
      <c r="M39" s="890">
        <f t="shared" si="54"/>
        <v>0</v>
      </c>
      <c r="N39" s="890">
        <f t="shared" si="55"/>
        <v>0</v>
      </c>
      <c r="O39" s="890">
        <f t="shared" si="56"/>
        <v>0</v>
      </c>
      <c r="P39" s="890">
        <f t="shared" si="57"/>
        <v>0</v>
      </c>
      <c r="Q39" s="890">
        <f t="shared" si="58"/>
        <v>0</v>
      </c>
      <c r="R39" s="890">
        <f t="shared" si="59"/>
        <v>0</v>
      </c>
      <c r="S39" s="890">
        <f t="shared" si="60"/>
        <v>0</v>
      </c>
      <c r="T39" s="890">
        <f t="shared" si="61"/>
        <v>0</v>
      </c>
      <c r="U39" s="890">
        <f t="shared" si="62"/>
        <v>0</v>
      </c>
      <c r="V39" s="890">
        <f t="shared" si="63"/>
        <v>0</v>
      </c>
      <c r="W39" s="890">
        <f t="shared" si="64"/>
        <v>0</v>
      </c>
      <c r="X39" s="890">
        <f t="shared" si="65"/>
        <v>0</v>
      </c>
      <c r="Y39" s="890">
        <f>14378466.6666667*0</f>
        <v>0</v>
      </c>
      <c r="Z39" s="890">
        <f t="shared" si="66"/>
        <v>0</v>
      </c>
      <c r="AA39" s="890">
        <f t="shared" si="67"/>
        <v>0</v>
      </c>
      <c r="AB39" s="890">
        <f t="shared" si="68"/>
        <v>0</v>
      </c>
      <c r="AC39" s="890">
        <f t="shared" si="69"/>
        <v>0</v>
      </c>
      <c r="AD39" s="890">
        <f t="shared" si="70"/>
        <v>0</v>
      </c>
      <c r="AE39" s="890">
        <f t="shared" si="71"/>
        <v>0</v>
      </c>
      <c r="AF39" s="890">
        <f t="shared" si="72"/>
        <v>0</v>
      </c>
      <c r="AG39" s="890">
        <f t="shared" si="73"/>
        <v>0</v>
      </c>
      <c r="AH39" s="890">
        <f t="shared" si="74"/>
        <v>0</v>
      </c>
      <c r="AI39" s="890">
        <f t="shared" si="75"/>
        <v>0</v>
      </c>
      <c r="AJ39" s="890"/>
      <c r="AK39" s="890"/>
      <c r="AL39" s="890"/>
      <c r="AM39" s="890"/>
      <c r="AN39" s="890"/>
      <c r="AO39" s="890"/>
      <c r="AP39" s="890">
        <f t="shared" si="76"/>
        <v>0</v>
      </c>
      <c r="AQ39" s="890">
        <f t="shared" si="35"/>
        <v>0</v>
      </c>
      <c r="AR39" s="890">
        <f t="shared" si="36"/>
        <v>0</v>
      </c>
      <c r="AS39" s="1158"/>
      <c r="AT39" s="1158"/>
      <c r="AU39" s="19"/>
      <c r="AV39" s="19"/>
      <c r="AW39" s="19"/>
      <c r="AX39" s="19"/>
      <c r="AY39" s="19"/>
      <c r="AZ39" s="8">
        <f t="shared" si="77"/>
        <v>0</v>
      </c>
      <c r="BB39" s="57"/>
      <c r="BC39" s="19"/>
    </row>
    <row r="40" spans="1:55" ht="14.25" hidden="1" customHeight="1">
      <c r="A40" s="884">
        <f t="shared" si="79"/>
        <v>28</v>
      </c>
      <c r="B40" s="885" t="s">
        <v>725</v>
      </c>
      <c r="C40" s="901">
        <v>42005</v>
      </c>
      <c r="D40" s="887">
        <v>20</v>
      </c>
      <c r="E40" s="888">
        <f>11829000*0</f>
        <v>0</v>
      </c>
      <c r="F40" s="889">
        <f t="shared" si="5"/>
        <v>0</v>
      </c>
      <c r="G40" s="890"/>
      <c r="H40" s="890"/>
      <c r="I40" s="890"/>
      <c r="J40" s="890">
        <f>(F40/12)*(13-IF(C40="","",MONTH(C40)))</f>
        <v>0</v>
      </c>
      <c r="K40" s="890">
        <f t="shared" si="52"/>
        <v>0</v>
      </c>
      <c r="L40" s="890">
        <f t="shared" si="53"/>
        <v>0</v>
      </c>
      <c r="M40" s="890">
        <f t="shared" si="54"/>
        <v>0</v>
      </c>
      <c r="N40" s="890">
        <f t="shared" si="55"/>
        <v>0</v>
      </c>
      <c r="O40" s="890">
        <f t="shared" si="56"/>
        <v>0</v>
      </c>
      <c r="P40" s="890">
        <f t="shared" si="57"/>
        <v>0</v>
      </c>
      <c r="Q40" s="890">
        <f t="shared" si="58"/>
        <v>0</v>
      </c>
      <c r="R40" s="890">
        <f t="shared" si="59"/>
        <v>0</v>
      </c>
      <c r="S40" s="890">
        <f t="shared" si="60"/>
        <v>0</v>
      </c>
      <c r="T40" s="890">
        <f t="shared" si="61"/>
        <v>0</v>
      </c>
      <c r="U40" s="890">
        <f t="shared" si="62"/>
        <v>0</v>
      </c>
      <c r="V40" s="890">
        <f t="shared" si="63"/>
        <v>0</v>
      </c>
      <c r="W40" s="890">
        <f t="shared" si="64"/>
        <v>0</v>
      </c>
      <c r="X40" s="890">
        <f t="shared" si="65"/>
        <v>0</v>
      </c>
      <c r="Y40" s="890">
        <f>2710812.5*0</f>
        <v>0</v>
      </c>
      <c r="Z40" s="890">
        <f t="shared" si="66"/>
        <v>0</v>
      </c>
      <c r="AA40" s="890">
        <f t="shared" si="67"/>
        <v>0</v>
      </c>
      <c r="AB40" s="890">
        <f t="shared" si="68"/>
        <v>0</v>
      </c>
      <c r="AC40" s="890">
        <f t="shared" si="69"/>
        <v>0</v>
      </c>
      <c r="AD40" s="890">
        <f t="shared" si="70"/>
        <v>0</v>
      </c>
      <c r="AE40" s="890">
        <f t="shared" si="71"/>
        <v>0</v>
      </c>
      <c r="AF40" s="890">
        <f t="shared" si="72"/>
        <v>0</v>
      </c>
      <c r="AG40" s="890">
        <f t="shared" si="73"/>
        <v>0</v>
      </c>
      <c r="AH40" s="890">
        <f t="shared" si="74"/>
        <v>0</v>
      </c>
      <c r="AI40" s="890">
        <f t="shared" si="75"/>
        <v>0</v>
      </c>
      <c r="AJ40" s="890"/>
      <c r="AK40" s="890"/>
      <c r="AL40" s="890"/>
      <c r="AM40" s="890"/>
      <c r="AN40" s="890"/>
      <c r="AO40" s="890"/>
      <c r="AP40" s="890">
        <f t="shared" si="76"/>
        <v>0</v>
      </c>
      <c r="AQ40" s="890">
        <f t="shared" si="35"/>
        <v>0</v>
      </c>
      <c r="AR40" s="890">
        <f t="shared" si="36"/>
        <v>0</v>
      </c>
      <c r="AS40" s="1158"/>
      <c r="AT40" s="1158"/>
      <c r="AU40" s="19"/>
      <c r="AV40" s="19"/>
      <c r="AW40" s="19"/>
      <c r="AX40" s="19"/>
      <c r="AY40" s="19"/>
      <c r="AZ40" s="8">
        <f t="shared" si="77"/>
        <v>0</v>
      </c>
      <c r="BB40" s="57"/>
      <c r="BC40" s="19"/>
    </row>
    <row r="41" spans="1:55" ht="14.25" customHeight="1">
      <c r="A41" s="17"/>
      <c r="B41" s="53"/>
      <c r="C41" s="54"/>
      <c r="D41" s="55"/>
      <c r="E41" s="6"/>
      <c r="F41" s="1041"/>
      <c r="G41" s="1042"/>
      <c r="H41" s="1042"/>
      <c r="I41" s="1042"/>
      <c r="J41" s="1042"/>
      <c r="K41" s="1042"/>
      <c r="L41" s="1042"/>
      <c r="M41" s="1042"/>
      <c r="N41" s="1042"/>
      <c r="O41" s="1042"/>
      <c r="P41" s="1042"/>
      <c r="Q41" s="1042"/>
      <c r="R41" s="1042"/>
      <c r="S41" s="1042"/>
      <c r="T41" s="1042"/>
      <c r="U41" s="1042"/>
      <c r="V41" s="1042"/>
      <c r="W41" s="1042"/>
      <c r="X41" s="1042"/>
      <c r="Y41" s="7"/>
      <c r="Z41" s="7"/>
      <c r="AA41" s="1042"/>
      <c r="AB41" s="1042"/>
      <c r="AC41" s="1042"/>
      <c r="AD41" s="1042"/>
      <c r="AE41" s="1042"/>
      <c r="AF41" s="1042"/>
      <c r="AG41" s="1042"/>
      <c r="AH41" s="1042"/>
      <c r="AI41" s="1042"/>
      <c r="AJ41" s="1042"/>
      <c r="AK41" s="1042"/>
      <c r="AL41" s="1042"/>
      <c r="AM41" s="1042"/>
      <c r="AN41" s="1042"/>
      <c r="AO41" s="1042"/>
      <c r="AP41" s="1042"/>
      <c r="AQ41" s="1055"/>
      <c r="AR41" s="1042"/>
      <c r="AS41" s="1042"/>
      <c r="AT41" s="1042"/>
      <c r="AU41" s="1163"/>
      <c r="AV41" s="1163"/>
      <c r="AW41" s="1163"/>
      <c r="AX41" s="1163"/>
      <c r="AY41" s="19"/>
      <c r="AZ41" s="8"/>
      <c r="BB41" s="57"/>
      <c r="BC41" s="19"/>
    </row>
    <row r="42" spans="1:55" ht="9">
      <c r="E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58"/>
      <c r="AV42" s="58"/>
      <c r="AW42" s="58"/>
      <c r="AX42" s="58"/>
      <c r="AY42" s="58"/>
    </row>
    <row r="43" spans="1:55" ht="14.25" customHeight="1">
      <c r="A43" s="10"/>
      <c r="B43" s="9"/>
      <c r="C43" s="9"/>
      <c r="D43" s="10"/>
      <c r="E43" s="11">
        <f t="shared" ref="E43:AR43" si="83">SUM(E4:E41)</f>
        <v>1452280000</v>
      </c>
      <c r="F43" s="11">
        <f t="shared" si="83"/>
        <v>72614000</v>
      </c>
      <c r="G43" s="11">
        <f t="shared" si="83"/>
        <v>0</v>
      </c>
      <c r="H43" s="11">
        <f t="shared" si="83"/>
        <v>0</v>
      </c>
      <c r="I43" s="11">
        <f t="shared" si="83"/>
        <v>1007800000</v>
      </c>
      <c r="J43" s="11">
        <f t="shared" si="83"/>
        <v>0</v>
      </c>
      <c r="K43" s="11">
        <f t="shared" si="83"/>
        <v>0</v>
      </c>
      <c r="L43" s="11">
        <f t="shared" si="83"/>
        <v>1007800000</v>
      </c>
      <c r="M43" s="11">
        <f t="shared" si="83"/>
        <v>50390000</v>
      </c>
      <c r="N43" s="11">
        <f t="shared" si="83"/>
        <v>50390000</v>
      </c>
      <c r="O43" s="11">
        <f t="shared" si="83"/>
        <v>957410000</v>
      </c>
      <c r="P43" s="11">
        <f t="shared" si="83"/>
        <v>50390000</v>
      </c>
      <c r="Q43" s="11">
        <f t="shared" si="83"/>
        <v>100780000</v>
      </c>
      <c r="R43" s="11">
        <f t="shared" si="83"/>
        <v>907020000</v>
      </c>
      <c r="S43" s="11">
        <f t="shared" si="83"/>
        <v>50390000</v>
      </c>
      <c r="T43" s="11">
        <f t="shared" si="83"/>
        <v>151170000</v>
      </c>
      <c r="U43" s="11">
        <f t="shared" si="83"/>
        <v>856630000</v>
      </c>
      <c r="V43" s="11">
        <f t="shared" si="83"/>
        <v>50390000</v>
      </c>
      <c r="W43" s="11">
        <f t="shared" si="83"/>
        <v>201560000</v>
      </c>
      <c r="X43" s="11">
        <f t="shared" si="83"/>
        <v>806240000</v>
      </c>
      <c r="Y43" s="11">
        <f t="shared" si="83"/>
        <v>201560000</v>
      </c>
      <c r="Z43" s="11">
        <f t="shared" si="83"/>
        <v>806240000</v>
      </c>
      <c r="AA43" s="11">
        <f t="shared" si="83"/>
        <v>50390000</v>
      </c>
      <c r="AB43" s="11">
        <f t="shared" si="83"/>
        <v>251950000</v>
      </c>
      <c r="AC43" s="11">
        <f t="shared" si="83"/>
        <v>755850000</v>
      </c>
      <c r="AD43" s="11">
        <f t="shared" si="83"/>
        <v>72614000</v>
      </c>
      <c r="AE43" s="11">
        <f t="shared" si="83"/>
        <v>324564000</v>
      </c>
      <c r="AF43" s="11">
        <f t="shared" si="83"/>
        <v>1127716000</v>
      </c>
      <c r="AG43" s="11">
        <f t="shared" si="83"/>
        <v>72614000</v>
      </c>
      <c r="AH43" s="11">
        <f t="shared" si="83"/>
        <v>397178000</v>
      </c>
      <c r="AI43" s="11">
        <f t="shared" si="83"/>
        <v>1055102000</v>
      </c>
      <c r="AJ43" s="1161">
        <f t="shared" si="83"/>
        <v>6051166.666666667</v>
      </c>
      <c r="AK43" s="1161">
        <f t="shared" si="83"/>
        <v>403229166.66666669</v>
      </c>
      <c r="AL43" s="1161">
        <f t="shared" si="83"/>
        <v>1049050833.3333333</v>
      </c>
      <c r="AM43" s="1188">
        <f t="shared" si="83"/>
        <v>54460500</v>
      </c>
      <c r="AN43" s="1188">
        <f t="shared" si="83"/>
        <v>451638500</v>
      </c>
      <c r="AO43" s="1188">
        <f t="shared" si="83"/>
        <v>1000641500</v>
      </c>
      <c r="AP43" s="11">
        <f t="shared" si="83"/>
        <v>72614000</v>
      </c>
      <c r="AQ43" s="11">
        <f>SUM(AQ4:AQ41)</f>
        <v>469792000</v>
      </c>
      <c r="AR43" s="11">
        <f t="shared" si="83"/>
        <v>982488000</v>
      </c>
      <c r="AS43" s="1165">
        <f>SUM(AS3:AS41)</f>
        <v>54460500</v>
      </c>
      <c r="AT43" s="1165">
        <f>SUM(AT3:AT41)</f>
        <v>524252500</v>
      </c>
      <c r="AU43" s="1165">
        <f>SUM(AU3:AU41)</f>
        <v>928027500</v>
      </c>
      <c r="AV43" s="1205">
        <f t="shared" ref="AV43:AX43" si="84">SUM(AV4:AV41)</f>
        <v>72614000</v>
      </c>
      <c r="AW43" s="1205">
        <f t="shared" si="84"/>
        <v>542406000</v>
      </c>
      <c r="AX43" s="1205">
        <f t="shared" si="84"/>
        <v>909874000</v>
      </c>
      <c r="AY43" s="179"/>
      <c r="AZ43" s="8">
        <f t="shared" ref="AZ43" si="85">E43-AW43-AX43</f>
        <v>0</v>
      </c>
    </row>
    <row r="44" spans="1:55" ht="14.25" customHeight="1">
      <c r="E44" s="13">
        <f>E43-AT!N637</f>
        <v>-2621651000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9"/>
      <c r="AV44" s="19"/>
      <c r="AW44" s="19"/>
      <c r="AX44" s="19"/>
      <c r="AY44" s="19"/>
    </row>
    <row r="45" spans="1:55" ht="14.25" customHeight="1">
      <c r="B45" s="47"/>
      <c r="C45" s="47"/>
      <c r="D45" s="48"/>
      <c r="E45" s="49"/>
      <c r="F45" s="50" t="s">
        <v>29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spans="1:55" ht="14.25" customHeight="1">
      <c r="B46" s="51" t="s">
        <v>30</v>
      </c>
      <c r="C46" s="47"/>
      <c r="D46" s="48"/>
      <c r="E46" s="49">
        <v>0</v>
      </c>
      <c r="F46" s="50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spans="1:55" ht="14.25" customHeight="1">
      <c r="B47" s="51" t="s">
        <v>213</v>
      </c>
      <c r="C47" s="47"/>
      <c r="D47" s="48"/>
      <c r="E47" s="49">
        <f>SUM(E5:E10)+SUM(E13:E38)</f>
        <v>1007800000</v>
      </c>
      <c r="F47" s="52">
        <f t="shared" ref="F47:F55" si="86">E47-E46</f>
        <v>1007800000</v>
      </c>
      <c r="H47" s="58"/>
      <c r="W47" s="15"/>
      <c r="AB47" s="15"/>
      <c r="AD47" s="18"/>
      <c r="AE47" s="15"/>
    </row>
    <row r="48" spans="1:55" ht="14.25" customHeight="1">
      <c r="B48" s="51" t="s">
        <v>214</v>
      </c>
      <c r="C48" s="47"/>
      <c r="D48" s="48"/>
      <c r="E48" s="49">
        <f>E47+E39+E40</f>
        <v>1007800000</v>
      </c>
      <c r="F48" s="52">
        <f t="shared" si="86"/>
        <v>0</v>
      </c>
      <c r="W48" s="15"/>
      <c r="AB48" s="15"/>
      <c r="AD48" s="18"/>
      <c r="AE48" s="15"/>
    </row>
    <row r="49" spans="2:31" ht="14.25" customHeight="1">
      <c r="B49" s="51" t="s">
        <v>215</v>
      </c>
      <c r="C49" s="47"/>
      <c r="D49" s="48"/>
      <c r="E49" s="49">
        <f>E48</f>
        <v>1007800000</v>
      </c>
      <c r="F49" s="52">
        <f t="shared" si="86"/>
        <v>0</v>
      </c>
      <c r="W49" s="15"/>
      <c r="AB49" s="15"/>
      <c r="AD49" s="18"/>
      <c r="AE49" s="15"/>
    </row>
    <row r="50" spans="2:31" ht="14.25" customHeight="1">
      <c r="B50" s="51" t="s">
        <v>216</v>
      </c>
      <c r="C50" s="47"/>
      <c r="D50" s="48"/>
      <c r="E50" s="49">
        <f>E49</f>
        <v>1007800000</v>
      </c>
      <c r="F50" s="52">
        <f t="shared" si="86"/>
        <v>0</v>
      </c>
      <c r="W50" s="15"/>
      <c r="AB50" s="15"/>
      <c r="AD50" s="18"/>
      <c r="AE50" s="15"/>
    </row>
    <row r="51" spans="2:31" ht="14.25" customHeight="1">
      <c r="B51" s="51" t="s">
        <v>217</v>
      </c>
      <c r="C51" s="47"/>
      <c r="D51" s="48"/>
      <c r="E51" s="49">
        <f>E50</f>
        <v>1007800000</v>
      </c>
      <c r="F51" s="52">
        <f t="shared" si="86"/>
        <v>0</v>
      </c>
      <c r="W51" s="15"/>
      <c r="AB51" s="15"/>
      <c r="AE51" s="15"/>
    </row>
    <row r="52" spans="2:31" ht="14.25" customHeight="1">
      <c r="B52" s="51" t="s">
        <v>218</v>
      </c>
      <c r="C52" s="47"/>
      <c r="D52" s="48"/>
      <c r="E52" s="49">
        <f>E51</f>
        <v>1007800000</v>
      </c>
      <c r="F52" s="52">
        <f t="shared" si="86"/>
        <v>0</v>
      </c>
      <c r="W52" s="16"/>
      <c r="AB52" s="16"/>
      <c r="AE52" s="16"/>
    </row>
    <row r="53" spans="2:31" ht="14.25" customHeight="1">
      <c r="B53" s="51" t="s">
        <v>219</v>
      </c>
      <c r="C53" s="47"/>
      <c r="D53" s="48"/>
      <c r="E53" s="49">
        <f>E52</f>
        <v>1007800000</v>
      </c>
      <c r="F53" s="52">
        <f t="shared" si="86"/>
        <v>0</v>
      </c>
    </row>
    <row r="54" spans="2:31" ht="14.25" customHeight="1">
      <c r="B54" s="51" t="s">
        <v>220</v>
      </c>
      <c r="C54" s="47"/>
      <c r="D54" s="48"/>
      <c r="E54" s="49">
        <f>E53+E11</f>
        <v>1452280000</v>
      </c>
      <c r="F54" s="52">
        <f t="shared" si="86"/>
        <v>444480000</v>
      </c>
    </row>
    <row r="55" spans="2:31" ht="14.25" customHeight="1">
      <c r="B55" s="51" t="s">
        <v>221</v>
      </c>
      <c r="C55" s="47"/>
      <c r="D55" s="48"/>
      <c r="E55" s="49">
        <f>SUM(E3:E41)</f>
        <v>1452280000</v>
      </c>
      <c r="F55" s="52">
        <f t="shared" si="86"/>
        <v>0</v>
      </c>
    </row>
    <row r="56" spans="2:31" ht="14" customHeight="1">
      <c r="B56" s="51" t="s">
        <v>1226</v>
      </c>
      <c r="C56" s="47"/>
      <c r="D56" s="48"/>
      <c r="E56" s="49">
        <f>SUM(E3:E42)</f>
        <v>1452280000</v>
      </c>
      <c r="F56" s="52">
        <f>E56-E55</f>
        <v>0</v>
      </c>
    </row>
    <row r="57" spans="2:31" ht="14" customHeight="1">
      <c r="B57" s="51" t="s">
        <v>1312</v>
      </c>
      <c r="C57" s="47"/>
      <c r="D57" s="48"/>
      <c r="E57" s="49">
        <f>SUM(E3:E42)</f>
        <v>1452280000</v>
      </c>
      <c r="F57" s="52">
        <f>E57-E56</f>
        <v>0</v>
      </c>
    </row>
  </sheetData>
  <autoFilter ref="A1:AR40" xr:uid="{A8018A4A-3DBA-49E3-B198-CFD01842CFF4}">
    <filterColumn colId="4">
      <filters blank="1">
        <filter val="11.600.000"/>
        <filter val="126.700.000"/>
        <filter val="2.600.000"/>
        <filter val="263.700.000"/>
        <filter val="444.480.000"/>
        <filter val="548.000.000"/>
        <filter val="55.200.000"/>
        <filter val="Perolehan"/>
      </filters>
    </filterColumn>
  </autoFilter>
  <mergeCells count="16">
    <mergeCell ref="AV1:AV2"/>
    <mergeCell ref="AS1:AS2"/>
    <mergeCell ref="P1:P2"/>
    <mergeCell ref="A1:A2"/>
    <mergeCell ref="B1:B2"/>
    <mergeCell ref="G1:G2"/>
    <mergeCell ref="J1:J2"/>
    <mergeCell ref="M1:M2"/>
    <mergeCell ref="AP1:AP2"/>
    <mergeCell ref="S1:S2"/>
    <mergeCell ref="V1:V2"/>
    <mergeCell ref="AA1:AA2"/>
    <mergeCell ref="AD1:AD2"/>
    <mergeCell ref="AG1:AG2"/>
    <mergeCell ref="AJ1:AJ2"/>
    <mergeCell ref="AM1:A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0B6D-A80B-4793-8ADF-CF177C07DA1B}">
  <sheetPr filterMode="1">
    <tabColor theme="5" tint="0.39997558519241921"/>
  </sheetPr>
  <dimension ref="A1:BA83"/>
  <sheetViews>
    <sheetView showGridLines="0" zoomScaleNormal="100" workbookViewId="0">
      <pane xSplit="6" ySplit="2" topLeftCell="AV25" activePane="bottomRight" state="frozen"/>
      <selection pane="topRight" activeCell="G1" sqref="G1"/>
      <selection pane="bottomLeft" activeCell="A3" sqref="A3"/>
      <selection pane="bottomRight" activeCell="AX1" sqref="AX1"/>
    </sheetView>
  </sheetViews>
  <sheetFormatPr defaultColWidth="9.1796875" defaultRowHeight="12" customHeight="1" outlineLevelCol="1"/>
  <cols>
    <col min="1" max="1" width="2.81640625" style="12" bestFit="1" customWidth="1"/>
    <col min="2" max="2" width="25.8164062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7.453125" style="3" hidden="1" customWidth="1" outlineLevel="1"/>
    <col min="8" max="8" width="14.453125" style="3" hidden="1" customWidth="1" outlineLevel="1"/>
    <col min="9" max="9" width="12.7265625" style="3" hidden="1" customWidth="1" outlineLevel="1"/>
    <col min="10" max="10" width="17.453125" style="3" hidden="1" customWidth="1" outlineLevel="1"/>
    <col min="11" max="11" width="14.453125" style="3" hidden="1" customWidth="1" outlineLevel="1"/>
    <col min="12" max="12" width="12.7265625" style="3" hidden="1" customWidth="1" outlineLevel="1"/>
    <col min="13" max="13" width="17.453125" style="3" hidden="1" customWidth="1" outlineLevel="1"/>
    <col min="14" max="14" width="14.453125" style="3" hidden="1" customWidth="1" outlineLevel="1"/>
    <col min="15" max="15" width="12.7265625" style="3" hidden="1" customWidth="1" outlineLevel="1"/>
    <col min="16" max="16" width="17.453125" style="3" hidden="1" customWidth="1" outlineLevel="1"/>
    <col min="17" max="17" width="14.453125" style="3" hidden="1" customWidth="1" outlineLevel="1"/>
    <col min="18" max="18" width="12.7265625" style="3" hidden="1" customWidth="1" outlineLevel="1"/>
    <col min="19" max="19" width="17.453125" style="3" hidden="1" customWidth="1" outlineLevel="1"/>
    <col min="20" max="20" width="14.453125" style="3" hidden="1" customWidth="1" outlineLevel="1"/>
    <col min="21" max="21" width="12.7265625" style="3" hidden="1" customWidth="1" outlineLevel="1"/>
    <col min="22" max="22" width="17.453125" style="3" hidden="1" customWidth="1" outlineLevel="1"/>
    <col min="23" max="23" width="14.453125" style="3" hidden="1" customWidth="1" outlineLevel="1"/>
    <col min="24" max="24" width="12.7265625" style="3" hidden="1" customWidth="1" outlineLevel="1"/>
    <col min="25" max="25" width="12.7265625" style="3" hidden="1" customWidth="1" collapsed="1"/>
    <col min="26" max="26" width="12.7265625" style="3" hidden="1" customWidth="1"/>
    <col min="27" max="27" width="17.453125" style="3" bestFit="1" customWidth="1"/>
    <col min="28" max="28" width="14.453125" style="3" bestFit="1" customWidth="1"/>
    <col min="29" max="29" width="12.7265625" style="3" bestFit="1" customWidth="1"/>
    <col min="30" max="30" width="17.453125" style="3" bestFit="1" customWidth="1"/>
    <col min="31" max="31" width="14.453125" style="3" bestFit="1" customWidth="1"/>
    <col min="32" max="32" width="12.7265625" style="3" bestFit="1" customWidth="1"/>
    <col min="33" max="33" width="11.08984375" style="3" customWidth="1"/>
    <col min="34" max="34" width="9.90625" style="3" bestFit="1" customWidth="1"/>
    <col min="35" max="35" width="10.6328125" style="3" bestFit="1" customWidth="1"/>
    <col min="36" max="41" width="10.6328125" style="3" hidden="1" customWidth="1"/>
    <col min="42" max="42" width="10.6328125" style="3" customWidth="1"/>
    <col min="43" max="43" width="12.90625" style="3" bestFit="1" customWidth="1"/>
    <col min="44" max="44" width="12.7265625" style="3" bestFit="1" customWidth="1"/>
    <col min="45" max="47" width="12.7265625" style="3" hidden="1" customWidth="1"/>
    <col min="48" max="50" width="12.7265625" style="3" customWidth="1"/>
    <col min="51" max="51" width="9.1796875" style="3"/>
    <col min="52" max="52" width="9.90625" style="3" bestFit="1" customWidth="1"/>
    <col min="53" max="16384" width="9.1796875" style="3"/>
  </cols>
  <sheetData>
    <row r="1" spans="1:52" ht="14.25" customHeight="1">
      <c r="A1" s="1320" t="s">
        <v>17</v>
      </c>
      <c r="B1" s="131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18" t="s">
        <v>133</v>
      </c>
      <c r="H1" s="1" t="s">
        <v>6</v>
      </c>
      <c r="I1" s="1" t="s">
        <v>7</v>
      </c>
      <c r="J1" s="1318" t="s">
        <v>127</v>
      </c>
      <c r="K1" s="1" t="s">
        <v>6</v>
      </c>
      <c r="L1" s="1" t="s">
        <v>7</v>
      </c>
      <c r="M1" s="1318" t="s">
        <v>130</v>
      </c>
      <c r="N1" s="1" t="s">
        <v>6</v>
      </c>
      <c r="O1" s="1" t="s">
        <v>7</v>
      </c>
      <c r="P1" s="1318" t="s">
        <v>26</v>
      </c>
      <c r="Q1" s="1" t="s">
        <v>6</v>
      </c>
      <c r="R1" s="1" t="s">
        <v>7</v>
      </c>
      <c r="S1" s="1318" t="s">
        <v>18</v>
      </c>
      <c r="T1" s="1" t="s">
        <v>6</v>
      </c>
      <c r="U1" s="1" t="s">
        <v>7</v>
      </c>
      <c r="V1" s="1318" t="s">
        <v>136</v>
      </c>
      <c r="W1" s="1" t="s">
        <v>6</v>
      </c>
      <c r="X1" s="1" t="s">
        <v>7</v>
      </c>
      <c r="Y1" s="1035" t="s">
        <v>1165</v>
      </c>
      <c r="Z1" s="1035" t="s">
        <v>1165</v>
      </c>
      <c r="AA1" s="1318" t="s">
        <v>5</v>
      </c>
      <c r="AB1" s="1" t="s">
        <v>6</v>
      </c>
      <c r="AC1" s="1" t="s">
        <v>7</v>
      </c>
      <c r="AD1" s="1318" t="s">
        <v>8</v>
      </c>
      <c r="AE1" s="1" t="s">
        <v>6</v>
      </c>
      <c r="AF1" s="1" t="s">
        <v>7</v>
      </c>
      <c r="AG1" s="1318" t="s">
        <v>23</v>
      </c>
      <c r="AH1" s="1" t="s">
        <v>6</v>
      </c>
      <c r="AI1" s="1" t="s">
        <v>7</v>
      </c>
      <c r="AJ1" s="1321" t="s">
        <v>1284</v>
      </c>
      <c r="AK1" s="1156" t="s">
        <v>6</v>
      </c>
      <c r="AL1" s="1156" t="s">
        <v>7</v>
      </c>
      <c r="AM1" s="1326" t="s">
        <v>1299</v>
      </c>
      <c r="AN1" s="1185" t="s">
        <v>6</v>
      </c>
      <c r="AO1" s="1185" t="s">
        <v>7</v>
      </c>
      <c r="AP1" s="1318" t="s">
        <v>1219</v>
      </c>
      <c r="AQ1" s="1" t="s">
        <v>6</v>
      </c>
      <c r="AR1" s="1" t="s">
        <v>7</v>
      </c>
      <c r="AS1" s="1321" t="s">
        <v>1302</v>
      </c>
      <c r="AT1" s="1156" t="s">
        <v>6</v>
      </c>
      <c r="AU1" s="1156" t="s">
        <v>7</v>
      </c>
      <c r="AV1" s="1318" t="s">
        <v>1305</v>
      </c>
      <c r="AW1" s="1" t="s">
        <v>6</v>
      </c>
      <c r="AX1" s="1" t="s">
        <v>7</v>
      </c>
    </row>
    <row r="2" spans="1:52" ht="14.25" customHeight="1">
      <c r="A2" s="1320"/>
      <c r="B2" s="1318"/>
      <c r="C2" s="4" t="s">
        <v>9</v>
      </c>
      <c r="D2" s="4" t="s">
        <v>10</v>
      </c>
      <c r="E2" s="4" t="s">
        <v>9</v>
      </c>
      <c r="F2" s="4" t="s">
        <v>11</v>
      </c>
      <c r="G2" s="1318"/>
      <c r="H2" s="1" t="s">
        <v>134</v>
      </c>
      <c r="I2" s="1" t="s">
        <v>135</v>
      </c>
      <c r="J2" s="1318"/>
      <c r="K2" s="1" t="s">
        <v>128</v>
      </c>
      <c r="L2" s="1" t="s">
        <v>129</v>
      </c>
      <c r="M2" s="1318"/>
      <c r="N2" s="1" t="s">
        <v>131</v>
      </c>
      <c r="O2" s="1" t="s">
        <v>132</v>
      </c>
      <c r="P2" s="1318"/>
      <c r="Q2" s="1" t="s">
        <v>27</v>
      </c>
      <c r="R2" s="1" t="s">
        <v>28</v>
      </c>
      <c r="S2" s="1318"/>
      <c r="T2" s="1" t="s">
        <v>19</v>
      </c>
      <c r="U2" s="1" t="s">
        <v>20</v>
      </c>
      <c r="V2" s="1318"/>
      <c r="W2" s="1" t="s">
        <v>21</v>
      </c>
      <c r="X2" s="1" t="s">
        <v>22</v>
      </c>
      <c r="Y2" s="1035" t="s">
        <v>1166</v>
      </c>
      <c r="Z2" s="1035" t="s">
        <v>1167</v>
      </c>
      <c r="AA2" s="1318"/>
      <c r="AB2" s="1" t="s">
        <v>12</v>
      </c>
      <c r="AC2" s="1" t="s">
        <v>13</v>
      </c>
      <c r="AD2" s="1318"/>
      <c r="AE2" s="1" t="s">
        <v>14</v>
      </c>
      <c r="AF2" s="1" t="s">
        <v>15</v>
      </c>
      <c r="AG2" s="1318"/>
      <c r="AH2" s="1" t="s">
        <v>24</v>
      </c>
      <c r="AI2" s="1" t="s">
        <v>25</v>
      </c>
      <c r="AJ2" s="1321"/>
      <c r="AK2" s="1156" t="s">
        <v>1285</v>
      </c>
      <c r="AL2" s="1156" t="s">
        <v>1286</v>
      </c>
      <c r="AM2" s="1326"/>
      <c r="AN2" s="1185" t="s">
        <v>1300</v>
      </c>
      <c r="AO2" s="1185" t="s">
        <v>1301</v>
      </c>
      <c r="AP2" s="1318"/>
      <c r="AQ2" s="1" t="s">
        <v>1220</v>
      </c>
      <c r="AR2" s="1" t="s">
        <v>1221</v>
      </c>
      <c r="AS2" s="1322"/>
      <c r="AT2" s="1159" t="s">
        <v>1303</v>
      </c>
      <c r="AU2" s="1159" t="s">
        <v>1304</v>
      </c>
      <c r="AV2" s="1318"/>
      <c r="AW2" s="1" t="s">
        <v>1306</v>
      </c>
      <c r="AX2" s="1" t="s">
        <v>1307</v>
      </c>
      <c r="AZ2" s="5" t="s">
        <v>16</v>
      </c>
    </row>
    <row r="3" spans="1:52" s="220" customFormat="1" ht="14.25" customHeight="1">
      <c r="A3" s="230" t="s">
        <v>726</v>
      </c>
      <c r="B3" s="230"/>
      <c r="C3" s="215"/>
      <c r="D3" s="216"/>
      <c r="E3" s="217"/>
      <c r="F3" s="218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179"/>
      <c r="AZ3" s="61"/>
    </row>
    <row r="4" spans="1:52" s="220" customFormat="1" ht="14.25" customHeight="1">
      <c r="A4" s="190">
        <v>1</v>
      </c>
      <c r="B4" s="230" t="s">
        <v>405</v>
      </c>
      <c r="C4" s="215"/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179"/>
      <c r="AZ4" s="61"/>
    </row>
    <row r="5" spans="1:52" ht="14.25" customHeight="1">
      <c r="A5" s="17">
        <f>A15+1</f>
        <v>2</v>
      </c>
      <c r="B5" s="56" t="s">
        <v>728</v>
      </c>
      <c r="C5" s="671">
        <v>37257</v>
      </c>
      <c r="D5" s="55">
        <v>8</v>
      </c>
      <c r="E5" s="6">
        <v>108000000</v>
      </c>
      <c r="F5" s="1041">
        <f t="shared" ref="F5:F62" si="0">E5/D5</f>
        <v>13500000</v>
      </c>
      <c r="G5" s="1053"/>
      <c r="H5" s="1042">
        <f>G5</f>
        <v>0</v>
      </c>
      <c r="I5" s="1042">
        <f>E5-H5</f>
        <v>108000000</v>
      </c>
      <c r="J5" s="1042">
        <f>(F5/12)*0</f>
        <v>0</v>
      </c>
      <c r="K5" s="1042">
        <f>H5+J5</f>
        <v>0</v>
      </c>
      <c r="L5" s="1042">
        <f>E5-K5</f>
        <v>108000000</v>
      </c>
      <c r="M5" s="1042">
        <f t="shared" ref="M5:M13" si="1">(F5/12)*12</f>
        <v>13500000</v>
      </c>
      <c r="N5" s="1042">
        <f>K5+M5</f>
        <v>13500000</v>
      </c>
      <c r="O5" s="1042">
        <f>E5-N5</f>
        <v>94500000</v>
      </c>
      <c r="P5" s="1042">
        <f t="shared" ref="P5:P13" si="2">(F5/12)*12</f>
        <v>13500000</v>
      </c>
      <c r="Q5" s="1042">
        <f>N5+P5</f>
        <v>27000000</v>
      </c>
      <c r="R5" s="1042">
        <f>E5-Q5</f>
        <v>81000000</v>
      </c>
      <c r="S5" s="1042">
        <f t="shared" ref="S5:S14" si="3">(F5/12)*12</f>
        <v>13500000</v>
      </c>
      <c r="T5" s="1042">
        <f>Q5+S5</f>
        <v>40500000</v>
      </c>
      <c r="U5" s="1042">
        <f>E5-T5</f>
        <v>67500000</v>
      </c>
      <c r="V5" s="1042">
        <f t="shared" ref="V5:V21" si="4">(F5/12)*12</f>
        <v>13500000</v>
      </c>
      <c r="W5" s="1042">
        <f>V5+T5</f>
        <v>54000000</v>
      </c>
      <c r="X5" s="1042">
        <f>E5-W5</f>
        <v>54000000</v>
      </c>
      <c r="Y5" s="7">
        <v>54000000</v>
      </c>
      <c r="Z5" s="7">
        <f>E5-Y5</f>
        <v>54000000</v>
      </c>
      <c r="AA5" s="1042">
        <f>(F5/12)*12</f>
        <v>13500000</v>
      </c>
      <c r="AB5" s="1042">
        <f>W5+AA5</f>
        <v>67500000</v>
      </c>
      <c r="AC5" s="1042">
        <f>E5-AB5</f>
        <v>40500000</v>
      </c>
      <c r="AD5" s="1042">
        <f>(F5/12)*12</f>
        <v>13500000</v>
      </c>
      <c r="AE5" s="1042">
        <f>AD5+AB5</f>
        <v>81000000</v>
      </c>
      <c r="AF5" s="1042">
        <f>E5-AE5</f>
        <v>27000000</v>
      </c>
      <c r="AG5" s="1042">
        <f>(F5/12)*12</f>
        <v>13500000</v>
      </c>
      <c r="AH5" s="1042">
        <f>AE5+AG5</f>
        <v>94500000</v>
      </c>
      <c r="AI5" s="1042">
        <f>E5-AH5</f>
        <v>13500000</v>
      </c>
      <c r="AJ5" s="1042">
        <f>(F5/12)*1</f>
        <v>1125000</v>
      </c>
      <c r="AK5" s="1042">
        <f>AH5+AJ5</f>
        <v>95625000</v>
      </c>
      <c r="AL5" s="1042">
        <f>E5-AK5</f>
        <v>12375000</v>
      </c>
      <c r="AM5" s="1042">
        <f>(F5/12)*9</f>
        <v>10125000</v>
      </c>
      <c r="AN5" s="1042">
        <f>AH5+AM5</f>
        <v>104625000</v>
      </c>
      <c r="AO5" s="1042">
        <f>E5-AN5</f>
        <v>3375000</v>
      </c>
      <c r="AP5" s="1042">
        <f>(F5/12)*12</f>
        <v>13500000</v>
      </c>
      <c r="AQ5" s="1042">
        <f>AP5+AH5</f>
        <v>108000000</v>
      </c>
      <c r="AR5" s="1042">
        <f>E5-AQ5</f>
        <v>0</v>
      </c>
      <c r="AS5" s="1042">
        <f>(F5/12)*0</f>
        <v>0</v>
      </c>
      <c r="AT5" s="1042">
        <f>AQ5+AS5</f>
        <v>108000000</v>
      </c>
      <c r="AU5" s="1042">
        <f>E5-AT5</f>
        <v>0</v>
      </c>
      <c r="AV5" s="1042">
        <f>(F5/12)*0</f>
        <v>0</v>
      </c>
      <c r="AW5" s="1042">
        <f>AQ5+AV5</f>
        <v>108000000</v>
      </c>
      <c r="AX5" s="1042">
        <f>E5-AW5</f>
        <v>0</v>
      </c>
      <c r="AY5" s="19"/>
      <c r="AZ5" s="8">
        <f>E5-AW5-AX5</f>
        <v>0</v>
      </c>
    </row>
    <row r="6" spans="1:52" ht="14.25" customHeight="1">
      <c r="A6" s="17">
        <f t="shared" ref="A6:A37" si="5">A5+1</f>
        <v>3</v>
      </c>
      <c r="B6" s="56" t="s">
        <v>728</v>
      </c>
      <c r="C6" s="671">
        <v>37257</v>
      </c>
      <c r="D6" s="55">
        <v>8</v>
      </c>
      <c r="E6" s="6">
        <v>108000000</v>
      </c>
      <c r="F6" s="1041">
        <f t="shared" si="0"/>
        <v>13500000</v>
      </c>
      <c r="G6" s="1053"/>
      <c r="H6" s="1042">
        <f t="shared" ref="H6:H32" si="6">G6</f>
        <v>0</v>
      </c>
      <c r="I6" s="1042">
        <f t="shared" ref="I6:I32" si="7">E6-H6</f>
        <v>108000000</v>
      </c>
      <c r="J6" s="1042">
        <f t="shared" ref="J6:J11" si="8">(F6/12)*0</f>
        <v>0</v>
      </c>
      <c r="K6" s="1042">
        <f t="shared" ref="K6:K33" si="9">H6+J6</f>
        <v>0</v>
      </c>
      <c r="L6" s="1042">
        <f t="shared" ref="L6:L32" si="10">E6-K6</f>
        <v>108000000</v>
      </c>
      <c r="M6" s="1042">
        <f t="shared" si="1"/>
        <v>13500000</v>
      </c>
      <c r="N6" s="1042">
        <f t="shared" ref="N6:N35" si="11">K6+M6</f>
        <v>13500000</v>
      </c>
      <c r="O6" s="1042">
        <f t="shared" ref="O6:O35" si="12">E6-N6</f>
        <v>94500000</v>
      </c>
      <c r="P6" s="1042">
        <f t="shared" si="2"/>
        <v>13500000</v>
      </c>
      <c r="Q6" s="1042">
        <f t="shared" ref="Q6:Q36" si="13">N6+P6</f>
        <v>27000000</v>
      </c>
      <c r="R6" s="1042">
        <f t="shared" ref="R6:R36" si="14">E6-Q6</f>
        <v>81000000</v>
      </c>
      <c r="S6" s="1042">
        <f t="shared" si="3"/>
        <v>13500000</v>
      </c>
      <c r="T6" s="1042">
        <f t="shared" ref="T6:T14" si="15">Q6+S6</f>
        <v>40500000</v>
      </c>
      <c r="U6" s="1042">
        <f t="shared" ref="U6:U14" si="16">E6-T6</f>
        <v>67500000</v>
      </c>
      <c r="V6" s="1042">
        <f t="shared" si="4"/>
        <v>13500000</v>
      </c>
      <c r="W6" s="1042">
        <f t="shared" ref="W6:W21" si="17">V6+T6</f>
        <v>54000000</v>
      </c>
      <c r="X6" s="1042">
        <f t="shared" ref="X6:X21" si="18">E6-W6</f>
        <v>54000000</v>
      </c>
      <c r="Y6" s="7">
        <v>54000000</v>
      </c>
      <c r="Z6" s="7">
        <f t="shared" ref="Z6:Z36" si="19">E6-Y6</f>
        <v>54000000</v>
      </c>
      <c r="AA6" s="1042">
        <f t="shared" ref="AA6:AA32" si="20">(F6/12)*12</f>
        <v>13500000</v>
      </c>
      <c r="AB6" s="1042">
        <f t="shared" ref="AB6:AB62" si="21">W6+AA6</f>
        <v>67500000</v>
      </c>
      <c r="AC6" s="1042">
        <f t="shared" ref="AC6:AC23" si="22">E6-AB6</f>
        <v>40500000</v>
      </c>
      <c r="AD6" s="1042">
        <f t="shared" ref="AD6:AD32" si="23">(F6/12)*12</f>
        <v>13500000</v>
      </c>
      <c r="AE6" s="1042">
        <f t="shared" ref="AE6:AE30" si="24">AD6+AB6</f>
        <v>81000000</v>
      </c>
      <c r="AF6" s="1042">
        <f t="shared" ref="AF6:AF30" si="25">E6-AE6</f>
        <v>27000000</v>
      </c>
      <c r="AG6" s="1042">
        <f t="shared" ref="AG6:AG32" si="26">(F6/12)*12</f>
        <v>13500000</v>
      </c>
      <c r="AH6" s="1042">
        <f t="shared" ref="AH6:AH32" si="27">AE6+AG6</f>
        <v>94500000</v>
      </c>
      <c r="AI6" s="1042">
        <f t="shared" ref="AI6:AI32" si="28">E6-AH6</f>
        <v>13500000</v>
      </c>
      <c r="AJ6" s="1042">
        <f t="shared" ref="AJ6:AJ36" si="29">(F6/12)*1</f>
        <v>1125000</v>
      </c>
      <c r="AK6" s="1042">
        <f t="shared" ref="AK6:AK36" si="30">AH6+AJ6</f>
        <v>95625000</v>
      </c>
      <c r="AL6" s="1042">
        <f t="shared" ref="AL6:AL36" si="31">E6-AK6</f>
        <v>12375000</v>
      </c>
      <c r="AM6" s="1042">
        <f t="shared" ref="AM6:AM37" si="32">(F6/12)*9</f>
        <v>10125000</v>
      </c>
      <c r="AN6" s="1042">
        <f t="shared" ref="AN6:AN37" si="33">AH6+AM6</f>
        <v>104625000</v>
      </c>
      <c r="AO6" s="1042">
        <f t="shared" ref="AO6:AO37" si="34">E6-AN6</f>
        <v>3375000</v>
      </c>
      <c r="AP6" s="1042">
        <f t="shared" ref="AP6:AP32" si="35">(F6/12)*12</f>
        <v>13500000</v>
      </c>
      <c r="AQ6" s="1042">
        <f t="shared" ref="AQ6:AQ36" si="36">AP6+AH6</f>
        <v>108000000</v>
      </c>
      <c r="AR6" s="1042">
        <f t="shared" ref="AR6:AR36" si="37">E6-AQ6</f>
        <v>0</v>
      </c>
      <c r="AS6" s="1042">
        <f t="shared" ref="AS6:AS35" si="38">(F6/12)*0</f>
        <v>0</v>
      </c>
      <c r="AT6" s="1042">
        <f t="shared" ref="AT6:AT37" si="39">AQ6+AS6</f>
        <v>108000000</v>
      </c>
      <c r="AU6" s="1042">
        <f t="shared" ref="AU6:AU37" si="40">E6-AT6</f>
        <v>0</v>
      </c>
      <c r="AV6" s="1042">
        <f t="shared" ref="AV6:AV35" si="41">(F6/12)*0</f>
        <v>0</v>
      </c>
      <c r="AW6" s="1042">
        <f t="shared" ref="AW6:AW37" si="42">AQ6+AV6</f>
        <v>108000000</v>
      </c>
      <c r="AX6" s="1042">
        <f t="shared" ref="AX6:AX37" si="43">E6-AW6</f>
        <v>0</v>
      </c>
      <c r="AY6" s="19"/>
      <c r="AZ6" s="8">
        <f t="shared" ref="AZ6:AZ37" si="44">E6-AW6-AX6</f>
        <v>0</v>
      </c>
    </row>
    <row r="7" spans="1:52" ht="14.25" customHeight="1">
      <c r="A7" s="17">
        <f t="shared" si="5"/>
        <v>4</v>
      </c>
      <c r="B7" s="56" t="s">
        <v>729</v>
      </c>
      <c r="C7" s="671">
        <v>37987</v>
      </c>
      <c r="D7" s="55">
        <v>8</v>
      </c>
      <c r="E7" s="6">
        <v>84000000</v>
      </c>
      <c r="F7" s="1041">
        <f t="shared" si="0"/>
        <v>10500000</v>
      </c>
      <c r="G7" s="1053"/>
      <c r="H7" s="1042">
        <f t="shared" si="6"/>
        <v>0</v>
      </c>
      <c r="I7" s="1042">
        <f t="shared" si="7"/>
        <v>84000000</v>
      </c>
      <c r="J7" s="1042">
        <f t="shared" si="8"/>
        <v>0</v>
      </c>
      <c r="K7" s="1042">
        <f t="shared" si="9"/>
        <v>0</v>
      </c>
      <c r="L7" s="1042">
        <f t="shared" si="10"/>
        <v>84000000</v>
      </c>
      <c r="M7" s="1042">
        <f t="shared" si="1"/>
        <v>10500000</v>
      </c>
      <c r="N7" s="1042">
        <f t="shared" si="11"/>
        <v>10500000</v>
      </c>
      <c r="O7" s="1042">
        <f t="shared" si="12"/>
        <v>73500000</v>
      </c>
      <c r="P7" s="1042">
        <f t="shared" si="2"/>
        <v>10500000</v>
      </c>
      <c r="Q7" s="1042">
        <f t="shared" si="13"/>
        <v>21000000</v>
      </c>
      <c r="R7" s="1042">
        <f t="shared" si="14"/>
        <v>63000000</v>
      </c>
      <c r="S7" s="1042">
        <f t="shared" si="3"/>
        <v>10500000</v>
      </c>
      <c r="T7" s="1042">
        <f t="shared" si="15"/>
        <v>31500000</v>
      </c>
      <c r="U7" s="1042">
        <f t="shared" si="16"/>
        <v>52500000</v>
      </c>
      <c r="V7" s="1042">
        <f t="shared" si="4"/>
        <v>10500000</v>
      </c>
      <c r="W7" s="1042">
        <f t="shared" si="17"/>
        <v>42000000</v>
      </c>
      <c r="X7" s="1042">
        <f t="shared" si="18"/>
        <v>42000000</v>
      </c>
      <c r="Y7" s="7">
        <v>42000000</v>
      </c>
      <c r="Z7" s="7">
        <f t="shared" si="19"/>
        <v>42000000</v>
      </c>
      <c r="AA7" s="1042">
        <f t="shared" si="20"/>
        <v>10500000</v>
      </c>
      <c r="AB7" s="1042">
        <f t="shared" si="21"/>
        <v>52500000</v>
      </c>
      <c r="AC7" s="1042">
        <f t="shared" si="22"/>
        <v>31500000</v>
      </c>
      <c r="AD7" s="1042">
        <f t="shared" si="23"/>
        <v>10500000</v>
      </c>
      <c r="AE7" s="1042">
        <f t="shared" si="24"/>
        <v>63000000</v>
      </c>
      <c r="AF7" s="1042">
        <f t="shared" si="25"/>
        <v>21000000</v>
      </c>
      <c r="AG7" s="1042">
        <f t="shared" si="26"/>
        <v>10500000</v>
      </c>
      <c r="AH7" s="1042">
        <f t="shared" si="27"/>
        <v>73500000</v>
      </c>
      <c r="AI7" s="1042">
        <f t="shared" si="28"/>
        <v>10500000</v>
      </c>
      <c r="AJ7" s="1042">
        <f t="shared" si="29"/>
        <v>875000</v>
      </c>
      <c r="AK7" s="1042">
        <f t="shared" si="30"/>
        <v>74375000</v>
      </c>
      <c r="AL7" s="1042">
        <f t="shared" si="31"/>
        <v>9625000</v>
      </c>
      <c r="AM7" s="1042">
        <f t="shared" si="32"/>
        <v>7875000</v>
      </c>
      <c r="AN7" s="1042">
        <f t="shared" si="33"/>
        <v>81375000</v>
      </c>
      <c r="AO7" s="1042">
        <f t="shared" si="34"/>
        <v>2625000</v>
      </c>
      <c r="AP7" s="1042">
        <f t="shared" si="35"/>
        <v>10500000</v>
      </c>
      <c r="AQ7" s="1042">
        <f t="shared" si="36"/>
        <v>84000000</v>
      </c>
      <c r="AR7" s="1042">
        <f t="shared" si="37"/>
        <v>0</v>
      </c>
      <c r="AS7" s="1042">
        <f t="shared" si="38"/>
        <v>0</v>
      </c>
      <c r="AT7" s="1042">
        <f t="shared" si="39"/>
        <v>84000000</v>
      </c>
      <c r="AU7" s="1042">
        <f t="shared" si="40"/>
        <v>0</v>
      </c>
      <c r="AV7" s="1042">
        <f t="shared" si="41"/>
        <v>0</v>
      </c>
      <c r="AW7" s="1042">
        <f t="shared" si="42"/>
        <v>84000000</v>
      </c>
      <c r="AX7" s="1042">
        <f t="shared" si="43"/>
        <v>0</v>
      </c>
      <c r="AY7" s="19"/>
      <c r="AZ7" s="8">
        <f t="shared" si="44"/>
        <v>0</v>
      </c>
    </row>
    <row r="8" spans="1:52" ht="14.25" customHeight="1">
      <c r="A8" s="17">
        <f t="shared" si="5"/>
        <v>5</v>
      </c>
      <c r="B8" s="56" t="s">
        <v>727</v>
      </c>
      <c r="C8" s="671">
        <v>37987</v>
      </c>
      <c r="D8" s="55">
        <v>8</v>
      </c>
      <c r="E8" s="6">
        <v>69000000</v>
      </c>
      <c r="F8" s="1041">
        <f t="shared" si="0"/>
        <v>8625000</v>
      </c>
      <c r="G8" s="1053"/>
      <c r="H8" s="1042">
        <f t="shared" si="6"/>
        <v>0</v>
      </c>
      <c r="I8" s="1042">
        <f t="shared" si="7"/>
        <v>69000000</v>
      </c>
      <c r="J8" s="1042">
        <f t="shared" si="8"/>
        <v>0</v>
      </c>
      <c r="K8" s="1042">
        <f t="shared" si="9"/>
        <v>0</v>
      </c>
      <c r="L8" s="1042">
        <f t="shared" si="10"/>
        <v>69000000</v>
      </c>
      <c r="M8" s="1042">
        <f t="shared" si="1"/>
        <v>8625000</v>
      </c>
      <c r="N8" s="1042">
        <f t="shared" si="11"/>
        <v>8625000</v>
      </c>
      <c r="O8" s="1042">
        <f t="shared" si="12"/>
        <v>60375000</v>
      </c>
      <c r="P8" s="1042">
        <f t="shared" si="2"/>
        <v>8625000</v>
      </c>
      <c r="Q8" s="1042">
        <f t="shared" si="13"/>
        <v>17250000</v>
      </c>
      <c r="R8" s="1042">
        <f t="shared" si="14"/>
        <v>51750000</v>
      </c>
      <c r="S8" s="1042">
        <f t="shared" si="3"/>
        <v>8625000</v>
      </c>
      <c r="T8" s="1042">
        <f t="shared" si="15"/>
        <v>25875000</v>
      </c>
      <c r="U8" s="1042">
        <f t="shared" si="16"/>
        <v>43125000</v>
      </c>
      <c r="V8" s="1042">
        <f t="shared" si="4"/>
        <v>8625000</v>
      </c>
      <c r="W8" s="1042">
        <f t="shared" si="17"/>
        <v>34500000</v>
      </c>
      <c r="X8" s="1042">
        <f t="shared" si="18"/>
        <v>34500000</v>
      </c>
      <c r="Y8" s="7">
        <v>34500000</v>
      </c>
      <c r="Z8" s="7">
        <f t="shared" si="19"/>
        <v>34500000</v>
      </c>
      <c r="AA8" s="1042">
        <f t="shared" si="20"/>
        <v>8625000</v>
      </c>
      <c r="AB8" s="1042">
        <f t="shared" si="21"/>
        <v>43125000</v>
      </c>
      <c r="AC8" s="1042">
        <f t="shared" si="22"/>
        <v>25875000</v>
      </c>
      <c r="AD8" s="1042">
        <f t="shared" si="23"/>
        <v>8625000</v>
      </c>
      <c r="AE8" s="1042">
        <f t="shared" si="24"/>
        <v>51750000</v>
      </c>
      <c r="AF8" s="1042">
        <f t="shared" si="25"/>
        <v>17250000</v>
      </c>
      <c r="AG8" s="1042">
        <f t="shared" si="26"/>
        <v>8625000</v>
      </c>
      <c r="AH8" s="1042">
        <f t="shared" si="27"/>
        <v>60375000</v>
      </c>
      <c r="AI8" s="1042">
        <f t="shared" si="28"/>
        <v>8625000</v>
      </c>
      <c r="AJ8" s="1042">
        <f t="shared" si="29"/>
        <v>718750</v>
      </c>
      <c r="AK8" s="1042">
        <f t="shared" si="30"/>
        <v>61093750</v>
      </c>
      <c r="AL8" s="1042">
        <f t="shared" si="31"/>
        <v>7906250</v>
      </c>
      <c r="AM8" s="1042">
        <f t="shared" si="32"/>
        <v>6468750</v>
      </c>
      <c r="AN8" s="1042">
        <f t="shared" si="33"/>
        <v>66843750</v>
      </c>
      <c r="AO8" s="1042">
        <f t="shared" si="34"/>
        <v>2156250</v>
      </c>
      <c r="AP8" s="1042">
        <f t="shared" si="35"/>
        <v>8625000</v>
      </c>
      <c r="AQ8" s="1042">
        <f t="shared" si="36"/>
        <v>69000000</v>
      </c>
      <c r="AR8" s="1042">
        <f t="shared" si="37"/>
        <v>0</v>
      </c>
      <c r="AS8" s="1042">
        <f t="shared" si="38"/>
        <v>0</v>
      </c>
      <c r="AT8" s="1042">
        <f t="shared" si="39"/>
        <v>69000000</v>
      </c>
      <c r="AU8" s="1042">
        <f t="shared" si="40"/>
        <v>0</v>
      </c>
      <c r="AV8" s="1042">
        <f t="shared" si="41"/>
        <v>0</v>
      </c>
      <c r="AW8" s="1042">
        <f t="shared" si="42"/>
        <v>69000000</v>
      </c>
      <c r="AX8" s="1042">
        <f t="shared" si="43"/>
        <v>0</v>
      </c>
      <c r="AY8" s="19"/>
      <c r="AZ8" s="8">
        <f t="shared" si="44"/>
        <v>0</v>
      </c>
    </row>
    <row r="9" spans="1:52" ht="14.25" customHeight="1">
      <c r="A9" s="17">
        <f t="shared" si="5"/>
        <v>6</v>
      </c>
      <c r="B9" s="56" t="s">
        <v>730</v>
      </c>
      <c r="C9" s="671">
        <v>37987</v>
      </c>
      <c r="D9" s="55">
        <v>8</v>
      </c>
      <c r="E9" s="6">
        <v>94000000</v>
      </c>
      <c r="F9" s="1041">
        <f t="shared" si="0"/>
        <v>11750000</v>
      </c>
      <c r="G9" s="1053"/>
      <c r="H9" s="1042">
        <f t="shared" si="6"/>
        <v>0</v>
      </c>
      <c r="I9" s="1042">
        <f t="shared" si="7"/>
        <v>94000000</v>
      </c>
      <c r="J9" s="1042">
        <f t="shared" si="8"/>
        <v>0</v>
      </c>
      <c r="K9" s="1042">
        <f t="shared" si="9"/>
        <v>0</v>
      </c>
      <c r="L9" s="1042">
        <f t="shared" si="10"/>
        <v>94000000</v>
      </c>
      <c r="M9" s="1042">
        <f t="shared" si="1"/>
        <v>11750000</v>
      </c>
      <c r="N9" s="1042">
        <f t="shared" si="11"/>
        <v>11750000</v>
      </c>
      <c r="O9" s="1042">
        <f t="shared" si="12"/>
        <v>82250000</v>
      </c>
      <c r="P9" s="1042">
        <f t="shared" si="2"/>
        <v>11750000</v>
      </c>
      <c r="Q9" s="1042">
        <f t="shared" si="13"/>
        <v>23500000</v>
      </c>
      <c r="R9" s="1042">
        <f t="shared" si="14"/>
        <v>70500000</v>
      </c>
      <c r="S9" s="1042">
        <f t="shared" si="3"/>
        <v>11750000</v>
      </c>
      <c r="T9" s="1042">
        <f t="shared" si="15"/>
        <v>35250000</v>
      </c>
      <c r="U9" s="1042">
        <f t="shared" si="16"/>
        <v>58750000</v>
      </c>
      <c r="V9" s="1042">
        <f t="shared" si="4"/>
        <v>11750000</v>
      </c>
      <c r="W9" s="1042">
        <f t="shared" si="17"/>
        <v>47000000</v>
      </c>
      <c r="X9" s="1042">
        <f t="shared" si="18"/>
        <v>47000000</v>
      </c>
      <c r="Y9" s="7">
        <v>47000000</v>
      </c>
      <c r="Z9" s="7">
        <f t="shared" si="19"/>
        <v>47000000</v>
      </c>
      <c r="AA9" s="1042">
        <f t="shared" si="20"/>
        <v>11750000</v>
      </c>
      <c r="AB9" s="1042">
        <f t="shared" si="21"/>
        <v>58750000</v>
      </c>
      <c r="AC9" s="1042">
        <f t="shared" si="22"/>
        <v>35250000</v>
      </c>
      <c r="AD9" s="1042">
        <f t="shared" si="23"/>
        <v>11750000</v>
      </c>
      <c r="AE9" s="1042">
        <f t="shared" si="24"/>
        <v>70500000</v>
      </c>
      <c r="AF9" s="1042">
        <f t="shared" si="25"/>
        <v>23500000</v>
      </c>
      <c r="AG9" s="1042">
        <f t="shared" si="26"/>
        <v>11750000</v>
      </c>
      <c r="AH9" s="1042">
        <f t="shared" si="27"/>
        <v>82250000</v>
      </c>
      <c r="AI9" s="1042">
        <f t="shared" si="28"/>
        <v>11750000</v>
      </c>
      <c r="AJ9" s="1042">
        <f t="shared" si="29"/>
        <v>979166.66666666663</v>
      </c>
      <c r="AK9" s="1042">
        <f t="shared" si="30"/>
        <v>83229166.666666672</v>
      </c>
      <c r="AL9" s="1042">
        <f t="shared" si="31"/>
        <v>10770833.333333328</v>
      </c>
      <c r="AM9" s="1042">
        <f t="shared" si="32"/>
        <v>8812500</v>
      </c>
      <c r="AN9" s="1042">
        <f t="shared" si="33"/>
        <v>91062500</v>
      </c>
      <c r="AO9" s="1042">
        <f t="shared" si="34"/>
        <v>2937500</v>
      </c>
      <c r="AP9" s="1042">
        <f t="shared" si="35"/>
        <v>11750000</v>
      </c>
      <c r="AQ9" s="1042">
        <f t="shared" si="36"/>
        <v>94000000</v>
      </c>
      <c r="AR9" s="1042">
        <f t="shared" si="37"/>
        <v>0</v>
      </c>
      <c r="AS9" s="1042">
        <f t="shared" si="38"/>
        <v>0</v>
      </c>
      <c r="AT9" s="1042">
        <f t="shared" si="39"/>
        <v>94000000</v>
      </c>
      <c r="AU9" s="1042">
        <f t="shared" si="40"/>
        <v>0</v>
      </c>
      <c r="AV9" s="1042">
        <f t="shared" si="41"/>
        <v>0</v>
      </c>
      <c r="AW9" s="1042">
        <f t="shared" si="42"/>
        <v>94000000</v>
      </c>
      <c r="AX9" s="1042">
        <f t="shared" si="43"/>
        <v>0</v>
      </c>
      <c r="AY9" s="19"/>
      <c r="AZ9" s="8">
        <f t="shared" si="44"/>
        <v>0</v>
      </c>
    </row>
    <row r="10" spans="1:52" ht="14.25" customHeight="1">
      <c r="A10" s="17">
        <f t="shared" si="5"/>
        <v>7</v>
      </c>
      <c r="B10" s="56" t="s">
        <v>731</v>
      </c>
      <c r="C10" s="671">
        <v>38353</v>
      </c>
      <c r="D10" s="55">
        <v>8</v>
      </c>
      <c r="E10" s="6">
        <v>77000000</v>
      </c>
      <c r="F10" s="1041">
        <f t="shared" si="0"/>
        <v>9625000</v>
      </c>
      <c r="G10" s="1053"/>
      <c r="H10" s="1042">
        <f t="shared" si="6"/>
        <v>0</v>
      </c>
      <c r="I10" s="1042">
        <f t="shared" si="7"/>
        <v>77000000</v>
      </c>
      <c r="J10" s="1042">
        <f t="shared" si="8"/>
        <v>0</v>
      </c>
      <c r="K10" s="1042">
        <f t="shared" si="9"/>
        <v>0</v>
      </c>
      <c r="L10" s="1042">
        <f t="shared" si="10"/>
        <v>77000000</v>
      </c>
      <c r="M10" s="1042">
        <f t="shared" si="1"/>
        <v>9625000</v>
      </c>
      <c r="N10" s="1042">
        <f t="shared" si="11"/>
        <v>9625000</v>
      </c>
      <c r="O10" s="1042">
        <f t="shared" si="12"/>
        <v>67375000</v>
      </c>
      <c r="P10" s="1042">
        <f t="shared" si="2"/>
        <v>9625000</v>
      </c>
      <c r="Q10" s="1042">
        <f t="shared" si="13"/>
        <v>19250000</v>
      </c>
      <c r="R10" s="1042">
        <f t="shared" si="14"/>
        <v>57750000</v>
      </c>
      <c r="S10" s="1042">
        <f t="shared" si="3"/>
        <v>9625000</v>
      </c>
      <c r="T10" s="1042">
        <f t="shared" si="15"/>
        <v>28875000</v>
      </c>
      <c r="U10" s="1042">
        <f t="shared" si="16"/>
        <v>48125000</v>
      </c>
      <c r="V10" s="1042">
        <f t="shared" si="4"/>
        <v>9625000</v>
      </c>
      <c r="W10" s="1042">
        <f t="shared" si="17"/>
        <v>38500000</v>
      </c>
      <c r="X10" s="1042">
        <f t="shared" si="18"/>
        <v>38500000</v>
      </c>
      <c r="Y10" s="7">
        <v>38500000</v>
      </c>
      <c r="Z10" s="7">
        <f t="shared" si="19"/>
        <v>38500000</v>
      </c>
      <c r="AA10" s="1042">
        <f t="shared" si="20"/>
        <v>9625000</v>
      </c>
      <c r="AB10" s="1042">
        <f t="shared" si="21"/>
        <v>48125000</v>
      </c>
      <c r="AC10" s="1042">
        <f t="shared" si="22"/>
        <v>28875000</v>
      </c>
      <c r="AD10" s="1042">
        <f t="shared" si="23"/>
        <v>9625000</v>
      </c>
      <c r="AE10" s="1042">
        <f t="shared" si="24"/>
        <v>57750000</v>
      </c>
      <c r="AF10" s="1042">
        <f t="shared" si="25"/>
        <v>19250000</v>
      </c>
      <c r="AG10" s="1042">
        <f t="shared" si="26"/>
        <v>9625000</v>
      </c>
      <c r="AH10" s="1042">
        <f t="shared" si="27"/>
        <v>67375000</v>
      </c>
      <c r="AI10" s="1042">
        <f t="shared" si="28"/>
        <v>9625000</v>
      </c>
      <c r="AJ10" s="1042">
        <f t="shared" si="29"/>
        <v>802083.33333333337</v>
      </c>
      <c r="AK10" s="1042">
        <f t="shared" si="30"/>
        <v>68177083.333333328</v>
      </c>
      <c r="AL10" s="1042">
        <f t="shared" si="31"/>
        <v>8822916.6666666716</v>
      </c>
      <c r="AM10" s="1042">
        <f t="shared" si="32"/>
        <v>7218750</v>
      </c>
      <c r="AN10" s="1042">
        <f t="shared" si="33"/>
        <v>74593750</v>
      </c>
      <c r="AO10" s="1042">
        <f t="shared" si="34"/>
        <v>2406250</v>
      </c>
      <c r="AP10" s="1042">
        <f t="shared" si="35"/>
        <v>9625000</v>
      </c>
      <c r="AQ10" s="1042">
        <f t="shared" si="36"/>
        <v>77000000</v>
      </c>
      <c r="AR10" s="1042">
        <f t="shared" si="37"/>
        <v>0</v>
      </c>
      <c r="AS10" s="1042">
        <f t="shared" si="38"/>
        <v>0</v>
      </c>
      <c r="AT10" s="1042">
        <f t="shared" si="39"/>
        <v>77000000</v>
      </c>
      <c r="AU10" s="1042">
        <f t="shared" si="40"/>
        <v>0</v>
      </c>
      <c r="AV10" s="1042">
        <f t="shared" si="41"/>
        <v>0</v>
      </c>
      <c r="AW10" s="1042">
        <f t="shared" si="42"/>
        <v>77000000</v>
      </c>
      <c r="AX10" s="1042">
        <f t="shared" si="43"/>
        <v>0</v>
      </c>
      <c r="AY10" s="19"/>
      <c r="AZ10" s="8">
        <f t="shared" si="44"/>
        <v>0</v>
      </c>
    </row>
    <row r="11" spans="1:52" ht="14.25" customHeight="1">
      <c r="A11" s="17">
        <f t="shared" si="5"/>
        <v>8</v>
      </c>
      <c r="B11" s="56" t="s">
        <v>731</v>
      </c>
      <c r="C11" s="671">
        <v>38353</v>
      </c>
      <c r="D11" s="55">
        <v>8</v>
      </c>
      <c r="E11" s="6">
        <v>77000000</v>
      </c>
      <c r="F11" s="1041">
        <f t="shared" si="0"/>
        <v>9625000</v>
      </c>
      <c r="G11" s="1053"/>
      <c r="H11" s="1042">
        <f t="shared" si="6"/>
        <v>0</v>
      </c>
      <c r="I11" s="1042">
        <f t="shared" si="7"/>
        <v>77000000</v>
      </c>
      <c r="J11" s="1042">
        <f t="shared" si="8"/>
        <v>0</v>
      </c>
      <c r="K11" s="1042">
        <f t="shared" si="9"/>
        <v>0</v>
      </c>
      <c r="L11" s="1042">
        <f t="shared" si="10"/>
        <v>77000000</v>
      </c>
      <c r="M11" s="1042">
        <f t="shared" si="1"/>
        <v>9625000</v>
      </c>
      <c r="N11" s="1042">
        <f t="shared" si="11"/>
        <v>9625000</v>
      </c>
      <c r="O11" s="1042">
        <f t="shared" si="12"/>
        <v>67375000</v>
      </c>
      <c r="P11" s="1042">
        <f t="shared" si="2"/>
        <v>9625000</v>
      </c>
      <c r="Q11" s="1042">
        <f t="shared" si="13"/>
        <v>19250000</v>
      </c>
      <c r="R11" s="1042">
        <f t="shared" si="14"/>
        <v>57750000</v>
      </c>
      <c r="S11" s="1042">
        <f t="shared" si="3"/>
        <v>9625000</v>
      </c>
      <c r="T11" s="1042">
        <f t="shared" si="15"/>
        <v>28875000</v>
      </c>
      <c r="U11" s="1042">
        <f t="shared" si="16"/>
        <v>48125000</v>
      </c>
      <c r="V11" s="1042">
        <f t="shared" si="4"/>
        <v>9625000</v>
      </c>
      <c r="W11" s="1042">
        <f t="shared" si="17"/>
        <v>38500000</v>
      </c>
      <c r="X11" s="1042">
        <f t="shared" si="18"/>
        <v>38500000</v>
      </c>
      <c r="Y11" s="7">
        <v>38500000</v>
      </c>
      <c r="Z11" s="7">
        <f t="shared" si="19"/>
        <v>38500000</v>
      </c>
      <c r="AA11" s="1042">
        <f t="shared" si="20"/>
        <v>9625000</v>
      </c>
      <c r="AB11" s="1042">
        <f t="shared" si="21"/>
        <v>48125000</v>
      </c>
      <c r="AC11" s="1042">
        <f t="shared" si="22"/>
        <v>28875000</v>
      </c>
      <c r="AD11" s="1042">
        <f t="shared" si="23"/>
        <v>9625000</v>
      </c>
      <c r="AE11" s="1042">
        <f t="shared" si="24"/>
        <v>57750000</v>
      </c>
      <c r="AF11" s="1042">
        <f t="shared" si="25"/>
        <v>19250000</v>
      </c>
      <c r="AG11" s="1042">
        <f t="shared" si="26"/>
        <v>9625000</v>
      </c>
      <c r="AH11" s="1042">
        <f t="shared" si="27"/>
        <v>67375000</v>
      </c>
      <c r="AI11" s="1042">
        <f t="shared" si="28"/>
        <v>9625000</v>
      </c>
      <c r="AJ11" s="1042">
        <f t="shared" si="29"/>
        <v>802083.33333333337</v>
      </c>
      <c r="AK11" s="1042">
        <f t="shared" si="30"/>
        <v>68177083.333333328</v>
      </c>
      <c r="AL11" s="1042">
        <f t="shared" si="31"/>
        <v>8822916.6666666716</v>
      </c>
      <c r="AM11" s="1042">
        <f t="shared" si="32"/>
        <v>7218750</v>
      </c>
      <c r="AN11" s="1042">
        <f t="shared" si="33"/>
        <v>74593750</v>
      </c>
      <c r="AO11" s="1042">
        <f t="shared" si="34"/>
        <v>2406250</v>
      </c>
      <c r="AP11" s="1042">
        <f t="shared" si="35"/>
        <v>9625000</v>
      </c>
      <c r="AQ11" s="1042">
        <f t="shared" si="36"/>
        <v>77000000</v>
      </c>
      <c r="AR11" s="1042">
        <f t="shared" si="37"/>
        <v>0</v>
      </c>
      <c r="AS11" s="1042">
        <f t="shared" si="38"/>
        <v>0</v>
      </c>
      <c r="AT11" s="1042">
        <f t="shared" si="39"/>
        <v>77000000</v>
      </c>
      <c r="AU11" s="1042">
        <f t="shared" si="40"/>
        <v>0</v>
      </c>
      <c r="AV11" s="1042">
        <f t="shared" si="41"/>
        <v>0</v>
      </c>
      <c r="AW11" s="1042">
        <f t="shared" si="42"/>
        <v>77000000</v>
      </c>
      <c r="AX11" s="1042">
        <f t="shared" si="43"/>
        <v>0</v>
      </c>
      <c r="AY11" s="19"/>
      <c r="AZ11" s="8">
        <f t="shared" si="44"/>
        <v>0</v>
      </c>
    </row>
    <row r="12" spans="1:52" ht="14.25" customHeight="1">
      <c r="A12" s="17">
        <f t="shared" si="5"/>
        <v>9</v>
      </c>
      <c r="B12" s="56" t="s">
        <v>732</v>
      </c>
      <c r="C12" s="671">
        <v>39448</v>
      </c>
      <c r="D12" s="55">
        <v>8</v>
      </c>
      <c r="E12" s="6">
        <v>165000000</v>
      </c>
      <c r="F12" s="1041">
        <f t="shared" si="0"/>
        <v>20625000</v>
      </c>
      <c r="G12" s="1053"/>
      <c r="H12" s="1042">
        <f t="shared" si="6"/>
        <v>0</v>
      </c>
      <c r="I12" s="1042">
        <f t="shared" si="7"/>
        <v>165000000</v>
      </c>
      <c r="J12" s="1042"/>
      <c r="K12" s="1042">
        <f t="shared" si="9"/>
        <v>0</v>
      </c>
      <c r="L12" s="1042">
        <f t="shared" si="10"/>
        <v>165000000</v>
      </c>
      <c r="M12" s="1042">
        <f t="shared" si="1"/>
        <v>20625000</v>
      </c>
      <c r="N12" s="1042">
        <f t="shared" si="11"/>
        <v>20625000</v>
      </c>
      <c r="O12" s="1042">
        <f t="shared" si="12"/>
        <v>144375000</v>
      </c>
      <c r="P12" s="1042">
        <f t="shared" si="2"/>
        <v>20625000</v>
      </c>
      <c r="Q12" s="1042">
        <f t="shared" si="13"/>
        <v>41250000</v>
      </c>
      <c r="R12" s="1042">
        <f t="shared" si="14"/>
        <v>123750000</v>
      </c>
      <c r="S12" s="1042">
        <f t="shared" si="3"/>
        <v>20625000</v>
      </c>
      <c r="T12" s="1042">
        <f t="shared" si="15"/>
        <v>61875000</v>
      </c>
      <c r="U12" s="1042">
        <f t="shared" si="16"/>
        <v>103125000</v>
      </c>
      <c r="V12" s="1042">
        <f t="shared" si="4"/>
        <v>20625000</v>
      </c>
      <c r="W12" s="1042">
        <f t="shared" si="17"/>
        <v>82500000</v>
      </c>
      <c r="X12" s="1042">
        <f t="shared" si="18"/>
        <v>82500000</v>
      </c>
      <c r="Y12" s="7">
        <v>82500000</v>
      </c>
      <c r="Z12" s="7">
        <f t="shared" si="19"/>
        <v>82500000</v>
      </c>
      <c r="AA12" s="1042">
        <f t="shared" si="20"/>
        <v>20625000</v>
      </c>
      <c r="AB12" s="1042">
        <f t="shared" si="21"/>
        <v>103125000</v>
      </c>
      <c r="AC12" s="1042">
        <f t="shared" si="22"/>
        <v>61875000</v>
      </c>
      <c r="AD12" s="1042">
        <f t="shared" si="23"/>
        <v>20625000</v>
      </c>
      <c r="AE12" s="1042">
        <f t="shared" si="24"/>
        <v>123750000</v>
      </c>
      <c r="AF12" s="1042">
        <f t="shared" si="25"/>
        <v>41250000</v>
      </c>
      <c r="AG12" s="1042">
        <f t="shared" si="26"/>
        <v>20625000</v>
      </c>
      <c r="AH12" s="1042">
        <f t="shared" si="27"/>
        <v>144375000</v>
      </c>
      <c r="AI12" s="1042">
        <f t="shared" si="28"/>
        <v>20625000</v>
      </c>
      <c r="AJ12" s="1042">
        <f t="shared" si="29"/>
        <v>1718750</v>
      </c>
      <c r="AK12" s="1042">
        <f t="shared" si="30"/>
        <v>146093750</v>
      </c>
      <c r="AL12" s="1042">
        <f t="shared" si="31"/>
        <v>18906250</v>
      </c>
      <c r="AM12" s="1042">
        <f t="shared" si="32"/>
        <v>15468750</v>
      </c>
      <c r="AN12" s="1042">
        <f t="shared" si="33"/>
        <v>159843750</v>
      </c>
      <c r="AO12" s="1042">
        <f t="shared" si="34"/>
        <v>5156250</v>
      </c>
      <c r="AP12" s="1042">
        <f t="shared" si="35"/>
        <v>20625000</v>
      </c>
      <c r="AQ12" s="1042">
        <f t="shared" si="36"/>
        <v>165000000</v>
      </c>
      <c r="AR12" s="1042">
        <f t="shared" si="37"/>
        <v>0</v>
      </c>
      <c r="AS12" s="1042">
        <f t="shared" si="38"/>
        <v>0</v>
      </c>
      <c r="AT12" s="1042">
        <f t="shared" si="39"/>
        <v>165000000</v>
      </c>
      <c r="AU12" s="1042">
        <f t="shared" si="40"/>
        <v>0</v>
      </c>
      <c r="AV12" s="1042">
        <f t="shared" si="41"/>
        <v>0</v>
      </c>
      <c r="AW12" s="1042">
        <f t="shared" si="42"/>
        <v>165000000</v>
      </c>
      <c r="AX12" s="1042">
        <f t="shared" si="43"/>
        <v>0</v>
      </c>
      <c r="AY12" s="19"/>
      <c r="AZ12" s="8">
        <f t="shared" si="44"/>
        <v>0</v>
      </c>
    </row>
    <row r="13" spans="1:52" ht="14.25" customHeight="1">
      <c r="A13" s="17">
        <f t="shared" si="5"/>
        <v>10</v>
      </c>
      <c r="B13" s="56" t="s">
        <v>733</v>
      </c>
      <c r="C13" s="671">
        <v>39448</v>
      </c>
      <c r="D13" s="55">
        <v>8</v>
      </c>
      <c r="E13" s="6">
        <v>264000000</v>
      </c>
      <c r="F13" s="1041">
        <f t="shared" si="0"/>
        <v>33000000</v>
      </c>
      <c r="G13" s="1053"/>
      <c r="H13" s="1042">
        <f t="shared" si="6"/>
        <v>0</v>
      </c>
      <c r="I13" s="1042">
        <f t="shared" si="7"/>
        <v>264000000</v>
      </c>
      <c r="J13" s="1042"/>
      <c r="K13" s="1042">
        <f t="shared" si="9"/>
        <v>0</v>
      </c>
      <c r="L13" s="1042">
        <f t="shared" si="10"/>
        <v>264000000</v>
      </c>
      <c r="M13" s="1042">
        <f t="shared" si="1"/>
        <v>33000000</v>
      </c>
      <c r="N13" s="1042">
        <f t="shared" si="11"/>
        <v>33000000</v>
      </c>
      <c r="O13" s="1042">
        <f t="shared" si="12"/>
        <v>231000000</v>
      </c>
      <c r="P13" s="1042">
        <f t="shared" si="2"/>
        <v>33000000</v>
      </c>
      <c r="Q13" s="1042">
        <f t="shared" si="13"/>
        <v>66000000</v>
      </c>
      <c r="R13" s="1042">
        <f t="shared" si="14"/>
        <v>198000000</v>
      </c>
      <c r="S13" s="1042">
        <f t="shared" si="3"/>
        <v>33000000</v>
      </c>
      <c r="T13" s="1042">
        <f t="shared" si="15"/>
        <v>99000000</v>
      </c>
      <c r="U13" s="1042">
        <f t="shared" si="16"/>
        <v>165000000</v>
      </c>
      <c r="V13" s="1042">
        <f t="shared" si="4"/>
        <v>33000000</v>
      </c>
      <c r="W13" s="1042">
        <f t="shared" si="17"/>
        <v>132000000</v>
      </c>
      <c r="X13" s="1042">
        <f t="shared" si="18"/>
        <v>132000000</v>
      </c>
      <c r="Y13" s="7">
        <v>132000000</v>
      </c>
      <c r="Z13" s="7">
        <f t="shared" si="19"/>
        <v>132000000</v>
      </c>
      <c r="AA13" s="1042">
        <f t="shared" si="20"/>
        <v>33000000</v>
      </c>
      <c r="AB13" s="1042">
        <f t="shared" si="21"/>
        <v>165000000</v>
      </c>
      <c r="AC13" s="1042">
        <f t="shared" si="22"/>
        <v>99000000</v>
      </c>
      <c r="AD13" s="1042">
        <f t="shared" si="23"/>
        <v>33000000</v>
      </c>
      <c r="AE13" s="1042">
        <f t="shared" si="24"/>
        <v>198000000</v>
      </c>
      <c r="AF13" s="1042">
        <f t="shared" si="25"/>
        <v>66000000</v>
      </c>
      <c r="AG13" s="1042">
        <f t="shared" si="26"/>
        <v>33000000</v>
      </c>
      <c r="AH13" s="1042">
        <f t="shared" si="27"/>
        <v>231000000</v>
      </c>
      <c r="AI13" s="1042">
        <f t="shared" si="28"/>
        <v>33000000</v>
      </c>
      <c r="AJ13" s="1042">
        <f t="shared" si="29"/>
        <v>2750000</v>
      </c>
      <c r="AK13" s="1042">
        <f t="shared" si="30"/>
        <v>233750000</v>
      </c>
      <c r="AL13" s="1042">
        <f t="shared" si="31"/>
        <v>30250000</v>
      </c>
      <c r="AM13" s="1042">
        <f t="shared" si="32"/>
        <v>24750000</v>
      </c>
      <c r="AN13" s="1042">
        <f t="shared" si="33"/>
        <v>255750000</v>
      </c>
      <c r="AO13" s="1042">
        <f t="shared" si="34"/>
        <v>8250000</v>
      </c>
      <c r="AP13" s="1042">
        <f t="shared" si="35"/>
        <v>33000000</v>
      </c>
      <c r="AQ13" s="1042">
        <f t="shared" si="36"/>
        <v>264000000</v>
      </c>
      <c r="AR13" s="1042">
        <f t="shared" si="37"/>
        <v>0</v>
      </c>
      <c r="AS13" s="1042">
        <f t="shared" si="38"/>
        <v>0</v>
      </c>
      <c r="AT13" s="1042">
        <f t="shared" si="39"/>
        <v>264000000</v>
      </c>
      <c r="AU13" s="1042">
        <f t="shared" si="40"/>
        <v>0</v>
      </c>
      <c r="AV13" s="1042">
        <f t="shared" si="41"/>
        <v>0</v>
      </c>
      <c r="AW13" s="1042">
        <f t="shared" si="42"/>
        <v>264000000</v>
      </c>
      <c r="AX13" s="1042">
        <f t="shared" si="43"/>
        <v>0</v>
      </c>
      <c r="AY13" s="19"/>
      <c r="AZ13" s="8">
        <f t="shared" si="44"/>
        <v>0</v>
      </c>
    </row>
    <row r="14" spans="1:52" ht="14.25" customHeight="1">
      <c r="A14" s="17">
        <f t="shared" si="5"/>
        <v>11</v>
      </c>
      <c r="B14" s="56" t="s">
        <v>734</v>
      </c>
      <c r="C14" s="671">
        <v>40179</v>
      </c>
      <c r="D14" s="55">
        <v>8</v>
      </c>
      <c r="E14" s="6">
        <v>171000000</v>
      </c>
      <c r="F14" s="1041">
        <f t="shared" si="0"/>
        <v>21375000</v>
      </c>
      <c r="G14" s="1053"/>
      <c r="H14" s="1042">
        <f t="shared" si="6"/>
        <v>0</v>
      </c>
      <c r="I14" s="1042">
        <f t="shared" si="7"/>
        <v>171000000</v>
      </c>
      <c r="J14" s="1042"/>
      <c r="K14" s="1042">
        <f t="shared" si="9"/>
        <v>0</v>
      </c>
      <c r="L14" s="1042">
        <f t="shared" si="10"/>
        <v>171000000</v>
      </c>
      <c r="M14" s="1042">
        <f t="shared" ref="M14:M33" si="45">(F14/12)*12</f>
        <v>21375000</v>
      </c>
      <c r="N14" s="1042">
        <f t="shared" si="11"/>
        <v>21375000</v>
      </c>
      <c r="O14" s="1042">
        <f t="shared" si="12"/>
        <v>149625000</v>
      </c>
      <c r="P14" s="1042">
        <f>(F14/12)*12</f>
        <v>21375000</v>
      </c>
      <c r="Q14" s="1042">
        <f t="shared" si="13"/>
        <v>42750000</v>
      </c>
      <c r="R14" s="1042">
        <f t="shared" si="14"/>
        <v>128250000</v>
      </c>
      <c r="S14" s="1042">
        <f t="shared" si="3"/>
        <v>21375000</v>
      </c>
      <c r="T14" s="1042">
        <f t="shared" si="15"/>
        <v>64125000</v>
      </c>
      <c r="U14" s="1042">
        <f t="shared" si="16"/>
        <v>106875000</v>
      </c>
      <c r="V14" s="1042">
        <f t="shared" si="4"/>
        <v>21375000</v>
      </c>
      <c r="W14" s="1042">
        <f t="shared" si="17"/>
        <v>85500000</v>
      </c>
      <c r="X14" s="1042">
        <f t="shared" si="18"/>
        <v>85500000</v>
      </c>
      <c r="Y14" s="7">
        <v>85500000</v>
      </c>
      <c r="Z14" s="7">
        <f t="shared" si="19"/>
        <v>85500000</v>
      </c>
      <c r="AA14" s="1042">
        <f t="shared" si="20"/>
        <v>21375000</v>
      </c>
      <c r="AB14" s="1042">
        <f t="shared" si="21"/>
        <v>106875000</v>
      </c>
      <c r="AC14" s="1042">
        <f t="shared" si="22"/>
        <v>64125000</v>
      </c>
      <c r="AD14" s="1042">
        <f t="shared" si="23"/>
        <v>21375000</v>
      </c>
      <c r="AE14" s="1042">
        <f t="shared" si="24"/>
        <v>128250000</v>
      </c>
      <c r="AF14" s="1042">
        <f t="shared" si="25"/>
        <v>42750000</v>
      </c>
      <c r="AG14" s="1042">
        <f t="shared" si="26"/>
        <v>21375000</v>
      </c>
      <c r="AH14" s="1042">
        <f t="shared" si="27"/>
        <v>149625000</v>
      </c>
      <c r="AI14" s="1042">
        <f t="shared" si="28"/>
        <v>21375000</v>
      </c>
      <c r="AJ14" s="1042">
        <f t="shared" si="29"/>
        <v>1781250</v>
      </c>
      <c r="AK14" s="1042">
        <f t="shared" si="30"/>
        <v>151406250</v>
      </c>
      <c r="AL14" s="1042">
        <f t="shared" si="31"/>
        <v>19593750</v>
      </c>
      <c r="AM14" s="1042">
        <f t="shared" si="32"/>
        <v>16031250</v>
      </c>
      <c r="AN14" s="1042">
        <f t="shared" si="33"/>
        <v>165656250</v>
      </c>
      <c r="AO14" s="1042">
        <f t="shared" si="34"/>
        <v>5343750</v>
      </c>
      <c r="AP14" s="1042">
        <f t="shared" si="35"/>
        <v>21375000</v>
      </c>
      <c r="AQ14" s="1042">
        <f t="shared" si="36"/>
        <v>171000000</v>
      </c>
      <c r="AR14" s="1042">
        <f t="shared" si="37"/>
        <v>0</v>
      </c>
      <c r="AS14" s="1042">
        <f t="shared" si="38"/>
        <v>0</v>
      </c>
      <c r="AT14" s="1042">
        <f t="shared" si="39"/>
        <v>171000000</v>
      </c>
      <c r="AU14" s="1042">
        <f t="shared" si="40"/>
        <v>0</v>
      </c>
      <c r="AV14" s="1042">
        <f t="shared" si="41"/>
        <v>0</v>
      </c>
      <c r="AW14" s="1042">
        <f t="shared" si="42"/>
        <v>171000000</v>
      </c>
      <c r="AX14" s="1042">
        <f t="shared" si="43"/>
        <v>0</v>
      </c>
      <c r="AY14" s="19"/>
      <c r="AZ14" s="8">
        <f t="shared" si="44"/>
        <v>0</v>
      </c>
    </row>
    <row r="15" spans="1:52" ht="14.25" customHeight="1">
      <c r="A15" s="17">
        <v>1</v>
      </c>
      <c r="B15" s="56" t="s">
        <v>727</v>
      </c>
      <c r="C15" s="671">
        <v>40544</v>
      </c>
      <c r="D15" s="55">
        <v>8</v>
      </c>
      <c r="E15" s="6">
        <v>108000000</v>
      </c>
      <c r="F15" s="1041">
        <f>E15/D15</f>
        <v>13500000</v>
      </c>
      <c r="G15" s="1053"/>
      <c r="H15" s="1042">
        <f t="shared" si="6"/>
        <v>0</v>
      </c>
      <c r="I15" s="1042">
        <f t="shared" si="7"/>
        <v>108000000</v>
      </c>
      <c r="J15" s="1042"/>
      <c r="K15" s="1042">
        <f t="shared" si="9"/>
        <v>0</v>
      </c>
      <c r="L15" s="1042">
        <f t="shared" si="10"/>
        <v>108000000</v>
      </c>
      <c r="M15" s="1042">
        <f t="shared" si="45"/>
        <v>13500000</v>
      </c>
      <c r="N15" s="1042">
        <f t="shared" si="11"/>
        <v>13500000</v>
      </c>
      <c r="O15" s="1042">
        <f t="shared" si="12"/>
        <v>94500000</v>
      </c>
      <c r="P15" s="1042">
        <f t="shared" ref="P15:P35" si="46">(F15/12)*12</f>
        <v>13500000</v>
      </c>
      <c r="Q15" s="1042">
        <f t="shared" si="13"/>
        <v>27000000</v>
      </c>
      <c r="R15" s="1042">
        <f t="shared" si="14"/>
        <v>81000000</v>
      </c>
      <c r="S15" s="1042">
        <f>(F15/12)*12</f>
        <v>13500000</v>
      </c>
      <c r="T15" s="1042">
        <f t="shared" ref="T15" si="47">Q15+S15</f>
        <v>40500000</v>
      </c>
      <c r="U15" s="1042">
        <f t="shared" ref="U15" si="48">E15-T15</f>
        <v>67500000</v>
      </c>
      <c r="V15" s="1042">
        <f t="shared" si="4"/>
        <v>13500000</v>
      </c>
      <c r="W15" s="1042">
        <f t="shared" si="17"/>
        <v>54000000</v>
      </c>
      <c r="X15" s="1042">
        <f t="shared" si="18"/>
        <v>54000000</v>
      </c>
      <c r="Y15" s="7">
        <v>54000000</v>
      </c>
      <c r="Z15" s="7">
        <f t="shared" si="19"/>
        <v>54000000</v>
      </c>
      <c r="AA15" s="1042">
        <f t="shared" si="20"/>
        <v>13500000</v>
      </c>
      <c r="AB15" s="1042">
        <f t="shared" si="21"/>
        <v>67500000</v>
      </c>
      <c r="AC15" s="1042">
        <f t="shared" si="22"/>
        <v>40500000</v>
      </c>
      <c r="AD15" s="1042">
        <f t="shared" si="23"/>
        <v>13500000</v>
      </c>
      <c r="AE15" s="1042">
        <f t="shared" si="24"/>
        <v>81000000</v>
      </c>
      <c r="AF15" s="1042">
        <f t="shared" si="25"/>
        <v>27000000</v>
      </c>
      <c r="AG15" s="1042">
        <f t="shared" si="26"/>
        <v>13500000</v>
      </c>
      <c r="AH15" s="1042">
        <f t="shared" si="27"/>
        <v>94500000</v>
      </c>
      <c r="AI15" s="1042">
        <f t="shared" si="28"/>
        <v>13500000</v>
      </c>
      <c r="AJ15" s="1042">
        <f t="shared" si="29"/>
        <v>1125000</v>
      </c>
      <c r="AK15" s="1042">
        <f t="shared" si="30"/>
        <v>95625000</v>
      </c>
      <c r="AL15" s="1042">
        <f t="shared" si="31"/>
        <v>12375000</v>
      </c>
      <c r="AM15" s="1042">
        <f t="shared" si="32"/>
        <v>10125000</v>
      </c>
      <c r="AN15" s="1042">
        <f t="shared" si="33"/>
        <v>104625000</v>
      </c>
      <c r="AO15" s="1042">
        <f t="shared" si="34"/>
        <v>3375000</v>
      </c>
      <c r="AP15" s="1042">
        <f t="shared" si="35"/>
        <v>13500000</v>
      </c>
      <c r="AQ15" s="1042">
        <f t="shared" si="36"/>
        <v>108000000</v>
      </c>
      <c r="AR15" s="1042">
        <f t="shared" si="37"/>
        <v>0</v>
      </c>
      <c r="AS15" s="1042">
        <f t="shared" si="38"/>
        <v>0</v>
      </c>
      <c r="AT15" s="1042">
        <f t="shared" si="39"/>
        <v>108000000</v>
      </c>
      <c r="AU15" s="1042">
        <f t="shared" si="40"/>
        <v>0</v>
      </c>
      <c r="AV15" s="1042">
        <f t="shared" si="41"/>
        <v>0</v>
      </c>
      <c r="AW15" s="1042">
        <f t="shared" si="42"/>
        <v>108000000</v>
      </c>
      <c r="AX15" s="1042">
        <f t="shared" si="43"/>
        <v>0</v>
      </c>
      <c r="AY15" s="19"/>
      <c r="AZ15" s="8">
        <f t="shared" si="44"/>
        <v>0</v>
      </c>
    </row>
    <row r="16" spans="1:52" ht="14.25" customHeight="1">
      <c r="A16" s="17">
        <f>A14+1</f>
        <v>12</v>
      </c>
      <c r="B16" s="56" t="s">
        <v>727</v>
      </c>
      <c r="C16" s="671">
        <v>40544</v>
      </c>
      <c r="D16" s="55">
        <v>8</v>
      </c>
      <c r="E16" s="6">
        <v>108000000</v>
      </c>
      <c r="F16" s="1041">
        <f t="shared" si="0"/>
        <v>13500000</v>
      </c>
      <c r="G16" s="1053"/>
      <c r="H16" s="1042">
        <f t="shared" si="6"/>
        <v>0</v>
      </c>
      <c r="I16" s="1042">
        <f t="shared" si="7"/>
        <v>108000000</v>
      </c>
      <c r="J16" s="1042"/>
      <c r="K16" s="1042">
        <f t="shared" si="9"/>
        <v>0</v>
      </c>
      <c r="L16" s="1042">
        <f t="shared" si="10"/>
        <v>108000000</v>
      </c>
      <c r="M16" s="1042">
        <f t="shared" si="45"/>
        <v>13500000</v>
      </c>
      <c r="N16" s="1042">
        <f t="shared" si="11"/>
        <v>13500000</v>
      </c>
      <c r="O16" s="1042">
        <f t="shared" si="12"/>
        <v>94500000</v>
      </c>
      <c r="P16" s="1042">
        <f t="shared" si="46"/>
        <v>13500000</v>
      </c>
      <c r="Q16" s="1042">
        <f t="shared" si="13"/>
        <v>27000000</v>
      </c>
      <c r="R16" s="1042">
        <f t="shared" si="14"/>
        <v>81000000</v>
      </c>
      <c r="S16" s="1042">
        <f t="shared" ref="S16:S36" si="49">(F16/12)*12</f>
        <v>13500000</v>
      </c>
      <c r="T16" s="1042">
        <f t="shared" ref="T16:T36" si="50">Q16+S16</f>
        <v>40500000</v>
      </c>
      <c r="U16" s="1042">
        <f t="shared" ref="U16:U36" si="51">E16-T16</f>
        <v>67500000</v>
      </c>
      <c r="V16" s="1042">
        <f t="shared" si="4"/>
        <v>13500000</v>
      </c>
      <c r="W16" s="1042">
        <f t="shared" si="17"/>
        <v>54000000</v>
      </c>
      <c r="X16" s="1042">
        <f t="shared" si="18"/>
        <v>54000000</v>
      </c>
      <c r="Y16" s="7">
        <v>54000000</v>
      </c>
      <c r="Z16" s="7">
        <f t="shared" si="19"/>
        <v>54000000</v>
      </c>
      <c r="AA16" s="1042">
        <f t="shared" si="20"/>
        <v>13500000</v>
      </c>
      <c r="AB16" s="1042">
        <f t="shared" si="21"/>
        <v>67500000</v>
      </c>
      <c r="AC16" s="1042">
        <f t="shared" si="22"/>
        <v>40500000</v>
      </c>
      <c r="AD16" s="1042">
        <f t="shared" si="23"/>
        <v>13500000</v>
      </c>
      <c r="AE16" s="1042">
        <f t="shared" si="24"/>
        <v>81000000</v>
      </c>
      <c r="AF16" s="1042">
        <f t="shared" si="25"/>
        <v>27000000</v>
      </c>
      <c r="AG16" s="1042">
        <f t="shared" si="26"/>
        <v>13500000</v>
      </c>
      <c r="AH16" s="1042">
        <f t="shared" si="27"/>
        <v>94500000</v>
      </c>
      <c r="AI16" s="1042">
        <f t="shared" si="28"/>
        <v>13500000</v>
      </c>
      <c r="AJ16" s="1042">
        <f t="shared" si="29"/>
        <v>1125000</v>
      </c>
      <c r="AK16" s="1042">
        <f t="shared" si="30"/>
        <v>95625000</v>
      </c>
      <c r="AL16" s="1042">
        <f t="shared" si="31"/>
        <v>12375000</v>
      </c>
      <c r="AM16" s="1042">
        <f t="shared" si="32"/>
        <v>10125000</v>
      </c>
      <c r="AN16" s="1042">
        <f t="shared" si="33"/>
        <v>104625000</v>
      </c>
      <c r="AO16" s="1042">
        <f t="shared" si="34"/>
        <v>3375000</v>
      </c>
      <c r="AP16" s="1042">
        <f t="shared" si="35"/>
        <v>13500000</v>
      </c>
      <c r="AQ16" s="1042">
        <f t="shared" si="36"/>
        <v>108000000</v>
      </c>
      <c r="AR16" s="1042">
        <f t="shared" si="37"/>
        <v>0</v>
      </c>
      <c r="AS16" s="1042">
        <f t="shared" si="38"/>
        <v>0</v>
      </c>
      <c r="AT16" s="1042">
        <f t="shared" si="39"/>
        <v>108000000</v>
      </c>
      <c r="AU16" s="1042">
        <f t="shared" si="40"/>
        <v>0</v>
      </c>
      <c r="AV16" s="1042">
        <f t="shared" si="41"/>
        <v>0</v>
      </c>
      <c r="AW16" s="1042">
        <f t="shared" si="42"/>
        <v>108000000</v>
      </c>
      <c r="AX16" s="1042">
        <f t="shared" si="43"/>
        <v>0</v>
      </c>
      <c r="AY16" s="19"/>
      <c r="AZ16" s="8">
        <f t="shared" si="44"/>
        <v>0</v>
      </c>
    </row>
    <row r="17" spans="1:52" ht="14.25" customHeight="1">
      <c r="A17" s="17">
        <f t="shared" si="5"/>
        <v>13</v>
      </c>
      <c r="B17" s="56" t="s">
        <v>735</v>
      </c>
      <c r="C17" s="671">
        <v>40544</v>
      </c>
      <c r="D17" s="55">
        <v>8</v>
      </c>
      <c r="E17" s="6">
        <v>190000000</v>
      </c>
      <c r="F17" s="1041">
        <f t="shared" si="0"/>
        <v>23750000</v>
      </c>
      <c r="G17" s="1053"/>
      <c r="H17" s="1042">
        <f t="shared" si="6"/>
        <v>0</v>
      </c>
      <c r="I17" s="1042">
        <f t="shared" si="7"/>
        <v>190000000</v>
      </c>
      <c r="J17" s="1042"/>
      <c r="K17" s="1042">
        <f t="shared" si="9"/>
        <v>0</v>
      </c>
      <c r="L17" s="1042">
        <f t="shared" si="10"/>
        <v>190000000</v>
      </c>
      <c r="M17" s="1042">
        <f t="shared" si="45"/>
        <v>23750000</v>
      </c>
      <c r="N17" s="1042">
        <f t="shared" si="11"/>
        <v>23750000</v>
      </c>
      <c r="O17" s="1042">
        <f t="shared" si="12"/>
        <v>166250000</v>
      </c>
      <c r="P17" s="1042">
        <f t="shared" si="46"/>
        <v>23750000</v>
      </c>
      <c r="Q17" s="1042">
        <f t="shared" si="13"/>
        <v>47500000</v>
      </c>
      <c r="R17" s="1042">
        <f t="shared" si="14"/>
        <v>142500000</v>
      </c>
      <c r="S17" s="1042">
        <f t="shared" si="49"/>
        <v>23750000</v>
      </c>
      <c r="T17" s="1042">
        <f t="shared" si="50"/>
        <v>71250000</v>
      </c>
      <c r="U17" s="1042">
        <f t="shared" si="51"/>
        <v>118750000</v>
      </c>
      <c r="V17" s="1042">
        <f t="shared" si="4"/>
        <v>23750000</v>
      </c>
      <c r="W17" s="1042">
        <f t="shared" si="17"/>
        <v>95000000</v>
      </c>
      <c r="X17" s="1042">
        <f t="shared" si="18"/>
        <v>95000000</v>
      </c>
      <c r="Y17" s="7">
        <v>95000000</v>
      </c>
      <c r="Z17" s="7">
        <f t="shared" si="19"/>
        <v>95000000</v>
      </c>
      <c r="AA17" s="1042">
        <f t="shared" si="20"/>
        <v>23750000</v>
      </c>
      <c r="AB17" s="1042">
        <f t="shared" si="21"/>
        <v>118750000</v>
      </c>
      <c r="AC17" s="1042">
        <f t="shared" si="22"/>
        <v>71250000</v>
      </c>
      <c r="AD17" s="1042">
        <f t="shared" si="23"/>
        <v>23750000</v>
      </c>
      <c r="AE17" s="1042">
        <f t="shared" si="24"/>
        <v>142500000</v>
      </c>
      <c r="AF17" s="1042">
        <f t="shared" si="25"/>
        <v>47500000</v>
      </c>
      <c r="AG17" s="1042">
        <f t="shared" si="26"/>
        <v>23750000</v>
      </c>
      <c r="AH17" s="1042">
        <f t="shared" si="27"/>
        <v>166250000</v>
      </c>
      <c r="AI17" s="1042">
        <f t="shared" si="28"/>
        <v>23750000</v>
      </c>
      <c r="AJ17" s="1042">
        <f t="shared" si="29"/>
        <v>1979166.6666666667</v>
      </c>
      <c r="AK17" s="1042">
        <f t="shared" si="30"/>
        <v>168229166.66666666</v>
      </c>
      <c r="AL17" s="1042">
        <f t="shared" si="31"/>
        <v>21770833.333333343</v>
      </c>
      <c r="AM17" s="1042">
        <f t="shared" si="32"/>
        <v>17812500</v>
      </c>
      <c r="AN17" s="1042">
        <f t="shared" si="33"/>
        <v>184062500</v>
      </c>
      <c r="AO17" s="1042">
        <f t="shared" si="34"/>
        <v>5937500</v>
      </c>
      <c r="AP17" s="1042">
        <f t="shared" si="35"/>
        <v>23750000</v>
      </c>
      <c r="AQ17" s="1042">
        <f t="shared" si="36"/>
        <v>190000000</v>
      </c>
      <c r="AR17" s="1042">
        <f t="shared" si="37"/>
        <v>0</v>
      </c>
      <c r="AS17" s="1042">
        <f t="shared" si="38"/>
        <v>0</v>
      </c>
      <c r="AT17" s="1042">
        <f t="shared" si="39"/>
        <v>190000000</v>
      </c>
      <c r="AU17" s="1042">
        <f t="shared" si="40"/>
        <v>0</v>
      </c>
      <c r="AV17" s="1042">
        <f t="shared" si="41"/>
        <v>0</v>
      </c>
      <c r="AW17" s="1042">
        <f t="shared" si="42"/>
        <v>190000000</v>
      </c>
      <c r="AX17" s="1042">
        <f t="shared" si="43"/>
        <v>0</v>
      </c>
      <c r="AY17" s="19"/>
      <c r="AZ17" s="8">
        <f t="shared" si="44"/>
        <v>0</v>
      </c>
    </row>
    <row r="18" spans="1:52" ht="14.25" customHeight="1">
      <c r="A18" s="17">
        <f t="shared" si="5"/>
        <v>14</v>
      </c>
      <c r="B18" s="56" t="s">
        <v>735</v>
      </c>
      <c r="C18" s="671">
        <v>40544</v>
      </c>
      <c r="D18" s="55">
        <v>8</v>
      </c>
      <c r="E18" s="6">
        <v>197000000</v>
      </c>
      <c r="F18" s="1041">
        <f t="shared" si="0"/>
        <v>24625000</v>
      </c>
      <c r="G18" s="1053"/>
      <c r="H18" s="1042">
        <f t="shared" si="6"/>
        <v>0</v>
      </c>
      <c r="I18" s="1042">
        <f t="shared" si="7"/>
        <v>197000000</v>
      </c>
      <c r="J18" s="1042"/>
      <c r="K18" s="1042">
        <f t="shared" si="9"/>
        <v>0</v>
      </c>
      <c r="L18" s="1042">
        <f t="shared" si="10"/>
        <v>197000000</v>
      </c>
      <c r="M18" s="1042">
        <f t="shared" si="45"/>
        <v>24625000</v>
      </c>
      <c r="N18" s="1042">
        <f t="shared" si="11"/>
        <v>24625000</v>
      </c>
      <c r="O18" s="1042">
        <f t="shared" si="12"/>
        <v>172375000</v>
      </c>
      <c r="P18" s="1042">
        <f t="shared" si="46"/>
        <v>24625000</v>
      </c>
      <c r="Q18" s="1042">
        <f t="shared" si="13"/>
        <v>49250000</v>
      </c>
      <c r="R18" s="1042">
        <f t="shared" si="14"/>
        <v>147750000</v>
      </c>
      <c r="S18" s="1042">
        <f t="shared" si="49"/>
        <v>24625000</v>
      </c>
      <c r="T18" s="1042">
        <f t="shared" si="50"/>
        <v>73875000</v>
      </c>
      <c r="U18" s="1042">
        <f t="shared" si="51"/>
        <v>123125000</v>
      </c>
      <c r="V18" s="1042">
        <f t="shared" si="4"/>
        <v>24625000</v>
      </c>
      <c r="W18" s="1042">
        <f t="shared" si="17"/>
        <v>98500000</v>
      </c>
      <c r="X18" s="1042">
        <f t="shared" si="18"/>
        <v>98500000</v>
      </c>
      <c r="Y18" s="7">
        <v>98500000</v>
      </c>
      <c r="Z18" s="7">
        <f t="shared" si="19"/>
        <v>98500000</v>
      </c>
      <c r="AA18" s="1042">
        <f t="shared" si="20"/>
        <v>24625000</v>
      </c>
      <c r="AB18" s="1042">
        <f t="shared" si="21"/>
        <v>123125000</v>
      </c>
      <c r="AC18" s="1042">
        <f t="shared" si="22"/>
        <v>73875000</v>
      </c>
      <c r="AD18" s="1042">
        <f t="shared" si="23"/>
        <v>24625000</v>
      </c>
      <c r="AE18" s="1042">
        <f t="shared" si="24"/>
        <v>147750000</v>
      </c>
      <c r="AF18" s="1042">
        <f t="shared" si="25"/>
        <v>49250000</v>
      </c>
      <c r="AG18" s="1042">
        <f t="shared" si="26"/>
        <v>24625000</v>
      </c>
      <c r="AH18" s="1042">
        <f t="shared" si="27"/>
        <v>172375000</v>
      </c>
      <c r="AI18" s="1042">
        <f t="shared" si="28"/>
        <v>24625000</v>
      </c>
      <c r="AJ18" s="1042">
        <f t="shared" si="29"/>
        <v>2052083.3333333333</v>
      </c>
      <c r="AK18" s="1042">
        <f t="shared" si="30"/>
        <v>174427083.33333334</v>
      </c>
      <c r="AL18" s="1042">
        <f t="shared" si="31"/>
        <v>22572916.666666657</v>
      </c>
      <c r="AM18" s="1042">
        <f t="shared" si="32"/>
        <v>18468750</v>
      </c>
      <c r="AN18" s="1042">
        <f t="shared" si="33"/>
        <v>190843750</v>
      </c>
      <c r="AO18" s="1042">
        <f t="shared" si="34"/>
        <v>6156250</v>
      </c>
      <c r="AP18" s="1042">
        <f t="shared" si="35"/>
        <v>24625000</v>
      </c>
      <c r="AQ18" s="1042">
        <f t="shared" si="36"/>
        <v>197000000</v>
      </c>
      <c r="AR18" s="1042">
        <f t="shared" si="37"/>
        <v>0</v>
      </c>
      <c r="AS18" s="1042">
        <f t="shared" si="38"/>
        <v>0</v>
      </c>
      <c r="AT18" s="1042">
        <f t="shared" si="39"/>
        <v>197000000</v>
      </c>
      <c r="AU18" s="1042">
        <f t="shared" si="40"/>
        <v>0</v>
      </c>
      <c r="AV18" s="1042">
        <f t="shared" si="41"/>
        <v>0</v>
      </c>
      <c r="AW18" s="1042">
        <f t="shared" si="42"/>
        <v>197000000</v>
      </c>
      <c r="AX18" s="1042">
        <f t="shared" si="43"/>
        <v>0</v>
      </c>
      <c r="AY18" s="19"/>
      <c r="AZ18" s="8">
        <f t="shared" si="44"/>
        <v>0</v>
      </c>
    </row>
    <row r="19" spans="1:52" ht="14.25" customHeight="1">
      <c r="A19" s="17">
        <f t="shared" si="5"/>
        <v>15</v>
      </c>
      <c r="B19" s="56" t="s">
        <v>736</v>
      </c>
      <c r="C19" s="671">
        <v>40544</v>
      </c>
      <c r="D19" s="55">
        <v>8</v>
      </c>
      <c r="E19" s="6">
        <v>141000000</v>
      </c>
      <c r="F19" s="1041">
        <f t="shared" si="0"/>
        <v>17625000</v>
      </c>
      <c r="G19" s="1053"/>
      <c r="H19" s="1042">
        <f t="shared" si="6"/>
        <v>0</v>
      </c>
      <c r="I19" s="1042">
        <f t="shared" si="7"/>
        <v>141000000</v>
      </c>
      <c r="J19" s="1042"/>
      <c r="K19" s="1042">
        <f t="shared" si="9"/>
        <v>0</v>
      </c>
      <c r="L19" s="1042">
        <f t="shared" si="10"/>
        <v>141000000</v>
      </c>
      <c r="M19" s="1042">
        <f t="shared" si="45"/>
        <v>17625000</v>
      </c>
      <c r="N19" s="1042">
        <f t="shared" si="11"/>
        <v>17625000</v>
      </c>
      <c r="O19" s="1042">
        <f t="shared" si="12"/>
        <v>123375000</v>
      </c>
      <c r="P19" s="1042">
        <f t="shared" si="46"/>
        <v>17625000</v>
      </c>
      <c r="Q19" s="1042">
        <f t="shared" si="13"/>
        <v>35250000</v>
      </c>
      <c r="R19" s="1042">
        <f t="shared" si="14"/>
        <v>105750000</v>
      </c>
      <c r="S19" s="1042">
        <f t="shared" si="49"/>
        <v>17625000</v>
      </c>
      <c r="T19" s="1042">
        <f t="shared" si="50"/>
        <v>52875000</v>
      </c>
      <c r="U19" s="1042">
        <f t="shared" si="51"/>
        <v>88125000</v>
      </c>
      <c r="V19" s="1042">
        <f t="shared" si="4"/>
        <v>17625000</v>
      </c>
      <c r="W19" s="1042">
        <f t="shared" si="17"/>
        <v>70500000</v>
      </c>
      <c r="X19" s="1042">
        <f t="shared" si="18"/>
        <v>70500000</v>
      </c>
      <c r="Y19" s="7">
        <v>70500000</v>
      </c>
      <c r="Z19" s="7">
        <f t="shared" si="19"/>
        <v>70500000</v>
      </c>
      <c r="AA19" s="1042">
        <f t="shared" si="20"/>
        <v>17625000</v>
      </c>
      <c r="AB19" s="1042">
        <f t="shared" si="21"/>
        <v>88125000</v>
      </c>
      <c r="AC19" s="1042">
        <f t="shared" si="22"/>
        <v>52875000</v>
      </c>
      <c r="AD19" s="1042">
        <f t="shared" si="23"/>
        <v>17625000</v>
      </c>
      <c r="AE19" s="1042">
        <f t="shared" si="24"/>
        <v>105750000</v>
      </c>
      <c r="AF19" s="1042">
        <f t="shared" si="25"/>
        <v>35250000</v>
      </c>
      <c r="AG19" s="1042">
        <f t="shared" si="26"/>
        <v>17625000</v>
      </c>
      <c r="AH19" s="1042">
        <f t="shared" si="27"/>
        <v>123375000</v>
      </c>
      <c r="AI19" s="1042">
        <f t="shared" si="28"/>
        <v>17625000</v>
      </c>
      <c r="AJ19" s="1042">
        <f t="shared" si="29"/>
        <v>1468750</v>
      </c>
      <c r="AK19" s="1042">
        <f t="shared" si="30"/>
        <v>124843750</v>
      </c>
      <c r="AL19" s="1042">
        <f t="shared" si="31"/>
        <v>16156250</v>
      </c>
      <c r="AM19" s="1042">
        <f t="shared" si="32"/>
        <v>13218750</v>
      </c>
      <c r="AN19" s="1042">
        <f t="shared" si="33"/>
        <v>136593750</v>
      </c>
      <c r="AO19" s="1042">
        <f t="shared" si="34"/>
        <v>4406250</v>
      </c>
      <c r="AP19" s="1042">
        <f t="shared" si="35"/>
        <v>17625000</v>
      </c>
      <c r="AQ19" s="1042">
        <f t="shared" si="36"/>
        <v>141000000</v>
      </c>
      <c r="AR19" s="1042">
        <f t="shared" si="37"/>
        <v>0</v>
      </c>
      <c r="AS19" s="1042">
        <f t="shared" si="38"/>
        <v>0</v>
      </c>
      <c r="AT19" s="1042">
        <f t="shared" si="39"/>
        <v>141000000</v>
      </c>
      <c r="AU19" s="1042">
        <f t="shared" si="40"/>
        <v>0</v>
      </c>
      <c r="AV19" s="1042">
        <f t="shared" si="41"/>
        <v>0</v>
      </c>
      <c r="AW19" s="1042">
        <f t="shared" si="42"/>
        <v>141000000</v>
      </c>
      <c r="AX19" s="1042">
        <f t="shared" si="43"/>
        <v>0</v>
      </c>
      <c r="AY19" s="19"/>
      <c r="AZ19" s="8">
        <f t="shared" si="44"/>
        <v>0</v>
      </c>
    </row>
    <row r="20" spans="1:52" ht="14.25" customHeight="1">
      <c r="A20" s="17">
        <f t="shared" si="5"/>
        <v>16</v>
      </c>
      <c r="B20" s="56" t="s">
        <v>735</v>
      </c>
      <c r="C20" s="671">
        <v>40544</v>
      </c>
      <c r="D20" s="55">
        <v>8</v>
      </c>
      <c r="E20" s="6">
        <v>190000000</v>
      </c>
      <c r="F20" s="1041">
        <f t="shared" si="0"/>
        <v>23750000</v>
      </c>
      <c r="G20" s="1053"/>
      <c r="H20" s="1042">
        <f t="shared" si="6"/>
        <v>0</v>
      </c>
      <c r="I20" s="1042">
        <f t="shared" si="7"/>
        <v>190000000</v>
      </c>
      <c r="J20" s="1042"/>
      <c r="K20" s="1042">
        <f t="shared" si="9"/>
        <v>0</v>
      </c>
      <c r="L20" s="1042">
        <f t="shared" si="10"/>
        <v>190000000</v>
      </c>
      <c r="M20" s="1042">
        <f t="shared" si="45"/>
        <v>23750000</v>
      </c>
      <c r="N20" s="1042">
        <f t="shared" si="11"/>
        <v>23750000</v>
      </c>
      <c r="O20" s="1042">
        <f t="shared" si="12"/>
        <v>166250000</v>
      </c>
      <c r="P20" s="1042">
        <f t="shared" si="46"/>
        <v>23750000</v>
      </c>
      <c r="Q20" s="1042">
        <f t="shared" si="13"/>
        <v>47500000</v>
      </c>
      <c r="R20" s="1042">
        <f t="shared" si="14"/>
        <v>142500000</v>
      </c>
      <c r="S20" s="1042">
        <f t="shared" si="49"/>
        <v>23750000</v>
      </c>
      <c r="T20" s="1042">
        <f t="shared" si="50"/>
        <v>71250000</v>
      </c>
      <c r="U20" s="1042">
        <f t="shared" si="51"/>
        <v>118750000</v>
      </c>
      <c r="V20" s="1042">
        <f t="shared" si="4"/>
        <v>23750000</v>
      </c>
      <c r="W20" s="1042">
        <f t="shared" si="17"/>
        <v>95000000</v>
      </c>
      <c r="X20" s="1042">
        <f t="shared" si="18"/>
        <v>95000000</v>
      </c>
      <c r="Y20" s="7">
        <v>95000000</v>
      </c>
      <c r="Z20" s="7">
        <f t="shared" si="19"/>
        <v>95000000</v>
      </c>
      <c r="AA20" s="1042">
        <f t="shared" si="20"/>
        <v>23750000</v>
      </c>
      <c r="AB20" s="1042">
        <f t="shared" si="21"/>
        <v>118750000</v>
      </c>
      <c r="AC20" s="1042">
        <f t="shared" si="22"/>
        <v>71250000</v>
      </c>
      <c r="AD20" s="1042">
        <f t="shared" si="23"/>
        <v>23750000</v>
      </c>
      <c r="AE20" s="1042">
        <f t="shared" si="24"/>
        <v>142500000</v>
      </c>
      <c r="AF20" s="1042">
        <f t="shared" si="25"/>
        <v>47500000</v>
      </c>
      <c r="AG20" s="1042">
        <f t="shared" si="26"/>
        <v>23750000</v>
      </c>
      <c r="AH20" s="1042">
        <f t="shared" si="27"/>
        <v>166250000</v>
      </c>
      <c r="AI20" s="1042">
        <f t="shared" si="28"/>
        <v>23750000</v>
      </c>
      <c r="AJ20" s="1042">
        <f t="shared" si="29"/>
        <v>1979166.6666666667</v>
      </c>
      <c r="AK20" s="1042">
        <f t="shared" si="30"/>
        <v>168229166.66666666</v>
      </c>
      <c r="AL20" s="1042">
        <f t="shared" si="31"/>
        <v>21770833.333333343</v>
      </c>
      <c r="AM20" s="1042">
        <f t="shared" si="32"/>
        <v>17812500</v>
      </c>
      <c r="AN20" s="1042">
        <f t="shared" si="33"/>
        <v>184062500</v>
      </c>
      <c r="AO20" s="1042">
        <f t="shared" si="34"/>
        <v>5937500</v>
      </c>
      <c r="AP20" s="1042">
        <f t="shared" si="35"/>
        <v>23750000</v>
      </c>
      <c r="AQ20" s="1042">
        <f t="shared" si="36"/>
        <v>190000000</v>
      </c>
      <c r="AR20" s="1042">
        <f t="shared" si="37"/>
        <v>0</v>
      </c>
      <c r="AS20" s="1042">
        <f t="shared" si="38"/>
        <v>0</v>
      </c>
      <c r="AT20" s="1042">
        <f t="shared" si="39"/>
        <v>190000000</v>
      </c>
      <c r="AU20" s="1042">
        <f t="shared" si="40"/>
        <v>0</v>
      </c>
      <c r="AV20" s="1042">
        <f t="shared" si="41"/>
        <v>0</v>
      </c>
      <c r="AW20" s="1042">
        <f t="shared" si="42"/>
        <v>190000000</v>
      </c>
      <c r="AX20" s="1042">
        <f t="shared" si="43"/>
        <v>0</v>
      </c>
      <c r="AY20" s="19"/>
      <c r="AZ20" s="8">
        <f t="shared" si="44"/>
        <v>0</v>
      </c>
    </row>
    <row r="21" spans="1:52" ht="14.25" customHeight="1">
      <c r="A21" s="17">
        <f t="shared" si="5"/>
        <v>17</v>
      </c>
      <c r="B21" s="56" t="s">
        <v>735</v>
      </c>
      <c r="C21" s="671">
        <v>40544</v>
      </c>
      <c r="D21" s="55">
        <v>8</v>
      </c>
      <c r="E21" s="6">
        <v>190000000</v>
      </c>
      <c r="F21" s="1041">
        <f t="shared" si="0"/>
        <v>23750000</v>
      </c>
      <c r="G21" s="1053"/>
      <c r="H21" s="1042">
        <f t="shared" si="6"/>
        <v>0</v>
      </c>
      <c r="I21" s="1042">
        <f t="shared" si="7"/>
        <v>190000000</v>
      </c>
      <c r="J21" s="1042"/>
      <c r="K21" s="1042">
        <f t="shared" si="9"/>
        <v>0</v>
      </c>
      <c r="L21" s="1042">
        <f t="shared" si="10"/>
        <v>190000000</v>
      </c>
      <c r="M21" s="1042">
        <f t="shared" si="45"/>
        <v>23750000</v>
      </c>
      <c r="N21" s="1042">
        <f t="shared" si="11"/>
        <v>23750000</v>
      </c>
      <c r="O21" s="1042">
        <f t="shared" si="12"/>
        <v>166250000</v>
      </c>
      <c r="P21" s="1042">
        <f t="shared" si="46"/>
        <v>23750000</v>
      </c>
      <c r="Q21" s="1042">
        <f t="shared" si="13"/>
        <v>47500000</v>
      </c>
      <c r="R21" s="1042">
        <f t="shared" si="14"/>
        <v>142500000</v>
      </c>
      <c r="S21" s="1042">
        <f t="shared" si="49"/>
        <v>23750000</v>
      </c>
      <c r="T21" s="1042">
        <f t="shared" si="50"/>
        <v>71250000</v>
      </c>
      <c r="U21" s="1042">
        <f t="shared" si="51"/>
        <v>118750000</v>
      </c>
      <c r="V21" s="1042">
        <f t="shared" si="4"/>
        <v>23750000</v>
      </c>
      <c r="W21" s="1042">
        <f t="shared" si="17"/>
        <v>95000000</v>
      </c>
      <c r="X21" s="1042">
        <f t="shared" si="18"/>
        <v>95000000</v>
      </c>
      <c r="Y21" s="7">
        <v>95000000</v>
      </c>
      <c r="Z21" s="7">
        <f t="shared" si="19"/>
        <v>95000000</v>
      </c>
      <c r="AA21" s="1042">
        <f t="shared" si="20"/>
        <v>23750000</v>
      </c>
      <c r="AB21" s="1042">
        <f t="shared" si="21"/>
        <v>118750000</v>
      </c>
      <c r="AC21" s="1042">
        <f t="shared" si="22"/>
        <v>71250000</v>
      </c>
      <c r="AD21" s="1042">
        <f t="shared" si="23"/>
        <v>23750000</v>
      </c>
      <c r="AE21" s="1042">
        <f t="shared" si="24"/>
        <v>142500000</v>
      </c>
      <c r="AF21" s="1042">
        <f t="shared" si="25"/>
        <v>47500000</v>
      </c>
      <c r="AG21" s="1042">
        <f t="shared" si="26"/>
        <v>23750000</v>
      </c>
      <c r="AH21" s="1042">
        <f t="shared" si="27"/>
        <v>166250000</v>
      </c>
      <c r="AI21" s="1042">
        <f t="shared" si="28"/>
        <v>23750000</v>
      </c>
      <c r="AJ21" s="1042">
        <f t="shared" si="29"/>
        <v>1979166.6666666667</v>
      </c>
      <c r="AK21" s="1042">
        <f t="shared" si="30"/>
        <v>168229166.66666666</v>
      </c>
      <c r="AL21" s="1042">
        <f t="shared" si="31"/>
        <v>21770833.333333343</v>
      </c>
      <c r="AM21" s="1042">
        <f t="shared" si="32"/>
        <v>17812500</v>
      </c>
      <c r="AN21" s="1042">
        <f t="shared" si="33"/>
        <v>184062500</v>
      </c>
      <c r="AO21" s="1042">
        <f t="shared" si="34"/>
        <v>5937500</v>
      </c>
      <c r="AP21" s="1042">
        <f t="shared" si="35"/>
        <v>23750000</v>
      </c>
      <c r="AQ21" s="1042">
        <f t="shared" si="36"/>
        <v>190000000</v>
      </c>
      <c r="AR21" s="1042">
        <f t="shared" si="37"/>
        <v>0</v>
      </c>
      <c r="AS21" s="1042">
        <f t="shared" si="38"/>
        <v>0</v>
      </c>
      <c r="AT21" s="1042">
        <f t="shared" si="39"/>
        <v>190000000</v>
      </c>
      <c r="AU21" s="1042">
        <f t="shared" si="40"/>
        <v>0</v>
      </c>
      <c r="AV21" s="1042">
        <f t="shared" si="41"/>
        <v>0</v>
      </c>
      <c r="AW21" s="1042">
        <f t="shared" si="42"/>
        <v>190000000</v>
      </c>
      <c r="AX21" s="1042">
        <f t="shared" si="43"/>
        <v>0</v>
      </c>
      <c r="AY21" s="19"/>
      <c r="AZ21" s="8">
        <f t="shared" si="44"/>
        <v>0</v>
      </c>
    </row>
    <row r="22" spans="1:52" ht="14.25" customHeight="1">
      <c r="A22" s="17">
        <f t="shared" si="5"/>
        <v>18</v>
      </c>
      <c r="B22" s="56" t="s">
        <v>737</v>
      </c>
      <c r="C22" s="671">
        <v>40909</v>
      </c>
      <c r="D22" s="55">
        <v>8</v>
      </c>
      <c r="E22" s="6">
        <v>151000000</v>
      </c>
      <c r="F22" s="1041">
        <f t="shared" si="0"/>
        <v>18875000</v>
      </c>
      <c r="G22" s="1053"/>
      <c r="H22" s="1042">
        <f t="shared" si="6"/>
        <v>0</v>
      </c>
      <c r="I22" s="1042">
        <f t="shared" si="7"/>
        <v>151000000</v>
      </c>
      <c r="J22" s="1042"/>
      <c r="K22" s="1042">
        <f t="shared" si="9"/>
        <v>0</v>
      </c>
      <c r="L22" s="1042">
        <f t="shared" si="10"/>
        <v>151000000</v>
      </c>
      <c r="M22" s="1042">
        <f t="shared" si="45"/>
        <v>18875000</v>
      </c>
      <c r="N22" s="1042">
        <f t="shared" si="11"/>
        <v>18875000</v>
      </c>
      <c r="O22" s="1042">
        <f t="shared" si="12"/>
        <v>132125000</v>
      </c>
      <c r="P22" s="1042">
        <f t="shared" si="46"/>
        <v>18875000</v>
      </c>
      <c r="Q22" s="1042">
        <f t="shared" si="13"/>
        <v>37750000</v>
      </c>
      <c r="R22" s="1042">
        <f t="shared" si="14"/>
        <v>113250000</v>
      </c>
      <c r="S22" s="1042">
        <f t="shared" si="49"/>
        <v>18875000</v>
      </c>
      <c r="T22" s="1042">
        <f t="shared" si="50"/>
        <v>56625000</v>
      </c>
      <c r="U22" s="1042">
        <f t="shared" si="51"/>
        <v>94375000</v>
      </c>
      <c r="V22" s="1042">
        <f>(F22/12)*12</f>
        <v>18875000</v>
      </c>
      <c r="W22" s="1042">
        <f t="shared" ref="W22" si="52">V22+T22</f>
        <v>75500000</v>
      </c>
      <c r="X22" s="1042">
        <f t="shared" ref="X22" si="53">E22-W22</f>
        <v>75500000</v>
      </c>
      <c r="Y22" s="7">
        <v>75500000</v>
      </c>
      <c r="Z22" s="7">
        <f t="shared" si="19"/>
        <v>75500000</v>
      </c>
      <c r="AA22" s="1042">
        <f t="shared" si="20"/>
        <v>18875000</v>
      </c>
      <c r="AB22" s="1042">
        <f t="shared" si="21"/>
        <v>94375000</v>
      </c>
      <c r="AC22" s="1042">
        <f t="shared" si="22"/>
        <v>56625000</v>
      </c>
      <c r="AD22" s="1042">
        <f t="shared" si="23"/>
        <v>18875000</v>
      </c>
      <c r="AE22" s="1042">
        <f t="shared" si="24"/>
        <v>113250000</v>
      </c>
      <c r="AF22" s="1042">
        <f t="shared" si="25"/>
        <v>37750000</v>
      </c>
      <c r="AG22" s="1042">
        <f t="shared" si="26"/>
        <v>18875000</v>
      </c>
      <c r="AH22" s="1042">
        <f t="shared" si="27"/>
        <v>132125000</v>
      </c>
      <c r="AI22" s="1042">
        <f t="shared" si="28"/>
        <v>18875000</v>
      </c>
      <c r="AJ22" s="1042">
        <f t="shared" si="29"/>
        <v>1572916.6666666667</v>
      </c>
      <c r="AK22" s="1042">
        <f t="shared" si="30"/>
        <v>133697916.66666667</v>
      </c>
      <c r="AL22" s="1042">
        <f t="shared" si="31"/>
        <v>17302083.333333328</v>
      </c>
      <c r="AM22" s="1042">
        <f t="shared" si="32"/>
        <v>14156250</v>
      </c>
      <c r="AN22" s="1042">
        <f t="shared" si="33"/>
        <v>146281250</v>
      </c>
      <c r="AO22" s="1042">
        <f t="shared" si="34"/>
        <v>4718750</v>
      </c>
      <c r="AP22" s="1042">
        <f t="shared" si="35"/>
        <v>18875000</v>
      </c>
      <c r="AQ22" s="1042">
        <f t="shared" si="36"/>
        <v>151000000</v>
      </c>
      <c r="AR22" s="1042">
        <f t="shared" si="37"/>
        <v>0</v>
      </c>
      <c r="AS22" s="1042">
        <f t="shared" si="38"/>
        <v>0</v>
      </c>
      <c r="AT22" s="1042">
        <f t="shared" si="39"/>
        <v>151000000</v>
      </c>
      <c r="AU22" s="1042">
        <f t="shared" si="40"/>
        <v>0</v>
      </c>
      <c r="AV22" s="1042">
        <f t="shared" si="41"/>
        <v>0</v>
      </c>
      <c r="AW22" s="1042">
        <f t="shared" si="42"/>
        <v>151000000</v>
      </c>
      <c r="AX22" s="1042">
        <f t="shared" si="43"/>
        <v>0</v>
      </c>
      <c r="AY22" s="19"/>
      <c r="AZ22" s="8">
        <f t="shared" si="44"/>
        <v>0</v>
      </c>
    </row>
    <row r="23" spans="1:52" ht="14.25" customHeight="1">
      <c r="A23" s="17">
        <f t="shared" si="5"/>
        <v>19</v>
      </c>
      <c r="B23" s="56" t="s">
        <v>737</v>
      </c>
      <c r="C23" s="671">
        <v>40909</v>
      </c>
      <c r="D23" s="55">
        <v>8</v>
      </c>
      <c r="E23" s="6">
        <v>151000000</v>
      </c>
      <c r="F23" s="1041">
        <f t="shared" si="0"/>
        <v>18875000</v>
      </c>
      <c r="G23" s="1053"/>
      <c r="H23" s="1042">
        <f t="shared" si="6"/>
        <v>0</v>
      </c>
      <c r="I23" s="1042">
        <f t="shared" si="7"/>
        <v>151000000</v>
      </c>
      <c r="J23" s="1042"/>
      <c r="K23" s="1042">
        <f t="shared" si="9"/>
        <v>0</v>
      </c>
      <c r="L23" s="1042">
        <f t="shared" si="10"/>
        <v>151000000</v>
      </c>
      <c r="M23" s="1042">
        <f t="shared" si="45"/>
        <v>18875000</v>
      </c>
      <c r="N23" s="1042">
        <f t="shared" si="11"/>
        <v>18875000</v>
      </c>
      <c r="O23" s="1042">
        <f t="shared" si="12"/>
        <v>132125000</v>
      </c>
      <c r="P23" s="1042">
        <f t="shared" si="46"/>
        <v>18875000</v>
      </c>
      <c r="Q23" s="1042">
        <f t="shared" si="13"/>
        <v>37750000</v>
      </c>
      <c r="R23" s="1042">
        <f t="shared" si="14"/>
        <v>113250000</v>
      </c>
      <c r="S23" s="1042">
        <f t="shared" si="49"/>
        <v>18875000</v>
      </c>
      <c r="T23" s="1042">
        <f t="shared" si="50"/>
        <v>56625000</v>
      </c>
      <c r="U23" s="1042">
        <f t="shared" si="51"/>
        <v>94375000</v>
      </c>
      <c r="V23" s="1042">
        <f t="shared" ref="V23:V36" si="54">(F23/12)*12</f>
        <v>18875000</v>
      </c>
      <c r="W23" s="1042">
        <f t="shared" ref="W23:W36" si="55">V23+T23</f>
        <v>75500000</v>
      </c>
      <c r="X23" s="1042">
        <f t="shared" ref="X23:X36" si="56">E23-W23</f>
        <v>75500000</v>
      </c>
      <c r="Y23" s="7">
        <v>75500000</v>
      </c>
      <c r="Z23" s="7">
        <f t="shared" si="19"/>
        <v>75500000</v>
      </c>
      <c r="AA23" s="1042">
        <f t="shared" si="20"/>
        <v>18875000</v>
      </c>
      <c r="AB23" s="1042">
        <f t="shared" si="21"/>
        <v>94375000</v>
      </c>
      <c r="AC23" s="1042">
        <f t="shared" si="22"/>
        <v>56625000</v>
      </c>
      <c r="AD23" s="1042">
        <f t="shared" si="23"/>
        <v>18875000</v>
      </c>
      <c r="AE23" s="1042">
        <f t="shared" si="24"/>
        <v>113250000</v>
      </c>
      <c r="AF23" s="1042">
        <f t="shared" si="25"/>
        <v>37750000</v>
      </c>
      <c r="AG23" s="1042">
        <f t="shared" si="26"/>
        <v>18875000</v>
      </c>
      <c r="AH23" s="1042">
        <f t="shared" si="27"/>
        <v>132125000</v>
      </c>
      <c r="AI23" s="1042">
        <f t="shared" si="28"/>
        <v>18875000</v>
      </c>
      <c r="AJ23" s="1042">
        <f t="shared" si="29"/>
        <v>1572916.6666666667</v>
      </c>
      <c r="AK23" s="1042">
        <f t="shared" si="30"/>
        <v>133697916.66666667</v>
      </c>
      <c r="AL23" s="1042">
        <f t="shared" si="31"/>
        <v>17302083.333333328</v>
      </c>
      <c r="AM23" s="1042">
        <f t="shared" si="32"/>
        <v>14156250</v>
      </c>
      <c r="AN23" s="1042">
        <f t="shared" si="33"/>
        <v>146281250</v>
      </c>
      <c r="AO23" s="1042">
        <f t="shared" si="34"/>
        <v>4718750</v>
      </c>
      <c r="AP23" s="1042">
        <f t="shared" si="35"/>
        <v>18875000</v>
      </c>
      <c r="AQ23" s="1042">
        <f t="shared" si="36"/>
        <v>151000000</v>
      </c>
      <c r="AR23" s="1042">
        <f t="shared" si="37"/>
        <v>0</v>
      </c>
      <c r="AS23" s="1042">
        <f t="shared" si="38"/>
        <v>0</v>
      </c>
      <c r="AT23" s="1042">
        <f t="shared" si="39"/>
        <v>151000000</v>
      </c>
      <c r="AU23" s="1042">
        <f t="shared" si="40"/>
        <v>0</v>
      </c>
      <c r="AV23" s="1042">
        <f t="shared" si="41"/>
        <v>0</v>
      </c>
      <c r="AW23" s="1042">
        <f t="shared" si="42"/>
        <v>151000000</v>
      </c>
      <c r="AX23" s="1042">
        <f t="shared" si="43"/>
        <v>0</v>
      </c>
      <c r="AY23" s="19"/>
      <c r="AZ23" s="8">
        <f t="shared" si="44"/>
        <v>0</v>
      </c>
    </row>
    <row r="24" spans="1:52" ht="14.25" customHeight="1">
      <c r="A24" s="17">
        <f t="shared" si="5"/>
        <v>20</v>
      </c>
      <c r="B24" s="56" t="s">
        <v>738</v>
      </c>
      <c r="C24" s="671">
        <v>41275</v>
      </c>
      <c r="D24" s="55">
        <v>8</v>
      </c>
      <c r="E24" s="6">
        <v>216000000</v>
      </c>
      <c r="F24" s="1041">
        <f t="shared" si="0"/>
        <v>27000000</v>
      </c>
      <c r="G24" s="1053"/>
      <c r="H24" s="1042">
        <f t="shared" si="6"/>
        <v>0</v>
      </c>
      <c r="I24" s="1042">
        <f t="shared" si="7"/>
        <v>216000000</v>
      </c>
      <c r="J24" s="1042"/>
      <c r="K24" s="1042">
        <f t="shared" si="9"/>
        <v>0</v>
      </c>
      <c r="L24" s="1042">
        <f t="shared" si="10"/>
        <v>216000000</v>
      </c>
      <c r="M24" s="1042">
        <f t="shared" si="45"/>
        <v>27000000</v>
      </c>
      <c r="N24" s="1042">
        <f t="shared" si="11"/>
        <v>27000000</v>
      </c>
      <c r="O24" s="1042">
        <f t="shared" si="12"/>
        <v>189000000</v>
      </c>
      <c r="P24" s="1042">
        <f t="shared" si="46"/>
        <v>27000000</v>
      </c>
      <c r="Q24" s="1042">
        <f t="shared" si="13"/>
        <v>54000000</v>
      </c>
      <c r="R24" s="1042">
        <f t="shared" si="14"/>
        <v>162000000</v>
      </c>
      <c r="S24" s="1042">
        <f t="shared" si="49"/>
        <v>27000000</v>
      </c>
      <c r="T24" s="1042">
        <f t="shared" si="50"/>
        <v>81000000</v>
      </c>
      <c r="U24" s="1042">
        <f t="shared" si="51"/>
        <v>135000000</v>
      </c>
      <c r="V24" s="1042">
        <f t="shared" si="54"/>
        <v>27000000</v>
      </c>
      <c r="W24" s="1042">
        <f t="shared" si="55"/>
        <v>108000000</v>
      </c>
      <c r="X24" s="1042">
        <f t="shared" si="56"/>
        <v>108000000</v>
      </c>
      <c r="Y24" s="7">
        <v>108000000</v>
      </c>
      <c r="Z24" s="7">
        <f t="shared" si="19"/>
        <v>108000000</v>
      </c>
      <c r="AA24" s="1042">
        <f t="shared" si="20"/>
        <v>27000000</v>
      </c>
      <c r="AB24" s="1042">
        <f t="shared" si="21"/>
        <v>135000000</v>
      </c>
      <c r="AC24" s="1042">
        <f t="shared" ref="AC24" si="57">E24-AB24</f>
        <v>81000000</v>
      </c>
      <c r="AD24" s="1042">
        <f t="shared" si="23"/>
        <v>27000000</v>
      </c>
      <c r="AE24" s="1042">
        <f t="shared" si="24"/>
        <v>162000000</v>
      </c>
      <c r="AF24" s="1042">
        <f t="shared" si="25"/>
        <v>54000000</v>
      </c>
      <c r="AG24" s="1042">
        <f t="shared" si="26"/>
        <v>27000000</v>
      </c>
      <c r="AH24" s="1042">
        <f t="shared" si="27"/>
        <v>189000000</v>
      </c>
      <c r="AI24" s="1042">
        <f t="shared" si="28"/>
        <v>27000000</v>
      </c>
      <c r="AJ24" s="1042">
        <f t="shared" si="29"/>
        <v>2250000</v>
      </c>
      <c r="AK24" s="1042">
        <f t="shared" si="30"/>
        <v>191250000</v>
      </c>
      <c r="AL24" s="1042">
        <f t="shared" si="31"/>
        <v>24750000</v>
      </c>
      <c r="AM24" s="1042">
        <f t="shared" si="32"/>
        <v>20250000</v>
      </c>
      <c r="AN24" s="1042">
        <f t="shared" si="33"/>
        <v>209250000</v>
      </c>
      <c r="AO24" s="1042">
        <f t="shared" si="34"/>
        <v>6750000</v>
      </c>
      <c r="AP24" s="1042">
        <f t="shared" si="35"/>
        <v>27000000</v>
      </c>
      <c r="AQ24" s="1042">
        <f t="shared" si="36"/>
        <v>216000000</v>
      </c>
      <c r="AR24" s="1042">
        <f t="shared" si="37"/>
        <v>0</v>
      </c>
      <c r="AS24" s="1042">
        <f t="shared" si="38"/>
        <v>0</v>
      </c>
      <c r="AT24" s="1042">
        <f t="shared" si="39"/>
        <v>216000000</v>
      </c>
      <c r="AU24" s="1042">
        <f t="shared" si="40"/>
        <v>0</v>
      </c>
      <c r="AV24" s="1042">
        <f t="shared" si="41"/>
        <v>0</v>
      </c>
      <c r="AW24" s="1042">
        <f t="shared" si="42"/>
        <v>216000000</v>
      </c>
      <c r="AX24" s="1042">
        <f t="shared" si="43"/>
        <v>0</v>
      </c>
      <c r="AY24" s="19"/>
      <c r="AZ24" s="8">
        <f t="shared" si="44"/>
        <v>0</v>
      </c>
    </row>
    <row r="25" spans="1:52" ht="14.25" customHeight="1">
      <c r="A25" s="17">
        <f t="shared" si="5"/>
        <v>21</v>
      </c>
      <c r="B25" s="56" t="s">
        <v>733</v>
      </c>
      <c r="C25" s="671">
        <v>41275</v>
      </c>
      <c r="D25" s="55">
        <v>8</v>
      </c>
      <c r="E25" s="6">
        <v>394000000</v>
      </c>
      <c r="F25" s="1041">
        <f t="shared" si="0"/>
        <v>49250000</v>
      </c>
      <c r="G25" s="1053"/>
      <c r="H25" s="1042">
        <f t="shared" si="6"/>
        <v>0</v>
      </c>
      <c r="I25" s="1042">
        <f t="shared" si="7"/>
        <v>394000000</v>
      </c>
      <c r="J25" s="1042"/>
      <c r="K25" s="1042">
        <f t="shared" si="9"/>
        <v>0</v>
      </c>
      <c r="L25" s="1042">
        <f t="shared" si="10"/>
        <v>394000000</v>
      </c>
      <c r="M25" s="1042">
        <f t="shared" si="45"/>
        <v>49250000</v>
      </c>
      <c r="N25" s="1042">
        <f t="shared" si="11"/>
        <v>49250000</v>
      </c>
      <c r="O25" s="1042">
        <f t="shared" si="12"/>
        <v>344750000</v>
      </c>
      <c r="P25" s="1042">
        <f t="shared" si="46"/>
        <v>49250000</v>
      </c>
      <c r="Q25" s="1042">
        <f t="shared" si="13"/>
        <v>98500000</v>
      </c>
      <c r="R25" s="1042">
        <f t="shared" si="14"/>
        <v>295500000</v>
      </c>
      <c r="S25" s="1042">
        <f t="shared" si="49"/>
        <v>49250000</v>
      </c>
      <c r="T25" s="1042">
        <f t="shared" si="50"/>
        <v>147750000</v>
      </c>
      <c r="U25" s="1042">
        <f t="shared" si="51"/>
        <v>246250000</v>
      </c>
      <c r="V25" s="1042">
        <f t="shared" si="54"/>
        <v>49250000</v>
      </c>
      <c r="W25" s="1042">
        <f t="shared" si="55"/>
        <v>197000000</v>
      </c>
      <c r="X25" s="1042">
        <f t="shared" si="56"/>
        <v>197000000</v>
      </c>
      <c r="Y25" s="7">
        <v>197000000</v>
      </c>
      <c r="Z25" s="7">
        <f t="shared" si="19"/>
        <v>197000000</v>
      </c>
      <c r="AA25" s="1042">
        <f t="shared" si="20"/>
        <v>49250000</v>
      </c>
      <c r="AB25" s="1042">
        <f t="shared" si="21"/>
        <v>246250000</v>
      </c>
      <c r="AC25" s="1042">
        <f t="shared" ref="AC25:AC36" si="58">E25-AB25</f>
        <v>147750000</v>
      </c>
      <c r="AD25" s="1042">
        <f t="shared" si="23"/>
        <v>49250000</v>
      </c>
      <c r="AE25" s="1042">
        <f t="shared" si="24"/>
        <v>295500000</v>
      </c>
      <c r="AF25" s="1042">
        <f t="shared" si="25"/>
        <v>98500000</v>
      </c>
      <c r="AG25" s="1042">
        <f t="shared" si="26"/>
        <v>49250000</v>
      </c>
      <c r="AH25" s="1042">
        <f t="shared" si="27"/>
        <v>344750000</v>
      </c>
      <c r="AI25" s="1042">
        <f t="shared" si="28"/>
        <v>49250000</v>
      </c>
      <c r="AJ25" s="1042">
        <f t="shared" si="29"/>
        <v>4104166.6666666665</v>
      </c>
      <c r="AK25" s="1042">
        <f t="shared" si="30"/>
        <v>348854166.66666669</v>
      </c>
      <c r="AL25" s="1042">
        <f t="shared" si="31"/>
        <v>45145833.333333313</v>
      </c>
      <c r="AM25" s="1042">
        <f t="shared" si="32"/>
        <v>36937500</v>
      </c>
      <c r="AN25" s="1042">
        <f t="shared" si="33"/>
        <v>381687500</v>
      </c>
      <c r="AO25" s="1042">
        <f t="shared" si="34"/>
        <v>12312500</v>
      </c>
      <c r="AP25" s="1042">
        <f t="shared" si="35"/>
        <v>49250000</v>
      </c>
      <c r="AQ25" s="1042">
        <f t="shared" si="36"/>
        <v>394000000</v>
      </c>
      <c r="AR25" s="1042">
        <f t="shared" si="37"/>
        <v>0</v>
      </c>
      <c r="AS25" s="1042">
        <f t="shared" si="38"/>
        <v>0</v>
      </c>
      <c r="AT25" s="1042">
        <f t="shared" si="39"/>
        <v>394000000</v>
      </c>
      <c r="AU25" s="1042">
        <f t="shared" si="40"/>
        <v>0</v>
      </c>
      <c r="AV25" s="1042">
        <f t="shared" si="41"/>
        <v>0</v>
      </c>
      <c r="AW25" s="1042">
        <f t="shared" si="42"/>
        <v>394000000</v>
      </c>
      <c r="AX25" s="1042">
        <f t="shared" si="43"/>
        <v>0</v>
      </c>
      <c r="AY25" s="19"/>
      <c r="AZ25" s="8">
        <f t="shared" si="44"/>
        <v>0</v>
      </c>
    </row>
    <row r="26" spans="1:52" ht="14.25" customHeight="1">
      <c r="A26" s="17">
        <f t="shared" si="5"/>
        <v>22</v>
      </c>
      <c r="B26" s="56" t="s">
        <v>739</v>
      </c>
      <c r="C26" s="671">
        <v>41275</v>
      </c>
      <c r="D26" s="55">
        <v>8</v>
      </c>
      <c r="E26" s="6">
        <v>271000000</v>
      </c>
      <c r="F26" s="1041">
        <f t="shared" si="0"/>
        <v>33875000</v>
      </c>
      <c r="G26" s="1053"/>
      <c r="H26" s="1042">
        <f t="shared" si="6"/>
        <v>0</v>
      </c>
      <c r="I26" s="1042">
        <f t="shared" si="7"/>
        <v>271000000</v>
      </c>
      <c r="J26" s="1042"/>
      <c r="K26" s="1042">
        <f t="shared" si="9"/>
        <v>0</v>
      </c>
      <c r="L26" s="1042">
        <f t="shared" si="10"/>
        <v>271000000</v>
      </c>
      <c r="M26" s="1042">
        <f t="shared" si="45"/>
        <v>33875000</v>
      </c>
      <c r="N26" s="1042">
        <f t="shared" si="11"/>
        <v>33875000</v>
      </c>
      <c r="O26" s="1042">
        <f t="shared" si="12"/>
        <v>237125000</v>
      </c>
      <c r="P26" s="1042">
        <f t="shared" si="46"/>
        <v>33875000</v>
      </c>
      <c r="Q26" s="1042">
        <f t="shared" si="13"/>
        <v>67750000</v>
      </c>
      <c r="R26" s="1042">
        <f t="shared" si="14"/>
        <v>203250000</v>
      </c>
      <c r="S26" s="1042">
        <f t="shared" si="49"/>
        <v>33875000</v>
      </c>
      <c r="T26" s="1042">
        <f t="shared" si="50"/>
        <v>101625000</v>
      </c>
      <c r="U26" s="1042">
        <f t="shared" si="51"/>
        <v>169375000</v>
      </c>
      <c r="V26" s="1042">
        <f t="shared" si="54"/>
        <v>33875000</v>
      </c>
      <c r="W26" s="1042">
        <f t="shared" si="55"/>
        <v>135500000</v>
      </c>
      <c r="X26" s="1042">
        <f t="shared" si="56"/>
        <v>135500000</v>
      </c>
      <c r="Y26" s="7">
        <v>135500000</v>
      </c>
      <c r="Z26" s="7">
        <f t="shared" si="19"/>
        <v>135500000</v>
      </c>
      <c r="AA26" s="1042">
        <f t="shared" si="20"/>
        <v>33875000</v>
      </c>
      <c r="AB26" s="1042">
        <f t="shared" si="21"/>
        <v>169375000</v>
      </c>
      <c r="AC26" s="1042">
        <f t="shared" si="58"/>
        <v>101625000</v>
      </c>
      <c r="AD26" s="1042">
        <f t="shared" si="23"/>
        <v>33875000</v>
      </c>
      <c r="AE26" s="1042">
        <f t="shared" si="24"/>
        <v>203250000</v>
      </c>
      <c r="AF26" s="1042">
        <f t="shared" si="25"/>
        <v>67750000</v>
      </c>
      <c r="AG26" s="1042">
        <f t="shared" si="26"/>
        <v>33875000</v>
      </c>
      <c r="AH26" s="1042">
        <f t="shared" si="27"/>
        <v>237125000</v>
      </c>
      <c r="AI26" s="1042">
        <f t="shared" si="28"/>
        <v>33875000</v>
      </c>
      <c r="AJ26" s="1042">
        <f t="shared" si="29"/>
        <v>2822916.6666666665</v>
      </c>
      <c r="AK26" s="1042">
        <f t="shared" si="30"/>
        <v>239947916.66666666</v>
      </c>
      <c r="AL26" s="1042">
        <f t="shared" si="31"/>
        <v>31052083.333333343</v>
      </c>
      <c r="AM26" s="1042">
        <f t="shared" si="32"/>
        <v>25406250</v>
      </c>
      <c r="AN26" s="1042">
        <f t="shared" si="33"/>
        <v>262531250</v>
      </c>
      <c r="AO26" s="1042">
        <f t="shared" si="34"/>
        <v>8468750</v>
      </c>
      <c r="AP26" s="1042">
        <f t="shared" si="35"/>
        <v>33875000</v>
      </c>
      <c r="AQ26" s="1042">
        <f t="shared" si="36"/>
        <v>271000000</v>
      </c>
      <c r="AR26" s="1042">
        <f t="shared" si="37"/>
        <v>0</v>
      </c>
      <c r="AS26" s="1042">
        <f t="shared" si="38"/>
        <v>0</v>
      </c>
      <c r="AT26" s="1042">
        <f t="shared" si="39"/>
        <v>271000000</v>
      </c>
      <c r="AU26" s="1042">
        <f t="shared" si="40"/>
        <v>0</v>
      </c>
      <c r="AV26" s="1042">
        <f t="shared" si="41"/>
        <v>0</v>
      </c>
      <c r="AW26" s="1042">
        <f t="shared" si="42"/>
        <v>271000000</v>
      </c>
      <c r="AX26" s="1042">
        <f t="shared" si="43"/>
        <v>0</v>
      </c>
      <c r="AY26" s="19"/>
      <c r="AZ26" s="8">
        <f t="shared" si="44"/>
        <v>0</v>
      </c>
    </row>
    <row r="27" spans="1:52" ht="14.25" customHeight="1">
      <c r="A27" s="17">
        <f t="shared" si="5"/>
        <v>23</v>
      </c>
      <c r="B27" s="56" t="s">
        <v>735</v>
      </c>
      <c r="C27" s="671">
        <v>41275</v>
      </c>
      <c r="D27" s="55">
        <v>8</v>
      </c>
      <c r="E27" s="6">
        <v>203000000</v>
      </c>
      <c r="F27" s="1041">
        <f t="shared" si="0"/>
        <v>25375000</v>
      </c>
      <c r="G27" s="1053"/>
      <c r="H27" s="1042">
        <f t="shared" si="6"/>
        <v>0</v>
      </c>
      <c r="I27" s="1042">
        <f t="shared" si="7"/>
        <v>203000000</v>
      </c>
      <c r="J27" s="1042"/>
      <c r="K27" s="1042">
        <f t="shared" si="9"/>
        <v>0</v>
      </c>
      <c r="L27" s="1042">
        <f t="shared" si="10"/>
        <v>203000000</v>
      </c>
      <c r="M27" s="1042">
        <f t="shared" si="45"/>
        <v>25375000</v>
      </c>
      <c r="N27" s="1042">
        <f t="shared" si="11"/>
        <v>25375000</v>
      </c>
      <c r="O27" s="1042">
        <f t="shared" si="12"/>
        <v>177625000</v>
      </c>
      <c r="P27" s="1042">
        <f t="shared" si="46"/>
        <v>25375000</v>
      </c>
      <c r="Q27" s="1042">
        <f t="shared" si="13"/>
        <v>50750000</v>
      </c>
      <c r="R27" s="1042">
        <f t="shared" si="14"/>
        <v>152250000</v>
      </c>
      <c r="S27" s="1042">
        <f t="shared" si="49"/>
        <v>25375000</v>
      </c>
      <c r="T27" s="1042">
        <f t="shared" si="50"/>
        <v>76125000</v>
      </c>
      <c r="U27" s="1042">
        <f t="shared" si="51"/>
        <v>126875000</v>
      </c>
      <c r="V27" s="1042">
        <f t="shared" si="54"/>
        <v>25375000</v>
      </c>
      <c r="W27" s="1042">
        <f t="shared" si="55"/>
        <v>101500000</v>
      </c>
      <c r="X27" s="1042">
        <f t="shared" si="56"/>
        <v>101500000</v>
      </c>
      <c r="Y27" s="7">
        <v>101500000</v>
      </c>
      <c r="Z27" s="7">
        <f t="shared" si="19"/>
        <v>101500000</v>
      </c>
      <c r="AA27" s="1042">
        <f t="shared" si="20"/>
        <v>25375000</v>
      </c>
      <c r="AB27" s="1042">
        <f t="shared" si="21"/>
        <v>126875000</v>
      </c>
      <c r="AC27" s="1042">
        <f t="shared" si="58"/>
        <v>76125000</v>
      </c>
      <c r="AD27" s="1042">
        <f t="shared" si="23"/>
        <v>25375000</v>
      </c>
      <c r="AE27" s="1042">
        <f t="shared" si="24"/>
        <v>152250000</v>
      </c>
      <c r="AF27" s="1042">
        <f t="shared" si="25"/>
        <v>50750000</v>
      </c>
      <c r="AG27" s="1042">
        <f t="shared" si="26"/>
        <v>25375000</v>
      </c>
      <c r="AH27" s="1042">
        <f t="shared" si="27"/>
        <v>177625000</v>
      </c>
      <c r="AI27" s="1042">
        <f t="shared" si="28"/>
        <v>25375000</v>
      </c>
      <c r="AJ27" s="1042">
        <f t="shared" si="29"/>
        <v>2114583.3333333335</v>
      </c>
      <c r="AK27" s="1042">
        <f t="shared" si="30"/>
        <v>179739583.33333334</v>
      </c>
      <c r="AL27" s="1042">
        <f t="shared" si="31"/>
        <v>23260416.666666657</v>
      </c>
      <c r="AM27" s="1042">
        <f t="shared" si="32"/>
        <v>19031250</v>
      </c>
      <c r="AN27" s="1042">
        <f t="shared" si="33"/>
        <v>196656250</v>
      </c>
      <c r="AO27" s="1042">
        <f t="shared" si="34"/>
        <v>6343750</v>
      </c>
      <c r="AP27" s="1042">
        <f t="shared" si="35"/>
        <v>25375000</v>
      </c>
      <c r="AQ27" s="1042">
        <f t="shared" si="36"/>
        <v>203000000</v>
      </c>
      <c r="AR27" s="1042">
        <f t="shared" si="37"/>
        <v>0</v>
      </c>
      <c r="AS27" s="1042">
        <f t="shared" si="38"/>
        <v>0</v>
      </c>
      <c r="AT27" s="1042">
        <f t="shared" si="39"/>
        <v>203000000</v>
      </c>
      <c r="AU27" s="1042">
        <f t="shared" si="40"/>
        <v>0</v>
      </c>
      <c r="AV27" s="1042">
        <f t="shared" si="41"/>
        <v>0</v>
      </c>
      <c r="AW27" s="1042">
        <f t="shared" si="42"/>
        <v>203000000</v>
      </c>
      <c r="AX27" s="1042">
        <f t="shared" si="43"/>
        <v>0</v>
      </c>
      <c r="AY27" s="19"/>
      <c r="AZ27" s="8">
        <f t="shared" si="44"/>
        <v>0</v>
      </c>
    </row>
    <row r="28" spans="1:52" ht="14.25" customHeight="1">
      <c r="A28" s="17">
        <f t="shared" si="5"/>
        <v>24</v>
      </c>
      <c r="B28" s="56" t="s">
        <v>740</v>
      </c>
      <c r="C28" s="671">
        <v>41275</v>
      </c>
      <c r="D28" s="55">
        <v>8</v>
      </c>
      <c r="E28" s="6">
        <v>155000000</v>
      </c>
      <c r="F28" s="1041">
        <f t="shared" si="0"/>
        <v>19375000</v>
      </c>
      <c r="G28" s="1053"/>
      <c r="H28" s="1042">
        <f t="shared" si="6"/>
        <v>0</v>
      </c>
      <c r="I28" s="1042">
        <f t="shared" si="7"/>
        <v>155000000</v>
      </c>
      <c r="J28" s="1042"/>
      <c r="K28" s="1042">
        <f t="shared" si="9"/>
        <v>0</v>
      </c>
      <c r="L28" s="1042">
        <f t="shared" si="10"/>
        <v>155000000</v>
      </c>
      <c r="M28" s="1042">
        <f t="shared" si="45"/>
        <v>19375000</v>
      </c>
      <c r="N28" s="1042">
        <f t="shared" si="11"/>
        <v>19375000</v>
      </c>
      <c r="O28" s="1042">
        <f t="shared" si="12"/>
        <v>135625000</v>
      </c>
      <c r="P28" s="1042">
        <f t="shared" si="46"/>
        <v>19375000</v>
      </c>
      <c r="Q28" s="1042">
        <f t="shared" si="13"/>
        <v>38750000</v>
      </c>
      <c r="R28" s="1042">
        <f t="shared" si="14"/>
        <v>116250000</v>
      </c>
      <c r="S28" s="1042">
        <f t="shared" si="49"/>
        <v>19375000</v>
      </c>
      <c r="T28" s="1042">
        <f t="shared" si="50"/>
        <v>58125000</v>
      </c>
      <c r="U28" s="1042">
        <f t="shared" si="51"/>
        <v>96875000</v>
      </c>
      <c r="V28" s="1042">
        <f t="shared" si="54"/>
        <v>19375000</v>
      </c>
      <c r="W28" s="1042">
        <f t="shared" si="55"/>
        <v>77500000</v>
      </c>
      <c r="X28" s="1042">
        <f t="shared" si="56"/>
        <v>77500000</v>
      </c>
      <c r="Y28" s="7">
        <v>77500000</v>
      </c>
      <c r="Z28" s="7">
        <f t="shared" si="19"/>
        <v>77500000</v>
      </c>
      <c r="AA28" s="1042">
        <f t="shared" si="20"/>
        <v>19375000</v>
      </c>
      <c r="AB28" s="1042">
        <f t="shared" si="21"/>
        <v>96875000</v>
      </c>
      <c r="AC28" s="1042">
        <f t="shared" si="58"/>
        <v>58125000</v>
      </c>
      <c r="AD28" s="1042">
        <f t="shared" si="23"/>
        <v>19375000</v>
      </c>
      <c r="AE28" s="1042">
        <f t="shared" si="24"/>
        <v>116250000</v>
      </c>
      <c r="AF28" s="1042">
        <f t="shared" si="25"/>
        <v>38750000</v>
      </c>
      <c r="AG28" s="1042">
        <f t="shared" si="26"/>
        <v>19375000</v>
      </c>
      <c r="AH28" s="1042">
        <f t="shared" si="27"/>
        <v>135625000</v>
      </c>
      <c r="AI28" s="1042">
        <f t="shared" si="28"/>
        <v>19375000</v>
      </c>
      <c r="AJ28" s="1042">
        <f t="shared" si="29"/>
        <v>1614583.3333333333</v>
      </c>
      <c r="AK28" s="1042">
        <f t="shared" si="30"/>
        <v>137239583.33333334</v>
      </c>
      <c r="AL28" s="1042">
        <f t="shared" si="31"/>
        <v>17760416.666666657</v>
      </c>
      <c r="AM28" s="1042">
        <f t="shared" si="32"/>
        <v>14531250</v>
      </c>
      <c r="AN28" s="1042">
        <f t="shared" si="33"/>
        <v>150156250</v>
      </c>
      <c r="AO28" s="1042">
        <f t="shared" si="34"/>
        <v>4843750</v>
      </c>
      <c r="AP28" s="1042">
        <f t="shared" si="35"/>
        <v>19375000</v>
      </c>
      <c r="AQ28" s="1042">
        <f t="shared" si="36"/>
        <v>155000000</v>
      </c>
      <c r="AR28" s="1042">
        <f t="shared" si="37"/>
        <v>0</v>
      </c>
      <c r="AS28" s="1042">
        <f t="shared" si="38"/>
        <v>0</v>
      </c>
      <c r="AT28" s="1042">
        <f t="shared" si="39"/>
        <v>155000000</v>
      </c>
      <c r="AU28" s="1042">
        <f t="shared" si="40"/>
        <v>0</v>
      </c>
      <c r="AV28" s="1042">
        <f t="shared" si="41"/>
        <v>0</v>
      </c>
      <c r="AW28" s="1042">
        <f t="shared" si="42"/>
        <v>155000000</v>
      </c>
      <c r="AX28" s="1042">
        <f t="shared" si="43"/>
        <v>0</v>
      </c>
      <c r="AY28" s="19"/>
      <c r="AZ28" s="8">
        <f t="shared" si="44"/>
        <v>0</v>
      </c>
    </row>
    <row r="29" spans="1:52" ht="14.25" customHeight="1">
      <c r="A29" s="17">
        <f t="shared" si="5"/>
        <v>25</v>
      </c>
      <c r="B29" s="56" t="s">
        <v>737</v>
      </c>
      <c r="C29" s="671">
        <v>41275</v>
      </c>
      <c r="D29" s="55">
        <v>8</v>
      </c>
      <c r="E29" s="6">
        <v>163000000</v>
      </c>
      <c r="F29" s="1041">
        <f t="shared" si="0"/>
        <v>20375000</v>
      </c>
      <c r="G29" s="1053"/>
      <c r="H29" s="1042">
        <f t="shared" si="6"/>
        <v>0</v>
      </c>
      <c r="I29" s="1042">
        <f t="shared" si="7"/>
        <v>163000000</v>
      </c>
      <c r="J29" s="1042"/>
      <c r="K29" s="1042">
        <f t="shared" si="9"/>
        <v>0</v>
      </c>
      <c r="L29" s="1042">
        <f t="shared" si="10"/>
        <v>163000000</v>
      </c>
      <c r="M29" s="1042">
        <f t="shared" si="45"/>
        <v>20375000</v>
      </c>
      <c r="N29" s="1042">
        <f t="shared" si="11"/>
        <v>20375000</v>
      </c>
      <c r="O29" s="1042">
        <f t="shared" si="12"/>
        <v>142625000</v>
      </c>
      <c r="P29" s="1042">
        <f t="shared" si="46"/>
        <v>20375000</v>
      </c>
      <c r="Q29" s="1042">
        <f t="shared" si="13"/>
        <v>40750000</v>
      </c>
      <c r="R29" s="1042">
        <f t="shared" si="14"/>
        <v>122250000</v>
      </c>
      <c r="S29" s="1042">
        <f t="shared" si="49"/>
        <v>20375000</v>
      </c>
      <c r="T29" s="1042">
        <f t="shared" si="50"/>
        <v>61125000</v>
      </c>
      <c r="U29" s="1042">
        <f t="shared" si="51"/>
        <v>101875000</v>
      </c>
      <c r="V29" s="1042">
        <f t="shared" si="54"/>
        <v>20375000</v>
      </c>
      <c r="W29" s="1042">
        <f t="shared" si="55"/>
        <v>81500000</v>
      </c>
      <c r="X29" s="1042">
        <f t="shared" si="56"/>
        <v>81500000</v>
      </c>
      <c r="Y29" s="7">
        <v>81500000</v>
      </c>
      <c r="Z29" s="7">
        <f t="shared" si="19"/>
        <v>81500000</v>
      </c>
      <c r="AA29" s="1042">
        <f t="shared" si="20"/>
        <v>20375000</v>
      </c>
      <c r="AB29" s="1042">
        <f t="shared" si="21"/>
        <v>101875000</v>
      </c>
      <c r="AC29" s="1042">
        <f t="shared" si="58"/>
        <v>61125000</v>
      </c>
      <c r="AD29" s="1042">
        <f t="shared" si="23"/>
        <v>20375000</v>
      </c>
      <c r="AE29" s="1042">
        <f t="shared" si="24"/>
        <v>122250000</v>
      </c>
      <c r="AF29" s="1042">
        <f t="shared" si="25"/>
        <v>40750000</v>
      </c>
      <c r="AG29" s="1042">
        <f t="shared" si="26"/>
        <v>20375000</v>
      </c>
      <c r="AH29" s="1042">
        <f t="shared" si="27"/>
        <v>142625000</v>
      </c>
      <c r="AI29" s="1042">
        <f t="shared" si="28"/>
        <v>20375000</v>
      </c>
      <c r="AJ29" s="1042">
        <f t="shared" si="29"/>
        <v>1697916.6666666667</v>
      </c>
      <c r="AK29" s="1042">
        <f t="shared" si="30"/>
        <v>144322916.66666666</v>
      </c>
      <c r="AL29" s="1042">
        <f t="shared" si="31"/>
        <v>18677083.333333343</v>
      </c>
      <c r="AM29" s="1042">
        <f t="shared" si="32"/>
        <v>15281250</v>
      </c>
      <c r="AN29" s="1042">
        <f t="shared" si="33"/>
        <v>157906250</v>
      </c>
      <c r="AO29" s="1042">
        <f t="shared" si="34"/>
        <v>5093750</v>
      </c>
      <c r="AP29" s="1042">
        <f t="shared" si="35"/>
        <v>20375000</v>
      </c>
      <c r="AQ29" s="1042">
        <f t="shared" si="36"/>
        <v>163000000</v>
      </c>
      <c r="AR29" s="1042">
        <f t="shared" si="37"/>
        <v>0</v>
      </c>
      <c r="AS29" s="1042">
        <f t="shared" si="38"/>
        <v>0</v>
      </c>
      <c r="AT29" s="1042">
        <f t="shared" si="39"/>
        <v>163000000</v>
      </c>
      <c r="AU29" s="1042">
        <f t="shared" si="40"/>
        <v>0</v>
      </c>
      <c r="AV29" s="1042">
        <f t="shared" si="41"/>
        <v>0</v>
      </c>
      <c r="AW29" s="1042">
        <f t="shared" si="42"/>
        <v>163000000</v>
      </c>
      <c r="AX29" s="1042">
        <f t="shared" si="43"/>
        <v>0</v>
      </c>
      <c r="AY29" s="19"/>
      <c r="AZ29" s="8">
        <f t="shared" si="44"/>
        <v>0</v>
      </c>
    </row>
    <row r="30" spans="1:52" ht="14.25" customHeight="1">
      <c r="A30" s="17">
        <f t="shared" si="5"/>
        <v>26</v>
      </c>
      <c r="B30" s="56" t="s">
        <v>741</v>
      </c>
      <c r="C30" s="671">
        <v>41275</v>
      </c>
      <c r="D30" s="55">
        <v>8</v>
      </c>
      <c r="E30" s="6">
        <v>323000000</v>
      </c>
      <c r="F30" s="1041">
        <f t="shared" si="0"/>
        <v>40375000</v>
      </c>
      <c r="G30" s="1053"/>
      <c r="H30" s="1042">
        <f t="shared" si="6"/>
        <v>0</v>
      </c>
      <c r="I30" s="1042">
        <f t="shared" si="7"/>
        <v>323000000</v>
      </c>
      <c r="J30" s="1042"/>
      <c r="K30" s="1042">
        <f t="shared" si="9"/>
        <v>0</v>
      </c>
      <c r="L30" s="1042">
        <f t="shared" si="10"/>
        <v>323000000</v>
      </c>
      <c r="M30" s="1042">
        <f t="shared" si="45"/>
        <v>40375000</v>
      </c>
      <c r="N30" s="1042">
        <f t="shared" si="11"/>
        <v>40375000</v>
      </c>
      <c r="O30" s="1042">
        <f t="shared" si="12"/>
        <v>282625000</v>
      </c>
      <c r="P30" s="1042">
        <f t="shared" si="46"/>
        <v>40375000</v>
      </c>
      <c r="Q30" s="1042">
        <f t="shared" si="13"/>
        <v>80750000</v>
      </c>
      <c r="R30" s="1042">
        <f t="shared" si="14"/>
        <v>242250000</v>
      </c>
      <c r="S30" s="1042">
        <f t="shared" si="49"/>
        <v>40375000</v>
      </c>
      <c r="T30" s="1042">
        <f t="shared" si="50"/>
        <v>121125000</v>
      </c>
      <c r="U30" s="1042">
        <f t="shared" si="51"/>
        <v>201875000</v>
      </c>
      <c r="V30" s="1042">
        <f t="shared" si="54"/>
        <v>40375000</v>
      </c>
      <c r="W30" s="1042">
        <f t="shared" si="55"/>
        <v>161500000</v>
      </c>
      <c r="X30" s="1042">
        <f t="shared" si="56"/>
        <v>161500000</v>
      </c>
      <c r="Y30" s="7">
        <v>161500000</v>
      </c>
      <c r="Z30" s="7">
        <f t="shared" si="19"/>
        <v>161500000</v>
      </c>
      <c r="AA30" s="1042">
        <f t="shared" si="20"/>
        <v>40375000</v>
      </c>
      <c r="AB30" s="1042">
        <f t="shared" si="21"/>
        <v>201875000</v>
      </c>
      <c r="AC30" s="1042">
        <f t="shared" si="58"/>
        <v>121125000</v>
      </c>
      <c r="AD30" s="1042">
        <f t="shared" si="23"/>
        <v>40375000</v>
      </c>
      <c r="AE30" s="1042">
        <f t="shared" si="24"/>
        <v>242250000</v>
      </c>
      <c r="AF30" s="1042">
        <f t="shared" si="25"/>
        <v>80750000</v>
      </c>
      <c r="AG30" s="1042">
        <f t="shared" si="26"/>
        <v>40375000</v>
      </c>
      <c r="AH30" s="1042">
        <f t="shared" si="27"/>
        <v>282625000</v>
      </c>
      <c r="AI30" s="1042">
        <f t="shared" si="28"/>
        <v>40375000</v>
      </c>
      <c r="AJ30" s="1042">
        <f t="shared" si="29"/>
        <v>3364583.3333333335</v>
      </c>
      <c r="AK30" s="1042">
        <f t="shared" si="30"/>
        <v>285989583.33333331</v>
      </c>
      <c r="AL30" s="1042">
        <f t="shared" si="31"/>
        <v>37010416.666666687</v>
      </c>
      <c r="AM30" s="1042">
        <f t="shared" si="32"/>
        <v>30281250</v>
      </c>
      <c r="AN30" s="1042">
        <f t="shared" si="33"/>
        <v>312906250</v>
      </c>
      <c r="AO30" s="1042">
        <f t="shared" si="34"/>
        <v>10093750</v>
      </c>
      <c r="AP30" s="1042">
        <f t="shared" si="35"/>
        <v>40375000</v>
      </c>
      <c r="AQ30" s="1042">
        <f t="shared" si="36"/>
        <v>323000000</v>
      </c>
      <c r="AR30" s="1042">
        <f t="shared" si="37"/>
        <v>0</v>
      </c>
      <c r="AS30" s="1042">
        <f t="shared" si="38"/>
        <v>0</v>
      </c>
      <c r="AT30" s="1042">
        <f t="shared" si="39"/>
        <v>323000000</v>
      </c>
      <c r="AU30" s="1042">
        <f t="shared" si="40"/>
        <v>0</v>
      </c>
      <c r="AV30" s="1042">
        <f t="shared" si="41"/>
        <v>0</v>
      </c>
      <c r="AW30" s="1042">
        <f t="shared" si="42"/>
        <v>323000000</v>
      </c>
      <c r="AX30" s="1042">
        <f t="shared" si="43"/>
        <v>0</v>
      </c>
      <c r="AY30" s="19"/>
      <c r="AZ30" s="8">
        <f t="shared" si="44"/>
        <v>0</v>
      </c>
    </row>
    <row r="31" spans="1:52" ht="14.25" customHeight="1">
      <c r="A31" s="17">
        <f t="shared" si="5"/>
        <v>27</v>
      </c>
      <c r="B31" s="56" t="s">
        <v>742</v>
      </c>
      <c r="C31" s="671">
        <v>41640</v>
      </c>
      <c r="D31" s="55">
        <v>8</v>
      </c>
      <c r="E31" s="6">
        <v>93000000</v>
      </c>
      <c r="F31" s="1041">
        <f t="shared" si="0"/>
        <v>11625000</v>
      </c>
      <c r="G31" s="1053"/>
      <c r="H31" s="1042">
        <f t="shared" si="6"/>
        <v>0</v>
      </c>
      <c r="I31" s="1042">
        <f t="shared" si="7"/>
        <v>93000000</v>
      </c>
      <c r="J31" s="1042"/>
      <c r="K31" s="1042">
        <f t="shared" si="9"/>
        <v>0</v>
      </c>
      <c r="L31" s="1042">
        <f t="shared" si="10"/>
        <v>93000000</v>
      </c>
      <c r="M31" s="1042">
        <f t="shared" si="45"/>
        <v>11625000</v>
      </c>
      <c r="N31" s="1042">
        <f t="shared" si="11"/>
        <v>11625000</v>
      </c>
      <c r="O31" s="1042">
        <f t="shared" si="12"/>
        <v>81375000</v>
      </c>
      <c r="P31" s="1042">
        <f t="shared" si="46"/>
        <v>11625000</v>
      </c>
      <c r="Q31" s="1042">
        <f t="shared" si="13"/>
        <v>23250000</v>
      </c>
      <c r="R31" s="1042">
        <f t="shared" si="14"/>
        <v>69750000</v>
      </c>
      <c r="S31" s="1042">
        <f t="shared" si="49"/>
        <v>11625000</v>
      </c>
      <c r="T31" s="1042">
        <f t="shared" si="50"/>
        <v>34875000</v>
      </c>
      <c r="U31" s="1042">
        <f t="shared" si="51"/>
        <v>58125000</v>
      </c>
      <c r="V31" s="1042">
        <f t="shared" si="54"/>
        <v>11625000</v>
      </c>
      <c r="W31" s="1042">
        <f t="shared" si="55"/>
        <v>46500000</v>
      </c>
      <c r="X31" s="1042">
        <f t="shared" si="56"/>
        <v>46500000</v>
      </c>
      <c r="Y31" s="7">
        <v>46500000</v>
      </c>
      <c r="Z31" s="7">
        <f t="shared" si="19"/>
        <v>46500000</v>
      </c>
      <c r="AA31" s="1042">
        <f t="shared" si="20"/>
        <v>11625000</v>
      </c>
      <c r="AB31" s="1042">
        <f t="shared" si="21"/>
        <v>58125000</v>
      </c>
      <c r="AC31" s="1042">
        <f t="shared" si="58"/>
        <v>34875000</v>
      </c>
      <c r="AD31" s="1042">
        <f t="shared" si="23"/>
        <v>11625000</v>
      </c>
      <c r="AE31" s="1042">
        <f t="shared" ref="AE31" si="59">AD31+AB31</f>
        <v>69750000</v>
      </c>
      <c r="AF31" s="1042">
        <f t="shared" ref="AF31" si="60">E31-AE31</f>
        <v>23250000</v>
      </c>
      <c r="AG31" s="1042">
        <f t="shared" si="26"/>
        <v>11625000</v>
      </c>
      <c r="AH31" s="1042">
        <f t="shared" si="27"/>
        <v>81375000</v>
      </c>
      <c r="AI31" s="1042">
        <f t="shared" si="28"/>
        <v>11625000</v>
      </c>
      <c r="AJ31" s="1042">
        <f t="shared" si="29"/>
        <v>968750</v>
      </c>
      <c r="AK31" s="1042">
        <f t="shared" si="30"/>
        <v>82343750</v>
      </c>
      <c r="AL31" s="1042">
        <f t="shared" si="31"/>
        <v>10656250</v>
      </c>
      <c r="AM31" s="1042">
        <f t="shared" si="32"/>
        <v>8718750</v>
      </c>
      <c r="AN31" s="1042">
        <f t="shared" si="33"/>
        <v>90093750</v>
      </c>
      <c r="AO31" s="1042">
        <f t="shared" si="34"/>
        <v>2906250</v>
      </c>
      <c r="AP31" s="1042">
        <f t="shared" si="35"/>
        <v>11625000</v>
      </c>
      <c r="AQ31" s="1042">
        <f t="shared" si="36"/>
        <v>93000000</v>
      </c>
      <c r="AR31" s="1042">
        <f t="shared" si="37"/>
        <v>0</v>
      </c>
      <c r="AS31" s="1042">
        <f t="shared" si="38"/>
        <v>0</v>
      </c>
      <c r="AT31" s="1042">
        <f t="shared" si="39"/>
        <v>93000000</v>
      </c>
      <c r="AU31" s="1042">
        <f t="shared" si="40"/>
        <v>0</v>
      </c>
      <c r="AV31" s="1042">
        <f t="shared" si="41"/>
        <v>0</v>
      </c>
      <c r="AW31" s="1042">
        <f t="shared" si="42"/>
        <v>93000000</v>
      </c>
      <c r="AX31" s="1042">
        <f t="shared" si="43"/>
        <v>0</v>
      </c>
      <c r="AY31" s="19"/>
      <c r="AZ31" s="8">
        <f t="shared" si="44"/>
        <v>0</v>
      </c>
    </row>
    <row r="32" spans="1:52" ht="14.25" customHeight="1">
      <c r="A32" s="17">
        <f t="shared" si="5"/>
        <v>28</v>
      </c>
      <c r="B32" s="56" t="s">
        <v>743</v>
      </c>
      <c r="C32" s="671">
        <v>41640</v>
      </c>
      <c r="D32" s="55">
        <v>8</v>
      </c>
      <c r="E32" s="6">
        <v>214000000</v>
      </c>
      <c r="F32" s="1041">
        <f t="shared" si="0"/>
        <v>26750000</v>
      </c>
      <c r="G32" s="1053"/>
      <c r="H32" s="1042">
        <f t="shared" si="6"/>
        <v>0</v>
      </c>
      <c r="I32" s="1042">
        <f t="shared" si="7"/>
        <v>214000000</v>
      </c>
      <c r="J32" s="1042"/>
      <c r="K32" s="1042">
        <f t="shared" si="9"/>
        <v>0</v>
      </c>
      <c r="L32" s="1042">
        <f t="shared" si="10"/>
        <v>214000000</v>
      </c>
      <c r="M32" s="1042">
        <f t="shared" si="45"/>
        <v>26750000</v>
      </c>
      <c r="N32" s="1042">
        <f t="shared" si="11"/>
        <v>26750000</v>
      </c>
      <c r="O32" s="1042">
        <f t="shared" si="12"/>
        <v>187250000</v>
      </c>
      <c r="P32" s="1042">
        <f t="shared" si="46"/>
        <v>26750000</v>
      </c>
      <c r="Q32" s="1042">
        <f t="shared" si="13"/>
        <v>53500000</v>
      </c>
      <c r="R32" s="1042">
        <f t="shared" si="14"/>
        <v>160500000</v>
      </c>
      <c r="S32" s="1042">
        <f t="shared" si="49"/>
        <v>26750000</v>
      </c>
      <c r="T32" s="1042">
        <f t="shared" si="50"/>
        <v>80250000</v>
      </c>
      <c r="U32" s="1042">
        <f t="shared" si="51"/>
        <v>133750000</v>
      </c>
      <c r="V32" s="1042">
        <f t="shared" si="54"/>
        <v>26750000</v>
      </c>
      <c r="W32" s="1042">
        <f t="shared" si="55"/>
        <v>107000000</v>
      </c>
      <c r="X32" s="1042">
        <f t="shared" si="56"/>
        <v>107000000</v>
      </c>
      <c r="Y32" s="7">
        <v>107000000</v>
      </c>
      <c r="Z32" s="7">
        <f t="shared" si="19"/>
        <v>107000000</v>
      </c>
      <c r="AA32" s="1042">
        <f t="shared" si="20"/>
        <v>26750000</v>
      </c>
      <c r="AB32" s="1042">
        <f t="shared" si="21"/>
        <v>133750000</v>
      </c>
      <c r="AC32" s="1042">
        <f t="shared" si="58"/>
        <v>80250000</v>
      </c>
      <c r="AD32" s="1042">
        <f t="shared" si="23"/>
        <v>26750000</v>
      </c>
      <c r="AE32" s="1042">
        <f t="shared" ref="AE32:AE36" si="61">AD32+AB32</f>
        <v>160500000</v>
      </c>
      <c r="AF32" s="1042">
        <f t="shared" ref="AF32:AF36" si="62">E32-AE32</f>
        <v>53500000</v>
      </c>
      <c r="AG32" s="1042">
        <f t="shared" si="26"/>
        <v>26750000</v>
      </c>
      <c r="AH32" s="1042">
        <f t="shared" si="27"/>
        <v>187250000</v>
      </c>
      <c r="AI32" s="1042">
        <f t="shared" si="28"/>
        <v>26750000</v>
      </c>
      <c r="AJ32" s="1042">
        <f t="shared" si="29"/>
        <v>2229166.6666666665</v>
      </c>
      <c r="AK32" s="1042">
        <f t="shared" si="30"/>
        <v>189479166.66666666</v>
      </c>
      <c r="AL32" s="1042">
        <f t="shared" si="31"/>
        <v>24520833.333333343</v>
      </c>
      <c r="AM32" s="1042">
        <f t="shared" si="32"/>
        <v>20062500</v>
      </c>
      <c r="AN32" s="1042">
        <f t="shared" si="33"/>
        <v>207312500</v>
      </c>
      <c r="AO32" s="1042">
        <f t="shared" si="34"/>
        <v>6687500</v>
      </c>
      <c r="AP32" s="1042">
        <f t="shared" si="35"/>
        <v>26750000</v>
      </c>
      <c r="AQ32" s="1042">
        <f t="shared" si="36"/>
        <v>214000000</v>
      </c>
      <c r="AR32" s="1042">
        <f t="shared" si="37"/>
        <v>0</v>
      </c>
      <c r="AS32" s="1042">
        <f t="shared" si="38"/>
        <v>0</v>
      </c>
      <c r="AT32" s="1042">
        <f t="shared" si="39"/>
        <v>214000000</v>
      </c>
      <c r="AU32" s="1042">
        <f t="shared" si="40"/>
        <v>0</v>
      </c>
      <c r="AV32" s="1042">
        <f t="shared" si="41"/>
        <v>0</v>
      </c>
      <c r="AW32" s="1042">
        <f t="shared" si="42"/>
        <v>214000000</v>
      </c>
      <c r="AX32" s="1042">
        <f t="shared" si="43"/>
        <v>0</v>
      </c>
      <c r="AY32" s="19"/>
      <c r="AZ32" s="8">
        <f t="shared" si="44"/>
        <v>0</v>
      </c>
    </row>
    <row r="33" spans="1:53" ht="14.25" customHeight="1">
      <c r="A33" s="17">
        <f t="shared" si="5"/>
        <v>29</v>
      </c>
      <c r="B33" s="56" t="s">
        <v>744</v>
      </c>
      <c r="C33" s="671">
        <v>42005</v>
      </c>
      <c r="D33" s="55">
        <v>8</v>
      </c>
      <c r="E33" s="6">
        <v>562000000</v>
      </c>
      <c r="F33" s="1041">
        <f t="shared" si="0"/>
        <v>70250000</v>
      </c>
      <c r="G33" s="1042"/>
      <c r="H33" s="1042"/>
      <c r="I33" s="1042"/>
      <c r="J33" s="1053">
        <f>(F33/12)*(13-IF(C33="","",MONTH(C33)))</f>
        <v>70250000</v>
      </c>
      <c r="K33" s="1042">
        <f t="shared" si="9"/>
        <v>70250000</v>
      </c>
      <c r="L33" s="1042">
        <f>E33-K33</f>
        <v>491750000</v>
      </c>
      <c r="M33" s="1042">
        <f t="shared" si="45"/>
        <v>70250000</v>
      </c>
      <c r="N33" s="1042">
        <f t="shared" si="11"/>
        <v>140500000</v>
      </c>
      <c r="O33" s="1042">
        <f t="shared" si="12"/>
        <v>421500000</v>
      </c>
      <c r="P33" s="1042">
        <f t="shared" si="46"/>
        <v>70250000</v>
      </c>
      <c r="Q33" s="1042">
        <f t="shared" si="13"/>
        <v>210750000</v>
      </c>
      <c r="R33" s="1042">
        <f t="shared" si="14"/>
        <v>351250000</v>
      </c>
      <c r="S33" s="1042">
        <f t="shared" si="49"/>
        <v>70250000</v>
      </c>
      <c r="T33" s="1042">
        <f t="shared" si="50"/>
        <v>281000000</v>
      </c>
      <c r="U33" s="1042">
        <f t="shared" si="51"/>
        <v>281000000</v>
      </c>
      <c r="V33" s="1042">
        <f t="shared" si="54"/>
        <v>70250000</v>
      </c>
      <c r="W33" s="1042">
        <f t="shared" si="55"/>
        <v>351250000</v>
      </c>
      <c r="X33" s="1042">
        <f t="shared" si="56"/>
        <v>210750000</v>
      </c>
      <c r="Y33" s="7">
        <v>317911802</v>
      </c>
      <c r="Z33" s="7">
        <f t="shared" si="19"/>
        <v>244088198</v>
      </c>
      <c r="AA33" s="1042">
        <f t="shared" ref="AA33:AA36" si="63">(F33/12)*12</f>
        <v>70250000</v>
      </c>
      <c r="AB33" s="1042">
        <f t="shared" si="21"/>
        <v>421500000</v>
      </c>
      <c r="AC33" s="1042">
        <f>E33-AB33</f>
        <v>140500000</v>
      </c>
      <c r="AD33" s="1042">
        <f t="shared" ref="AD33:AD36" si="64">(F33/12)*12</f>
        <v>70250000</v>
      </c>
      <c r="AE33" s="1042">
        <f t="shared" si="61"/>
        <v>491750000</v>
      </c>
      <c r="AF33" s="1042">
        <f t="shared" si="62"/>
        <v>70250000</v>
      </c>
      <c r="AG33" s="1042">
        <f>(F33/12)*12</f>
        <v>70250000</v>
      </c>
      <c r="AH33" s="1042">
        <f t="shared" ref="AH33" si="65">AE33+AG33</f>
        <v>562000000</v>
      </c>
      <c r="AI33" s="1042">
        <f t="shared" ref="AI33" si="66">E33-AH33</f>
        <v>0</v>
      </c>
      <c r="AJ33" s="1042">
        <f>(F33/12)*0</f>
        <v>0</v>
      </c>
      <c r="AK33" s="1042">
        <f t="shared" si="30"/>
        <v>562000000</v>
      </c>
      <c r="AL33" s="1042">
        <f t="shared" si="31"/>
        <v>0</v>
      </c>
      <c r="AM33" s="1042">
        <v>0</v>
      </c>
      <c r="AN33" s="1042">
        <f t="shared" si="33"/>
        <v>562000000</v>
      </c>
      <c r="AO33" s="1042">
        <f t="shared" si="34"/>
        <v>0</v>
      </c>
      <c r="AP33" s="1042">
        <f t="shared" ref="AP33" si="67">(F33/12)*0</f>
        <v>0</v>
      </c>
      <c r="AQ33" s="1042">
        <f t="shared" si="36"/>
        <v>562000000</v>
      </c>
      <c r="AR33" s="1042">
        <f t="shared" si="37"/>
        <v>0</v>
      </c>
      <c r="AS33" s="1042">
        <f t="shared" si="38"/>
        <v>0</v>
      </c>
      <c r="AT33" s="1042">
        <f t="shared" si="39"/>
        <v>562000000</v>
      </c>
      <c r="AU33" s="1042">
        <f t="shared" si="40"/>
        <v>0</v>
      </c>
      <c r="AV33" s="1042">
        <f t="shared" si="41"/>
        <v>0</v>
      </c>
      <c r="AW33" s="1042">
        <f t="shared" si="42"/>
        <v>562000000</v>
      </c>
      <c r="AX33" s="1042">
        <f t="shared" si="43"/>
        <v>0</v>
      </c>
      <c r="AY33" s="19"/>
      <c r="AZ33" s="8">
        <f t="shared" si="44"/>
        <v>0</v>
      </c>
    </row>
    <row r="34" spans="1:53" ht="14.25" customHeight="1">
      <c r="A34" s="17">
        <f t="shared" si="5"/>
        <v>30</v>
      </c>
      <c r="B34" s="56" t="s">
        <v>745</v>
      </c>
      <c r="C34" s="671">
        <v>42370</v>
      </c>
      <c r="D34" s="55">
        <v>8</v>
      </c>
      <c r="E34" s="6">
        <v>500000000</v>
      </c>
      <c r="F34" s="1041">
        <f t="shared" si="0"/>
        <v>62500000</v>
      </c>
      <c r="G34" s="1042"/>
      <c r="H34" s="1042"/>
      <c r="I34" s="1042"/>
      <c r="J34" s="1042"/>
      <c r="K34" s="1042"/>
      <c r="L34" s="1042"/>
      <c r="M34" s="1053">
        <f>(F34/12)*(13-IF(C34="","",MONTH(C34)))</f>
        <v>62500000</v>
      </c>
      <c r="N34" s="1042">
        <f t="shared" si="11"/>
        <v>62500000</v>
      </c>
      <c r="O34" s="1042">
        <f t="shared" si="12"/>
        <v>437500000</v>
      </c>
      <c r="P34" s="1042">
        <f t="shared" si="46"/>
        <v>62500000</v>
      </c>
      <c r="Q34" s="1042">
        <f t="shared" si="13"/>
        <v>125000000</v>
      </c>
      <c r="R34" s="1042">
        <f t="shared" si="14"/>
        <v>375000000</v>
      </c>
      <c r="S34" s="1042">
        <f t="shared" si="49"/>
        <v>62500000</v>
      </c>
      <c r="T34" s="1042">
        <f t="shared" si="50"/>
        <v>187500000</v>
      </c>
      <c r="U34" s="1042">
        <f t="shared" si="51"/>
        <v>312500000</v>
      </c>
      <c r="V34" s="1042">
        <f t="shared" si="54"/>
        <v>62500000</v>
      </c>
      <c r="W34" s="1042">
        <f t="shared" si="55"/>
        <v>250000000</v>
      </c>
      <c r="X34" s="1042">
        <f t="shared" si="56"/>
        <v>250000000</v>
      </c>
      <c r="Y34" s="7">
        <v>229166666.66666663</v>
      </c>
      <c r="Z34" s="7">
        <f t="shared" si="19"/>
        <v>270833333.33333337</v>
      </c>
      <c r="AA34" s="1042">
        <f t="shared" si="63"/>
        <v>62500000</v>
      </c>
      <c r="AB34" s="1042">
        <f t="shared" si="21"/>
        <v>312500000</v>
      </c>
      <c r="AC34" s="1042">
        <f t="shared" si="58"/>
        <v>187500000</v>
      </c>
      <c r="AD34" s="1042">
        <f t="shared" si="64"/>
        <v>62500000</v>
      </c>
      <c r="AE34" s="1042">
        <f t="shared" si="61"/>
        <v>375000000</v>
      </c>
      <c r="AF34" s="1042">
        <f t="shared" si="62"/>
        <v>125000000</v>
      </c>
      <c r="AG34" s="1042">
        <f t="shared" ref="AG34:AG36" si="68">(F34/12)*12</f>
        <v>62500000</v>
      </c>
      <c r="AH34" s="1042">
        <f t="shared" ref="AH34:AH36" si="69">AE34+AG34</f>
        <v>437500000</v>
      </c>
      <c r="AI34" s="1042">
        <f t="shared" ref="AI34:AI36" si="70">E34-AH34</f>
        <v>62500000</v>
      </c>
      <c r="AJ34" s="1042">
        <f t="shared" si="29"/>
        <v>5208333.333333333</v>
      </c>
      <c r="AK34" s="1042">
        <f t="shared" si="30"/>
        <v>442708333.33333331</v>
      </c>
      <c r="AL34" s="1042">
        <f t="shared" si="31"/>
        <v>57291666.666666687</v>
      </c>
      <c r="AM34" s="1042">
        <f t="shared" si="32"/>
        <v>46875000</v>
      </c>
      <c r="AN34" s="1042">
        <f t="shared" si="33"/>
        <v>484375000</v>
      </c>
      <c r="AO34" s="1042">
        <f t="shared" si="34"/>
        <v>15625000</v>
      </c>
      <c r="AP34" s="1042">
        <f t="shared" ref="AP34:AP36" si="71">(F34/12)*12</f>
        <v>62500000</v>
      </c>
      <c r="AQ34" s="1042">
        <f t="shared" si="36"/>
        <v>500000000</v>
      </c>
      <c r="AR34" s="1042">
        <f t="shared" si="37"/>
        <v>0</v>
      </c>
      <c r="AS34" s="1042">
        <f t="shared" si="38"/>
        <v>0</v>
      </c>
      <c r="AT34" s="1042">
        <f t="shared" si="39"/>
        <v>500000000</v>
      </c>
      <c r="AU34" s="1042">
        <f t="shared" si="40"/>
        <v>0</v>
      </c>
      <c r="AV34" s="1042">
        <f t="shared" si="41"/>
        <v>0</v>
      </c>
      <c r="AW34" s="1042">
        <f t="shared" si="42"/>
        <v>500000000</v>
      </c>
      <c r="AX34" s="1042">
        <f t="shared" si="43"/>
        <v>0</v>
      </c>
      <c r="AY34" s="19"/>
      <c r="AZ34" s="8">
        <f t="shared" si="44"/>
        <v>0</v>
      </c>
    </row>
    <row r="35" spans="1:53" ht="14.25" customHeight="1">
      <c r="A35" s="17">
        <f t="shared" si="5"/>
        <v>31</v>
      </c>
      <c r="B35" s="56" t="s">
        <v>746</v>
      </c>
      <c r="C35" s="671">
        <v>42370</v>
      </c>
      <c r="D35" s="55">
        <v>8</v>
      </c>
      <c r="E35" s="6">
        <v>500000000</v>
      </c>
      <c r="F35" s="1041">
        <f t="shared" si="0"/>
        <v>62500000</v>
      </c>
      <c r="G35" s="1042"/>
      <c r="H35" s="1042"/>
      <c r="I35" s="1042"/>
      <c r="J35" s="1042"/>
      <c r="K35" s="1042"/>
      <c r="L35" s="1042"/>
      <c r="M35" s="1053">
        <f>(F35/12)*(13-IF(C35="","",MONTH(C35)))</f>
        <v>62500000</v>
      </c>
      <c r="N35" s="1042">
        <f t="shared" si="11"/>
        <v>62500000</v>
      </c>
      <c r="O35" s="1042">
        <f t="shared" si="12"/>
        <v>437500000</v>
      </c>
      <c r="P35" s="1042">
        <f t="shared" si="46"/>
        <v>62500000</v>
      </c>
      <c r="Q35" s="1042">
        <f t="shared" si="13"/>
        <v>125000000</v>
      </c>
      <c r="R35" s="1042">
        <f t="shared" si="14"/>
        <v>375000000</v>
      </c>
      <c r="S35" s="1042">
        <f t="shared" si="49"/>
        <v>62500000</v>
      </c>
      <c r="T35" s="1042">
        <f t="shared" si="50"/>
        <v>187500000</v>
      </c>
      <c r="U35" s="1042">
        <f t="shared" si="51"/>
        <v>312500000</v>
      </c>
      <c r="V35" s="1042">
        <f t="shared" si="54"/>
        <v>62500000</v>
      </c>
      <c r="W35" s="1042">
        <f t="shared" si="55"/>
        <v>250000000</v>
      </c>
      <c r="X35" s="1042">
        <f t="shared" si="56"/>
        <v>250000000</v>
      </c>
      <c r="Y35" s="7">
        <v>229166666.66666663</v>
      </c>
      <c r="Z35" s="7">
        <f t="shared" si="19"/>
        <v>270833333.33333337</v>
      </c>
      <c r="AA35" s="1042">
        <f t="shared" si="63"/>
        <v>62500000</v>
      </c>
      <c r="AB35" s="1042">
        <f t="shared" si="21"/>
        <v>312500000</v>
      </c>
      <c r="AC35" s="1042">
        <f t="shared" si="58"/>
        <v>187500000</v>
      </c>
      <c r="AD35" s="1042">
        <f t="shared" si="64"/>
        <v>62500000</v>
      </c>
      <c r="AE35" s="1042">
        <f t="shared" si="61"/>
        <v>375000000</v>
      </c>
      <c r="AF35" s="1042">
        <f t="shared" si="62"/>
        <v>125000000</v>
      </c>
      <c r="AG35" s="1042">
        <f t="shared" si="68"/>
        <v>62500000</v>
      </c>
      <c r="AH35" s="1042">
        <f t="shared" si="69"/>
        <v>437500000</v>
      </c>
      <c r="AI35" s="1042">
        <f t="shared" si="70"/>
        <v>62500000</v>
      </c>
      <c r="AJ35" s="1042">
        <f t="shared" si="29"/>
        <v>5208333.333333333</v>
      </c>
      <c r="AK35" s="1042">
        <f t="shared" si="30"/>
        <v>442708333.33333331</v>
      </c>
      <c r="AL35" s="1042">
        <f t="shared" si="31"/>
        <v>57291666.666666687</v>
      </c>
      <c r="AM35" s="1042">
        <f t="shared" si="32"/>
        <v>46875000</v>
      </c>
      <c r="AN35" s="1042">
        <f t="shared" si="33"/>
        <v>484375000</v>
      </c>
      <c r="AO35" s="1042">
        <f t="shared" si="34"/>
        <v>15625000</v>
      </c>
      <c r="AP35" s="1042">
        <f t="shared" si="71"/>
        <v>62500000</v>
      </c>
      <c r="AQ35" s="1042">
        <f t="shared" si="36"/>
        <v>500000000</v>
      </c>
      <c r="AR35" s="1042">
        <f t="shared" si="37"/>
        <v>0</v>
      </c>
      <c r="AS35" s="1042">
        <f t="shared" si="38"/>
        <v>0</v>
      </c>
      <c r="AT35" s="1042">
        <f t="shared" si="39"/>
        <v>500000000</v>
      </c>
      <c r="AU35" s="1042">
        <f t="shared" si="40"/>
        <v>0</v>
      </c>
      <c r="AV35" s="1042">
        <f t="shared" si="41"/>
        <v>0</v>
      </c>
      <c r="AW35" s="1042">
        <f t="shared" si="42"/>
        <v>500000000</v>
      </c>
      <c r="AX35" s="1042">
        <f t="shared" si="43"/>
        <v>0</v>
      </c>
      <c r="AY35" s="19"/>
      <c r="AZ35" s="8">
        <f t="shared" si="44"/>
        <v>0</v>
      </c>
    </row>
    <row r="36" spans="1:53" ht="14.25" customHeight="1">
      <c r="A36" s="17">
        <f t="shared" si="5"/>
        <v>32</v>
      </c>
      <c r="B36" s="56" t="s">
        <v>747</v>
      </c>
      <c r="C36" s="671">
        <v>42736</v>
      </c>
      <c r="D36" s="55">
        <v>8</v>
      </c>
      <c r="E36" s="6">
        <v>230000000</v>
      </c>
      <c r="F36" s="1041">
        <f t="shared" si="0"/>
        <v>28750000</v>
      </c>
      <c r="G36" s="1042"/>
      <c r="H36" s="1042"/>
      <c r="I36" s="1042"/>
      <c r="J36" s="1042"/>
      <c r="K36" s="1042"/>
      <c r="L36" s="1042"/>
      <c r="M36" s="1042"/>
      <c r="N36" s="1042"/>
      <c r="O36" s="1042"/>
      <c r="P36" s="1053">
        <f>(F36/12)*(13-IF(C36="","",MONTH(C36)))</f>
        <v>28750000</v>
      </c>
      <c r="Q36" s="1042">
        <f t="shared" si="13"/>
        <v>28750000</v>
      </c>
      <c r="R36" s="1042">
        <f t="shared" si="14"/>
        <v>201250000</v>
      </c>
      <c r="S36" s="1042">
        <f t="shared" si="49"/>
        <v>28750000</v>
      </c>
      <c r="T36" s="1042">
        <f t="shared" si="50"/>
        <v>57500000</v>
      </c>
      <c r="U36" s="1042">
        <f t="shared" si="51"/>
        <v>172500000</v>
      </c>
      <c r="V36" s="1042">
        <f t="shared" si="54"/>
        <v>28750000</v>
      </c>
      <c r="W36" s="1042">
        <f t="shared" si="55"/>
        <v>86250000</v>
      </c>
      <c r="X36" s="1042">
        <f t="shared" si="56"/>
        <v>143750000</v>
      </c>
      <c r="Y36" s="7">
        <v>81458333.333333328</v>
      </c>
      <c r="Z36" s="7">
        <f t="shared" si="19"/>
        <v>148541666.66666669</v>
      </c>
      <c r="AA36" s="1042">
        <f t="shared" si="63"/>
        <v>28750000</v>
      </c>
      <c r="AB36" s="1042">
        <f t="shared" si="21"/>
        <v>115000000</v>
      </c>
      <c r="AC36" s="1042">
        <f t="shared" si="58"/>
        <v>115000000</v>
      </c>
      <c r="AD36" s="1042">
        <f t="shared" si="64"/>
        <v>28750000</v>
      </c>
      <c r="AE36" s="1042">
        <f t="shared" si="61"/>
        <v>143750000</v>
      </c>
      <c r="AF36" s="1042">
        <f t="shared" si="62"/>
        <v>86250000</v>
      </c>
      <c r="AG36" s="1042">
        <f t="shared" si="68"/>
        <v>28750000</v>
      </c>
      <c r="AH36" s="1042">
        <f t="shared" si="69"/>
        <v>172500000</v>
      </c>
      <c r="AI36" s="1042">
        <f t="shared" si="70"/>
        <v>57500000</v>
      </c>
      <c r="AJ36" s="1042">
        <f t="shared" si="29"/>
        <v>2395833.3333333335</v>
      </c>
      <c r="AK36" s="1042">
        <f t="shared" si="30"/>
        <v>174895833.33333334</v>
      </c>
      <c r="AL36" s="1042">
        <f t="shared" si="31"/>
        <v>55104166.666666657</v>
      </c>
      <c r="AM36" s="1042">
        <f t="shared" si="32"/>
        <v>21562500</v>
      </c>
      <c r="AN36" s="1042">
        <f t="shared" si="33"/>
        <v>194062500</v>
      </c>
      <c r="AO36" s="1042">
        <f t="shared" si="34"/>
        <v>35937500</v>
      </c>
      <c r="AP36" s="1042">
        <f t="shared" si="71"/>
        <v>28750000</v>
      </c>
      <c r="AQ36" s="1042">
        <f t="shared" si="36"/>
        <v>201250000</v>
      </c>
      <c r="AR36" s="1042">
        <f t="shared" si="37"/>
        <v>28750000</v>
      </c>
      <c r="AS36" s="1042">
        <f>(F36/12)*9</f>
        <v>21562500</v>
      </c>
      <c r="AT36" s="1042">
        <f t="shared" si="39"/>
        <v>222812500</v>
      </c>
      <c r="AU36" s="1042">
        <f t="shared" si="40"/>
        <v>7187500</v>
      </c>
      <c r="AV36" s="1042">
        <f t="shared" ref="AV36:AV37" si="72">(F36/12)*12</f>
        <v>28750000</v>
      </c>
      <c r="AW36" s="1042">
        <f t="shared" si="42"/>
        <v>230000000</v>
      </c>
      <c r="AX36" s="1042">
        <f t="shared" si="43"/>
        <v>0</v>
      </c>
      <c r="AY36" s="19"/>
      <c r="AZ36" s="8">
        <f t="shared" si="44"/>
        <v>0</v>
      </c>
    </row>
    <row r="37" spans="1:53" ht="14.25" customHeight="1">
      <c r="A37" s="17">
        <f t="shared" si="5"/>
        <v>33</v>
      </c>
      <c r="B37" s="56" t="s">
        <v>1218</v>
      </c>
      <c r="C37" s="671">
        <v>44938</v>
      </c>
      <c r="D37" s="55">
        <v>8</v>
      </c>
      <c r="E37" s="6">
        <v>120000000</v>
      </c>
      <c r="F37" s="1041">
        <f t="shared" si="0"/>
        <v>15000000</v>
      </c>
      <c r="G37" s="1042"/>
      <c r="H37" s="1042"/>
      <c r="I37" s="1042"/>
      <c r="J37" s="1042"/>
      <c r="K37" s="1042"/>
      <c r="L37" s="1042"/>
      <c r="M37" s="1042"/>
      <c r="N37" s="1042"/>
      <c r="O37" s="1042"/>
      <c r="P37" s="1042"/>
      <c r="Q37" s="1042"/>
      <c r="R37" s="1042"/>
      <c r="S37" s="1042"/>
      <c r="T37" s="1042"/>
      <c r="U37" s="1042"/>
      <c r="V37" s="1042"/>
      <c r="W37" s="1042"/>
      <c r="X37" s="1042"/>
      <c r="Y37" s="7"/>
      <c r="Z37" s="7"/>
      <c r="AA37" s="1042"/>
      <c r="AB37" s="1042"/>
      <c r="AC37" s="1042"/>
      <c r="AD37" s="1042"/>
      <c r="AE37" s="1042"/>
      <c r="AF37" s="1042"/>
      <c r="AG37" s="1042"/>
      <c r="AH37" s="1042"/>
      <c r="AI37" s="1042"/>
      <c r="AJ37" s="1042">
        <f t="shared" ref="AJ37" si="73">(F37/12)*1</f>
        <v>1250000</v>
      </c>
      <c r="AK37" s="1042">
        <f t="shared" ref="AK37" si="74">AH37+AJ37</f>
        <v>1250000</v>
      </c>
      <c r="AL37" s="1042">
        <f t="shared" ref="AL37" si="75">E37-AK37</f>
        <v>118750000</v>
      </c>
      <c r="AM37" s="1042">
        <f t="shared" si="32"/>
        <v>11250000</v>
      </c>
      <c r="AN37" s="1042">
        <f t="shared" si="33"/>
        <v>11250000</v>
      </c>
      <c r="AO37" s="1042">
        <f t="shared" si="34"/>
        <v>108750000</v>
      </c>
      <c r="AP37" s="1118">
        <f>(F37/12)*12</f>
        <v>15000000</v>
      </c>
      <c r="AQ37" s="1042">
        <f t="shared" ref="AQ37" si="76">AP37+AH37</f>
        <v>15000000</v>
      </c>
      <c r="AR37" s="1042">
        <f t="shared" ref="AR37" si="77">E37-AQ37</f>
        <v>105000000</v>
      </c>
      <c r="AS37" s="1042">
        <f>(F37/12)*9</f>
        <v>11250000</v>
      </c>
      <c r="AT37" s="1042">
        <f t="shared" si="39"/>
        <v>26250000</v>
      </c>
      <c r="AU37" s="1042">
        <f t="shared" si="40"/>
        <v>93750000</v>
      </c>
      <c r="AV37" s="1042">
        <f t="shared" si="72"/>
        <v>15000000</v>
      </c>
      <c r="AW37" s="1042">
        <f t="shared" si="42"/>
        <v>30000000</v>
      </c>
      <c r="AX37" s="1042">
        <f t="shared" si="43"/>
        <v>90000000</v>
      </c>
      <c r="AY37" s="19"/>
      <c r="AZ37" s="8">
        <f t="shared" si="44"/>
        <v>0</v>
      </c>
    </row>
    <row r="38" spans="1:53" ht="14.25" customHeight="1">
      <c r="A38" s="17"/>
      <c r="B38" s="56"/>
      <c r="C38" s="671"/>
      <c r="D38" s="55"/>
      <c r="E38" s="6"/>
      <c r="F38" s="1041"/>
      <c r="G38" s="1042"/>
      <c r="H38" s="1042"/>
      <c r="I38" s="1042"/>
      <c r="J38" s="1042"/>
      <c r="K38" s="1042"/>
      <c r="L38" s="1042"/>
      <c r="M38" s="1042"/>
      <c r="N38" s="1042"/>
      <c r="O38" s="1042"/>
      <c r="P38" s="1042"/>
      <c r="Q38" s="1042"/>
      <c r="R38" s="1042"/>
      <c r="S38" s="1042"/>
      <c r="T38" s="1042"/>
      <c r="U38" s="1042"/>
      <c r="V38" s="1042"/>
      <c r="W38" s="1042"/>
      <c r="X38" s="1042"/>
      <c r="Y38" s="7"/>
      <c r="Z38" s="7"/>
      <c r="AA38" s="1042"/>
      <c r="AB38" s="1042"/>
      <c r="AC38" s="1042"/>
      <c r="AD38" s="1042"/>
      <c r="AE38" s="1042"/>
      <c r="AF38" s="1042"/>
      <c r="AG38" s="1042"/>
      <c r="AH38" s="1042"/>
      <c r="AI38" s="1042"/>
      <c r="AJ38" s="1042"/>
      <c r="AK38" s="1042"/>
      <c r="AL38" s="1042"/>
      <c r="AM38" s="1042"/>
      <c r="AN38" s="1042"/>
      <c r="AO38" s="1042"/>
      <c r="AP38" s="1042"/>
      <c r="AQ38" s="1042"/>
      <c r="AR38" s="1042"/>
      <c r="AS38" s="1042"/>
      <c r="AT38" s="1042"/>
      <c r="AU38" s="1042"/>
      <c r="AV38" s="1042"/>
      <c r="AW38" s="1042"/>
      <c r="AX38" s="1042"/>
      <c r="AY38" s="19"/>
      <c r="AZ38" s="8"/>
    </row>
    <row r="39" spans="1:53" s="244" customFormat="1" ht="14.25" customHeight="1">
      <c r="A39" s="213" t="s">
        <v>748</v>
      </c>
      <c r="B39" s="230"/>
      <c r="C39" s="240"/>
      <c r="D39" s="241"/>
      <c r="E39" s="217"/>
      <c r="F39" s="1061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1042"/>
      <c r="U39" s="1042"/>
      <c r="V39" s="217"/>
      <c r="W39" s="217"/>
      <c r="X39" s="217"/>
      <c r="Y39" s="242"/>
      <c r="Z39" s="242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1042"/>
      <c r="AQ39" s="217"/>
      <c r="AR39" s="217"/>
      <c r="AS39" s="217"/>
      <c r="AT39" s="217"/>
      <c r="AU39" s="217"/>
      <c r="AV39" s="217"/>
      <c r="AW39" s="217"/>
      <c r="AX39" s="217"/>
      <c r="AY39" s="243"/>
      <c r="AZ39" s="8"/>
    </row>
    <row r="40" spans="1:53" ht="14.25" customHeight="1">
      <c r="A40" s="17">
        <v>1</v>
      </c>
      <c r="B40" s="56" t="s">
        <v>736</v>
      </c>
      <c r="C40" s="671">
        <v>40544</v>
      </c>
      <c r="D40" s="55">
        <v>8</v>
      </c>
      <c r="E40" s="6">
        <v>141000000</v>
      </c>
      <c r="F40" s="1041">
        <f t="shared" si="0"/>
        <v>17625000</v>
      </c>
      <c r="G40" s="1053"/>
      <c r="H40" s="1042">
        <f t="shared" ref="H40:H41" si="78">G40</f>
        <v>0</v>
      </c>
      <c r="I40" s="1042">
        <f t="shared" ref="I40:I41" si="79">E40-H40</f>
        <v>141000000</v>
      </c>
      <c r="J40" s="1042"/>
      <c r="K40" s="1042">
        <f t="shared" ref="K40:K41" si="80">H40+J40</f>
        <v>0</v>
      </c>
      <c r="L40" s="1042">
        <f t="shared" ref="L40:L41" si="81">E40-K40</f>
        <v>141000000</v>
      </c>
      <c r="M40" s="1042">
        <f t="shared" ref="M40:M42" si="82">(F40/12)*12</f>
        <v>17625000</v>
      </c>
      <c r="N40" s="1042">
        <f t="shared" ref="N40:N42" si="83">K40+M40</f>
        <v>17625000</v>
      </c>
      <c r="O40" s="1042">
        <f t="shared" ref="O40:O42" si="84">E40-N40</f>
        <v>123375000</v>
      </c>
      <c r="P40" s="1042">
        <f t="shared" ref="P40:P42" si="85">(F40/12)*12</f>
        <v>17625000</v>
      </c>
      <c r="Q40" s="1042">
        <f t="shared" ref="Q40:Q46" si="86">N40+P40</f>
        <v>35250000</v>
      </c>
      <c r="R40" s="1042">
        <f t="shared" ref="R40:R46" si="87">E40-Q40</f>
        <v>105750000</v>
      </c>
      <c r="S40" s="1042">
        <f t="shared" ref="S40:S46" si="88">(F40/12)*12</f>
        <v>17625000</v>
      </c>
      <c r="T40" s="1042">
        <f t="shared" ref="T40:T46" si="89">Q40+S40</f>
        <v>52875000</v>
      </c>
      <c r="U40" s="1042">
        <f t="shared" ref="U40:U46" si="90">E40-T40</f>
        <v>88125000</v>
      </c>
      <c r="V40" s="1042">
        <f t="shared" ref="V40:V46" si="91">(F40/12)*12</f>
        <v>17625000</v>
      </c>
      <c r="W40" s="1042">
        <f t="shared" ref="W40:W46" si="92">V40+T40</f>
        <v>70500000</v>
      </c>
      <c r="X40" s="1042">
        <f t="shared" ref="X40:X46" si="93">E40-W40</f>
        <v>70500000</v>
      </c>
      <c r="Y40" s="7">
        <v>52875000</v>
      </c>
      <c r="Z40" s="7">
        <f t="shared" ref="Z40:Z46" si="94">E40-Y40</f>
        <v>88125000</v>
      </c>
      <c r="AA40" s="1042">
        <f t="shared" ref="AA40:AA46" si="95">(F40/12)*12</f>
        <v>17625000</v>
      </c>
      <c r="AB40" s="1042">
        <f t="shared" si="21"/>
        <v>88125000</v>
      </c>
      <c r="AC40" s="1042">
        <f t="shared" ref="AC40:AC46" si="96">E40-AB40</f>
        <v>52875000</v>
      </c>
      <c r="AD40" s="1042">
        <f t="shared" ref="AD40:AD62" si="97">(F40/12)*12</f>
        <v>17625000</v>
      </c>
      <c r="AE40" s="1042">
        <f t="shared" ref="AE40:AE41" si="98">AD40+AB40</f>
        <v>105750000</v>
      </c>
      <c r="AF40" s="1042">
        <f t="shared" ref="AF40:AF41" si="99">E40-AE40</f>
        <v>35250000</v>
      </c>
      <c r="AG40" s="1042">
        <f t="shared" ref="AG40:AG41" si="100">(F40/12)*12</f>
        <v>17625000</v>
      </c>
      <c r="AH40" s="1042">
        <f t="shared" ref="AH40" si="101">AE40+AG40</f>
        <v>123375000</v>
      </c>
      <c r="AI40" s="1042">
        <f t="shared" ref="AI40" si="102">E40-AH40</f>
        <v>17625000</v>
      </c>
      <c r="AJ40" s="1042">
        <f t="shared" ref="AJ40:AJ41" si="103">(F40/12)*1</f>
        <v>1468750</v>
      </c>
      <c r="AK40" s="1042">
        <f t="shared" ref="AK40:AK43" si="104">AH40+AJ40</f>
        <v>124843750</v>
      </c>
      <c r="AL40" s="1042">
        <f t="shared" ref="AL40:AL43" si="105">E40-AK40</f>
        <v>16156250</v>
      </c>
      <c r="AM40" s="1042">
        <f t="shared" ref="AM40:AM41" si="106">(F40/12)*9</f>
        <v>13218750</v>
      </c>
      <c r="AN40" s="1042">
        <f t="shared" ref="AN40:AN41" si="107">AH40+AM40</f>
        <v>136593750</v>
      </c>
      <c r="AO40" s="1042">
        <f t="shared" ref="AO40:AO41" si="108">E40-AN40</f>
        <v>4406250</v>
      </c>
      <c r="AP40" s="1042">
        <f t="shared" ref="AP40:AP41" si="109">(F40/12)*12</f>
        <v>17625000</v>
      </c>
      <c r="AQ40" s="1042">
        <f t="shared" ref="AQ40:AQ41" si="110">AP40+AH40</f>
        <v>141000000</v>
      </c>
      <c r="AR40" s="1042">
        <f t="shared" ref="AR40:AR41" si="111">E40-AQ40</f>
        <v>0</v>
      </c>
      <c r="AS40" s="1042">
        <f>(F40/12)*0</f>
        <v>0</v>
      </c>
      <c r="AT40" s="1042">
        <f t="shared" ref="AT40:AT43" si="112">AQ40+AS40</f>
        <v>141000000</v>
      </c>
      <c r="AU40" s="1042">
        <f t="shared" ref="AU40:AU43" si="113">E40-AT40</f>
        <v>0</v>
      </c>
      <c r="AV40" s="1042">
        <f t="shared" ref="AV40:AV43" si="114">(F40/12)*0</f>
        <v>0</v>
      </c>
      <c r="AW40" s="1042">
        <f t="shared" ref="AW40:AW43" si="115">AQ40+AV40</f>
        <v>141000000</v>
      </c>
      <c r="AX40" s="1042">
        <f t="shared" ref="AX40:AX43" si="116">E40-AW40</f>
        <v>0</v>
      </c>
      <c r="AY40" s="19"/>
      <c r="AZ40" s="8">
        <f t="shared" ref="AZ40:AZ43" si="117">E40-AW40-AX40</f>
        <v>0</v>
      </c>
    </row>
    <row r="41" spans="1:53" ht="14.25" customHeight="1">
      <c r="A41" s="17">
        <f>A40+1</f>
        <v>2</v>
      </c>
      <c r="B41" s="56" t="s">
        <v>1153</v>
      </c>
      <c r="C41" s="671">
        <v>41640</v>
      </c>
      <c r="D41" s="55">
        <v>8</v>
      </c>
      <c r="E41" s="6">
        <v>71000000</v>
      </c>
      <c r="F41" s="1041">
        <f t="shared" si="0"/>
        <v>8875000</v>
      </c>
      <c r="G41" s="1053"/>
      <c r="H41" s="1042">
        <f t="shared" si="78"/>
        <v>0</v>
      </c>
      <c r="I41" s="1042">
        <f t="shared" si="79"/>
        <v>71000000</v>
      </c>
      <c r="J41" s="1042"/>
      <c r="K41" s="1042">
        <f t="shared" si="80"/>
        <v>0</v>
      </c>
      <c r="L41" s="1042">
        <f t="shared" si="81"/>
        <v>71000000</v>
      </c>
      <c r="M41" s="1042">
        <f t="shared" si="82"/>
        <v>8875000</v>
      </c>
      <c r="N41" s="1042">
        <f t="shared" si="83"/>
        <v>8875000</v>
      </c>
      <c r="O41" s="1042">
        <f t="shared" si="84"/>
        <v>62125000</v>
      </c>
      <c r="P41" s="1042">
        <f t="shared" si="85"/>
        <v>8875000</v>
      </c>
      <c r="Q41" s="1042">
        <f t="shared" si="86"/>
        <v>17750000</v>
      </c>
      <c r="R41" s="1042">
        <f t="shared" si="87"/>
        <v>53250000</v>
      </c>
      <c r="S41" s="1042">
        <f t="shared" si="88"/>
        <v>8875000</v>
      </c>
      <c r="T41" s="1042">
        <f t="shared" si="89"/>
        <v>26625000</v>
      </c>
      <c r="U41" s="1042">
        <f t="shared" si="90"/>
        <v>44375000</v>
      </c>
      <c r="V41" s="1042">
        <f t="shared" si="91"/>
        <v>8875000</v>
      </c>
      <c r="W41" s="1042">
        <f t="shared" si="92"/>
        <v>35500000</v>
      </c>
      <c r="X41" s="1042">
        <f t="shared" si="93"/>
        <v>35500000</v>
      </c>
      <c r="Y41" s="7">
        <v>26625000</v>
      </c>
      <c r="Z41" s="7">
        <f t="shared" si="94"/>
        <v>44375000</v>
      </c>
      <c r="AA41" s="1042">
        <f t="shared" si="95"/>
        <v>8875000</v>
      </c>
      <c r="AB41" s="1042">
        <f t="shared" si="21"/>
        <v>44375000</v>
      </c>
      <c r="AC41" s="1042">
        <f t="shared" si="96"/>
        <v>26625000</v>
      </c>
      <c r="AD41" s="1042">
        <f t="shared" si="97"/>
        <v>8875000</v>
      </c>
      <c r="AE41" s="1042">
        <f t="shared" si="98"/>
        <v>53250000</v>
      </c>
      <c r="AF41" s="1042">
        <f t="shared" si="99"/>
        <v>17750000</v>
      </c>
      <c r="AG41" s="1042">
        <f t="shared" si="100"/>
        <v>8875000</v>
      </c>
      <c r="AH41" s="1042">
        <f t="shared" ref="AH41:AH42" si="118">AE41+AG41</f>
        <v>62125000</v>
      </c>
      <c r="AI41" s="1042">
        <f t="shared" ref="AI41:AI42" si="119">E41-AH41</f>
        <v>8875000</v>
      </c>
      <c r="AJ41" s="1042">
        <f t="shared" si="103"/>
        <v>739583.33333333337</v>
      </c>
      <c r="AK41" s="1042">
        <f t="shared" si="104"/>
        <v>62864583.333333336</v>
      </c>
      <c r="AL41" s="1042">
        <f t="shared" si="105"/>
        <v>8135416.6666666642</v>
      </c>
      <c r="AM41" s="1042">
        <f t="shared" si="106"/>
        <v>6656250</v>
      </c>
      <c r="AN41" s="1042">
        <f t="shared" si="107"/>
        <v>68781250</v>
      </c>
      <c r="AO41" s="1042">
        <f t="shared" si="108"/>
        <v>2218750</v>
      </c>
      <c r="AP41" s="1042">
        <f t="shared" si="109"/>
        <v>8875000</v>
      </c>
      <c r="AQ41" s="1042">
        <f t="shared" si="110"/>
        <v>71000000</v>
      </c>
      <c r="AR41" s="1042">
        <f t="shared" si="111"/>
        <v>0</v>
      </c>
      <c r="AS41" s="1042">
        <f>(F41/12)*0</f>
        <v>0</v>
      </c>
      <c r="AT41" s="1042">
        <f t="shared" si="112"/>
        <v>71000000</v>
      </c>
      <c r="AU41" s="1042">
        <f t="shared" si="113"/>
        <v>0</v>
      </c>
      <c r="AV41" s="1042">
        <f t="shared" si="114"/>
        <v>0</v>
      </c>
      <c r="AW41" s="1042">
        <f t="shared" si="115"/>
        <v>71000000</v>
      </c>
      <c r="AX41" s="1042">
        <f t="shared" si="116"/>
        <v>0</v>
      </c>
      <c r="AY41" s="19"/>
      <c r="AZ41" s="8">
        <f t="shared" si="117"/>
        <v>0</v>
      </c>
    </row>
    <row r="42" spans="1:53" ht="14.25" customHeight="1">
      <c r="A42" s="17">
        <f>A41+1</f>
        <v>3</v>
      </c>
      <c r="B42" s="56" t="s">
        <v>1154</v>
      </c>
      <c r="C42" s="671">
        <v>42005</v>
      </c>
      <c r="D42" s="55">
        <v>8</v>
      </c>
      <c r="E42" s="6">
        <v>33060000</v>
      </c>
      <c r="F42" s="1041">
        <f t="shared" si="0"/>
        <v>4132500</v>
      </c>
      <c r="G42" s="1042"/>
      <c r="H42" s="1042"/>
      <c r="I42" s="1042"/>
      <c r="J42" s="1053">
        <f>(F42/12)*(13-IF(C42="","",MONTH(C42)))</f>
        <v>4132500</v>
      </c>
      <c r="K42" s="1042">
        <f>H42+J42</f>
        <v>4132500</v>
      </c>
      <c r="L42" s="1042">
        <f>E42-K42</f>
        <v>28927500</v>
      </c>
      <c r="M42" s="1042">
        <f t="shared" si="82"/>
        <v>4132500</v>
      </c>
      <c r="N42" s="1042">
        <f t="shared" si="83"/>
        <v>8265000</v>
      </c>
      <c r="O42" s="1042">
        <f t="shared" si="84"/>
        <v>24795000</v>
      </c>
      <c r="P42" s="1042">
        <f t="shared" si="85"/>
        <v>4132500</v>
      </c>
      <c r="Q42" s="1042">
        <f t="shared" si="86"/>
        <v>12397500</v>
      </c>
      <c r="R42" s="1042">
        <f t="shared" si="87"/>
        <v>20662500</v>
      </c>
      <c r="S42" s="1042">
        <f t="shared" si="88"/>
        <v>4132500</v>
      </c>
      <c r="T42" s="1042">
        <f t="shared" si="89"/>
        <v>16530000</v>
      </c>
      <c r="U42" s="1042">
        <f t="shared" si="90"/>
        <v>16530000</v>
      </c>
      <c r="V42" s="1042">
        <f t="shared" si="91"/>
        <v>4132500</v>
      </c>
      <c r="W42" s="1042">
        <f t="shared" si="92"/>
        <v>20662500</v>
      </c>
      <c r="X42" s="1042">
        <f t="shared" si="93"/>
        <v>12397500</v>
      </c>
      <c r="Y42" s="7">
        <v>14601500</v>
      </c>
      <c r="Z42" s="7">
        <f t="shared" si="94"/>
        <v>18458500</v>
      </c>
      <c r="AA42" s="1042">
        <f t="shared" si="95"/>
        <v>4132500</v>
      </c>
      <c r="AB42" s="1042">
        <f t="shared" si="21"/>
        <v>24795000</v>
      </c>
      <c r="AC42" s="1042">
        <f t="shared" si="96"/>
        <v>8265000</v>
      </c>
      <c r="AD42" s="1042">
        <f t="shared" si="97"/>
        <v>4132500</v>
      </c>
      <c r="AE42" s="1042">
        <f t="shared" ref="AE42:AE46" si="120">AD42+AB42</f>
        <v>28927500</v>
      </c>
      <c r="AF42" s="1042">
        <f t="shared" ref="AF42:AF46" si="121">E42-AE42</f>
        <v>4132500</v>
      </c>
      <c r="AG42" s="1042">
        <f>(F42/12)*12</f>
        <v>4132500</v>
      </c>
      <c r="AH42" s="1042">
        <f t="shared" si="118"/>
        <v>33060000</v>
      </c>
      <c r="AI42" s="1042">
        <f t="shared" si="119"/>
        <v>0</v>
      </c>
      <c r="AJ42" s="1042">
        <f>(F42/12)*0</f>
        <v>0</v>
      </c>
      <c r="AK42" s="1042">
        <f t="shared" si="104"/>
        <v>33060000</v>
      </c>
      <c r="AL42" s="1042">
        <f t="shared" si="105"/>
        <v>0</v>
      </c>
      <c r="AM42" s="1042">
        <f>0</f>
        <v>0</v>
      </c>
      <c r="AN42" s="1042">
        <f t="shared" ref="AN42:AN43" si="122">AK42+AM42</f>
        <v>33060000</v>
      </c>
      <c r="AO42" s="1042">
        <f t="shared" ref="AO42:AO43" si="123">E42-AN42</f>
        <v>0</v>
      </c>
      <c r="AP42" s="1042">
        <f t="shared" ref="AP42" si="124">(F42/12)*0</f>
        <v>0</v>
      </c>
      <c r="AQ42" s="1042">
        <f t="shared" ref="AQ42" si="125">AP42+AH42</f>
        <v>33060000</v>
      </c>
      <c r="AR42" s="1042">
        <f t="shared" ref="AR42" si="126">E42-AQ42</f>
        <v>0</v>
      </c>
      <c r="AS42" s="1042">
        <f>(F42/12)*0</f>
        <v>0</v>
      </c>
      <c r="AT42" s="1042">
        <f t="shared" si="112"/>
        <v>33060000</v>
      </c>
      <c r="AU42" s="1042">
        <f t="shared" si="113"/>
        <v>0</v>
      </c>
      <c r="AV42" s="1042">
        <f t="shared" si="114"/>
        <v>0</v>
      </c>
      <c r="AW42" s="1042">
        <f t="shared" si="115"/>
        <v>33060000</v>
      </c>
      <c r="AX42" s="1042">
        <f t="shared" si="116"/>
        <v>0</v>
      </c>
      <c r="AY42" s="19"/>
      <c r="AZ42" s="8">
        <f t="shared" si="117"/>
        <v>0</v>
      </c>
    </row>
    <row r="43" spans="1:53" ht="14.25" customHeight="1">
      <c r="A43" s="17">
        <f>A42+1</f>
        <v>4</v>
      </c>
      <c r="B43" s="947" t="s">
        <v>757</v>
      </c>
      <c r="C43" s="671">
        <v>42767</v>
      </c>
      <c r="D43" s="55">
        <v>4</v>
      </c>
      <c r="E43" s="6">
        <v>7800000</v>
      </c>
      <c r="F43" s="1041">
        <f>E43/D43</f>
        <v>1950000</v>
      </c>
      <c r="G43" s="1042"/>
      <c r="H43" s="1042"/>
      <c r="I43" s="1042"/>
      <c r="J43" s="1042"/>
      <c r="K43" s="1042"/>
      <c r="L43" s="1042"/>
      <c r="M43" s="1042"/>
      <c r="N43" s="1042"/>
      <c r="O43" s="1042"/>
      <c r="P43" s="1053">
        <f>(F43/12)*(13-IF(C43="","",MONTH(C43)))</f>
        <v>1787500</v>
      </c>
      <c r="Q43" s="1042">
        <f>N43+P43</f>
        <v>1787500</v>
      </c>
      <c r="R43" s="1042">
        <f>E43-Q43</f>
        <v>6012500</v>
      </c>
      <c r="S43" s="1042">
        <f>(F43/12)*12</f>
        <v>1950000</v>
      </c>
      <c r="T43" s="1042">
        <f>Q43+S43</f>
        <v>3737500</v>
      </c>
      <c r="U43" s="1042">
        <f>E43-T43</f>
        <v>4062500</v>
      </c>
      <c r="V43" s="1042">
        <f>(F43/12)*12</f>
        <v>1950000</v>
      </c>
      <c r="W43" s="1042">
        <f>V43+T43</f>
        <v>5687500</v>
      </c>
      <c r="X43" s="1042">
        <f>E43-W43</f>
        <v>2112500</v>
      </c>
      <c r="Y43" s="7">
        <v>1787500</v>
      </c>
      <c r="Z43" s="7">
        <f>E43-Y43</f>
        <v>6012500</v>
      </c>
      <c r="AA43" s="1042">
        <f>(F43/12)*12</f>
        <v>1950000</v>
      </c>
      <c r="AB43" s="1042">
        <f>W43+AA43</f>
        <v>7637500</v>
      </c>
      <c r="AC43" s="1042">
        <f>E43-AB43</f>
        <v>162500</v>
      </c>
      <c r="AD43" s="1042">
        <f>(F43/12)*1</f>
        <v>162500</v>
      </c>
      <c r="AE43" s="1042">
        <f>AD43+AB43</f>
        <v>7800000</v>
      </c>
      <c r="AF43" s="1042">
        <f>E43-AE43</f>
        <v>0</v>
      </c>
      <c r="AG43" s="1042">
        <f>(F43/12)*0</f>
        <v>0</v>
      </c>
      <c r="AH43" s="1042">
        <f>AE43+AG43</f>
        <v>7800000</v>
      </c>
      <c r="AI43" s="1042">
        <f>E43-AH43</f>
        <v>0</v>
      </c>
      <c r="AJ43" s="1042">
        <f>(F43/12)*0</f>
        <v>0</v>
      </c>
      <c r="AK43" s="1042">
        <f t="shared" si="104"/>
        <v>7800000</v>
      </c>
      <c r="AL43" s="1042">
        <f t="shared" si="105"/>
        <v>0</v>
      </c>
      <c r="AM43" s="1042">
        <f>0</f>
        <v>0</v>
      </c>
      <c r="AN43" s="1042">
        <f t="shared" si="122"/>
        <v>7800000</v>
      </c>
      <c r="AO43" s="1042">
        <f t="shared" si="123"/>
        <v>0</v>
      </c>
      <c r="AP43" s="1042">
        <f>(F43/12)*0</f>
        <v>0</v>
      </c>
      <c r="AQ43" s="1042">
        <f>AP43+AH43</f>
        <v>7800000</v>
      </c>
      <c r="AR43" s="1042">
        <f>E43-AQ43</f>
        <v>0</v>
      </c>
      <c r="AS43" s="1042">
        <f>(F43/12)*0</f>
        <v>0</v>
      </c>
      <c r="AT43" s="1042">
        <f t="shared" si="112"/>
        <v>7800000</v>
      </c>
      <c r="AU43" s="1042">
        <f t="shared" si="113"/>
        <v>0</v>
      </c>
      <c r="AV43" s="1042">
        <f t="shared" si="114"/>
        <v>0</v>
      </c>
      <c r="AW43" s="1042">
        <f t="shared" si="115"/>
        <v>7800000</v>
      </c>
      <c r="AX43" s="1042">
        <f t="shared" si="116"/>
        <v>0</v>
      </c>
      <c r="AY43" s="19"/>
      <c r="AZ43" s="8">
        <f t="shared" si="117"/>
        <v>0</v>
      </c>
    </row>
    <row r="44" spans="1:53" ht="14.25" customHeight="1">
      <c r="A44" s="17"/>
      <c r="B44" s="56"/>
      <c r="C44" s="671"/>
      <c r="D44" s="55"/>
      <c r="E44" s="6"/>
      <c r="F44" s="1041"/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T44" s="1042"/>
      <c r="U44" s="1042"/>
      <c r="V44" s="1042"/>
      <c r="W44" s="1042"/>
      <c r="X44" s="1042"/>
      <c r="Y44" s="182"/>
      <c r="Z44" s="182"/>
      <c r="AA44" s="1042"/>
      <c r="AB44" s="1042"/>
      <c r="AC44" s="1042"/>
      <c r="AD44" s="1042"/>
      <c r="AE44" s="1042"/>
      <c r="AF44" s="1042"/>
      <c r="AG44" s="1042"/>
      <c r="AH44" s="1042"/>
      <c r="AI44" s="1042"/>
      <c r="AJ44" s="1042"/>
      <c r="AK44" s="1042"/>
      <c r="AL44" s="1042"/>
      <c r="AM44" s="1042"/>
      <c r="AN44" s="1042"/>
      <c r="AO44" s="1042"/>
      <c r="AP44" s="1042"/>
      <c r="AQ44" s="1042"/>
      <c r="AR44" s="1042"/>
      <c r="AS44" s="1042"/>
      <c r="AT44" s="1042"/>
      <c r="AU44" s="1042"/>
      <c r="AV44" s="1042"/>
      <c r="AW44" s="1042"/>
      <c r="AX44" s="1042"/>
      <c r="AY44" s="19"/>
      <c r="AZ44" s="8"/>
    </row>
    <row r="45" spans="1:53" ht="14.25" customHeight="1">
      <c r="A45" s="17"/>
      <c r="B45" s="56"/>
      <c r="C45" s="671"/>
      <c r="D45" s="55"/>
      <c r="E45" s="6"/>
      <c r="F45" s="1041"/>
      <c r="G45" s="1042"/>
      <c r="H45" s="1042"/>
      <c r="I45" s="1042"/>
      <c r="J45" s="1042"/>
      <c r="K45" s="1042"/>
      <c r="L45" s="1042"/>
      <c r="M45" s="1042"/>
      <c r="N45" s="1042"/>
      <c r="O45" s="1042"/>
      <c r="P45" s="1042"/>
      <c r="Q45" s="1042"/>
      <c r="R45" s="1042"/>
      <c r="S45" s="1042"/>
      <c r="T45" s="1042"/>
      <c r="U45" s="1042"/>
      <c r="V45" s="1042"/>
      <c r="W45" s="1042"/>
      <c r="X45" s="1042"/>
      <c r="Y45" s="182"/>
      <c r="Z45" s="182"/>
      <c r="AA45" s="1042"/>
      <c r="AB45" s="1042"/>
      <c r="AC45" s="1042"/>
      <c r="AD45" s="1042"/>
      <c r="AE45" s="1042"/>
      <c r="AF45" s="1042"/>
      <c r="AG45" s="1042"/>
      <c r="AH45" s="1042"/>
      <c r="AI45" s="1042"/>
      <c r="AJ45" s="1042"/>
      <c r="AK45" s="1042"/>
      <c r="AL45" s="1042"/>
      <c r="AM45" s="1042"/>
      <c r="AN45" s="1042"/>
      <c r="AO45" s="1042"/>
      <c r="AP45" s="1042"/>
      <c r="AQ45" s="1042"/>
      <c r="AR45" s="1042"/>
      <c r="AS45" s="1042"/>
      <c r="AT45" s="1042"/>
      <c r="AU45" s="1042"/>
      <c r="AV45" s="1042"/>
      <c r="AW45" s="1042"/>
      <c r="AX45" s="1042"/>
      <c r="AY45" s="19"/>
      <c r="AZ45" s="8"/>
    </row>
    <row r="46" spans="1:53" ht="14.25" hidden="1" customHeight="1">
      <c r="A46" s="874">
        <f>A43+1</f>
        <v>5</v>
      </c>
      <c r="B46" s="905" t="s">
        <v>752</v>
      </c>
      <c r="C46" s="903">
        <v>42818</v>
      </c>
      <c r="D46" s="877">
        <v>8</v>
      </c>
      <c r="E46" s="878">
        <f>44500000*0</f>
        <v>0</v>
      </c>
      <c r="F46" s="879">
        <f t="shared" si="0"/>
        <v>0</v>
      </c>
      <c r="G46" s="880"/>
      <c r="H46" s="880"/>
      <c r="I46" s="880"/>
      <c r="J46" s="880"/>
      <c r="K46" s="880"/>
      <c r="L46" s="880"/>
      <c r="M46" s="880"/>
      <c r="N46" s="880"/>
      <c r="O46" s="880"/>
      <c r="P46" s="880">
        <f t="shared" ref="P46" si="127">(F46/12)*(13-IF(C46="","",MONTH(C46)))</f>
        <v>0</v>
      </c>
      <c r="Q46" s="880">
        <f t="shared" si="86"/>
        <v>0</v>
      </c>
      <c r="R46" s="880">
        <f t="shared" si="87"/>
        <v>0</v>
      </c>
      <c r="S46" s="880">
        <f t="shared" si="88"/>
        <v>0</v>
      </c>
      <c r="T46" s="880">
        <f t="shared" si="89"/>
        <v>0</v>
      </c>
      <c r="U46" s="880">
        <f t="shared" si="90"/>
        <v>0</v>
      </c>
      <c r="V46" s="880">
        <f t="shared" si="91"/>
        <v>0</v>
      </c>
      <c r="W46" s="880">
        <f t="shared" si="92"/>
        <v>0</v>
      </c>
      <c r="X46" s="880">
        <f t="shared" si="93"/>
        <v>0</v>
      </c>
      <c r="Y46" s="880">
        <f>9734375*0</f>
        <v>0</v>
      </c>
      <c r="Z46" s="880">
        <f t="shared" si="94"/>
        <v>0</v>
      </c>
      <c r="AA46" s="880">
        <f t="shared" si="95"/>
        <v>0</v>
      </c>
      <c r="AB46" s="880">
        <f t="shared" si="21"/>
        <v>0</v>
      </c>
      <c r="AC46" s="880">
        <f t="shared" si="96"/>
        <v>0</v>
      </c>
      <c r="AD46" s="880">
        <f t="shared" si="97"/>
        <v>0</v>
      </c>
      <c r="AE46" s="880">
        <f t="shared" si="120"/>
        <v>0</v>
      </c>
      <c r="AF46" s="880">
        <f t="shared" si="121"/>
        <v>0</v>
      </c>
      <c r="AG46" s="880">
        <f t="shared" ref="AG46" si="128">(F46/12)*12</f>
        <v>0</v>
      </c>
      <c r="AH46" s="880">
        <f t="shared" ref="AH46" si="129">AE46+AG46</f>
        <v>0</v>
      </c>
      <c r="AI46" s="880">
        <f t="shared" ref="AI46" si="130">E46-AH46</f>
        <v>0</v>
      </c>
      <c r="AJ46" s="880"/>
      <c r="AK46" s="880"/>
      <c r="AL46" s="880"/>
      <c r="AM46" s="880"/>
      <c r="AN46" s="880"/>
      <c r="AO46" s="880"/>
      <c r="AP46" s="880">
        <f>(F46/12)*7</f>
        <v>0</v>
      </c>
      <c r="AQ46" s="880">
        <f t="shared" ref="AQ46" si="131">AP46+AH46</f>
        <v>0</v>
      </c>
      <c r="AR46" s="880">
        <f t="shared" ref="AR46" si="132">E46-AQ46</f>
        <v>0</v>
      </c>
      <c r="AS46" s="896"/>
      <c r="AT46" s="896"/>
      <c r="AU46" s="896"/>
      <c r="AV46" s="896"/>
      <c r="AW46" s="896"/>
      <c r="AX46" s="896"/>
      <c r="AY46" s="881"/>
      <c r="AZ46" s="8">
        <f>E46-AQ46-AR46</f>
        <v>0</v>
      </c>
    </row>
    <row r="47" spans="1:53" ht="14.25" customHeight="1">
      <c r="A47" s="213" t="s">
        <v>1173</v>
      </c>
      <c r="B47" s="56"/>
      <c r="C47" s="671"/>
      <c r="D47" s="55"/>
      <c r="E47" s="6"/>
      <c r="F47" s="2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19"/>
      <c r="AZ47" s="19"/>
    </row>
    <row r="48" spans="1:53" ht="14.25" customHeight="1">
      <c r="A48" s="1021">
        <v>1</v>
      </c>
      <c r="B48" s="954" t="s">
        <v>1157</v>
      </c>
      <c r="C48" s="238">
        <v>40179</v>
      </c>
      <c r="D48" s="55">
        <v>8</v>
      </c>
      <c r="E48" s="6">
        <f>627500000+995300000</f>
        <v>1622800000</v>
      </c>
      <c r="F48" s="1041">
        <f t="shared" ref="F48" si="133">E48/D48</f>
        <v>202850000</v>
      </c>
      <c r="G48" s="1053"/>
      <c r="H48" s="1042"/>
      <c r="I48" s="1042">
        <f>E48</f>
        <v>1622800000</v>
      </c>
      <c r="J48" s="1042"/>
      <c r="K48" s="1042"/>
      <c r="L48" s="1042">
        <f>E48</f>
        <v>1622800000</v>
      </c>
      <c r="M48" s="1042">
        <f>F48</f>
        <v>202850000</v>
      </c>
      <c r="N48" s="1042">
        <f>K48+M48</f>
        <v>202850000</v>
      </c>
      <c r="O48" s="1042">
        <f>E48-N48</f>
        <v>1419950000</v>
      </c>
      <c r="P48" s="1042">
        <f t="shared" ref="P48" si="134">(F48/12)*12</f>
        <v>202850000</v>
      </c>
      <c r="Q48" s="1042">
        <f t="shared" ref="Q48" si="135">N48+P48</f>
        <v>405700000</v>
      </c>
      <c r="R48" s="1042">
        <f t="shared" ref="R48" si="136">E48-Q48</f>
        <v>1217100000</v>
      </c>
      <c r="S48" s="1042">
        <f t="shared" ref="S48" si="137">(F48/12)*12</f>
        <v>202850000</v>
      </c>
      <c r="T48" s="1042">
        <f t="shared" ref="T48" si="138">Q48+S48</f>
        <v>608550000</v>
      </c>
      <c r="U48" s="1042">
        <f t="shared" ref="U48" si="139">E48-T48</f>
        <v>1014250000</v>
      </c>
      <c r="V48" s="1042">
        <f t="shared" ref="V48" si="140">(F48/12)*12</f>
        <v>202850000</v>
      </c>
      <c r="W48" s="1042">
        <f t="shared" ref="W48" si="141">V48+T48</f>
        <v>811400000</v>
      </c>
      <c r="X48" s="1042">
        <f t="shared" ref="X48" si="142">E48-W48</f>
        <v>811400000</v>
      </c>
      <c r="Y48" s="1042">
        <v>14601500</v>
      </c>
      <c r="Z48" s="1042">
        <f t="shared" ref="Z48" si="143">E48-Y48</f>
        <v>1608198500</v>
      </c>
      <c r="AA48" s="1042">
        <f t="shared" ref="AA48" si="144">(F48/12)*12</f>
        <v>202850000</v>
      </c>
      <c r="AB48" s="1042">
        <f t="shared" ref="AB48" si="145">W48+AA48</f>
        <v>1014250000</v>
      </c>
      <c r="AC48" s="1042">
        <f t="shared" ref="AC48" si="146">E48-AB48</f>
        <v>608550000</v>
      </c>
      <c r="AD48" s="1042">
        <f t="shared" ref="AD48" si="147">(F48/12)*12</f>
        <v>202850000</v>
      </c>
      <c r="AE48" s="1042">
        <f t="shared" ref="AE48" si="148">AD48+AB48</f>
        <v>1217100000</v>
      </c>
      <c r="AF48" s="1042">
        <f t="shared" ref="AF48" si="149">E48-AE48</f>
        <v>405700000</v>
      </c>
      <c r="AG48" s="1042">
        <f>(F48/12)*12</f>
        <v>202850000</v>
      </c>
      <c r="AH48" s="1042">
        <f t="shared" ref="AH48" si="150">AE48+AG48</f>
        <v>1419950000</v>
      </c>
      <c r="AI48" s="1042">
        <f t="shared" ref="AI48" si="151">E48-AH48</f>
        <v>202850000</v>
      </c>
      <c r="AJ48" s="1042">
        <f t="shared" ref="AJ48" si="152">(F48/12)*1</f>
        <v>16904166.666666668</v>
      </c>
      <c r="AK48" s="1042">
        <f t="shared" ref="AK48" si="153">AH48+AJ48</f>
        <v>1436854166.6666667</v>
      </c>
      <c r="AL48" s="1042">
        <f t="shared" ref="AL48" si="154">E48-AK48</f>
        <v>185945833.33333325</v>
      </c>
      <c r="AM48" s="1042">
        <f t="shared" ref="AM48" si="155">(F48/12)*9</f>
        <v>152137500</v>
      </c>
      <c r="AN48" s="1042">
        <f t="shared" ref="AN48" si="156">AH48+AM48</f>
        <v>1572087500</v>
      </c>
      <c r="AO48" s="1042">
        <f t="shared" ref="AO48" si="157">E48-AN48</f>
        <v>50712500</v>
      </c>
      <c r="AP48" s="1042">
        <f t="shared" ref="AP48" si="158">(F48/12)*12</f>
        <v>202850000</v>
      </c>
      <c r="AQ48" s="1075">
        <f t="shared" ref="AQ48" si="159">AP48+AH48</f>
        <v>1622800000</v>
      </c>
      <c r="AR48" s="1076">
        <f t="shared" ref="AR48" si="160">E48-AQ48</f>
        <v>0</v>
      </c>
      <c r="AS48" s="1042">
        <f>(F48/12)*0</f>
        <v>0</v>
      </c>
      <c r="AT48" s="1042">
        <f t="shared" ref="AT48" si="161">AQ48+AS48</f>
        <v>1622800000</v>
      </c>
      <c r="AU48" s="1042">
        <f t="shared" ref="AU48" si="162">E48-AT48</f>
        <v>0</v>
      </c>
      <c r="AV48" s="1042">
        <f t="shared" ref="AV48" si="163">(F48/12)*0</f>
        <v>0</v>
      </c>
      <c r="AW48" s="1042">
        <f t="shared" ref="AW48" si="164">AQ48+AV48</f>
        <v>1622800000</v>
      </c>
      <c r="AX48" s="1042">
        <f t="shared" ref="AX48" si="165">E48-AW48</f>
        <v>0</v>
      </c>
      <c r="AZ48" s="8">
        <f t="shared" ref="AZ48" si="166">E48-AW48-AX48</f>
        <v>0</v>
      </c>
      <c r="BA48" s="19"/>
    </row>
    <row r="49" spans="1:52" ht="14.25" customHeight="1">
      <c r="A49" s="17"/>
      <c r="B49" s="56"/>
      <c r="C49" s="671"/>
      <c r="D49" s="55"/>
      <c r="E49" s="6"/>
      <c r="F49" s="2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19"/>
      <c r="AZ49" s="19"/>
    </row>
    <row r="50" spans="1:52" s="244" customFormat="1" ht="14.25" customHeight="1">
      <c r="A50" s="213" t="s">
        <v>753</v>
      </c>
      <c r="B50" s="230"/>
      <c r="C50" s="912"/>
      <c r="D50" s="241"/>
      <c r="E50" s="217"/>
      <c r="F50" s="1061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42"/>
      <c r="Z50" s="242"/>
      <c r="AA50" s="217"/>
      <c r="AB50" s="217">
        <f t="shared" si="21"/>
        <v>0</v>
      </c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7"/>
      <c r="AX50" s="217"/>
      <c r="AY50" s="243"/>
      <c r="AZ50" s="19"/>
    </row>
    <row r="51" spans="1:52" ht="14.25" hidden="1" customHeight="1">
      <c r="A51" s="884">
        <v>1</v>
      </c>
      <c r="B51" s="900" t="s">
        <v>754</v>
      </c>
      <c r="C51" s="901">
        <v>38353</v>
      </c>
      <c r="D51" s="887">
        <v>8</v>
      </c>
      <c r="E51" s="888">
        <f>125000000*0</f>
        <v>0</v>
      </c>
      <c r="F51" s="889">
        <f t="shared" si="0"/>
        <v>0</v>
      </c>
      <c r="G51" s="890">
        <f>(F51/12)*(13-IF(C51="","",MONTH(C51)))*8</f>
        <v>0</v>
      </c>
      <c r="H51" s="890">
        <f t="shared" ref="H51:H58" si="167">G51</f>
        <v>0</v>
      </c>
      <c r="I51" s="890">
        <f t="shared" ref="I51:I58" si="168">E51-H51</f>
        <v>0</v>
      </c>
      <c r="J51" s="890">
        <f t="shared" ref="J51" si="169">(F51/12)*0</f>
        <v>0</v>
      </c>
      <c r="K51" s="890">
        <f t="shared" ref="K51:K59" si="170">H51+J51</f>
        <v>0</v>
      </c>
      <c r="L51" s="890">
        <f t="shared" ref="L51:L59" si="171">E51-K51</f>
        <v>0</v>
      </c>
      <c r="M51" s="890">
        <f>(F51/12)*0</f>
        <v>0</v>
      </c>
      <c r="N51" s="890">
        <f t="shared" ref="N51:N59" si="172">K51+M51</f>
        <v>0</v>
      </c>
      <c r="O51" s="890">
        <f t="shared" ref="O51:O59" si="173">E51-N51</f>
        <v>0</v>
      </c>
      <c r="P51" s="890">
        <f>(F51/12)*0</f>
        <v>0</v>
      </c>
      <c r="Q51" s="890">
        <f t="shared" ref="Q51:Q61" si="174">N51+P51</f>
        <v>0</v>
      </c>
      <c r="R51" s="890">
        <f t="shared" ref="R51:R61" si="175">E51-Q51</f>
        <v>0</v>
      </c>
      <c r="S51" s="890">
        <f>(F51/12)*0</f>
        <v>0</v>
      </c>
      <c r="T51" s="890">
        <f t="shared" ref="T51" si="176">Q51+S51</f>
        <v>0</v>
      </c>
      <c r="U51" s="890">
        <f t="shared" ref="U51" si="177">E51-T51</f>
        <v>0</v>
      </c>
      <c r="V51" s="890">
        <f>(F51/12)*0</f>
        <v>0</v>
      </c>
      <c r="W51" s="890">
        <f t="shared" ref="W51:W62" si="178">V51+T51</f>
        <v>0</v>
      </c>
      <c r="X51" s="890">
        <f t="shared" ref="X51:X62" si="179">E51-W51</f>
        <v>0</v>
      </c>
      <c r="Y51" s="890">
        <f>70500000*0</f>
        <v>0</v>
      </c>
      <c r="Z51" s="890">
        <f t="shared" ref="Z51:Z62" si="180">E51-Y51</f>
        <v>0</v>
      </c>
      <c r="AA51" s="890">
        <f t="shared" ref="AA51:AA55" si="181">(F51/12)*12</f>
        <v>0</v>
      </c>
      <c r="AB51" s="890">
        <f t="shared" si="21"/>
        <v>0</v>
      </c>
      <c r="AC51" s="890">
        <f t="shared" ref="AC51:AC62" si="182">E51-AB51</f>
        <v>0</v>
      </c>
      <c r="AD51" s="890">
        <f t="shared" si="97"/>
        <v>0</v>
      </c>
      <c r="AE51" s="890">
        <f t="shared" ref="AE51:AE62" si="183">AD51+AB51</f>
        <v>0</v>
      </c>
      <c r="AF51" s="890">
        <f t="shared" ref="AF51:AF62" si="184">E51-AE51</f>
        <v>0</v>
      </c>
      <c r="AG51" s="890">
        <f t="shared" ref="AG51:AG58" si="185">(F51/12)*12</f>
        <v>0</v>
      </c>
      <c r="AH51" s="890">
        <f t="shared" ref="AH51:AH55" si="186">AE51+AG51</f>
        <v>0</v>
      </c>
      <c r="AI51" s="890">
        <f t="shared" ref="AI51:AI55" si="187">E51-AH51</f>
        <v>0</v>
      </c>
      <c r="AJ51" s="890"/>
      <c r="AK51" s="890"/>
      <c r="AL51" s="890"/>
      <c r="AM51" s="890"/>
      <c r="AN51" s="890"/>
      <c r="AO51" s="890"/>
      <c r="AP51" s="59">
        <f t="shared" ref="AP51:AP61" si="188">(F51/12)*0</f>
        <v>0</v>
      </c>
      <c r="AQ51" s="890">
        <f t="shared" ref="AQ51:AQ62" si="189">AP51+AH51</f>
        <v>0</v>
      </c>
      <c r="AR51" s="890">
        <f t="shared" ref="AR51:AR62" si="190">E51-AQ51</f>
        <v>0</v>
      </c>
      <c r="AS51" s="1158"/>
      <c r="AT51" s="1158"/>
      <c r="AU51" s="1158"/>
      <c r="AV51" s="1158"/>
      <c r="AW51" s="1158"/>
      <c r="AX51" s="1158"/>
      <c r="AY51" s="911"/>
      <c r="AZ51" s="8">
        <f t="shared" ref="AZ51:AZ62" si="191">E51-AQ51-AR51</f>
        <v>0</v>
      </c>
    </row>
    <row r="52" spans="1:52" ht="14.25" hidden="1" customHeight="1">
      <c r="A52" s="884">
        <f>A51+1</f>
        <v>2</v>
      </c>
      <c r="B52" s="900" t="s">
        <v>736</v>
      </c>
      <c r="C52" s="901">
        <v>40179</v>
      </c>
      <c r="D52" s="887">
        <v>8</v>
      </c>
      <c r="E52" s="888">
        <f>137000000*0</f>
        <v>0</v>
      </c>
      <c r="F52" s="889">
        <f t="shared" si="0"/>
        <v>0</v>
      </c>
      <c r="G52" s="890">
        <f>(F52/12)*(13-IF(C52="","",MONTH(C52)))*5</f>
        <v>0</v>
      </c>
      <c r="H52" s="890">
        <f t="shared" si="167"/>
        <v>0</v>
      </c>
      <c r="I52" s="890">
        <f t="shared" si="168"/>
        <v>0</v>
      </c>
      <c r="J52" s="890">
        <f t="shared" ref="J52:J58" si="192">(F52/12)*12</f>
        <v>0</v>
      </c>
      <c r="K52" s="890">
        <f t="shared" si="170"/>
        <v>0</v>
      </c>
      <c r="L52" s="890">
        <f t="shared" si="171"/>
        <v>0</v>
      </c>
      <c r="M52" s="890">
        <f t="shared" ref="M52:M59" si="193">(F52/12)*12</f>
        <v>0</v>
      </c>
      <c r="N52" s="890">
        <f t="shared" si="172"/>
        <v>0</v>
      </c>
      <c r="O52" s="890">
        <f t="shared" si="173"/>
        <v>0</v>
      </c>
      <c r="P52" s="890">
        <f t="shared" ref="P52:P60" si="194">(F52/12)*12</f>
        <v>0</v>
      </c>
      <c r="Q52" s="890">
        <f t="shared" si="174"/>
        <v>0</v>
      </c>
      <c r="R52" s="890">
        <f t="shared" si="175"/>
        <v>0</v>
      </c>
      <c r="S52" s="890">
        <f t="shared" ref="S52:S53" si="195">(F52/12)*0</f>
        <v>0</v>
      </c>
      <c r="T52" s="890">
        <f t="shared" ref="T52:T53" si="196">Q52+S52</f>
        <v>0</v>
      </c>
      <c r="U52" s="890">
        <f t="shared" ref="U52:U53" si="197">E52-T52</f>
        <v>0</v>
      </c>
      <c r="V52" s="890">
        <f t="shared" ref="V52:V54" si="198">(F52/12)*0</f>
        <v>0</v>
      </c>
      <c r="W52" s="890">
        <f t="shared" si="178"/>
        <v>0</v>
      </c>
      <c r="X52" s="890">
        <f t="shared" si="179"/>
        <v>0</v>
      </c>
      <c r="Y52" s="890">
        <f>68500000*0</f>
        <v>0</v>
      </c>
      <c r="Z52" s="890">
        <f t="shared" si="180"/>
        <v>0</v>
      </c>
      <c r="AA52" s="890">
        <f t="shared" si="181"/>
        <v>0</v>
      </c>
      <c r="AB52" s="890">
        <f t="shared" si="21"/>
        <v>0</v>
      </c>
      <c r="AC52" s="890">
        <f t="shared" si="182"/>
        <v>0</v>
      </c>
      <c r="AD52" s="890">
        <f t="shared" si="97"/>
        <v>0</v>
      </c>
      <c r="AE52" s="890">
        <f t="shared" si="183"/>
        <v>0</v>
      </c>
      <c r="AF52" s="890">
        <f t="shared" si="184"/>
        <v>0</v>
      </c>
      <c r="AG52" s="890">
        <f t="shared" si="185"/>
        <v>0</v>
      </c>
      <c r="AH52" s="890">
        <f t="shared" si="186"/>
        <v>0</v>
      </c>
      <c r="AI52" s="890">
        <f t="shared" si="187"/>
        <v>0</v>
      </c>
      <c r="AJ52" s="890"/>
      <c r="AK52" s="890"/>
      <c r="AL52" s="890"/>
      <c r="AM52" s="890"/>
      <c r="AN52" s="890"/>
      <c r="AO52" s="890"/>
      <c r="AP52" s="890">
        <f t="shared" si="188"/>
        <v>0</v>
      </c>
      <c r="AQ52" s="890">
        <f t="shared" si="189"/>
        <v>0</v>
      </c>
      <c r="AR52" s="890">
        <f t="shared" si="190"/>
        <v>0</v>
      </c>
      <c r="AS52" s="1158"/>
      <c r="AT52" s="1158"/>
      <c r="AU52" s="1158"/>
      <c r="AV52" s="1158"/>
      <c r="AW52" s="1158"/>
      <c r="AX52" s="1158"/>
      <c r="AY52" s="911"/>
      <c r="AZ52" s="8">
        <f t="shared" si="191"/>
        <v>0</v>
      </c>
    </row>
    <row r="53" spans="1:52" ht="14.25" hidden="1" customHeight="1">
      <c r="A53" s="884">
        <f t="shared" ref="A53:A62" si="199">A52+1</f>
        <v>3</v>
      </c>
      <c r="B53" s="900" t="s">
        <v>755</v>
      </c>
      <c r="C53" s="901">
        <v>40179</v>
      </c>
      <c r="D53" s="887">
        <v>8</v>
      </c>
      <c r="E53" s="888">
        <f>111000000*0</f>
        <v>0</v>
      </c>
      <c r="F53" s="889">
        <f t="shared" si="0"/>
        <v>0</v>
      </c>
      <c r="G53" s="890">
        <f>(F53/12)*(13-IF(C53="","",MONTH(C53)))*5</f>
        <v>0</v>
      </c>
      <c r="H53" s="890">
        <f t="shared" si="167"/>
        <v>0</v>
      </c>
      <c r="I53" s="890">
        <f t="shared" si="168"/>
        <v>0</v>
      </c>
      <c r="J53" s="890">
        <f t="shared" si="192"/>
        <v>0</v>
      </c>
      <c r="K53" s="890">
        <f t="shared" si="170"/>
        <v>0</v>
      </c>
      <c r="L53" s="890">
        <f t="shared" si="171"/>
        <v>0</v>
      </c>
      <c r="M53" s="890">
        <f t="shared" si="193"/>
        <v>0</v>
      </c>
      <c r="N53" s="890">
        <f t="shared" si="172"/>
        <v>0</v>
      </c>
      <c r="O53" s="890">
        <f t="shared" si="173"/>
        <v>0</v>
      </c>
      <c r="P53" s="890">
        <f t="shared" si="194"/>
        <v>0</v>
      </c>
      <c r="Q53" s="890">
        <f t="shared" si="174"/>
        <v>0</v>
      </c>
      <c r="R53" s="890">
        <f t="shared" si="175"/>
        <v>0</v>
      </c>
      <c r="S53" s="890">
        <f t="shared" si="195"/>
        <v>0</v>
      </c>
      <c r="T53" s="890">
        <f t="shared" si="196"/>
        <v>0</v>
      </c>
      <c r="U53" s="890">
        <f t="shared" si="197"/>
        <v>0</v>
      </c>
      <c r="V53" s="890">
        <f t="shared" si="198"/>
        <v>0</v>
      </c>
      <c r="W53" s="890">
        <f t="shared" si="178"/>
        <v>0</v>
      </c>
      <c r="X53" s="890">
        <f t="shared" si="179"/>
        <v>0</v>
      </c>
      <c r="Y53" s="890">
        <f>83000000*0</f>
        <v>0</v>
      </c>
      <c r="Z53" s="890">
        <f t="shared" si="180"/>
        <v>0</v>
      </c>
      <c r="AA53" s="890">
        <f t="shared" si="181"/>
        <v>0</v>
      </c>
      <c r="AB53" s="890">
        <f t="shared" si="21"/>
        <v>0</v>
      </c>
      <c r="AC53" s="890">
        <f t="shared" si="182"/>
        <v>0</v>
      </c>
      <c r="AD53" s="890">
        <f t="shared" si="97"/>
        <v>0</v>
      </c>
      <c r="AE53" s="890">
        <f t="shared" si="183"/>
        <v>0</v>
      </c>
      <c r="AF53" s="890">
        <f t="shared" si="184"/>
        <v>0</v>
      </c>
      <c r="AG53" s="890">
        <f>(F53/12)*0.216216</f>
        <v>0</v>
      </c>
      <c r="AH53" s="890">
        <f t="shared" si="186"/>
        <v>0</v>
      </c>
      <c r="AI53" s="890">
        <f t="shared" si="187"/>
        <v>0</v>
      </c>
      <c r="AJ53" s="890"/>
      <c r="AK53" s="890"/>
      <c r="AL53" s="890"/>
      <c r="AM53" s="890"/>
      <c r="AN53" s="890"/>
      <c r="AO53" s="890"/>
      <c r="AP53" s="890">
        <f t="shared" si="188"/>
        <v>0</v>
      </c>
      <c r="AQ53" s="890">
        <f t="shared" si="189"/>
        <v>0</v>
      </c>
      <c r="AR53" s="890">
        <f t="shared" si="190"/>
        <v>0</v>
      </c>
      <c r="AS53" s="1158"/>
      <c r="AT53" s="1158"/>
      <c r="AU53" s="1158"/>
      <c r="AV53" s="1158"/>
      <c r="AW53" s="1158"/>
      <c r="AX53" s="1158"/>
      <c r="AY53" s="911"/>
      <c r="AZ53" s="8">
        <f t="shared" si="191"/>
        <v>0</v>
      </c>
    </row>
    <row r="54" spans="1:52" ht="14.25" hidden="1" customHeight="1">
      <c r="A54" s="884">
        <f t="shared" si="199"/>
        <v>4</v>
      </c>
      <c r="B54" s="900" t="s">
        <v>736</v>
      </c>
      <c r="C54" s="901">
        <v>40544</v>
      </c>
      <c r="D54" s="887">
        <v>8</v>
      </c>
      <c r="E54" s="888">
        <f>141000000*0</f>
        <v>0</v>
      </c>
      <c r="F54" s="889">
        <f t="shared" si="0"/>
        <v>0</v>
      </c>
      <c r="G54" s="890">
        <f t="shared" ref="G54" si="200">(F54/12)*(13-IF(C54="","",MONTH(C54)))*4</f>
        <v>0</v>
      </c>
      <c r="H54" s="890">
        <f t="shared" si="167"/>
        <v>0</v>
      </c>
      <c r="I54" s="890">
        <f t="shared" si="168"/>
        <v>0</v>
      </c>
      <c r="J54" s="890">
        <f t="shared" si="192"/>
        <v>0</v>
      </c>
      <c r="K54" s="890">
        <f t="shared" si="170"/>
        <v>0</v>
      </c>
      <c r="L54" s="890">
        <f t="shared" si="171"/>
        <v>0</v>
      </c>
      <c r="M54" s="890">
        <f t="shared" si="193"/>
        <v>0</v>
      </c>
      <c r="N54" s="890">
        <f t="shared" si="172"/>
        <v>0</v>
      </c>
      <c r="O54" s="890">
        <f t="shared" si="173"/>
        <v>0</v>
      </c>
      <c r="P54" s="890">
        <f t="shared" si="194"/>
        <v>0</v>
      </c>
      <c r="Q54" s="890">
        <f t="shared" si="174"/>
        <v>0</v>
      </c>
      <c r="R54" s="890">
        <f t="shared" si="175"/>
        <v>0</v>
      </c>
      <c r="S54" s="890">
        <f t="shared" ref="S54:S61" si="201">(F54/12)*12</f>
        <v>0</v>
      </c>
      <c r="T54" s="890">
        <f t="shared" ref="T54:T61" si="202">Q54+S54</f>
        <v>0</v>
      </c>
      <c r="U54" s="890">
        <f t="shared" ref="U54:U61" si="203">E54-T54</f>
        <v>0</v>
      </c>
      <c r="V54" s="890">
        <f t="shared" si="198"/>
        <v>0</v>
      </c>
      <c r="W54" s="890">
        <f t="shared" si="178"/>
        <v>0</v>
      </c>
      <c r="X54" s="890">
        <f t="shared" si="179"/>
        <v>0</v>
      </c>
      <c r="Y54" s="890">
        <f>83000000*0</f>
        <v>0</v>
      </c>
      <c r="Z54" s="890">
        <f t="shared" si="180"/>
        <v>0</v>
      </c>
      <c r="AA54" s="890">
        <f t="shared" si="181"/>
        <v>0</v>
      </c>
      <c r="AB54" s="890">
        <f t="shared" si="21"/>
        <v>0</v>
      </c>
      <c r="AC54" s="890">
        <f t="shared" si="182"/>
        <v>0</v>
      </c>
      <c r="AD54" s="890">
        <f t="shared" si="97"/>
        <v>0</v>
      </c>
      <c r="AE54" s="890">
        <f t="shared" si="183"/>
        <v>0</v>
      </c>
      <c r="AF54" s="890">
        <f t="shared" si="184"/>
        <v>0</v>
      </c>
      <c r="AG54" s="890">
        <f>(F54/12)*12</f>
        <v>0</v>
      </c>
      <c r="AH54" s="890">
        <f t="shared" si="186"/>
        <v>0</v>
      </c>
      <c r="AI54" s="890">
        <f t="shared" si="187"/>
        <v>0</v>
      </c>
      <c r="AJ54" s="890"/>
      <c r="AK54" s="890"/>
      <c r="AL54" s="890"/>
      <c r="AM54" s="890"/>
      <c r="AN54" s="890"/>
      <c r="AO54" s="890"/>
      <c r="AP54" s="59">
        <f t="shared" si="188"/>
        <v>0</v>
      </c>
      <c r="AQ54" s="890">
        <f t="shared" si="189"/>
        <v>0</v>
      </c>
      <c r="AR54" s="890">
        <f t="shared" si="190"/>
        <v>0</v>
      </c>
      <c r="AS54" s="1158"/>
      <c r="AT54" s="1158"/>
      <c r="AU54" s="1158"/>
      <c r="AV54" s="1158"/>
      <c r="AW54" s="1158"/>
      <c r="AX54" s="1158"/>
      <c r="AY54" s="911"/>
      <c r="AZ54" s="8">
        <f t="shared" si="191"/>
        <v>0</v>
      </c>
    </row>
    <row r="55" spans="1:52" ht="14.25" hidden="1" customHeight="1">
      <c r="A55" s="884">
        <f t="shared" si="199"/>
        <v>5</v>
      </c>
      <c r="B55" s="900" t="s">
        <v>737</v>
      </c>
      <c r="C55" s="901">
        <v>40909</v>
      </c>
      <c r="D55" s="887">
        <v>8</v>
      </c>
      <c r="E55" s="888">
        <f>151000000*0</f>
        <v>0</v>
      </c>
      <c r="F55" s="889">
        <f t="shared" si="0"/>
        <v>0</v>
      </c>
      <c r="G55" s="890">
        <f>(F55/12)*(13-IF(C55="","",MONTH(C55)))*3</f>
        <v>0</v>
      </c>
      <c r="H55" s="890">
        <f t="shared" si="167"/>
        <v>0</v>
      </c>
      <c r="I55" s="890">
        <f t="shared" si="168"/>
        <v>0</v>
      </c>
      <c r="J55" s="890">
        <f t="shared" si="192"/>
        <v>0</v>
      </c>
      <c r="K55" s="890">
        <f t="shared" si="170"/>
        <v>0</v>
      </c>
      <c r="L55" s="890">
        <f t="shared" si="171"/>
        <v>0</v>
      </c>
      <c r="M55" s="890">
        <f t="shared" si="193"/>
        <v>0</v>
      </c>
      <c r="N55" s="890">
        <f t="shared" si="172"/>
        <v>0</v>
      </c>
      <c r="O55" s="890">
        <f t="shared" si="173"/>
        <v>0</v>
      </c>
      <c r="P55" s="890">
        <f t="shared" si="194"/>
        <v>0</v>
      </c>
      <c r="Q55" s="890">
        <f t="shared" si="174"/>
        <v>0</v>
      </c>
      <c r="R55" s="890">
        <f t="shared" si="175"/>
        <v>0</v>
      </c>
      <c r="S55" s="890">
        <f t="shared" si="201"/>
        <v>0</v>
      </c>
      <c r="T55" s="890">
        <f t="shared" si="202"/>
        <v>0</v>
      </c>
      <c r="U55" s="890">
        <f t="shared" si="203"/>
        <v>0</v>
      </c>
      <c r="V55" s="890">
        <f t="shared" ref="V55:V62" si="204">(F55/12)*12</f>
        <v>0</v>
      </c>
      <c r="W55" s="890">
        <f t="shared" si="178"/>
        <v>0</v>
      </c>
      <c r="X55" s="890">
        <f t="shared" si="179"/>
        <v>0</v>
      </c>
      <c r="Y55" s="890">
        <f>62500000*0</f>
        <v>0</v>
      </c>
      <c r="Z55" s="890">
        <f t="shared" si="180"/>
        <v>0</v>
      </c>
      <c r="AA55" s="890">
        <f t="shared" si="181"/>
        <v>0</v>
      </c>
      <c r="AB55" s="890">
        <f t="shared" si="21"/>
        <v>0</v>
      </c>
      <c r="AC55" s="890">
        <f t="shared" si="182"/>
        <v>0</v>
      </c>
      <c r="AD55" s="890">
        <f t="shared" si="97"/>
        <v>0</v>
      </c>
      <c r="AE55" s="890">
        <f t="shared" si="183"/>
        <v>0</v>
      </c>
      <c r="AF55" s="890">
        <f t="shared" si="184"/>
        <v>0</v>
      </c>
      <c r="AG55" s="890">
        <f t="shared" si="185"/>
        <v>0</v>
      </c>
      <c r="AH55" s="890">
        <f t="shared" si="186"/>
        <v>0</v>
      </c>
      <c r="AI55" s="890">
        <f t="shared" si="187"/>
        <v>0</v>
      </c>
      <c r="AJ55" s="890"/>
      <c r="AK55" s="890"/>
      <c r="AL55" s="890"/>
      <c r="AM55" s="890"/>
      <c r="AN55" s="890"/>
      <c r="AO55" s="890"/>
      <c r="AP55" s="890">
        <f t="shared" si="188"/>
        <v>0</v>
      </c>
      <c r="AQ55" s="890">
        <f t="shared" si="189"/>
        <v>0</v>
      </c>
      <c r="AR55" s="890">
        <f t="shared" si="190"/>
        <v>0</v>
      </c>
      <c r="AS55" s="1158"/>
      <c r="AT55" s="1158"/>
      <c r="AU55" s="1158"/>
      <c r="AV55" s="1158"/>
      <c r="AW55" s="1158"/>
      <c r="AX55" s="1158"/>
      <c r="AY55" s="911"/>
      <c r="AZ55" s="8">
        <f t="shared" si="191"/>
        <v>0</v>
      </c>
    </row>
    <row r="56" spans="1:52" ht="14.25" hidden="1" customHeight="1">
      <c r="A56" s="884">
        <f t="shared" si="199"/>
        <v>6</v>
      </c>
      <c r="B56" s="900" t="s">
        <v>737</v>
      </c>
      <c r="C56" s="901">
        <v>41640</v>
      </c>
      <c r="D56" s="887">
        <v>8</v>
      </c>
      <c r="E56" s="888">
        <f>166000000*0</f>
        <v>0</v>
      </c>
      <c r="F56" s="889">
        <f t="shared" si="0"/>
        <v>0</v>
      </c>
      <c r="G56" s="890">
        <f>(F56/12)*(13-IF(C56="","",MONTH(C56)))</f>
        <v>0</v>
      </c>
      <c r="H56" s="890">
        <f t="shared" si="167"/>
        <v>0</v>
      </c>
      <c r="I56" s="890">
        <f t="shared" si="168"/>
        <v>0</v>
      </c>
      <c r="J56" s="890">
        <f t="shared" si="192"/>
        <v>0</v>
      </c>
      <c r="K56" s="890">
        <f t="shared" si="170"/>
        <v>0</v>
      </c>
      <c r="L56" s="890">
        <f t="shared" si="171"/>
        <v>0</v>
      </c>
      <c r="M56" s="890">
        <f t="shared" si="193"/>
        <v>0</v>
      </c>
      <c r="N56" s="890">
        <f t="shared" si="172"/>
        <v>0</v>
      </c>
      <c r="O56" s="890">
        <f t="shared" si="173"/>
        <v>0</v>
      </c>
      <c r="P56" s="890">
        <f t="shared" si="194"/>
        <v>0</v>
      </c>
      <c r="Q56" s="890">
        <f t="shared" si="174"/>
        <v>0</v>
      </c>
      <c r="R56" s="890">
        <f t="shared" si="175"/>
        <v>0</v>
      </c>
      <c r="S56" s="890">
        <f t="shared" si="201"/>
        <v>0</v>
      </c>
      <c r="T56" s="890">
        <f t="shared" si="202"/>
        <v>0</v>
      </c>
      <c r="U56" s="890">
        <f t="shared" si="203"/>
        <v>0</v>
      </c>
      <c r="V56" s="890">
        <f t="shared" si="204"/>
        <v>0</v>
      </c>
      <c r="W56" s="890">
        <f t="shared" si="178"/>
        <v>0</v>
      </c>
      <c r="X56" s="890">
        <f t="shared" si="179"/>
        <v>0</v>
      </c>
      <c r="Y56" s="890">
        <f>75500000*0</f>
        <v>0</v>
      </c>
      <c r="Z56" s="890">
        <f t="shared" si="180"/>
        <v>0</v>
      </c>
      <c r="AA56" s="890">
        <f t="shared" ref="AA56:AA62" si="205">(F56/12)*12</f>
        <v>0</v>
      </c>
      <c r="AB56" s="890">
        <f t="shared" si="21"/>
        <v>0</v>
      </c>
      <c r="AC56" s="890">
        <f t="shared" si="182"/>
        <v>0</v>
      </c>
      <c r="AD56" s="890">
        <f t="shared" si="97"/>
        <v>0</v>
      </c>
      <c r="AE56" s="890">
        <f t="shared" si="183"/>
        <v>0</v>
      </c>
      <c r="AF56" s="890">
        <f t="shared" si="184"/>
        <v>0</v>
      </c>
      <c r="AG56" s="890">
        <f t="shared" si="185"/>
        <v>0</v>
      </c>
      <c r="AH56" s="890">
        <f t="shared" ref="AH56:AH62" si="206">AE56+AG56</f>
        <v>0</v>
      </c>
      <c r="AI56" s="890">
        <f t="shared" ref="AI56:AI62" si="207">E56-AH56</f>
        <v>0</v>
      </c>
      <c r="AJ56" s="890"/>
      <c r="AK56" s="890"/>
      <c r="AL56" s="890"/>
      <c r="AM56" s="890"/>
      <c r="AN56" s="890"/>
      <c r="AO56" s="890"/>
      <c r="AP56" s="890">
        <f t="shared" si="188"/>
        <v>0</v>
      </c>
      <c r="AQ56" s="890">
        <f t="shared" si="189"/>
        <v>0</v>
      </c>
      <c r="AR56" s="890">
        <f t="shared" si="190"/>
        <v>0</v>
      </c>
      <c r="AS56" s="1158"/>
      <c r="AT56" s="1158"/>
      <c r="AU56" s="1158"/>
      <c r="AV56" s="1158"/>
      <c r="AW56" s="1158"/>
      <c r="AX56" s="1158"/>
      <c r="AY56" s="911"/>
      <c r="AZ56" s="8">
        <f t="shared" si="191"/>
        <v>0</v>
      </c>
    </row>
    <row r="57" spans="1:52" ht="14.25" hidden="1" customHeight="1">
      <c r="A57" s="884">
        <f t="shared" si="199"/>
        <v>7</v>
      </c>
      <c r="B57" s="900" t="s">
        <v>737</v>
      </c>
      <c r="C57" s="901">
        <v>41640</v>
      </c>
      <c r="D57" s="887">
        <v>8</v>
      </c>
      <c r="E57" s="888">
        <f>166000000*0</f>
        <v>0</v>
      </c>
      <c r="F57" s="889">
        <f t="shared" si="0"/>
        <v>0</v>
      </c>
      <c r="G57" s="890">
        <f t="shared" ref="G57:G58" si="208">(F57/12)*(13-IF(C57="","",MONTH(C57)))</f>
        <v>0</v>
      </c>
      <c r="H57" s="890">
        <f t="shared" si="167"/>
        <v>0</v>
      </c>
      <c r="I57" s="890">
        <f t="shared" si="168"/>
        <v>0</v>
      </c>
      <c r="J57" s="890">
        <f t="shared" si="192"/>
        <v>0</v>
      </c>
      <c r="K57" s="890">
        <f t="shared" si="170"/>
        <v>0</v>
      </c>
      <c r="L57" s="890">
        <f t="shared" si="171"/>
        <v>0</v>
      </c>
      <c r="M57" s="890">
        <f t="shared" si="193"/>
        <v>0</v>
      </c>
      <c r="N57" s="890">
        <f t="shared" si="172"/>
        <v>0</v>
      </c>
      <c r="O57" s="890">
        <f t="shared" si="173"/>
        <v>0</v>
      </c>
      <c r="P57" s="890">
        <f t="shared" si="194"/>
        <v>0</v>
      </c>
      <c r="Q57" s="890">
        <f t="shared" si="174"/>
        <v>0</v>
      </c>
      <c r="R57" s="890">
        <f t="shared" si="175"/>
        <v>0</v>
      </c>
      <c r="S57" s="890">
        <f t="shared" si="201"/>
        <v>0</v>
      </c>
      <c r="T57" s="890">
        <f t="shared" si="202"/>
        <v>0</v>
      </c>
      <c r="U57" s="890">
        <f t="shared" si="203"/>
        <v>0</v>
      </c>
      <c r="V57" s="890">
        <f t="shared" si="204"/>
        <v>0</v>
      </c>
      <c r="W57" s="890">
        <f t="shared" si="178"/>
        <v>0</v>
      </c>
      <c r="X57" s="890">
        <f t="shared" si="179"/>
        <v>0</v>
      </c>
      <c r="Y57" s="890">
        <f>55500000*0</f>
        <v>0</v>
      </c>
      <c r="Z57" s="890">
        <f t="shared" si="180"/>
        <v>0</v>
      </c>
      <c r="AA57" s="890">
        <f t="shared" si="205"/>
        <v>0</v>
      </c>
      <c r="AB57" s="890">
        <f t="shared" si="21"/>
        <v>0</v>
      </c>
      <c r="AC57" s="890">
        <f t="shared" si="182"/>
        <v>0</v>
      </c>
      <c r="AD57" s="890">
        <f t="shared" si="97"/>
        <v>0</v>
      </c>
      <c r="AE57" s="890">
        <f t="shared" si="183"/>
        <v>0</v>
      </c>
      <c r="AF57" s="890">
        <f t="shared" si="184"/>
        <v>0</v>
      </c>
      <c r="AG57" s="890">
        <f t="shared" si="185"/>
        <v>0</v>
      </c>
      <c r="AH57" s="890">
        <f t="shared" si="206"/>
        <v>0</v>
      </c>
      <c r="AI57" s="890">
        <f t="shared" si="207"/>
        <v>0</v>
      </c>
      <c r="AJ57" s="890"/>
      <c r="AK57" s="890"/>
      <c r="AL57" s="890"/>
      <c r="AM57" s="890"/>
      <c r="AN57" s="890"/>
      <c r="AO57" s="890"/>
      <c r="AP57" s="890">
        <f t="shared" si="188"/>
        <v>0</v>
      </c>
      <c r="AQ57" s="890">
        <f t="shared" si="189"/>
        <v>0</v>
      </c>
      <c r="AR57" s="890">
        <f t="shared" si="190"/>
        <v>0</v>
      </c>
      <c r="AS57" s="1158"/>
      <c r="AT57" s="1158"/>
      <c r="AU57" s="1158"/>
      <c r="AV57" s="1158"/>
      <c r="AW57" s="1158"/>
      <c r="AX57" s="1158"/>
      <c r="AY57" s="911"/>
      <c r="AZ57" s="8">
        <f t="shared" si="191"/>
        <v>0</v>
      </c>
    </row>
    <row r="58" spans="1:52" ht="14.25" hidden="1" customHeight="1">
      <c r="A58" s="884">
        <f t="shared" si="199"/>
        <v>8</v>
      </c>
      <c r="B58" s="900" t="s">
        <v>749</v>
      </c>
      <c r="C58" s="901">
        <v>41640</v>
      </c>
      <c r="D58" s="887">
        <v>8</v>
      </c>
      <c r="E58" s="888">
        <f>71000000*0</f>
        <v>0</v>
      </c>
      <c r="F58" s="889">
        <f t="shared" si="0"/>
        <v>0</v>
      </c>
      <c r="G58" s="890">
        <f t="shared" si="208"/>
        <v>0</v>
      </c>
      <c r="H58" s="890">
        <f t="shared" si="167"/>
        <v>0</v>
      </c>
      <c r="I58" s="890">
        <f t="shared" si="168"/>
        <v>0</v>
      </c>
      <c r="J58" s="890">
        <f t="shared" si="192"/>
        <v>0</v>
      </c>
      <c r="K58" s="890">
        <f t="shared" si="170"/>
        <v>0</v>
      </c>
      <c r="L58" s="890">
        <f t="shared" si="171"/>
        <v>0</v>
      </c>
      <c r="M58" s="890">
        <f t="shared" si="193"/>
        <v>0</v>
      </c>
      <c r="N58" s="890">
        <f t="shared" si="172"/>
        <v>0</v>
      </c>
      <c r="O58" s="890">
        <f t="shared" si="173"/>
        <v>0</v>
      </c>
      <c r="P58" s="890">
        <f t="shared" si="194"/>
        <v>0</v>
      </c>
      <c r="Q58" s="890">
        <f t="shared" si="174"/>
        <v>0</v>
      </c>
      <c r="R58" s="890">
        <f t="shared" si="175"/>
        <v>0</v>
      </c>
      <c r="S58" s="890">
        <f t="shared" si="201"/>
        <v>0</v>
      </c>
      <c r="T58" s="890">
        <f t="shared" si="202"/>
        <v>0</v>
      </c>
      <c r="U58" s="890">
        <f t="shared" si="203"/>
        <v>0</v>
      </c>
      <c r="V58" s="890">
        <f t="shared" si="204"/>
        <v>0</v>
      </c>
      <c r="W58" s="890">
        <f t="shared" si="178"/>
        <v>0</v>
      </c>
      <c r="X58" s="890">
        <f t="shared" si="179"/>
        <v>0</v>
      </c>
      <c r="Y58" s="890">
        <f>35500000*0</f>
        <v>0</v>
      </c>
      <c r="Z58" s="890">
        <f t="shared" si="180"/>
        <v>0</v>
      </c>
      <c r="AA58" s="890">
        <f t="shared" si="205"/>
        <v>0</v>
      </c>
      <c r="AB58" s="890">
        <f t="shared" si="21"/>
        <v>0</v>
      </c>
      <c r="AC58" s="890">
        <f t="shared" si="182"/>
        <v>0</v>
      </c>
      <c r="AD58" s="890">
        <f t="shared" si="97"/>
        <v>0</v>
      </c>
      <c r="AE58" s="890">
        <f t="shared" si="183"/>
        <v>0</v>
      </c>
      <c r="AF58" s="890">
        <f t="shared" si="184"/>
        <v>0</v>
      </c>
      <c r="AG58" s="890">
        <f t="shared" si="185"/>
        <v>0</v>
      </c>
      <c r="AH58" s="890">
        <f t="shared" si="206"/>
        <v>0</v>
      </c>
      <c r="AI58" s="890">
        <f t="shared" si="207"/>
        <v>0</v>
      </c>
      <c r="AJ58" s="890"/>
      <c r="AK58" s="890"/>
      <c r="AL58" s="890"/>
      <c r="AM58" s="890"/>
      <c r="AN58" s="890"/>
      <c r="AO58" s="890"/>
      <c r="AP58" s="890">
        <f t="shared" si="188"/>
        <v>0</v>
      </c>
      <c r="AQ58" s="890">
        <f t="shared" si="189"/>
        <v>0</v>
      </c>
      <c r="AR58" s="890">
        <f t="shared" si="190"/>
        <v>0</v>
      </c>
      <c r="AS58" s="1158"/>
      <c r="AT58" s="1158"/>
      <c r="AU58" s="1158"/>
      <c r="AV58" s="1158"/>
      <c r="AW58" s="1158"/>
      <c r="AX58" s="1158"/>
      <c r="AY58" s="911"/>
      <c r="AZ58" s="8">
        <f t="shared" si="191"/>
        <v>0</v>
      </c>
    </row>
    <row r="59" spans="1:52" ht="14.25" hidden="1" customHeight="1">
      <c r="A59" s="884">
        <f t="shared" si="199"/>
        <v>9</v>
      </c>
      <c r="B59" s="900" t="s">
        <v>756</v>
      </c>
      <c r="C59" s="901">
        <v>42005</v>
      </c>
      <c r="D59" s="887">
        <v>8</v>
      </c>
      <c r="E59" s="888">
        <f>9500000*0</f>
        <v>0</v>
      </c>
      <c r="F59" s="889">
        <f t="shared" si="0"/>
        <v>0</v>
      </c>
      <c r="G59" s="890"/>
      <c r="H59" s="890"/>
      <c r="I59" s="890"/>
      <c r="J59" s="890">
        <f>(F59/12)*(13-IF(C59="","",MONTH(C59)))</f>
        <v>0</v>
      </c>
      <c r="K59" s="890">
        <f t="shared" si="170"/>
        <v>0</v>
      </c>
      <c r="L59" s="890">
        <f t="shared" si="171"/>
        <v>0</v>
      </c>
      <c r="M59" s="890">
        <f t="shared" si="193"/>
        <v>0</v>
      </c>
      <c r="N59" s="890">
        <f t="shared" si="172"/>
        <v>0</v>
      </c>
      <c r="O59" s="890">
        <f t="shared" si="173"/>
        <v>0</v>
      </c>
      <c r="P59" s="890">
        <f t="shared" si="194"/>
        <v>0</v>
      </c>
      <c r="Q59" s="890">
        <f t="shared" si="174"/>
        <v>0</v>
      </c>
      <c r="R59" s="890">
        <f t="shared" si="175"/>
        <v>0</v>
      </c>
      <c r="S59" s="890">
        <f t="shared" si="201"/>
        <v>0</v>
      </c>
      <c r="T59" s="890">
        <f t="shared" si="202"/>
        <v>0</v>
      </c>
      <c r="U59" s="890">
        <f t="shared" si="203"/>
        <v>0</v>
      </c>
      <c r="V59" s="890">
        <f t="shared" si="204"/>
        <v>0</v>
      </c>
      <c r="W59" s="890">
        <f t="shared" si="178"/>
        <v>0</v>
      </c>
      <c r="X59" s="890">
        <f t="shared" si="179"/>
        <v>0</v>
      </c>
      <c r="Y59" s="890">
        <f>5304166.66666667*0</f>
        <v>0</v>
      </c>
      <c r="Z59" s="890">
        <f t="shared" si="180"/>
        <v>0</v>
      </c>
      <c r="AA59" s="890">
        <f t="shared" si="205"/>
        <v>0</v>
      </c>
      <c r="AB59" s="890">
        <f t="shared" si="21"/>
        <v>0</v>
      </c>
      <c r="AC59" s="890">
        <f t="shared" si="182"/>
        <v>0</v>
      </c>
      <c r="AD59" s="890">
        <f t="shared" si="97"/>
        <v>0</v>
      </c>
      <c r="AE59" s="890">
        <f t="shared" si="183"/>
        <v>0</v>
      </c>
      <c r="AF59" s="890">
        <f t="shared" si="184"/>
        <v>0</v>
      </c>
      <c r="AG59" s="890">
        <f t="shared" ref="AG59:AG62" si="209">(F59/12)*12</f>
        <v>0</v>
      </c>
      <c r="AH59" s="890">
        <f t="shared" si="206"/>
        <v>0</v>
      </c>
      <c r="AI59" s="890">
        <f t="shared" si="207"/>
        <v>0</v>
      </c>
      <c r="AJ59" s="890"/>
      <c r="AK59" s="890"/>
      <c r="AL59" s="890"/>
      <c r="AM59" s="890"/>
      <c r="AN59" s="890"/>
      <c r="AO59" s="890"/>
      <c r="AP59" s="59">
        <f t="shared" si="188"/>
        <v>0</v>
      </c>
      <c r="AQ59" s="890">
        <f t="shared" si="189"/>
        <v>0</v>
      </c>
      <c r="AR59" s="890">
        <f t="shared" si="190"/>
        <v>0</v>
      </c>
      <c r="AS59" s="1158"/>
      <c r="AT59" s="1158"/>
      <c r="AU59" s="1158"/>
      <c r="AV59" s="1158"/>
      <c r="AW59" s="1158"/>
      <c r="AX59" s="1158"/>
      <c r="AY59" s="911"/>
      <c r="AZ59" s="8">
        <f t="shared" si="191"/>
        <v>0</v>
      </c>
    </row>
    <row r="60" spans="1:52" ht="14.25" hidden="1" customHeight="1">
      <c r="A60" s="884">
        <f t="shared" si="199"/>
        <v>10</v>
      </c>
      <c r="B60" s="900" t="s">
        <v>757</v>
      </c>
      <c r="C60" s="901">
        <v>42370</v>
      </c>
      <c r="D60" s="887">
        <v>8</v>
      </c>
      <c r="E60" s="888">
        <f>6000000*0</f>
        <v>0</v>
      </c>
      <c r="F60" s="889">
        <f t="shared" si="0"/>
        <v>0</v>
      </c>
      <c r="G60" s="890"/>
      <c r="H60" s="890"/>
      <c r="I60" s="890"/>
      <c r="J60" s="890"/>
      <c r="K60" s="890"/>
      <c r="L60" s="890"/>
      <c r="M60" s="890">
        <f>(F60/12)*(13-IF(C60="","",MONTH(C60)))</f>
        <v>0</v>
      </c>
      <c r="N60" s="890">
        <f t="shared" ref="N60" si="210">K60+M60</f>
        <v>0</v>
      </c>
      <c r="O60" s="890">
        <f t="shared" ref="O60" si="211">E60-N60</f>
        <v>0</v>
      </c>
      <c r="P60" s="890">
        <f t="shared" si="194"/>
        <v>0</v>
      </c>
      <c r="Q60" s="890">
        <f t="shared" si="174"/>
        <v>0</v>
      </c>
      <c r="R60" s="890">
        <f t="shared" si="175"/>
        <v>0</v>
      </c>
      <c r="S60" s="890">
        <f t="shared" si="201"/>
        <v>0</v>
      </c>
      <c r="T60" s="890">
        <f t="shared" si="202"/>
        <v>0</v>
      </c>
      <c r="U60" s="890">
        <f t="shared" si="203"/>
        <v>0</v>
      </c>
      <c r="V60" s="890">
        <f t="shared" si="204"/>
        <v>0</v>
      </c>
      <c r="W60" s="890">
        <f t="shared" si="178"/>
        <v>0</v>
      </c>
      <c r="X60" s="890">
        <f t="shared" si="179"/>
        <v>0</v>
      </c>
      <c r="Y60" s="890">
        <f>2750000*0</f>
        <v>0</v>
      </c>
      <c r="Z60" s="890">
        <f t="shared" si="180"/>
        <v>0</v>
      </c>
      <c r="AA60" s="890">
        <f t="shared" si="205"/>
        <v>0</v>
      </c>
      <c r="AB60" s="890">
        <f t="shared" si="21"/>
        <v>0</v>
      </c>
      <c r="AC60" s="890">
        <f t="shared" si="182"/>
        <v>0</v>
      </c>
      <c r="AD60" s="890">
        <f t="shared" si="97"/>
        <v>0</v>
      </c>
      <c r="AE60" s="890">
        <f t="shared" si="183"/>
        <v>0</v>
      </c>
      <c r="AF60" s="890">
        <f t="shared" si="184"/>
        <v>0</v>
      </c>
      <c r="AG60" s="890">
        <f t="shared" si="209"/>
        <v>0</v>
      </c>
      <c r="AH60" s="890">
        <f t="shared" si="206"/>
        <v>0</v>
      </c>
      <c r="AI60" s="890">
        <f t="shared" si="207"/>
        <v>0</v>
      </c>
      <c r="AJ60" s="890"/>
      <c r="AK60" s="890"/>
      <c r="AL60" s="890"/>
      <c r="AM60" s="890"/>
      <c r="AN60" s="890"/>
      <c r="AO60" s="890"/>
      <c r="AP60" s="890">
        <f t="shared" si="188"/>
        <v>0</v>
      </c>
      <c r="AQ60" s="890">
        <f t="shared" si="189"/>
        <v>0</v>
      </c>
      <c r="AR60" s="890">
        <f t="shared" si="190"/>
        <v>0</v>
      </c>
      <c r="AS60" s="1158"/>
      <c r="AT60" s="1158"/>
      <c r="AU60" s="1158"/>
      <c r="AV60" s="1158"/>
      <c r="AW60" s="1158"/>
      <c r="AX60" s="1158"/>
      <c r="AY60" s="911"/>
      <c r="AZ60" s="8">
        <f t="shared" si="191"/>
        <v>0</v>
      </c>
    </row>
    <row r="61" spans="1:52" ht="14.25" hidden="1" customHeight="1">
      <c r="A61" s="884">
        <f t="shared" si="199"/>
        <v>11</v>
      </c>
      <c r="B61" s="900" t="s">
        <v>758</v>
      </c>
      <c r="C61" s="901">
        <v>42736</v>
      </c>
      <c r="D61" s="887">
        <v>8</v>
      </c>
      <c r="E61" s="888">
        <f>25300000*0</f>
        <v>0</v>
      </c>
      <c r="F61" s="889">
        <f t="shared" si="0"/>
        <v>0</v>
      </c>
      <c r="G61" s="890"/>
      <c r="H61" s="890"/>
      <c r="I61" s="890"/>
      <c r="J61" s="890"/>
      <c r="K61" s="890"/>
      <c r="L61" s="890"/>
      <c r="M61" s="890"/>
      <c r="N61" s="890"/>
      <c r="O61" s="890"/>
      <c r="P61" s="890">
        <f t="shared" ref="P61" si="212">(F61/12)*(13-IF(C61="","",MONTH(C61)))</f>
        <v>0</v>
      </c>
      <c r="Q61" s="890">
        <f t="shared" si="174"/>
        <v>0</v>
      </c>
      <c r="R61" s="890">
        <f t="shared" si="175"/>
        <v>0</v>
      </c>
      <c r="S61" s="890">
        <f t="shared" si="201"/>
        <v>0</v>
      </c>
      <c r="T61" s="890">
        <f t="shared" si="202"/>
        <v>0</v>
      </c>
      <c r="U61" s="890">
        <f t="shared" si="203"/>
        <v>0</v>
      </c>
      <c r="V61" s="890">
        <f t="shared" si="204"/>
        <v>0</v>
      </c>
      <c r="W61" s="890">
        <f t="shared" si="178"/>
        <v>0</v>
      </c>
      <c r="X61" s="890">
        <f t="shared" si="179"/>
        <v>0</v>
      </c>
      <c r="Y61" s="890">
        <f>7906250*0</f>
        <v>0</v>
      </c>
      <c r="Z61" s="890">
        <f t="shared" si="180"/>
        <v>0</v>
      </c>
      <c r="AA61" s="890">
        <f t="shared" si="205"/>
        <v>0</v>
      </c>
      <c r="AB61" s="890">
        <f t="shared" si="21"/>
        <v>0</v>
      </c>
      <c r="AC61" s="890">
        <f t="shared" si="182"/>
        <v>0</v>
      </c>
      <c r="AD61" s="890">
        <f t="shared" si="97"/>
        <v>0</v>
      </c>
      <c r="AE61" s="890">
        <f t="shared" si="183"/>
        <v>0</v>
      </c>
      <c r="AF61" s="890">
        <f t="shared" si="184"/>
        <v>0</v>
      </c>
      <c r="AG61" s="890">
        <f t="shared" si="209"/>
        <v>0</v>
      </c>
      <c r="AH61" s="890">
        <f t="shared" si="206"/>
        <v>0</v>
      </c>
      <c r="AI61" s="890">
        <f t="shared" si="207"/>
        <v>0</v>
      </c>
      <c r="AJ61" s="890"/>
      <c r="AK61" s="890"/>
      <c r="AL61" s="890"/>
      <c r="AM61" s="890"/>
      <c r="AN61" s="890"/>
      <c r="AO61" s="890"/>
      <c r="AP61" s="890">
        <f t="shared" si="188"/>
        <v>0</v>
      </c>
      <c r="AQ61" s="890">
        <f t="shared" si="189"/>
        <v>0</v>
      </c>
      <c r="AR61" s="890">
        <f t="shared" si="190"/>
        <v>0</v>
      </c>
      <c r="AS61" s="1158"/>
      <c r="AT61" s="1158"/>
      <c r="AU61" s="1158"/>
      <c r="AV61" s="1158"/>
      <c r="AW61" s="1158"/>
      <c r="AX61" s="1158"/>
      <c r="AY61" s="911"/>
      <c r="AZ61" s="8">
        <f t="shared" si="191"/>
        <v>0</v>
      </c>
    </row>
    <row r="62" spans="1:52" ht="14.25" hidden="1" customHeight="1">
      <c r="A62" s="884">
        <f t="shared" si="199"/>
        <v>12</v>
      </c>
      <c r="B62" s="900" t="s">
        <v>757</v>
      </c>
      <c r="C62" s="901">
        <v>43160</v>
      </c>
      <c r="D62" s="887">
        <v>8</v>
      </c>
      <c r="E62" s="888">
        <f>33900000*0</f>
        <v>0</v>
      </c>
      <c r="F62" s="889">
        <f t="shared" si="0"/>
        <v>0</v>
      </c>
      <c r="G62" s="890"/>
      <c r="H62" s="890"/>
      <c r="I62" s="890"/>
      <c r="J62" s="890"/>
      <c r="K62" s="890"/>
      <c r="L62" s="890"/>
      <c r="M62" s="890"/>
      <c r="N62" s="890"/>
      <c r="O62" s="890"/>
      <c r="P62" s="890"/>
      <c r="Q62" s="890"/>
      <c r="R62" s="890"/>
      <c r="S62" s="890">
        <f>(F62/12)*(13-IF(C62="","",MONTH(C62)))</f>
        <v>0</v>
      </c>
      <c r="T62" s="890">
        <f t="shared" ref="T62" si="213">Q62+S62</f>
        <v>0</v>
      </c>
      <c r="U62" s="890">
        <f t="shared" ref="U62" si="214">E62-T62</f>
        <v>0</v>
      </c>
      <c r="V62" s="890">
        <f t="shared" si="204"/>
        <v>0</v>
      </c>
      <c r="W62" s="890">
        <f t="shared" si="178"/>
        <v>0</v>
      </c>
      <c r="X62" s="890">
        <f t="shared" si="179"/>
        <v>0</v>
      </c>
      <c r="Y62" s="890">
        <f>7768750*0</f>
        <v>0</v>
      </c>
      <c r="Z62" s="890">
        <f t="shared" si="180"/>
        <v>0</v>
      </c>
      <c r="AA62" s="890">
        <f t="shared" si="205"/>
        <v>0</v>
      </c>
      <c r="AB62" s="890">
        <f t="shared" si="21"/>
        <v>0</v>
      </c>
      <c r="AC62" s="890">
        <f t="shared" si="182"/>
        <v>0</v>
      </c>
      <c r="AD62" s="890">
        <f t="shared" si="97"/>
        <v>0</v>
      </c>
      <c r="AE62" s="890">
        <f t="shared" si="183"/>
        <v>0</v>
      </c>
      <c r="AF62" s="890">
        <f t="shared" si="184"/>
        <v>0</v>
      </c>
      <c r="AG62" s="890">
        <f t="shared" si="209"/>
        <v>0</v>
      </c>
      <c r="AH62" s="890">
        <f t="shared" si="206"/>
        <v>0</v>
      </c>
      <c r="AI62" s="890">
        <f t="shared" si="207"/>
        <v>0</v>
      </c>
      <c r="AJ62" s="890"/>
      <c r="AK62" s="890"/>
      <c r="AL62" s="890"/>
      <c r="AM62" s="890"/>
      <c r="AN62" s="890"/>
      <c r="AO62" s="890"/>
      <c r="AP62" s="890">
        <f t="shared" ref="AP62" si="215">(F62/12)*7</f>
        <v>0</v>
      </c>
      <c r="AQ62" s="890">
        <f t="shared" si="189"/>
        <v>0</v>
      </c>
      <c r="AR62" s="890">
        <f t="shared" si="190"/>
        <v>0</v>
      </c>
      <c r="AS62" s="1158"/>
      <c r="AT62" s="1158"/>
      <c r="AU62" s="1158"/>
      <c r="AV62" s="1158"/>
      <c r="AW62" s="1158"/>
      <c r="AX62" s="1158"/>
      <c r="AY62" s="911"/>
      <c r="AZ62" s="8">
        <f t="shared" si="191"/>
        <v>0</v>
      </c>
    </row>
    <row r="63" spans="1:52" ht="14.25" customHeight="1">
      <c r="A63" s="185"/>
      <c r="B63" s="1008"/>
      <c r="C63" s="1009"/>
      <c r="D63" s="183"/>
      <c r="E63" s="184"/>
      <c r="F63" s="1050"/>
      <c r="G63" s="1051"/>
      <c r="H63" s="1051"/>
      <c r="I63" s="1051"/>
      <c r="J63" s="1051"/>
      <c r="K63" s="1051"/>
      <c r="L63" s="1051"/>
      <c r="M63" s="1051"/>
      <c r="N63" s="1051"/>
      <c r="O63" s="1051"/>
      <c r="P63" s="1051"/>
      <c r="Q63" s="1051"/>
      <c r="R63" s="1051"/>
      <c r="S63" s="1051"/>
      <c r="T63" s="1051"/>
      <c r="U63" s="1051"/>
      <c r="V63" s="1051"/>
      <c r="W63" s="1051"/>
      <c r="X63" s="1051"/>
      <c r="Y63" s="182"/>
      <c r="Z63" s="182"/>
      <c r="AA63" s="1051"/>
      <c r="AB63" s="1051"/>
      <c r="AC63" s="1051"/>
      <c r="AD63" s="1051"/>
      <c r="AE63" s="1051"/>
      <c r="AF63" s="1051"/>
      <c r="AG63" s="1051"/>
      <c r="AH63" s="1051"/>
      <c r="AI63" s="1051"/>
      <c r="AJ63" s="1051"/>
      <c r="AK63" s="1051"/>
      <c r="AL63" s="1051"/>
      <c r="AM63" s="1051"/>
      <c r="AN63" s="1051"/>
      <c r="AO63" s="1051"/>
      <c r="AP63" s="1051"/>
      <c r="AQ63" s="1051"/>
      <c r="AR63" s="1051"/>
      <c r="AS63" s="1051"/>
      <c r="AT63" s="1051"/>
      <c r="AU63" s="1051"/>
      <c r="AV63" s="1051"/>
      <c r="AW63" s="1051"/>
      <c r="AX63" s="1051"/>
      <c r="AY63" s="19"/>
      <c r="AZ63" s="19"/>
    </row>
    <row r="64" spans="1:52" ht="14.25" customHeight="1">
      <c r="A64" s="185"/>
      <c r="B64" s="1008"/>
      <c r="C64" s="1009"/>
      <c r="D64" s="183"/>
      <c r="E64" s="184"/>
      <c r="F64" s="1050"/>
      <c r="G64" s="1051"/>
      <c r="H64" s="1051"/>
      <c r="I64" s="1051"/>
      <c r="J64" s="1051"/>
      <c r="K64" s="1051"/>
      <c r="L64" s="1051"/>
      <c r="M64" s="1051"/>
      <c r="N64" s="1051"/>
      <c r="O64" s="1051"/>
      <c r="P64" s="1051"/>
      <c r="Q64" s="1051"/>
      <c r="R64" s="1051"/>
      <c r="S64" s="1051"/>
      <c r="T64" s="1051"/>
      <c r="U64" s="1051"/>
      <c r="V64" s="1051"/>
      <c r="W64" s="1051"/>
      <c r="X64" s="1051"/>
      <c r="Y64" s="182"/>
      <c r="Z64" s="182"/>
      <c r="AA64" s="1051"/>
      <c r="AB64" s="1051"/>
      <c r="AC64" s="1051"/>
      <c r="AD64" s="1051"/>
      <c r="AE64" s="1051"/>
      <c r="AF64" s="1051"/>
      <c r="AG64" s="1051"/>
      <c r="AH64" s="1051"/>
      <c r="AI64" s="1051"/>
      <c r="AJ64" s="1051"/>
      <c r="AK64" s="1051"/>
      <c r="AL64" s="1051"/>
      <c r="AM64" s="1051"/>
      <c r="AN64" s="1051"/>
      <c r="AO64" s="1051"/>
      <c r="AP64" s="1051"/>
      <c r="AQ64" s="1051"/>
      <c r="AR64" s="1051"/>
      <c r="AS64" s="1051"/>
      <c r="AT64" s="1051"/>
      <c r="AU64" s="1051"/>
      <c r="AV64" s="1051"/>
      <c r="AW64" s="1051"/>
      <c r="AX64" s="1051"/>
      <c r="AY64" s="19"/>
      <c r="AZ64" s="19"/>
    </row>
    <row r="65" spans="1:52" ht="14.25" customHeight="1">
      <c r="A65" s="1005"/>
      <c r="B65" s="1012" t="s">
        <v>1162</v>
      </c>
      <c r="C65" s="1014"/>
      <c r="D65" s="1006"/>
      <c r="E65" s="1007">
        <f t="shared" ref="E65:AR65" si="216">SUM(E5:E31)+SUM(E36)</f>
        <v>4691000000</v>
      </c>
      <c r="F65" s="1007">
        <f t="shared" si="216"/>
        <v>586375000</v>
      </c>
      <c r="G65" s="1007">
        <f t="shared" si="216"/>
        <v>0</v>
      </c>
      <c r="H65" s="1007">
        <f t="shared" si="216"/>
        <v>0</v>
      </c>
      <c r="I65" s="1007">
        <f t="shared" si="216"/>
        <v>4461000000</v>
      </c>
      <c r="J65" s="1007">
        <f t="shared" si="216"/>
        <v>0</v>
      </c>
      <c r="K65" s="1007">
        <f t="shared" si="216"/>
        <v>0</v>
      </c>
      <c r="L65" s="1007">
        <f t="shared" si="216"/>
        <v>4461000000</v>
      </c>
      <c r="M65" s="1007">
        <f t="shared" si="216"/>
        <v>557625000</v>
      </c>
      <c r="N65" s="1007">
        <f t="shared" si="216"/>
        <v>557625000</v>
      </c>
      <c r="O65" s="1007">
        <f t="shared" si="216"/>
        <v>3903375000</v>
      </c>
      <c r="P65" s="1007">
        <f t="shared" si="216"/>
        <v>586375000</v>
      </c>
      <c r="Q65" s="1007">
        <f t="shared" si="216"/>
        <v>1144000000</v>
      </c>
      <c r="R65" s="1007">
        <f t="shared" si="216"/>
        <v>3547000000</v>
      </c>
      <c r="S65" s="1007">
        <f t="shared" si="216"/>
        <v>586375000</v>
      </c>
      <c r="T65" s="1007">
        <f t="shared" si="216"/>
        <v>1730375000</v>
      </c>
      <c r="U65" s="1007">
        <f t="shared" si="216"/>
        <v>2960625000</v>
      </c>
      <c r="V65" s="1007">
        <f t="shared" si="216"/>
        <v>586375000</v>
      </c>
      <c r="W65" s="1007">
        <f t="shared" si="216"/>
        <v>2316750000</v>
      </c>
      <c r="X65" s="1007">
        <f t="shared" si="216"/>
        <v>2374250000</v>
      </c>
      <c r="Y65" s="1007">
        <f t="shared" si="216"/>
        <v>2311958333.3333335</v>
      </c>
      <c r="Z65" s="1007">
        <f t="shared" si="216"/>
        <v>2379041666.6666665</v>
      </c>
      <c r="AA65" s="1007">
        <f t="shared" si="216"/>
        <v>586375000</v>
      </c>
      <c r="AB65" s="1007">
        <f t="shared" si="216"/>
        <v>2903125000</v>
      </c>
      <c r="AC65" s="1007">
        <f t="shared" si="216"/>
        <v>1787875000</v>
      </c>
      <c r="AD65" s="1007">
        <f t="shared" si="216"/>
        <v>586375000</v>
      </c>
      <c r="AE65" s="1007">
        <f t="shared" si="216"/>
        <v>3489500000</v>
      </c>
      <c r="AF65" s="1007">
        <f t="shared" si="216"/>
        <v>1201500000</v>
      </c>
      <c r="AG65" s="1007">
        <f t="shared" si="216"/>
        <v>586375000</v>
      </c>
      <c r="AH65" s="1007">
        <f t="shared" si="216"/>
        <v>4075875000</v>
      </c>
      <c r="AI65" s="1007">
        <f t="shared" si="216"/>
        <v>615125000</v>
      </c>
      <c r="AJ65" s="1162">
        <f>SUM(AJ5:AJ31)+SUM(AJ36)+AJ37</f>
        <v>50114583.333333343</v>
      </c>
      <c r="AK65" s="1162">
        <f t="shared" ref="AK65:AL65" si="217">SUM(AK5:AK31)+SUM(AK36)</f>
        <v>4124739583.3333335</v>
      </c>
      <c r="AL65" s="1162">
        <f t="shared" si="217"/>
        <v>566260416.66666663</v>
      </c>
      <c r="AM65" s="1186">
        <f>SUM(AM5:AM31)+SUM(AM36)+AM37</f>
        <v>451031250</v>
      </c>
      <c r="AN65" s="1186">
        <f t="shared" ref="AN65:AO65" si="218">SUM(AN5:AN31)+SUM(AN36)+AN37</f>
        <v>4526906250</v>
      </c>
      <c r="AO65" s="1186">
        <f t="shared" si="218"/>
        <v>284093750</v>
      </c>
      <c r="AP65" s="1007">
        <f>SUM(AP5:AP31)+SUM(AP36:AP37)</f>
        <v>601375000</v>
      </c>
      <c r="AQ65" s="1007">
        <f>SUM(AQ5:AQ31)+SUM(AQ36)</f>
        <v>4662250000</v>
      </c>
      <c r="AR65" s="1007">
        <f t="shared" si="216"/>
        <v>28750000</v>
      </c>
      <c r="AS65" s="1162">
        <f t="shared" ref="AS65:AU65" si="219">SUM(AS5:AS31)+SUM(AS36)+AS37</f>
        <v>32812500</v>
      </c>
      <c r="AT65" s="1162">
        <f t="shared" si="219"/>
        <v>4710062500</v>
      </c>
      <c r="AU65" s="1162">
        <f t="shared" si="219"/>
        <v>100937500</v>
      </c>
      <c r="AV65" s="1206">
        <f t="shared" ref="AV65:AX65" si="220">SUM(AV5:AV31)+SUM(AV36)</f>
        <v>28750000</v>
      </c>
      <c r="AW65" s="1206">
        <f t="shared" si="220"/>
        <v>4691000000</v>
      </c>
      <c r="AX65" s="1206">
        <f t="shared" si="220"/>
        <v>0</v>
      </c>
      <c r="AY65" s="19"/>
      <c r="AZ65" s="19"/>
    </row>
    <row r="66" spans="1:52" ht="14.25" customHeight="1">
      <c r="A66" s="1005"/>
      <c r="B66" s="1012" t="s">
        <v>1163</v>
      </c>
      <c r="C66" s="1014"/>
      <c r="D66" s="1006"/>
      <c r="E66" s="1007">
        <f t="shared" ref="E66:AR66" si="221">SUM(E32:E35)+SUM(E40:E62)</f>
        <v>3651660000</v>
      </c>
      <c r="F66" s="1007">
        <f t="shared" si="221"/>
        <v>457432500</v>
      </c>
      <c r="G66" s="1007">
        <f t="shared" si="221"/>
        <v>0</v>
      </c>
      <c r="H66" s="1007">
        <f t="shared" si="221"/>
        <v>0</v>
      </c>
      <c r="I66" s="1007">
        <f t="shared" si="221"/>
        <v>2048800000</v>
      </c>
      <c r="J66" s="1007">
        <f t="shared" si="221"/>
        <v>74382500</v>
      </c>
      <c r="K66" s="1007">
        <f t="shared" si="221"/>
        <v>74382500</v>
      </c>
      <c r="L66" s="1007">
        <f t="shared" si="221"/>
        <v>2569477500</v>
      </c>
      <c r="M66" s="1007">
        <f t="shared" si="221"/>
        <v>455482500</v>
      </c>
      <c r="N66" s="1007">
        <f t="shared" si="221"/>
        <v>529865000</v>
      </c>
      <c r="O66" s="1007">
        <f t="shared" si="221"/>
        <v>3113995000</v>
      </c>
      <c r="P66" s="1007">
        <f t="shared" si="221"/>
        <v>457270000</v>
      </c>
      <c r="Q66" s="1007">
        <f t="shared" si="221"/>
        <v>987135000</v>
      </c>
      <c r="R66" s="1007">
        <f t="shared" si="221"/>
        <v>2664525000</v>
      </c>
      <c r="S66" s="1007">
        <f t="shared" si="221"/>
        <v>457432500</v>
      </c>
      <c r="T66" s="1007">
        <f t="shared" si="221"/>
        <v>1444567500</v>
      </c>
      <c r="U66" s="1007">
        <f t="shared" si="221"/>
        <v>2207092500</v>
      </c>
      <c r="V66" s="1007">
        <f t="shared" si="221"/>
        <v>457432500</v>
      </c>
      <c r="W66" s="1007">
        <f t="shared" si="221"/>
        <v>1902000000</v>
      </c>
      <c r="X66" s="1007">
        <f t="shared" si="221"/>
        <v>1749660000</v>
      </c>
      <c r="Y66" s="1007">
        <f t="shared" si="221"/>
        <v>993735635.33333325</v>
      </c>
      <c r="Z66" s="1007">
        <f t="shared" si="221"/>
        <v>2657924364.666667</v>
      </c>
      <c r="AA66" s="1007">
        <f t="shared" si="221"/>
        <v>457432500</v>
      </c>
      <c r="AB66" s="1007">
        <f t="shared" si="221"/>
        <v>2359432500</v>
      </c>
      <c r="AC66" s="1007">
        <f t="shared" si="221"/>
        <v>1292227500</v>
      </c>
      <c r="AD66" s="1007">
        <f t="shared" si="221"/>
        <v>455645000</v>
      </c>
      <c r="AE66" s="1007">
        <f t="shared" si="221"/>
        <v>2815077500</v>
      </c>
      <c r="AF66" s="1007">
        <f t="shared" si="221"/>
        <v>836582500</v>
      </c>
      <c r="AG66" s="1007">
        <f t="shared" si="221"/>
        <v>455482500</v>
      </c>
      <c r="AH66" s="1007">
        <f t="shared" si="221"/>
        <v>3270560000</v>
      </c>
      <c r="AI66" s="1007">
        <f t="shared" si="221"/>
        <v>381100000</v>
      </c>
      <c r="AJ66" s="1162">
        <f t="shared" ref="AJ66:AL66" si="222">SUM(AJ32:AJ35)+SUM(AJ40:AJ62)</f>
        <v>31758333.333333332</v>
      </c>
      <c r="AK66" s="1162">
        <f t="shared" si="222"/>
        <v>3302318333.333333</v>
      </c>
      <c r="AL66" s="1162">
        <f t="shared" si="222"/>
        <v>349341666.66666663</v>
      </c>
      <c r="AM66" s="1186">
        <f t="shared" ref="AM66:AO66" si="223">SUM(AM32:AM35)+SUM(AM40:AM62)</f>
        <v>285825000</v>
      </c>
      <c r="AN66" s="1186">
        <f t="shared" si="223"/>
        <v>3556385000</v>
      </c>
      <c r="AO66" s="1186">
        <f t="shared" si="223"/>
        <v>95275000</v>
      </c>
      <c r="AP66" s="1007">
        <f>SUM(AP32:AP35)+SUM(AP40:AP62)</f>
        <v>381100000</v>
      </c>
      <c r="AQ66" s="1007">
        <f>SUM(AQ32:AQ35)+SUM(AQ40:AQ62)+AQ37</f>
        <v>3666660000</v>
      </c>
      <c r="AR66" s="1007">
        <f t="shared" si="221"/>
        <v>0</v>
      </c>
      <c r="AS66" s="1162">
        <f t="shared" ref="AS66:AU66" si="224">SUM(AS32:AS35)+SUM(AS40:AS62)</f>
        <v>0</v>
      </c>
      <c r="AT66" s="1162">
        <f t="shared" si="224"/>
        <v>3651660000</v>
      </c>
      <c r="AU66" s="1162">
        <f t="shared" si="224"/>
        <v>0</v>
      </c>
      <c r="AV66" s="1206">
        <f t="shared" ref="AV66:AX66" si="225">SUM(AV32:AV35)+SUM(AV40:AV62)</f>
        <v>0</v>
      </c>
      <c r="AW66" s="1206">
        <f t="shared" si="225"/>
        <v>3651660000</v>
      </c>
      <c r="AX66" s="1206">
        <f t="shared" si="225"/>
        <v>0</v>
      </c>
      <c r="AY66" s="19"/>
      <c r="AZ66" s="19"/>
    </row>
    <row r="67" spans="1:52" ht="14.25" customHeight="1">
      <c r="A67" s="185"/>
      <c r="B67" s="1008"/>
      <c r="C67" s="1009"/>
      <c r="D67" s="183"/>
      <c r="E67" s="184"/>
      <c r="F67" s="1050"/>
      <c r="G67" s="1051"/>
      <c r="H67" s="1051"/>
      <c r="I67" s="1051"/>
      <c r="J67" s="1051"/>
      <c r="K67" s="1051"/>
      <c r="L67" s="1051"/>
      <c r="M67" s="1051"/>
      <c r="N67" s="1051"/>
      <c r="O67" s="1051"/>
      <c r="P67" s="1051"/>
      <c r="Q67" s="1051"/>
      <c r="R67" s="1051"/>
      <c r="S67" s="1051"/>
      <c r="T67" s="1051"/>
      <c r="U67" s="1051"/>
      <c r="V67" s="1051"/>
      <c r="W67" s="1051"/>
      <c r="X67" s="1051"/>
      <c r="Y67" s="182"/>
      <c r="Z67" s="182"/>
      <c r="AA67" s="1051"/>
      <c r="AB67" s="1051"/>
      <c r="AC67" s="1051"/>
      <c r="AD67" s="1051"/>
      <c r="AE67" s="1051"/>
      <c r="AF67" s="1051"/>
      <c r="AG67" s="1051"/>
      <c r="AH67" s="1051"/>
      <c r="AI67" s="1051"/>
      <c r="AJ67" s="1051"/>
      <c r="AK67" s="1051"/>
      <c r="AL67" s="1051"/>
      <c r="AM67" s="1051"/>
      <c r="AN67" s="1051"/>
      <c r="AO67" s="1051"/>
      <c r="AP67" s="1051"/>
      <c r="AQ67" s="1051"/>
      <c r="AR67" s="1051"/>
      <c r="AS67" s="1051"/>
      <c r="AT67" s="1051"/>
      <c r="AU67" s="1051"/>
      <c r="AV67" s="1051"/>
      <c r="AW67" s="1051"/>
      <c r="AX67" s="1051"/>
      <c r="AY67" s="19"/>
      <c r="AZ67" s="19"/>
    </row>
    <row r="68" spans="1:52" ht="9">
      <c r="E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</row>
    <row r="69" spans="1:52" ht="14.25" customHeight="1">
      <c r="A69" s="10"/>
      <c r="B69" s="970" t="s">
        <v>1161</v>
      </c>
      <c r="C69" s="9"/>
      <c r="D69" s="10"/>
      <c r="E69" s="11">
        <f>SUM(E5:E62)</f>
        <v>8462660000</v>
      </c>
      <c r="F69" s="11">
        <f t="shared" ref="F69:AR69" si="226">SUM(F3:F62)</f>
        <v>1058807500</v>
      </c>
      <c r="G69" s="11">
        <f t="shared" si="226"/>
        <v>0</v>
      </c>
      <c r="H69" s="11">
        <f t="shared" si="226"/>
        <v>0</v>
      </c>
      <c r="I69" s="11">
        <f t="shared" si="226"/>
        <v>6509800000</v>
      </c>
      <c r="J69" s="11">
        <f t="shared" si="226"/>
        <v>74382500</v>
      </c>
      <c r="K69" s="11">
        <f t="shared" si="226"/>
        <v>74382500</v>
      </c>
      <c r="L69" s="11">
        <f t="shared" si="226"/>
        <v>7030477500</v>
      </c>
      <c r="M69" s="11">
        <f t="shared" si="226"/>
        <v>1013107500</v>
      </c>
      <c r="N69" s="11">
        <f t="shared" si="226"/>
        <v>1087490000</v>
      </c>
      <c r="O69" s="11">
        <f t="shared" si="226"/>
        <v>7017370000</v>
      </c>
      <c r="P69" s="11">
        <f t="shared" si="226"/>
        <v>1043645000</v>
      </c>
      <c r="Q69" s="11">
        <f t="shared" si="226"/>
        <v>2131135000</v>
      </c>
      <c r="R69" s="11">
        <f t="shared" si="226"/>
        <v>6211525000</v>
      </c>
      <c r="S69" s="11">
        <f t="shared" si="226"/>
        <v>1043807500</v>
      </c>
      <c r="T69" s="11">
        <f t="shared" si="226"/>
        <v>3174942500</v>
      </c>
      <c r="U69" s="11">
        <f t="shared" si="226"/>
        <v>5167717500</v>
      </c>
      <c r="V69" s="11">
        <f t="shared" si="226"/>
        <v>1043807500</v>
      </c>
      <c r="W69" s="11">
        <f t="shared" si="226"/>
        <v>4218750000</v>
      </c>
      <c r="X69" s="11">
        <f t="shared" si="226"/>
        <v>4123910000</v>
      </c>
      <c r="Y69" s="11">
        <f t="shared" si="226"/>
        <v>3305693968.6666665</v>
      </c>
      <c r="Z69" s="11">
        <f t="shared" si="226"/>
        <v>5036966031.333334</v>
      </c>
      <c r="AA69" s="11">
        <f t="shared" si="226"/>
        <v>1043807500</v>
      </c>
      <c r="AB69" s="11">
        <f t="shared" si="226"/>
        <v>5262557500</v>
      </c>
      <c r="AC69" s="11">
        <f t="shared" si="226"/>
        <v>3080102500</v>
      </c>
      <c r="AD69" s="11">
        <f t="shared" si="226"/>
        <v>1042020000</v>
      </c>
      <c r="AE69" s="11">
        <f t="shared" si="226"/>
        <v>6304577500</v>
      </c>
      <c r="AF69" s="11">
        <f t="shared" si="226"/>
        <v>2038082500</v>
      </c>
      <c r="AG69" s="11">
        <f t="shared" si="226"/>
        <v>1041857500</v>
      </c>
      <c r="AH69" s="11">
        <f t="shared" si="226"/>
        <v>7346435000</v>
      </c>
      <c r="AI69" s="11">
        <f t="shared" si="226"/>
        <v>996225000</v>
      </c>
      <c r="AJ69" s="1161">
        <f t="shared" ref="AJ69:AO69" si="227">SUM(AJ3:AJ62)</f>
        <v>81872916.666666687</v>
      </c>
      <c r="AK69" s="1161">
        <f t="shared" si="227"/>
        <v>7428307916.6666651</v>
      </c>
      <c r="AL69" s="1161">
        <f t="shared" si="227"/>
        <v>1034352083.3333333</v>
      </c>
      <c r="AM69" s="1188">
        <f t="shared" si="227"/>
        <v>736856250</v>
      </c>
      <c r="AN69" s="1188">
        <f t="shared" si="227"/>
        <v>8083291250</v>
      </c>
      <c r="AO69" s="1188">
        <f t="shared" si="227"/>
        <v>379368750</v>
      </c>
      <c r="AP69" s="11">
        <f t="shared" si="226"/>
        <v>982475000</v>
      </c>
      <c r="AQ69" s="11">
        <f t="shared" si="226"/>
        <v>8328910000</v>
      </c>
      <c r="AR69" s="11">
        <f t="shared" si="226"/>
        <v>133750000</v>
      </c>
      <c r="AS69" s="1161">
        <f t="shared" ref="AS69:AX69" si="228">SUM(AS3:AS62)</f>
        <v>32812500</v>
      </c>
      <c r="AT69" s="1161">
        <f t="shared" si="228"/>
        <v>8361722500</v>
      </c>
      <c r="AU69" s="1161">
        <f t="shared" si="228"/>
        <v>100937500</v>
      </c>
      <c r="AV69" s="1204">
        <f t="shared" si="228"/>
        <v>43750000</v>
      </c>
      <c r="AW69" s="1204">
        <f t="shared" si="228"/>
        <v>8372660000</v>
      </c>
      <c r="AX69" s="1204">
        <f t="shared" si="228"/>
        <v>90000000</v>
      </c>
      <c r="AZ69" s="8">
        <f t="shared" ref="AZ69" si="229">E69-AW69-AX69</f>
        <v>0</v>
      </c>
    </row>
    <row r="70" spans="1:52" ht="14.25" customHeight="1">
      <c r="E70" s="13">
        <f>E69-AT!N699</f>
        <v>555600000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2" ht="14.25" customHeight="1">
      <c r="B71" s="47"/>
      <c r="C71" s="47"/>
      <c r="D71" s="48"/>
      <c r="E71" s="49"/>
      <c r="F71" s="50" t="s">
        <v>29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2" ht="14.25" customHeight="1">
      <c r="B72" s="51" t="s">
        <v>30</v>
      </c>
      <c r="C72" s="47"/>
      <c r="D72" s="48"/>
      <c r="E72" s="49">
        <v>0</v>
      </c>
      <c r="F72" s="50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2" ht="14.25" customHeight="1">
      <c r="B73" s="51" t="s">
        <v>186</v>
      </c>
      <c r="C73" s="47"/>
      <c r="D73" s="48"/>
      <c r="E73" s="49">
        <f>SUM(E5:E32)+SUM(E40:E41)+SUM(E51:E58)+E48</f>
        <v>6509800000</v>
      </c>
      <c r="F73" s="52">
        <f t="shared" ref="F73:F81" si="230">E73-E72</f>
        <v>6509800000</v>
      </c>
      <c r="H73" s="58"/>
      <c r="W73" s="15"/>
      <c r="AB73" s="15"/>
      <c r="AD73" s="18"/>
      <c r="AE73" s="15"/>
    </row>
    <row r="74" spans="1:52" ht="14.25" customHeight="1">
      <c r="B74" s="51" t="s">
        <v>187</v>
      </c>
      <c r="C74" s="47"/>
      <c r="D74" s="48"/>
      <c r="E74" s="49">
        <f>E73+E33+E42+E59</f>
        <v>7104860000</v>
      </c>
      <c r="F74" s="52">
        <f t="shared" si="230"/>
        <v>595060000</v>
      </c>
      <c r="W74" s="15"/>
      <c r="AB74" s="15"/>
      <c r="AD74" s="18"/>
      <c r="AE74" s="15"/>
    </row>
    <row r="75" spans="1:52" ht="14.25" customHeight="1">
      <c r="B75" s="51" t="s">
        <v>188</v>
      </c>
      <c r="C75" s="47"/>
      <c r="D75" s="48"/>
      <c r="E75" s="49">
        <f>E74+SUM(E34:E35)+E60</f>
        <v>8104860000</v>
      </c>
      <c r="F75" s="52">
        <f t="shared" si="230"/>
        <v>1000000000</v>
      </c>
      <c r="W75" s="15"/>
      <c r="AB75" s="15"/>
      <c r="AD75" s="18"/>
      <c r="AE75" s="15"/>
    </row>
    <row r="76" spans="1:52" ht="14.25" customHeight="1">
      <c r="B76" s="51" t="s">
        <v>189</v>
      </c>
      <c r="C76" s="47"/>
      <c r="D76" s="48"/>
      <c r="E76" s="49">
        <f>E75+E36+SUM(E43:E46)+E61</f>
        <v>8342660000</v>
      </c>
      <c r="F76" s="52">
        <f t="shared" si="230"/>
        <v>237800000</v>
      </c>
      <c r="W76" s="15"/>
      <c r="AB76" s="15"/>
      <c r="AD76" s="18"/>
      <c r="AE76" s="15"/>
    </row>
    <row r="77" spans="1:52" ht="14.25" customHeight="1">
      <c r="B77" s="51" t="s">
        <v>190</v>
      </c>
      <c r="C77" s="47"/>
      <c r="D77" s="48"/>
      <c r="E77" s="49">
        <f>E76+E62</f>
        <v>8342660000</v>
      </c>
      <c r="F77" s="52">
        <f t="shared" si="230"/>
        <v>0</v>
      </c>
      <c r="W77" s="15"/>
      <c r="AB77" s="15"/>
      <c r="AE77" s="15"/>
    </row>
    <row r="78" spans="1:52" ht="14.25" customHeight="1">
      <c r="B78" s="51" t="s">
        <v>191</v>
      </c>
      <c r="C78" s="47"/>
      <c r="D78" s="48"/>
      <c r="E78" s="49">
        <f>E77</f>
        <v>8342660000</v>
      </c>
      <c r="F78" s="52">
        <f t="shared" si="230"/>
        <v>0</v>
      </c>
      <c r="W78" s="16"/>
      <c r="AB78" s="16"/>
      <c r="AE78" s="16"/>
    </row>
    <row r="79" spans="1:52" ht="14.25" customHeight="1">
      <c r="B79" s="51" t="s">
        <v>192</v>
      </c>
      <c r="C79" s="47"/>
      <c r="D79" s="48"/>
      <c r="E79" s="49">
        <f>E78</f>
        <v>8342660000</v>
      </c>
      <c r="F79" s="52">
        <f t="shared" si="230"/>
        <v>0</v>
      </c>
    </row>
    <row r="80" spans="1:52" ht="14.25" customHeight="1">
      <c r="B80" s="51" t="s">
        <v>193</v>
      </c>
      <c r="C80" s="47"/>
      <c r="D80" s="48"/>
      <c r="E80" s="49">
        <f>E79</f>
        <v>8342660000</v>
      </c>
      <c r="F80" s="52">
        <f t="shared" si="230"/>
        <v>0</v>
      </c>
    </row>
    <row r="81" spans="2:6" ht="14.25" customHeight="1">
      <c r="B81" s="51" t="s">
        <v>194</v>
      </c>
      <c r="C81" s="47"/>
      <c r="D81" s="48"/>
      <c r="E81" s="49">
        <f>E80</f>
        <v>8342660000</v>
      </c>
      <c r="F81" s="52">
        <f t="shared" si="230"/>
        <v>0</v>
      </c>
    </row>
    <row r="82" spans="2:6" ht="12" customHeight="1">
      <c r="B82" s="51" t="s">
        <v>1228</v>
      </c>
      <c r="C82" s="47"/>
      <c r="D82" s="48"/>
      <c r="E82" s="49">
        <f>E81+E44+E37</f>
        <v>8462660000</v>
      </c>
      <c r="F82" s="52">
        <f>E82-E81</f>
        <v>120000000</v>
      </c>
    </row>
    <row r="83" spans="2:6" ht="12" customHeight="1">
      <c r="B83" s="51" t="s">
        <v>1313</v>
      </c>
      <c r="C83" s="47"/>
      <c r="D83" s="48"/>
      <c r="E83" s="49">
        <f>E82+E45+E38</f>
        <v>8462660000</v>
      </c>
      <c r="F83" s="52">
        <f>E83-E82</f>
        <v>0</v>
      </c>
    </row>
  </sheetData>
  <autoFilter ref="A1:AX62" xr:uid="{47C70B6D-A80B-4793-8ADF-CF177C07DA1B}">
    <filterColumn colId="4">
      <filters blank="1">
        <filter val="1.622.800.000"/>
        <filter val="108.000.000"/>
        <filter val="120.000.000"/>
        <filter val="141.000.000"/>
        <filter val="151.000.000"/>
        <filter val="155.000.000"/>
        <filter val="163.000.000"/>
        <filter val="165.000.000"/>
        <filter val="171.000.000"/>
        <filter val="190.000.000"/>
        <filter val="197.000.000"/>
        <filter val="203.000.000"/>
        <filter val="214.000.000"/>
        <filter val="216.000.000"/>
        <filter val="230.000.000"/>
        <filter val="264.000.000"/>
        <filter val="271.000.000"/>
        <filter val="323.000.000"/>
        <filter val="33.060.000"/>
        <filter val="394.000.000"/>
        <filter val="500.000.000"/>
        <filter val="562.000.000"/>
        <filter val="69.000.000"/>
        <filter val="7.800.000"/>
        <filter val="71.000.000"/>
        <filter val="77.000.000"/>
        <filter val="84.000.000"/>
        <filter val="93.000.000"/>
        <filter val="94.000.000"/>
        <filter val="Perolehan"/>
      </filters>
    </filterColumn>
  </autoFilter>
  <mergeCells count="16">
    <mergeCell ref="AV1:AV2"/>
    <mergeCell ref="AS1:AS2"/>
    <mergeCell ref="P1:P2"/>
    <mergeCell ref="A1:A2"/>
    <mergeCell ref="B1:B2"/>
    <mergeCell ref="G1:G2"/>
    <mergeCell ref="J1:J2"/>
    <mergeCell ref="M1:M2"/>
    <mergeCell ref="AP1:AP2"/>
    <mergeCell ref="S1:S2"/>
    <mergeCell ref="V1:V2"/>
    <mergeCell ref="AA1:AA2"/>
    <mergeCell ref="AD1:AD2"/>
    <mergeCell ref="AG1:AG2"/>
    <mergeCell ref="AJ1:AJ2"/>
    <mergeCell ref="AM1:A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F071-4DC3-4C78-9FEC-ADC92480BB0D}">
  <sheetPr filterMode="1">
    <tabColor theme="5" tint="0.39997558519241921"/>
  </sheetPr>
  <dimension ref="A1:BB163"/>
  <sheetViews>
    <sheetView showGridLines="0" zoomScaleNormal="100" workbookViewId="0">
      <pane xSplit="6" ySplit="4" topLeftCell="AW90" activePane="bottomRight" state="frozen"/>
      <selection pane="topRight" activeCell="G1" sqref="G1"/>
      <selection pane="bottomLeft" activeCell="A5" sqref="A5"/>
      <selection pane="bottomRight" activeCell="AX3" sqref="AX3"/>
    </sheetView>
  </sheetViews>
  <sheetFormatPr defaultColWidth="9.1796875" defaultRowHeight="14.25" customHeight="1" outlineLevelCol="1"/>
  <cols>
    <col min="1" max="1" width="2.81640625" style="12" bestFit="1" customWidth="1"/>
    <col min="2" max="2" width="29.3632812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7.453125" style="3" hidden="1" customWidth="1" outlineLevel="1"/>
    <col min="8" max="8" width="14.453125" style="3" hidden="1" customWidth="1" outlineLevel="1"/>
    <col min="9" max="9" width="12.7265625" style="3" hidden="1" customWidth="1" outlineLevel="1"/>
    <col min="10" max="10" width="17.453125" style="3" hidden="1" customWidth="1" outlineLevel="1"/>
    <col min="11" max="11" width="14.453125" style="3" hidden="1" customWidth="1" outlineLevel="1"/>
    <col min="12" max="12" width="12.7265625" style="3" hidden="1" customWidth="1" outlineLevel="1"/>
    <col min="13" max="13" width="17.453125" style="3" hidden="1" customWidth="1" outlineLevel="1"/>
    <col min="14" max="14" width="14.453125" style="3" hidden="1" customWidth="1" outlineLevel="1"/>
    <col min="15" max="15" width="12.7265625" style="3" hidden="1" customWidth="1" outlineLevel="1"/>
    <col min="16" max="16" width="17.453125" style="3" hidden="1" customWidth="1" outlineLevel="1"/>
    <col min="17" max="17" width="14.453125" style="3" hidden="1" customWidth="1" outlineLevel="1"/>
    <col min="18" max="18" width="12.7265625" style="3" hidden="1" customWidth="1" outlineLevel="1"/>
    <col min="19" max="19" width="17.453125" style="3" hidden="1" customWidth="1" outlineLevel="1"/>
    <col min="20" max="20" width="14.453125" style="3" hidden="1" customWidth="1" outlineLevel="1"/>
    <col min="21" max="21" width="12.7265625" style="3" hidden="1" customWidth="1" outlineLevel="1"/>
    <col min="22" max="22" width="17.453125" style="3" hidden="1" customWidth="1" outlineLevel="1"/>
    <col min="23" max="23" width="14.453125" style="3" hidden="1" customWidth="1" outlineLevel="1"/>
    <col min="24" max="24" width="12.7265625" style="3" hidden="1" customWidth="1" outlineLevel="1"/>
    <col min="25" max="25" width="12.7265625" style="3" hidden="1" customWidth="1" collapsed="1"/>
    <col min="26" max="26" width="12.7265625" style="3" hidden="1" customWidth="1"/>
    <col min="27" max="27" width="17.453125" style="3" bestFit="1" customWidth="1"/>
    <col min="28" max="28" width="14.453125" style="3" bestFit="1" customWidth="1"/>
    <col min="29" max="29" width="12.7265625" style="3" bestFit="1" customWidth="1"/>
    <col min="30" max="30" width="17.453125" style="3" bestFit="1" customWidth="1"/>
    <col min="31" max="31" width="14.453125" style="3" bestFit="1" customWidth="1"/>
    <col min="32" max="32" width="12.7265625" style="3" bestFit="1" customWidth="1"/>
    <col min="33" max="34" width="9.90625" style="3" bestFit="1" customWidth="1"/>
    <col min="35" max="35" width="10.6328125" style="3" bestFit="1" customWidth="1"/>
    <col min="36" max="41" width="10.6328125" style="3" hidden="1" customWidth="1"/>
    <col min="42" max="42" width="10.6328125" style="3" customWidth="1"/>
    <col min="43" max="43" width="12.90625" style="3" bestFit="1" customWidth="1"/>
    <col min="44" max="44" width="12.7265625" style="3" bestFit="1" customWidth="1"/>
    <col min="45" max="47" width="12.7265625" style="3" hidden="1" customWidth="1"/>
    <col min="48" max="50" width="12.7265625" style="3" customWidth="1"/>
    <col min="51" max="51" width="9.1796875" style="3"/>
    <col min="52" max="52" width="9.90625" style="3" bestFit="1" customWidth="1"/>
    <col min="53" max="53" width="9.1796875" style="3"/>
    <col min="54" max="54" width="11.453125" style="3" bestFit="1" customWidth="1"/>
    <col min="55" max="16384" width="9.1796875" style="3"/>
  </cols>
  <sheetData>
    <row r="1" spans="1:54" s="943" customFormat="1" ht="14.25" customHeight="1">
      <c r="A1" s="12"/>
      <c r="B1" s="3"/>
      <c r="C1" s="946" t="s">
        <v>1141</v>
      </c>
      <c r="D1" s="949"/>
      <c r="E1" s="942">
        <v>40654545.450000003</v>
      </c>
      <c r="F1" s="942">
        <v>907221296</v>
      </c>
      <c r="I1" s="944">
        <v>142636500</v>
      </c>
      <c r="AH1" s="942">
        <v>8000000</v>
      </c>
      <c r="AI1" s="944">
        <v>21925000</v>
      </c>
      <c r="AJ1" s="944"/>
      <c r="AK1" s="944"/>
      <c r="AL1" s="944"/>
      <c r="AM1" s="944"/>
      <c r="AN1" s="944"/>
      <c r="AO1" s="944"/>
    </row>
    <row r="2" spans="1:54" s="943" customFormat="1" ht="14.25" customHeight="1">
      <c r="A2" s="12"/>
      <c r="B2" s="3"/>
      <c r="C2" s="3"/>
      <c r="D2" s="12"/>
      <c r="E2" s="945">
        <f>E1-E66</f>
        <v>16605000.450000003</v>
      </c>
      <c r="F2" s="942">
        <v>890616296</v>
      </c>
      <c r="G2" s="945">
        <f>F1-F2</f>
        <v>16605000</v>
      </c>
      <c r="I2" s="944">
        <v>126511500</v>
      </c>
      <c r="J2" s="944">
        <f>I1-I2</f>
        <v>16125000</v>
      </c>
      <c r="AH2" s="945">
        <f>AH1-E84</f>
        <v>6000000</v>
      </c>
      <c r="AI2" s="945">
        <f>AI1-E99-E100</f>
        <v>10125000</v>
      </c>
      <c r="AJ2" s="945"/>
      <c r="AK2" s="945"/>
      <c r="AL2" s="945"/>
      <c r="AM2" s="945"/>
      <c r="AN2" s="945"/>
      <c r="AO2" s="945"/>
    </row>
    <row r="3" spans="1:54" ht="14.25" customHeight="1">
      <c r="A3" s="1320" t="s">
        <v>17</v>
      </c>
      <c r="B3" s="1318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1318" t="s">
        <v>133</v>
      </c>
      <c r="H3" s="1" t="s">
        <v>6</v>
      </c>
      <c r="I3" s="1" t="s">
        <v>7</v>
      </c>
      <c r="J3" s="1318" t="s">
        <v>127</v>
      </c>
      <c r="K3" s="1" t="s">
        <v>6</v>
      </c>
      <c r="L3" s="1" t="s">
        <v>7</v>
      </c>
      <c r="M3" s="1318" t="s">
        <v>130</v>
      </c>
      <c r="N3" s="1" t="s">
        <v>6</v>
      </c>
      <c r="O3" s="1" t="s">
        <v>7</v>
      </c>
      <c r="P3" s="1318" t="s">
        <v>26</v>
      </c>
      <c r="Q3" s="1" t="s">
        <v>6</v>
      </c>
      <c r="R3" s="1" t="s">
        <v>7</v>
      </c>
      <c r="S3" s="1318" t="s">
        <v>18</v>
      </c>
      <c r="T3" s="1" t="s">
        <v>6</v>
      </c>
      <c r="U3" s="1" t="s">
        <v>7</v>
      </c>
      <c r="V3" s="1318" t="s">
        <v>136</v>
      </c>
      <c r="W3" s="1" t="s">
        <v>6</v>
      </c>
      <c r="X3" s="1" t="s">
        <v>7</v>
      </c>
      <c r="Y3" s="1035" t="s">
        <v>1165</v>
      </c>
      <c r="Z3" s="1035" t="s">
        <v>1165</v>
      </c>
      <c r="AA3" s="1318" t="s">
        <v>5</v>
      </c>
      <c r="AB3" s="1" t="s">
        <v>6</v>
      </c>
      <c r="AC3" s="1" t="s">
        <v>7</v>
      </c>
      <c r="AD3" s="1318" t="s">
        <v>8</v>
      </c>
      <c r="AE3" s="1" t="s">
        <v>6</v>
      </c>
      <c r="AF3" s="1" t="s">
        <v>7</v>
      </c>
      <c r="AG3" s="1318" t="s">
        <v>23</v>
      </c>
      <c r="AH3" s="1" t="s">
        <v>6</v>
      </c>
      <c r="AI3" s="181" t="s">
        <v>7</v>
      </c>
      <c r="AJ3" s="1321" t="s">
        <v>1284</v>
      </c>
      <c r="AK3" s="1156" t="s">
        <v>6</v>
      </c>
      <c r="AL3" s="1156" t="s">
        <v>7</v>
      </c>
      <c r="AM3" s="1326" t="s">
        <v>1299</v>
      </c>
      <c r="AN3" s="1185" t="s">
        <v>6</v>
      </c>
      <c r="AO3" s="1185" t="s">
        <v>7</v>
      </c>
      <c r="AP3" s="1318" t="s">
        <v>1219</v>
      </c>
      <c r="AQ3" s="1" t="s">
        <v>6</v>
      </c>
      <c r="AR3" s="1" t="s">
        <v>7</v>
      </c>
      <c r="AS3" s="1321" t="s">
        <v>1302</v>
      </c>
      <c r="AT3" s="1156" t="s">
        <v>6</v>
      </c>
      <c r="AU3" s="1156" t="s">
        <v>7</v>
      </c>
      <c r="AV3" s="1318" t="s">
        <v>1305</v>
      </c>
      <c r="AW3" s="1" t="s">
        <v>6</v>
      </c>
      <c r="AX3" s="1" t="s">
        <v>7</v>
      </c>
    </row>
    <row r="4" spans="1:54" ht="14.25" customHeight="1">
      <c r="A4" s="1320"/>
      <c r="B4" s="1318"/>
      <c r="C4" s="4" t="s">
        <v>9</v>
      </c>
      <c r="D4" s="4" t="s">
        <v>10</v>
      </c>
      <c r="E4" s="4" t="s">
        <v>9</v>
      </c>
      <c r="F4" s="4" t="s">
        <v>11</v>
      </c>
      <c r="G4" s="1318"/>
      <c r="H4" s="1" t="s">
        <v>134</v>
      </c>
      <c r="I4" s="1" t="s">
        <v>135</v>
      </c>
      <c r="J4" s="1318"/>
      <c r="K4" s="1" t="s">
        <v>128</v>
      </c>
      <c r="L4" s="1" t="s">
        <v>129</v>
      </c>
      <c r="M4" s="1318"/>
      <c r="N4" s="1" t="s">
        <v>131</v>
      </c>
      <c r="O4" s="1" t="s">
        <v>132</v>
      </c>
      <c r="P4" s="1318"/>
      <c r="Q4" s="1" t="s">
        <v>27</v>
      </c>
      <c r="R4" s="1" t="s">
        <v>28</v>
      </c>
      <c r="S4" s="1318"/>
      <c r="T4" s="1" t="s">
        <v>19</v>
      </c>
      <c r="U4" s="1" t="s">
        <v>20</v>
      </c>
      <c r="V4" s="1318"/>
      <c r="W4" s="1" t="s">
        <v>21</v>
      </c>
      <c r="X4" s="1" t="s">
        <v>22</v>
      </c>
      <c r="Y4" s="1035" t="s">
        <v>1166</v>
      </c>
      <c r="Z4" s="1035" t="s">
        <v>1167</v>
      </c>
      <c r="AA4" s="1318"/>
      <c r="AB4" s="1" t="s">
        <v>12</v>
      </c>
      <c r="AC4" s="1" t="s">
        <v>13</v>
      </c>
      <c r="AD4" s="1318"/>
      <c r="AE4" s="1" t="s">
        <v>14</v>
      </c>
      <c r="AF4" s="1" t="s">
        <v>15</v>
      </c>
      <c r="AG4" s="1318"/>
      <c r="AH4" s="1" t="s">
        <v>24</v>
      </c>
      <c r="AI4" s="181" t="s">
        <v>25</v>
      </c>
      <c r="AJ4" s="1321"/>
      <c r="AK4" s="1156" t="s">
        <v>1285</v>
      </c>
      <c r="AL4" s="1156" t="s">
        <v>1286</v>
      </c>
      <c r="AM4" s="1326"/>
      <c r="AN4" s="1185" t="s">
        <v>1300</v>
      </c>
      <c r="AO4" s="1185" t="s">
        <v>1301</v>
      </c>
      <c r="AP4" s="1318"/>
      <c r="AQ4" s="1" t="s">
        <v>1220</v>
      </c>
      <c r="AR4" s="1" t="s">
        <v>1221</v>
      </c>
      <c r="AS4" s="1322"/>
      <c r="AT4" s="1159" t="s">
        <v>1303</v>
      </c>
      <c r="AU4" s="1159" t="s">
        <v>1304</v>
      </c>
      <c r="AV4" s="1318"/>
      <c r="AW4" s="1" t="s">
        <v>1306</v>
      </c>
      <c r="AX4" s="1" t="s">
        <v>1307</v>
      </c>
      <c r="AZ4" s="5" t="s">
        <v>16</v>
      </c>
    </row>
    <row r="5" spans="1:54" s="220" customFormat="1" ht="14.25" customHeight="1">
      <c r="A5" s="213">
        <v>1</v>
      </c>
      <c r="B5" s="213" t="s">
        <v>759</v>
      </c>
      <c r="C5" s="215"/>
      <c r="D5" s="216"/>
      <c r="E5" s="217"/>
      <c r="F5" s="218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46"/>
      <c r="AJ5" s="246"/>
      <c r="AK5" s="246"/>
      <c r="AL5" s="246"/>
      <c r="AM5" s="246"/>
      <c r="AN5" s="246"/>
      <c r="AO5" s="246"/>
      <c r="AP5" s="219"/>
      <c r="AQ5" s="219"/>
      <c r="AR5" s="219"/>
      <c r="AS5" s="219"/>
      <c r="AT5" s="219"/>
      <c r="AU5" s="219"/>
      <c r="AV5" s="219"/>
      <c r="AW5" s="219"/>
      <c r="AX5" s="219"/>
      <c r="AZ5" s="61"/>
      <c r="BB5" s="221"/>
    </row>
    <row r="6" spans="1:54" s="220" customFormat="1" ht="14.25" customHeight="1">
      <c r="A6" s="190" t="s">
        <v>232</v>
      </c>
      <c r="B6" s="231" t="s">
        <v>236</v>
      </c>
      <c r="C6" s="215"/>
      <c r="D6" s="216"/>
      <c r="E6" s="217"/>
      <c r="F6" s="218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46"/>
      <c r="AJ6" s="246"/>
      <c r="AK6" s="246"/>
      <c r="AL6" s="246"/>
      <c r="AM6" s="246"/>
      <c r="AN6" s="246"/>
      <c r="AO6" s="246"/>
      <c r="AP6" s="219"/>
      <c r="AQ6" s="219"/>
      <c r="AR6" s="219"/>
      <c r="AS6" s="219"/>
      <c r="AT6" s="219"/>
      <c r="AU6" s="219"/>
      <c r="AV6" s="219"/>
      <c r="AW6" s="219"/>
      <c r="AX6" s="219"/>
      <c r="AZ6" s="61"/>
      <c r="BB6" s="221"/>
    </row>
    <row r="7" spans="1:54" s="220" customFormat="1" ht="14.25" customHeight="1">
      <c r="A7" s="190"/>
      <c r="B7" s="214" t="s">
        <v>405</v>
      </c>
      <c r="C7" s="215"/>
      <c r="D7" s="216"/>
      <c r="E7" s="217"/>
      <c r="F7" s="218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219"/>
      <c r="AF7" s="219"/>
      <c r="AG7" s="219"/>
      <c r="AH7" s="219"/>
      <c r="AI7" s="246"/>
      <c r="AJ7" s="246"/>
      <c r="AK7" s="246"/>
      <c r="AL7" s="246"/>
      <c r="AM7" s="246"/>
      <c r="AN7" s="246"/>
      <c r="AO7" s="246"/>
      <c r="AP7" s="219"/>
      <c r="AQ7" s="219"/>
      <c r="AR7" s="219"/>
      <c r="AS7" s="219"/>
      <c r="AT7" s="219"/>
      <c r="AU7" s="219"/>
      <c r="AV7" s="219"/>
      <c r="AW7" s="219"/>
      <c r="AX7" s="219"/>
      <c r="AZ7" s="61"/>
      <c r="BB7" s="221"/>
    </row>
    <row r="8" spans="1:54" ht="14.25" customHeight="1">
      <c r="A8" s="17">
        <v>1</v>
      </c>
      <c r="B8" s="53" t="s">
        <v>760</v>
      </c>
      <c r="C8" s="238">
        <v>42005</v>
      </c>
      <c r="D8" s="55">
        <v>4</v>
      </c>
      <c r="E8" s="6">
        <v>5700000</v>
      </c>
      <c r="F8" s="1041">
        <f t="shared" ref="F8:F45" si="0">E8/D8</f>
        <v>1425000</v>
      </c>
      <c r="G8" s="1042"/>
      <c r="H8" s="1042"/>
      <c r="I8" s="1042"/>
      <c r="J8" s="1053">
        <f>(F8/12)*(13-IF(C8="","",MONTH(C8)))</f>
        <v>1425000</v>
      </c>
      <c r="K8" s="1042">
        <f>J8+H8</f>
        <v>1425000</v>
      </c>
      <c r="L8" s="1042">
        <f>E8-K8</f>
        <v>4275000</v>
      </c>
      <c r="M8" s="1042">
        <f>(F8/12)*12</f>
        <v>1425000</v>
      </c>
      <c r="N8" s="1042">
        <f t="shared" ref="N8" si="1">K8+M8</f>
        <v>2850000</v>
      </c>
      <c r="O8" s="1042">
        <f t="shared" ref="O8" si="2">E8-N8</f>
        <v>2850000</v>
      </c>
      <c r="P8" s="1042">
        <f>(F8/12)*12</f>
        <v>1425000</v>
      </c>
      <c r="Q8" s="1042">
        <f>N8+P8</f>
        <v>4275000</v>
      </c>
      <c r="R8" s="1042">
        <f>E8-Q8</f>
        <v>1425000</v>
      </c>
      <c r="S8" s="1042">
        <f>(F8/12)*12</f>
        <v>1425000</v>
      </c>
      <c r="T8" s="1042">
        <f>Q8+S8</f>
        <v>5700000</v>
      </c>
      <c r="U8" s="1042">
        <f>E8-T8</f>
        <v>0</v>
      </c>
      <c r="V8" s="1042">
        <f>(F8/12)*0</f>
        <v>0</v>
      </c>
      <c r="W8" s="1042">
        <f>V8+T8</f>
        <v>5700000</v>
      </c>
      <c r="X8" s="1042">
        <f t="shared" ref="X8" si="3">E8-W8</f>
        <v>0</v>
      </c>
      <c r="Y8" s="7">
        <v>5700000</v>
      </c>
      <c r="Z8" s="7">
        <f>E8-Y8</f>
        <v>0</v>
      </c>
      <c r="AA8" s="1042">
        <f>(F8/12)*0</f>
        <v>0</v>
      </c>
      <c r="AB8" s="1042">
        <f>W8+AA8</f>
        <v>5700000</v>
      </c>
      <c r="AC8" s="1042">
        <f>E8-AB8</f>
        <v>0</v>
      </c>
      <c r="AD8" s="1042">
        <f t="shared" ref="AD8" si="4">(F8/12)*0</f>
        <v>0</v>
      </c>
      <c r="AE8" s="1042">
        <f t="shared" ref="AE8" si="5">AD8+AB8</f>
        <v>5700000</v>
      </c>
      <c r="AF8" s="1042">
        <f t="shared" ref="AF8" si="6">E8-AE8</f>
        <v>0</v>
      </c>
      <c r="AG8" s="1042">
        <f t="shared" ref="AG8" si="7">(F8/12)*0</f>
        <v>0</v>
      </c>
      <c r="AH8" s="1042">
        <f t="shared" ref="AH8" si="8">AE8+AG8</f>
        <v>5700000</v>
      </c>
      <c r="AI8" s="1042">
        <f t="shared" ref="AI8" si="9">E8-AH8</f>
        <v>0</v>
      </c>
      <c r="AJ8" s="1042">
        <f>(F8/12)*0</f>
        <v>0</v>
      </c>
      <c r="AK8" s="1042">
        <f>AH8+AJ8</f>
        <v>5700000</v>
      </c>
      <c r="AL8" s="1042">
        <f>E8-AK8</f>
        <v>0</v>
      </c>
      <c r="AM8" s="1042">
        <f>0</f>
        <v>0</v>
      </c>
      <c r="AN8" s="1042">
        <f t="shared" ref="AN8:AN26" si="10">AH8+AM8</f>
        <v>5700000</v>
      </c>
      <c r="AO8" s="1042">
        <f>E8-AN8</f>
        <v>0</v>
      </c>
      <c r="AP8" s="1042">
        <f t="shared" ref="AP8" si="11">(F8/12)*0</f>
        <v>0</v>
      </c>
      <c r="AQ8" s="1042">
        <f t="shared" ref="AQ8" si="12">AP8+AH8</f>
        <v>5700000</v>
      </c>
      <c r="AR8" s="1042">
        <f t="shared" ref="AR8" si="13">E8-AQ8</f>
        <v>0</v>
      </c>
      <c r="AS8" s="1042">
        <f t="shared" ref="AS8:AS35" si="14">(F8/12)*0</f>
        <v>0</v>
      </c>
      <c r="AT8" s="1042">
        <f>AQ8+AS8</f>
        <v>5700000</v>
      </c>
      <c r="AU8" s="1042">
        <f>E8-AT8</f>
        <v>0</v>
      </c>
      <c r="AV8" s="1042">
        <f>(F8/12)*0</f>
        <v>0</v>
      </c>
      <c r="AW8" s="1042">
        <f>AQ8+AV8</f>
        <v>5700000</v>
      </c>
      <c r="AX8" s="1042">
        <f>E8-AW8</f>
        <v>0</v>
      </c>
      <c r="AZ8" s="8">
        <f>E8-AW8-AX8</f>
        <v>0</v>
      </c>
      <c r="BB8" s="57"/>
    </row>
    <row r="9" spans="1:54" ht="14.25" customHeight="1">
      <c r="A9" s="17">
        <f>A8+1</f>
        <v>2</v>
      </c>
      <c r="B9" s="53" t="s">
        <v>761</v>
      </c>
      <c r="C9" s="238">
        <v>42005</v>
      </c>
      <c r="D9" s="55">
        <v>4</v>
      </c>
      <c r="E9" s="6">
        <v>2260000</v>
      </c>
      <c r="F9" s="1041">
        <f t="shared" si="0"/>
        <v>565000</v>
      </c>
      <c r="G9" s="1042"/>
      <c r="H9" s="1042"/>
      <c r="I9" s="1042"/>
      <c r="J9" s="1053">
        <f t="shared" ref="J9:J26" si="15">(F9/12)*(13-IF(C9="","",MONTH(C9)))</f>
        <v>565000</v>
      </c>
      <c r="K9" s="1042">
        <f t="shared" ref="K9:K26" si="16">J9+H9</f>
        <v>565000</v>
      </c>
      <c r="L9" s="1042">
        <f t="shared" ref="L9:L26" si="17">E9-K9</f>
        <v>1695000</v>
      </c>
      <c r="M9" s="1042">
        <f t="shared" ref="M9:M26" si="18">(F9/12)*12</f>
        <v>565000</v>
      </c>
      <c r="N9" s="1042">
        <f t="shared" ref="N9:N26" si="19">K9+M9</f>
        <v>1130000</v>
      </c>
      <c r="O9" s="1042">
        <f t="shared" ref="O9:O26" si="20">E9-N9</f>
        <v>1130000</v>
      </c>
      <c r="P9" s="1042">
        <f t="shared" ref="P9:P26" si="21">(F9/12)*12</f>
        <v>565000</v>
      </c>
      <c r="Q9" s="1042">
        <f t="shared" ref="Q9:Q26" si="22">N9+P9</f>
        <v>1695000</v>
      </c>
      <c r="R9" s="1042">
        <f t="shared" ref="R9:R26" si="23">E9-Q9</f>
        <v>565000</v>
      </c>
      <c r="S9" s="1042">
        <f t="shared" ref="S9:S26" si="24">(F9/12)*12</f>
        <v>565000</v>
      </c>
      <c r="T9" s="1042">
        <f t="shared" ref="T9:T26" si="25">Q9+S9</f>
        <v>2260000</v>
      </c>
      <c r="U9" s="1042">
        <f t="shared" ref="U9:U26" si="26">E9-T9</f>
        <v>0</v>
      </c>
      <c r="V9" s="1042">
        <f t="shared" ref="V9:V26" si="27">(F9/12)*0</f>
        <v>0</v>
      </c>
      <c r="W9" s="1042">
        <f t="shared" ref="W9:W26" si="28">V9+T9</f>
        <v>2260000</v>
      </c>
      <c r="X9" s="1042">
        <f t="shared" ref="X9:X26" si="29">E9-W9</f>
        <v>0</v>
      </c>
      <c r="Y9" s="7">
        <v>2260000</v>
      </c>
      <c r="Z9" s="7">
        <f t="shared" ref="Z9:Z33" si="30">E9-Y9</f>
        <v>0</v>
      </c>
      <c r="AA9" s="1042">
        <f t="shared" ref="AA9:AA26" si="31">(F9/12)*0</f>
        <v>0</v>
      </c>
      <c r="AB9" s="1042">
        <f t="shared" ref="AB9:AB41" si="32">W9+AA9</f>
        <v>2260000</v>
      </c>
      <c r="AC9" s="1042">
        <f t="shared" ref="AC9:AC41" si="33">E9-AB9</f>
        <v>0</v>
      </c>
      <c r="AD9" s="1042">
        <f t="shared" ref="AD9:AD26" si="34">(F9/12)*0</f>
        <v>0</v>
      </c>
      <c r="AE9" s="1042">
        <f t="shared" ref="AE9:AE26" si="35">AD9+AB9</f>
        <v>2260000</v>
      </c>
      <c r="AF9" s="1042">
        <f t="shared" ref="AF9:AF26" si="36">E9-AE9</f>
        <v>0</v>
      </c>
      <c r="AG9" s="1042">
        <f t="shared" ref="AG9:AG26" si="37">(F9/12)*0</f>
        <v>0</v>
      </c>
      <c r="AH9" s="1042">
        <f t="shared" ref="AH9:AH26" si="38">AE9+AG9</f>
        <v>2260000</v>
      </c>
      <c r="AI9" s="1042">
        <f t="shared" ref="AI9:AI26" si="39">E9-AH9</f>
        <v>0</v>
      </c>
      <c r="AJ9" s="1042">
        <f t="shared" ref="AJ9:AJ26" si="40">(F9/12)*0</f>
        <v>0</v>
      </c>
      <c r="AK9" s="1042">
        <f t="shared" ref="AK9:AK72" si="41">AH9+AJ9</f>
        <v>2260000</v>
      </c>
      <c r="AL9" s="1042">
        <f t="shared" ref="AL9:AL72" si="42">E9-AK9</f>
        <v>0</v>
      </c>
      <c r="AM9" s="1042">
        <f>0</f>
        <v>0</v>
      </c>
      <c r="AN9" s="1042">
        <f t="shared" si="10"/>
        <v>2260000</v>
      </c>
      <c r="AO9" s="1042">
        <f t="shared" ref="AO9:AO27" si="43">E9-AN9</f>
        <v>0</v>
      </c>
      <c r="AP9" s="1042">
        <f t="shared" ref="AP9:AP26" si="44">(F9/12)*0</f>
        <v>0</v>
      </c>
      <c r="AQ9" s="1042">
        <f t="shared" ref="AQ9:AQ26" si="45">AP9+AH9</f>
        <v>2260000</v>
      </c>
      <c r="AR9" s="1042">
        <f t="shared" ref="AR9:AR26" si="46">E9-AQ9</f>
        <v>0</v>
      </c>
      <c r="AS9" s="1042">
        <f t="shared" si="14"/>
        <v>0</v>
      </c>
      <c r="AT9" s="1042">
        <f t="shared" ref="AT9:AT57" si="47">AQ9+AS9</f>
        <v>2260000</v>
      </c>
      <c r="AU9" s="1042">
        <f t="shared" ref="AU9:AU57" si="48">E9-AT9</f>
        <v>0</v>
      </c>
      <c r="AV9" s="1042">
        <f t="shared" ref="AV9:AV35" si="49">(F9/12)*0</f>
        <v>0</v>
      </c>
      <c r="AW9" s="1042">
        <f t="shared" ref="AW9:AW57" si="50">AQ9+AV9</f>
        <v>2260000</v>
      </c>
      <c r="AX9" s="1042">
        <f t="shared" ref="AX9:AX57" si="51">E9-AW9</f>
        <v>0</v>
      </c>
      <c r="AZ9" s="8">
        <f t="shared" ref="AZ9:AZ72" si="52">E9-AW9-AX9</f>
        <v>0</v>
      </c>
      <c r="BB9" s="57"/>
    </row>
    <row r="10" spans="1:54" ht="14.25" customHeight="1">
      <c r="A10" s="17">
        <f t="shared" ref="A10:A57" si="53">A9+1</f>
        <v>3</v>
      </c>
      <c r="B10" s="53" t="s">
        <v>762</v>
      </c>
      <c r="C10" s="238">
        <v>42005</v>
      </c>
      <c r="D10" s="55">
        <v>4</v>
      </c>
      <c r="E10" s="6">
        <v>560000</v>
      </c>
      <c r="F10" s="1041">
        <f t="shared" si="0"/>
        <v>140000</v>
      </c>
      <c r="G10" s="1042"/>
      <c r="H10" s="1042"/>
      <c r="I10" s="1042"/>
      <c r="J10" s="1053">
        <f t="shared" si="15"/>
        <v>140000</v>
      </c>
      <c r="K10" s="1042">
        <f t="shared" si="16"/>
        <v>140000</v>
      </c>
      <c r="L10" s="1042">
        <f t="shared" si="17"/>
        <v>420000</v>
      </c>
      <c r="M10" s="1042">
        <f t="shared" si="18"/>
        <v>140000</v>
      </c>
      <c r="N10" s="1042">
        <f t="shared" si="19"/>
        <v>280000</v>
      </c>
      <c r="O10" s="1042">
        <f t="shared" si="20"/>
        <v>280000</v>
      </c>
      <c r="P10" s="1042">
        <f t="shared" si="21"/>
        <v>140000</v>
      </c>
      <c r="Q10" s="1042">
        <f t="shared" si="22"/>
        <v>420000</v>
      </c>
      <c r="R10" s="1042">
        <f t="shared" si="23"/>
        <v>140000</v>
      </c>
      <c r="S10" s="1042">
        <f t="shared" si="24"/>
        <v>140000</v>
      </c>
      <c r="T10" s="1042">
        <f t="shared" si="25"/>
        <v>560000</v>
      </c>
      <c r="U10" s="1042">
        <f t="shared" si="26"/>
        <v>0</v>
      </c>
      <c r="V10" s="1042">
        <f t="shared" si="27"/>
        <v>0</v>
      </c>
      <c r="W10" s="1042">
        <f t="shared" si="28"/>
        <v>560000</v>
      </c>
      <c r="X10" s="1042">
        <f t="shared" si="29"/>
        <v>0</v>
      </c>
      <c r="Y10" s="7">
        <v>560000</v>
      </c>
      <c r="Z10" s="7">
        <f t="shared" si="30"/>
        <v>0</v>
      </c>
      <c r="AA10" s="1042">
        <f t="shared" si="31"/>
        <v>0</v>
      </c>
      <c r="AB10" s="1042">
        <f t="shared" si="32"/>
        <v>560000</v>
      </c>
      <c r="AC10" s="1042">
        <f t="shared" si="33"/>
        <v>0</v>
      </c>
      <c r="AD10" s="1042">
        <f t="shared" si="34"/>
        <v>0</v>
      </c>
      <c r="AE10" s="1042">
        <f t="shared" si="35"/>
        <v>560000</v>
      </c>
      <c r="AF10" s="1042">
        <f t="shared" si="36"/>
        <v>0</v>
      </c>
      <c r="AG10" s="1042">
        <f t="shared" si="37"/>
        <v>0</v>
      </c>
      <c r="AH10" s="1042">
        <f t="shared" si="38"/>
        <v>560000</v>
      </c>
      <c r="AI10" s="1042">
        <f t="shared" si="39"/>
        <v>0</v>
      </c>
      <c r="AJ10" s="1042">
        <f t="shared" si="40"/>
        <v>0</v>
      </c>
      <c r="AK10" s="1042">
        <f t="shared" si="41"/>
        <v>560000</v>
      </c>
      <c r="AL10" s="1042">
        <f t="shared" si="42"/>
        <v>0</v>
      </c>
      <c r="AM10" s="1042">
        <f>0</f>
        <v>0</v>
      </c>
      <c r="AN10" s="1042">
        <f t="shared" si="10"/>
        <v>560000</v>
      </c>
      <c r="AO10" s="1042">
        <f t="shared" si="43"/>
        <v>0</v>
      </c>
      <c r="AP10" s="1042">
        <f t="shared" si="44"/>
        <v>0</v>
      </c>
      <c r="AQ10" s="1042">
        <f t="shared" si="45"/>
        <v>560000</v>
      </c>
      <c r="AR10" s="1042">
        <f t="shared" si="46"/>
        <v>0</v>
      </c>
      <c r="AS10" s="1042">
        <f t="shared" si="14"/>
        <v>0</v>
      </c>
      <c r="AT10" s="1042">
        <f t="shared" si="47"/>
        <v>560000</v>
      </c>
      <c r="AU10" s="1042">
        <f t="shared" si="48"/>
        <v>0</v>
      </c>
      <c r="AV10" s="1042">
        <f t="shared" si="49"/>
        <v>0</v>
      </c>
      <c r="AW10" s="1042">
        <f t="shared" si="50"/>
        <v>560000</v>
      </c>
      <c r="AX10" s="1042">
        <f t="shared" si="51"/>
        <v>0</v>
      </c>
      <c r="AZ10" s="8">
        <f t="shared" si="52"/>
        <v>0</v>
      </c>
      <c r="BB10" s="57"/>
    </row>
    <row r="11" spans="1:54" ht="14.25" customHeight="1">
      <c r="A11" s="17">
        <f t="shared" si="53"/>
        <v>4</v>
      </c>
      <c r="B11" s="53" t="s">
        <v>763</v>
      </c>
      <c r="C11" s="238">
        <v>42005</v>
      </c>
      <c r="D11" s="55">
        <v>4</v>
      </c>
      <c r="E11" s="6">
        <v>5750000</v>
      </c>
      <c r="F11" s="1041">
        <f t="shared" si="0"/>
        <v>1437500</v>
      </c>
      <c r="G11" s="1042"/>
      <c r="H11" s="1042"/>
      <c r="I11" s="1042"/>
      <c r="J11" s="1053">
        <f t="shared" si="15"/>
        <v>1437500</v>
      </c>
      <c r="K11" s="1042">
        <f t="shared" si="16"/>
        <v>1437500</v>
      </c>
      <c r="L11" s="1042">
        <f t="shared" si="17"/>
        <v>4312500</v>
      </c>
      <c r="M11" s="1042">
        <f t="shared" si="18"/>
        <v>1437500</v>
      </c>
      <c r="N11" s="1042">
        <f t="shared" si="19"/>
        <v>2875000</v>
      </c>
      <c r="O11" s="1042">
        <f t="shared" si="20"/>
        <v>2875000</v>
      </c>
      <c r="P11" s="1042">
        <f t="shared" si="21"/>
        <v>1437500</v>
      </c>
      <c r="Q11" s="1042">
        <f t="shared" si="22"/>
        <v>4312500</v>
      </c>
      <c r="R11" s="1042">
        <f t="shared" si="23"/>
        <v>1437500</v>
      </c>
      <c r="S11" s="1042">
        <f t="shared" si="24"/>
        <v>1437500</v>
      </c>
      <c r="T11" s="1042">
        <f t="shared" si="25"/>
        <v>5750000</v>
      </c>
      <c r="U11" s="1042">
        <f t="shared" si="26"/>
        <v>0</v>
      </c>
      <c r="V11" s="1042">
        <f t="shared" si="27"/>
        <v>0</v>
      </c>
      <c r="W11" s="1042">
        <f t="shared" si="28"/>
        <v>5750000</v>
      </c>
      <c r="X11" s="1042">
        <f t="shared" si="29"/>
        <v>0</v>
      </c>
      <c r="Y11" s="7">
        <v>5750000</v>
      </c>
      <c r="Z11" s="7">
        <f t="shared" si="30"/>
        <v>0</v>
      </c>
      <c r="AA11" s="1042">
        <f t="shared" si="31"/>
        <v>0</v>
      </c>
      <c r="AB11" s="1042">
        <f t="shared" si="32"/>
        <v>5750000</v>
      </c>
      <c r="AC11" s="1042">
        <f t="shared" si="33"/>
        <v>0</v>
      </c>
      <c r="AD11" s="1042">
        <f t="shared" si="34"/>
        <v>0</v>
      </c>
      <c r="AE11" s="1042">
        <f t="shared" si="35"/>
        <v>5750000</v>
      </c>
      <c r="AF11" s="1042">
        <f t="shared" si="36"/>
        <v>0</v>
      </c>
      <c r="AG11" s="1042">
        <f t="shared" si="37"/>
        <v>0</v>
      </c>
      <c r="AH11" s="1042">
        <f t="shared" si="38"/>
        <v>5750000</v>
      </c>
      <c r="AI11" s="1042">
        <f t="shared" si="39"/>
        <v>0</v>
      </c>
      <c r="AJ11" s="1042">
        <f t="shared" si="40"/>
        <v>0</v>
      </c>
      <c r="AK11" s="1042">
        <f t="shared" si="41"/>
        <v>5750000</v>
      </c>
      <c r="AL11" s="1042">
        <f t="shared" si="42"/>
        <v>0</v>
      </c>
      <c r="AM11" s="1042">
        <f>0</f>
        <v>0</v>
      </c>
      <c r="AN11" s="1042">
        <f t="shared" si="10"/>
        <v>5750000</v>
      </c>
      <c r="AO11" s="1042">
        <f t="shared" si="43"/>
        <v>0</v>
      </c>
      <c r="AP11" s="1042">
        <f t="shared" si="44"/>
        <v>0</v>
      </c>
      <c r="AQ11" s="1042">
        <f t="shared" si="45"/>
        <v>5750000</v>
      </c>
      <c r="AR11" s="1042">
        <f t="shared" si="46"/>
        <v>0</v>
      </c>
      <c r="AS11" s="1042">
        <f t="shared" si="14"/>
        <v>0</v>
      </c>
      <c r="AT11" s="1042">
        <f t="shared" si="47"/>
        <v>5750000</v>
      </c>
      <c r="AU11" s="1042">
        <f t="shared" si="48"/>
        <v>0</v>
      </c>
      <c r="AV11" s="1042">
        <f t="shared" si="49"/>
        <v>0</v>
      </c>
      <c r="AW11" s="1042">
        <f t="shared" si="50"/>
        <v>5750000</v>
      </c>
      <c r="AX11" s="1042">
        <f t="shared" si="51"/>
        <v>0</v>
      </c>
      <c r="AZ11" s="8">
        <f t="shared" si="52"/>
        <v>0</v>
      </c>
      <c r="BB11" s="57"/>
    </row>
    <row r="12" spans="1:54" ht="14.25" customHeight="1">
      <c r="A12" s="17">
        <f t="shared" si="53"/>
        <v>5</v>
      </c>
      <c r="B12" s="53" t="s">
        <v>764</v>
      </c>
      <c r="C12" s="238">
        <v>42005</v>
      </c>
      <c r="D12" s="55">
        <v>4</v>
      </c>
      <c r="E12" s="6">
        <v>945000</v>
      </c>
      <c r="F12" s="1041">
        <f t="shared" si="0"/>
        <v>236250</v>
      </c>
      <c r="G12" s="1042"/>
      <c r="H12" s="1042"/>
      <c r="I12" s="1042"/>
      <c r="J12" s="1053">
        <f t="shared" si="15"/>
        <v>236250</v>
      </c>
      <c r="K12" s="1042">
        <f t="shared" si="16"/>
        <v>236250</v>
      </c>
      <c r="L12" s="1042">
        <f t="shared" si="17"/>
        <v>708750</v>
      </c>
      <c r="M12" s="1042">
        <f t="shared" si="18"/>
        <v>236250</v>
      </c>
      <c r="N12" s="1042">
        <f t="shared" si="19"/>
        <v>472500</v>
      </c>
      <c r="O12" s="1042">
        <f t="shared" si="20"/>
        <v>472500</v>
      </c>
      <c r="P12" s="1042">
        <f t="shared" si="21"/>
        <v>236250</v>
      </c>
      <c r="Q12" s="1042">
        <f t="shared" si="22"/>
        <v>708750</v>
      </c>
      <c r="R12" s="1042">
        <f t="shared" si="23"/>
        <v>236250</v>
      </c>
      <c r="S12" s="1042">
        <f t="shared" si="24"/>
        <v>236250</v>
      </c>
      <c r="T12" s="1042">
        <f t="shared" si="25"/>
        <v>945000</v>
      </c>
      <c r="U12" s="1042">
        <f t="shared" si="26"/>
        <v>0</v>
      </c>
      <c r="V12" s="1042">
        <f t="shared" si="27"/>
        <v>0</v>
      </c>
      <c r="W12" s="1042">
        <f t="shared" si="28"/>
        <v>945000</v>
      </c>
      <c r="X12" s="1042">
        <f t="shared" si="29"/>
        <v>0</v>
      </c>
      <c r="Y12" s="7">
        <v>945000</v>
      </c>
      <c r="Z12" s="7">
        <f t="shared" si="30"/>
        <v>0</v>
      </c>
      <c r="AA12" s="1042">
        <f t="shared" si="31"/>
        <v>0</v>
      </c>
      <c r="AB12" s="1042">
        <f t="shared" si="32"/>
        <v>945000</v>
      </c>
      <c r="AC12" s="1042">
        <f t="shared" si="33"/>
        <v>0</v>
      </c>
      <c r="AD12" s="1042">
        <f t="shared" si="34"/>
        <v>0</v>
      </c>
      <c r="AE12" s="1042">
        <f t="shared" si="35"/>
        <v>945000</v>
      </c>
      <c r="AF12" s="1042">
        <f t="shared" si="36"/>
        <v>0</v>
      </c>
      <c r="AG12" s="1042">
        <f t="shared" si="37"/>
        <v>0</v>
      </c>
      <c r="AH12" s="1042">
        <f t="shared" si="38"/>
        <v>945000</v>
      </c>
      <c r="AI12" s="1042">
        <f t="shared" si="39"/>
        <v>0</v>
      </c>
      <c r="AJ12" s="1042">
        <f t="shared" si="40"/>
        <v>0</v>
      </c>
      <c r="AK12" s="1042">
        <f t="shared" si="41"/>
        <v>945000</v>
      </c>
      <c r="AL12" s="1042">
        <f t="shared" si="42"/>
        <v>0</v>
      </c>
      <c r="AM12" s="1042">
        <f>0</f>
        <v>0</v>
      </c>
      <c r="AN12" s="1042">
        <f t="shared" si="10"/>
        <v>945000</v>
      </c>
      <c r="AO12" s="1042">
        <f t="shared" si="43"/>
        <v>0</v>
      </c>
      <c r="AP12" s="1042">
        <f t="shared" si="44"/>
        <v>0</v>
      </c>
      <c r="AQ12" s="1042">
        <f t="shared" si="45"/>
        <v>945000</v>
      </c>
      <c r="AR12" s="1042">
        <f t="shared" si="46"/>
        <v>0</v>
      </c>
      <c r="AS12" s="1042">
        <f t="shared" si="14"/>
        <v>0</v>
      </c>
      <c r="AT12" s="1042">
        <f t="shared" si="47"/>
        <v>945000</v>
      </c>
      <c r="AU12" s="1042">
        <f t="shared" si="48"/>
        <v>0</v>
      </c>
      <c r="AV12" s="1042">
        <f t="shared" si="49"/>
        <v>0</v>
      </c>
      <c r="AW12" s="1042">
        <f t="shared" si="50"/>
        <v>945000</v>
      </c>
      <c r="AX12" s="1042">
        <f t="shared" si="51"/>
        <v>0</v>
      </c>
      <c r="AZ12" s="8">
        <f t="shared" si="52"/>
        <v>0</v>
      </c>
      <c r="BB12" s="57"/>
    </row>
    <row r="13" spans="1:54" ht="14.25" customHeight="1">
      <c r="A13" s="17">
        <f t="shared" si="53"/>
        <v>6</v>
      </c>
      <c r="B13" s="53" t="s">
        <v>765</v>
      </c>
      <c r="C13" s="238">
        <v>42005</v>
      </c>
      <c r="D13" s="55">
        <v>4</v>
      </c>
      <c r="E13" s="6">
        <v>2200000</v>
      </c>
      <c r="F13" s="1041">
        <f t="shared" si="0"/>
        <v>550000</v>
      </c>
      <c r="G13" s="1042"/>
      <c r="H13" s="1042"/>
      <c r="I13" s="1042"/>
      <c r="J13" s="1053">
        <f t="shared" si="15"/>
        <v>550000</v>
      </c>
      <c r="K13" s="1042">
        <f t="shared" si="16"/>
        <v>550000</v>
      </c>
      <c r="L13" s="1042">
        <f t="shared" si="17"/>
        <v>1650000</v>
      </c>
      <c r="M13" s="1042">
        <f t="shared" si="18"/>
        <v>550000</v>
      </c>
      <c r="N13" s="1042">
        <f t="shared" si="19"/>
        <v>1100000</v>
      </c>
      <c r="O13" s="1042">
        <f t="shared" si="20"/>
        <v>1100000</v>
      </c>
      <c r="P13" s="1042">
        <f t="shared" si="21"/>
        <v>550000</v>
      </c>
      <c r="Q13" s="1042">
        <f t="shared" si="22"/>
        <v>1650000</v>
      </c>
      <c r="R13" s="1042">
        <f t="shared" si="23"/>
        <v>550000</v>
      </c>
      <c r="S13" s="1042">
        <f t="shared" si="24"/>
        <v>550000</v>
      </c>
      <c r="T13" s="1042">
        <f t="shared" si="25"/>
        <v>2200000</v>
      </c>
      <c r="U13" s="1042">
        <f t="shared" si="26"/>
        <v>0</v>
      </c>
      <c r="V13" s="1042">
        <f t="shared" si="27"/>
        <v>0</v>
      </c>
      <c r="W13" s="1042">
        <f t="shared" si="28"/>
        <v>2200000</v>
      </c>
      <c r="X13" s="1042">
        <f t="shared" si="29"/>
        <v>0</v>
      </c>
      <c r="Y13" s="7">
        <v>2200000</v>
      </c>
      <c r="Z13" s="7">
        <f t="shared" si="30"/>
        <v>0</v>
      </c>
      <c r="AA13" s="1042">
        <f t="shared" si="31"/>
        <v>0</v>
      </c>
      <c r="AB13" s="1042">
        <f t="shared" si="32"/>
        <v>2200000</v>
      </c>
      <c r="AC13" s="1042">
        <f t="shared" si="33"/>
        <v>0</v>
      </c>
      <c r="AD13" s="1042">
        <f t="shared" si="34"/>
        <v>0</v>
      </c>
      <c r="AE13" s="1042">
        <f t="shared" si="35"/>
        <v>2200000</v>
      </c>
      <c r="AF13" s="1042">
        <f t="shared" si="36"/>
        <v>0</v>
      </c>
      <c r="AG13" s="1042">
        <f t="shared" si="37"/>
        <v>0</v>
      </c>
      <c r="AH13" s="1042">
        <f t="shared" si="38"/>
        <v>2200000</v>
      </c>
      <c r="AI13" s="1042">
        <f t="shared" si="39"/>
        <v>0</v>
      </c>
      <c r="AJ13" s="1042">
        <f t="shared" si="40"/>
        <v>0</v>
      </c>
      <c r="AK13" s="1042">
        <f t="shared" si="41"/>
        <v>2200000</v>
      </c>
      <c r="AL13" s="1042">
        <f t="shared" si="42"/>
        <v>0</v>
      </c>
      <c r="AM13" s="1042">
        <f>0</f>
        <v>0</v>
      </c>
      <c r="AN13" s="1042">
        <f t="shared" si="10"/>
        <v>2200000</v>
      </c>
      <c r="AO13" s="1042">
        <f t="shared" si="43"/>
        <v>0</v>
      </c>
      <c r="AP13" s="1042">
        <f t="shared" si="44"/>
        <v>0</v>
      </c>
      <c r="AQ13" s="1042">
        <f t="shared" si="45"/>
        <v>2200000</v>
      </c>
      <c r="AR13" s="1042">
        <f t="shared" si="46"/>
        <v>0</v>
      </c>
      <c r="AS13" s="1042">
        <f t="shared" si="14"/>
        <v>0</v>
      </c>
      <c r="AT13" s="1042">
        <f t="shared" si="47"/>
        <v>2200000</v>
      </c>
      <c r="AU13" s="1042">
        <f t="shared" si="48"/>
        <v>0</v>
      </c>
      <c r="AV13" s="1042">
        <f t="shared" si="49"/>
        <v>0</v>
      </c>
      <c r="AW13" s="1042">
        <f t="shared" si="50"/>
        <v>2200000</v>
      </c>
      <c r="AX13" s="1042">
        <f t="shared" si="51"/>
        <v>0</v>
      </c>
      <c r="AZ13" s="8">
        <f t="shared" si="52"/>
        <v>0</v>
      </c>
      <c r="BB13" s="57"/>
    </row>
    <row r="14" spans="1:54" ht="14.25" customHeight="1">
      <c r="A14" s="17">
        <f t="shared" si="53"/>
        <v>7</v>
      </c>
      <c r="B14" s="53" t="s">
        <v>766</v>
      </c>
      <c r="C14" s="238">
        <v>42005</v>
      </c>
      <c r="D14" s="55">
        <v>4</v>
      </c>
      <c r="E14" s="6">
        <v>2395000</v>
      </c>
      <c r="F14" s="1041">
        <f t="shared" si="0"/>
        <v>598750</v>
      </c>
      <c r="G14" s="1042"/>
      <c r="H14" s="1042"/>
      <c r="I14" s="1042"/>
      <c r="J14" s="1053">
        <f t="shared" si="15"/>
        <v>598750</v>
      </c>
      <c r="K14" s="1042">
        <f t="shared" si="16"/>
        <v>598750</v>
      </c>
      <c r="L14" s="1042">
        <f t="shared" si="17"/>
        <v>1796250</v>
      </c>
      <c r="M14" s="1042">
        <f t="shared" si="18"/>
        <v>598750</v>
      </c>
      <c r="N14" s="1042">
        <f t="shared" si="19"/>
        <v>1197500</v>
      </c>
      <c r="O14" s="1042">
        <f t="shared" si="20"/>
        <v>1197500</v>
      </c>
      <c r="P14" s="1042">
        <f t="shared" si="21"/>
        <v>598750</v>
      </c>
      <c r="Q14" s="1042">
        <f t="shared" si="22"/>
        <v>1796250</v>
      </c>
      <c r="R14" s="1042">
        <f t="shared" si="23"/>
        <v>598750</v>
      </c>
      <c r="S14" s="1042">
        <f t="shared" si="24"/>
        <v>598750</v>
      </c>
      <c r="T14" s="1042">
        <f t="shared" si="25"/>
        <v>2395000</v>
      </c>
      <c r="U14" s="1042">
        <f t="shared" si="26"/>
        <v>0</v>
      </c>
      <c r="V14" s="1042">
        <f t="shared" si="27"/>
        <v>0</v>
      </c>
      <c r="W14" s="1042">
        <f t="shared" si="28"/>
        <v>2395000</v>
      </c>
      <c r="X14" s="1042">
        <f t="shared" si="29"/>
        <v>0</v>
      </c>
      <c r="Y14" s="7">
        <v>2395000</v>
      </c>
      <c r="Z14" s="7">
        <f t="shared" si="30"/>
        <v>0</v>
      </c>
      <c r="AA14" s="1042">
        <f t="shared" si="31"/>
        <v>0</v>
      </c>
      <c r="AB14" s="1042">
        <f t="shared" si="32"/>
        <v>2395000</v>
      </c>
      <c r="AC14" s="1042">
        <f t="shared" si="33"/>
        <v>0</v>
      </c>
      <c r="AD14" s="1042">
        <f t="shared" si="34"/>
        <v>0</v>
      </c>
      <c r="AE14" s="1042">
        <f t="shared" si="35"/>
        <v>2395000</v>
      </c>
      <c r="AF14" s="1042">
        <f t="shared" si="36"/>
        <v>0</v>
      </c>
      <c r="AG14" s="1042">
        <f t="shared" si="37"/>
        <v>0</v>
      </c>
      <c r="AH14" s="1042">
        <f t="shared" si="38"/>
        <v>2395000</v>
      </c>
      <c r="AI14" s="1042">
        <f t="shared" si="39"/>
        <v>0</v>
      </c>
      <c r="AJ14" s="1042">
        <f t="shared" si="40"/>
        <v>0</v>
      </c>
      <c r="AK14" s="1042">
        <f t="shared" si="41"/>
        <v>2395000</v>
      </c>
      <c r="AL14" s="1042">
        <f t="shared" si="42"/>
        <v>0</v>
      </c>
      <c r="AM14" s="1042">
        <f>0</f>
        <v>0</v>
      </c>
      <c r="AN14" s="1042">
        <f t="shared" si="10"/>
        <v>2395000</v>
      </c>
      <c r="AO14" s="1042">
        <f t="shared" si="43"/>
        <v>0</v>
      </c>
      <c r="AP14" s="1042">
        <f t="shared" si="44"/>
        <v>0</v>
      </c>
      <c r="AQ14" s="1042">
        <f t="shared" si="45"/>
        <v>2395000</v>
      </c>
      <c r="AR14" s="1042">
        <f t="shared" si="46"/>
        <v>0</v>
      </c>
      <c r="AS14" s="1042">
        <f t="shared" si="14"/>
        <v>0</v>
      </c>
      <c r="AT14" s="1042">
        <f t="shared" si="47"/>
        <v>2395000</v>
      </c>
      <c r="AU14" s="1042">
        <f t="shared" si="48"/>
        <v>0</v>
      </c>
      <c r="AV14" s="1042">
        <f t="shared" si="49"/>
        <v>0</v>
      </c>
      <c r="AW14" s="1042">
        <f t="shared" si="50"/>
        <v>2395000</v>
      </c>
      <c r="AX14" s="1042">
        <f t="shared" si="51"/>
        <v>0</v>
      </c>
      <c r="AZ14" s="8">
        <f t="shared" si="52"/>
        <v>0</v>
      </c>
      <c r="BB14" s="57"/>
    </row>
    <row r="15" spans="1:54" ht="14.25" customHeight="1">
      <c r="A15" s="17">
        <f t="shared" si="53"/>
        <v>8</v>
      </c>
      <c r="B15" s="53" t="s">
        <v>767</v>
      </c>
      <c r="C15" s="238">
        <v>42005</v>
      </c>
      <c r="D15" s="55">
        <v>4</v>
      </c>
      <c r="E15" s="6">
        <v>820000</v>
      </c>
      <c r="F15" s="1041">
        <f t="shared" si="0"/>
        <v>205000</v>
      </c>
      <c r="G15" s="1042"/>
      <c r="H15" s="1042"/>
      <c r="I15" s="1042"/>
      <c r="J15" s="1053">
        <f t="shared" si="15"/>
        <v>205000</v>
      </c>
      <c r="K15" s="1042">
        <f t="shared" si="16"/>
        <v>205000</v>
      </c>
      <c r="L15" s="1042">
        <f t="shared" si="17"/>
        <v>615000</v>
      </c>
      <c r="M15" s="1042">
        <f t="shared" si="18"/>
        <v>205000</v>
      </c>
      <c r="N15" s="1042">
        <f t="shared" si="19"/>
        <v>410000</v>
      </c>
      <c r="O15" s="1042">
        <f t="shared" si="20"/>
        <v>410000</v>
      </c>
      <c r="P15" s="1042">
        <f t="shared" si="21"/>
        <v>205000</v>
      </c>
      <c r="Q15" s="1042">
        <f t="shared" si="22"/>
        <v>615000</v>
      </c>
      <c r="R15" s="1042">
        <f t="shared" si="23"/>
        <v>205000</v>
      </c>
      <c r="S15" s="1042">
        <f t="shared" si="24"/>
        <v>205000</v>
      </c>
      <c r="T15" s="1042">
        <f t="shared" si="25"/>
        <v>820000</v>
      </c>
      <c r="U15" s="1042">
        <f t="shared" si="26"/>
        <v>0</v>
      </c>
      <c r="V15" s="1042">
        <f t="shared" si="27"/>
        <v>0</v>
      </c>
      <c r="W15" s="1042">
        <f t="shared" si="28"/>
        <v>820000</v>
      </c>
      <c r="X15" s="1042">
        <f t="shared" si="29"/>
        <v>0</v>
      </c>
      <c r="Y15" s="7">
        <v>820000</v>
      </c>
      <c r="Z15" s="7">
        <f t="shared" si="30"/>
        <v>0</v>
      </c>
      <c r="AA15" s="1042">
        <f t="shared" si="31"/>
        <v>0</v>
      </c>
      <c r="AB15" s="1042">
        <f t="shared" si="32"/>
        <v>820000</v>
      </c>
      <c r="AC15" s="1042">
        <f t="shared" si="33"/>
        <v>0</v>
      </c>
      <c r="AD15" s="1042">
        <f t="shared" si="34"/>
        <v>0</v>
      </c>
      <c r="AE15" s="1042">
        <f t="shared" si="35"/>
        <v>820000</v>
      </c>
      <c r="AF15" s="1042">
        <f t="shared" si="36"/>
        <v>0</v>
      </c>
      <c r="AG15" s="1042">
        <f t="shared" si="37"/>
        <v>0</v>
      </c>
      <c r="AH15" s="1042">
        <f t="shared" si="38"/>
        <v>820000</v>
      </c>
      <c r="AI15" s="1042">
        <f t="shared" si="39"/>
        <v>0</v>
      </c>
      <c r="AJ15" s="1042">
        <f t="shared" si="40"/>
        <v>0</v>
      </c>
      <c r="AK15" s="1042">
        <f t="shared" si="41"/>
        <v>820000</v>
      </c>
      <c r="AL15" s="1042">
        <f t="shared" si="42"/>
        <v>0</v>
      </c>
      <c r="AM15" s="1042">
        <f>0</f>
        <v>0</v>
      </c>
      <c r="AN15" s="1042">
        <f t="shared" si="10"/>
        <v>820000</v>
      </c>
      <c r="AO15" s="1042">
        <f t="shared" si="43"/>
        <v>0</v>
      </c>
      <c r="AP15" s="1042">
        <f t="shared" si="44"/>
        <v>0</v>
      </c>
      <c r="AQ15" s="1042">
        <f t="shared" si="45"/>
        <v>820000</v>
      </c>
      <c r="AR15" s="1042">
        <f t="shared" si="46"/>
        <v>0</v>
      </c>
      <c r="AS15" s="1042">
        <f t="shared" si="14"/>
        <v>0</v>
      </c>
      <c r="AT15" s="1042">
        <f t="shared" si="47"/>
        <v>820000</v>
      </c>
      <c r="AU15" s="1042">
        <f t="shared" si="48"/>
        <v>0</v>
      </c>
      <c r="AV15" s="1042">
        <f t="shared" si="49"/>
        <v>0</v>
      </c>
      <c r="AW15" s="1042">
        <f t="shared" si="50"/>
        <v>820000</v>
      </c>
      <c r="AX15" s="1042">
        <f t="shared" si="51"/>
        <v>0</v>
      </c>
      <c r="AZ15" s="8">
        <f t="shared" si="52"/>
        <v>0</v>
      </c>
      <c r="BB15" s="57"/>
    </row>
    <row r="16" spans="1:54" ht="14.25" customHeight="1">
      <c r="A16" s="17">
        <f t="shared" si="53"/>
        <v>9</v>
      </c>
      <c r="B16" s="53" t="s">
        <v>768</v>
      </c>
      <c r="C16" s="238">
        <v>42005</v>
      </c>
      <c r="D16" s="55">
        <v>4</v>
      </c>
      <c r="E16" s="6">
        <v>3990000</v>
      </c>
      <c r="F16" s="1041">
        <f t="shared" si="0"/>
        <v>997500</v>
      </c>
      <c r="G16" s="1042"/>
      <c r="H16" s="1042"/>
      <c r="I16" s="1042"/>
      <c r="J16" s="1053">
        <f t="shared" si="15"/>
        <v>997500</v>
      </c>
      <c r="K16" s="1042">
        <f t="shared" si="16"/>
        <v>997500</v>
      </c>
      <c r="L16" s="1042">
        <f t="shared" si="17"/>
        <v>2992500</v>
      </c>
      <c r="M16" s="1042">
        <f t="shared" si="18"/>
        <v>997500</v>
      </c>
      <c r="N16" s="1042">
        <f t="shared" si="19"/>
        <v>1995000</v>
      </c>
      <c r="O16" s="1042">
        <f t="shared" si="20"/>
        <v>1995000</v>
      </c>
      <c r="P16" s="1042">
        <f t="shared" si="21"/>
        <v>997500</v>
      </c>
      <c r="Q16" s="1042">
        <f t="shared" si="22"/>
        <v>2992500</v>
      </c>
      <c r="R16" s="1042">
        <f t="shared" si="23"/>
        <v>997500</v>
      </c>
      <c r="S16" s="1042">
        <f t="shared" si="24"/>
        <v>997500</v>
      </c>
      <c r="T16" s="1042">
        <f t="shared" si="25"/>
        <v>3990000</v>
      </c>
      <c r="U16" s="1042">
        <f t="shared" si="26"/>
        <v>0</v>
      </c>
      <c r="V16" s="1042">
        <f t="shared" si="27"/>
        <v>0</v>
      </c>
      <c r="W16" s="1042">
        <f t="shared" si="28"/>
        <v>3990000</v>
      </c>
      <c r="X16" s="1042">
        <f t="shared" si="29"/>
        <v>0</v>
      </c>
      <c r="Y16" s="7">
        <v>3990000</v>
      </c>
      <c r="Z16" s="7">
        <f t="shared" si="30"/>
        <v>0</v>
      </c>
      <c r="AA16" s="1042">
        <f t="shared" si="31"/>
        <v>0</v>
      </c>
      <c r="AB16" s="1042">
        <f t="shared" si="32"/>
        <v>3990000</v>
      </c>
      <c r="AC16" s="1042">
        <f t="shared" si="33"/>
        <v>0</v>
      </c>
      <c r="AD16" s="1042">
        <f t="shared" si="34"/>
        <v>0</v>
      </c>
      <c r="AE16" s="1042">
        <f t="shared" si="35"/>
        <v>3990000</v>
      </c>
      <c r="AF16" s="1042">
        <f t="shared" si="36"/>
        <v>0</v>
      </c>
      <c r="AG16" s="1042">
        <f t="shared" si="37"/>
        <v>0</v>
      </c>
      <c r="AH16" s="1042">
        <f t="shared" si="38"/>
        <v>3990000</v>
      </c>
      <c r="AI16" s="1042">
        <f t="shared" si="39"/>
        <v>0</v>
      </c>
      <c r="AJ16" s="1042">
        <f t="shared" si="40"/>
        <v>0</v>
      </c>
      <c r="AK16" s="1042">
        <f t="shared" si="41"/>
        <v>3990000</v>
      </c>
      <c r="AL16" s="1042">
        <f t="shared" si="42"/>
        <v>0</v>
      </c>
      <c r="AM16" s="1042">
        <f>0</f>
        <v>0</v>
      </c>
      <c r="AN16" s="1042">
        <f t="shared" si="10"/>
        <v>3990000</v>
      </c>
      <c r="AO16" s="1042">
        <f t="shared" si="43"/>
        <v>0</v>
      </c>
      <c r="AP16" s="1042">
        <f t="shared" si="44"/>
        <v>0</v>
      </c>
      <c r="AQ16" s="1042">
        <f t="shared" si="45"/>
        <v>3990000</v>
      </c>
      <c r="AR16" s="1042">
        <f t="shared" si="46"/>
        <v>0</v>
      </c>
      <c r="AS16" s="1042">
        <f t="shared" si="14"/>
        <v>0</v>
      </c>
      <c r="AT16" s="1042">
        <f t="shared" si="47"/>
        <v>3990000</v>
      </c>
      <c r="AU16" s="1042">
        <f t="shared" si="48"/>
        <v>0</v>
      </c>
      <c r="AV16" s="1042">
        <f t="shared" si="49"/>
        <v>0</v>
      </c>
      <c r="AW16" s="1042">
        <f t="shared" si="50"/>
        <v>3990000</v>
      </c>
      <c r="AX16" s="1042">
        <f t="shared" si="51"/>
        <v>0</v>
      </c>
      <c r="AZ16" s="8">
        <f t="shared" si="52"/>
        <v>0</v>
      </c>
      <c r="BB16" s="57"/>
    </row>
    <row r="17" spans="1:54" ht="14.25" customHeight="1">
      <c r="A17" s="17">
        <f t="shared" si="53"/>
        <v>10</v>
      </c>
      <c r="B17" s="53" t="s">
        <v>769</v>
      </c>
      <c r="C17" s="238">
        <v>42005</v>
      </c>
      <c r="D17" s="55">
        <v>4</v>
      </c>
      <c r="E17" s="6">
        <v>900000</v>
      </c>
      <c r="F17" s="1041">
        <f t="shared" si="0"/>
        <v>225000</v>
      </c>
      <c r="G17" s="1042"/>
      <c r="H17" s="1042"/>
      <c r="I17" s="1042"/>
      <c r="J17" s="1053">
        <f t="shared" si="15"/>
        <v>225000</v>
      </c>
      <c r="K17" s="1042">
        <f t="shared" si="16"/>
        <v>225000</v>
      </c>
      <c r="L17" s="1042">
        <f t="shared" si="17"/>
        <v>675000</v>
      </c>
      <c r="M17" s="1042">
        <f t="shared" si="18"/>
        <v>225000</v>
      </c>
      <c r="N17" s="1042">
        <f t="shared" si="19"/>
        <v>450000</v>
      </c>
      <c r="O17" s="1042">
        <f t="shared" si="20"/>
        <v>450000</v>
      </c>
      <c r="P17" s="1042">
        <f t="shared" si="21"/>
        <v>225000</v>
      </c>
      <c r="Q17" s="1042">
        <f t="shared" si="22"/>
        <v>675000</v>
      </c>
      <c r="R17" s="1042">
        <f t="shared" si="23"/>
        <v>225000</v>
      </c>
      <c r="S17" s="1042">
        <f t="shared" si="24"/>
        <v>225000</v>
      </c>
      <c r="T17" s="1042">
        <f t="shared" si="25"/>
        <v>900000</v>
      </c>
      <c r="U17" s="1042">
        <f t="shared" si="26"/>
        <v>0</v>
      </c>
      <c r="V17" s="1042">
        <f t="shared" si="27"/>
        <v>0</v>
      </c>
      <c r="W17" s="1042">
        <f t="shared" si="28"/>
        <v>900000</v>
      </c>
      <c r="X17" s="1042">
        <f t="shared" si="29"/>
        <v>0</v>
      </c>
      <c r="Y17" s="7">
        <v>900000</v>
      </c>
      <c r="Z17" s="7">
        <f t="shared" si="30"/>
        <v>0</v>
      </c>
      <c r="AA17" s="1042">
        <f t="shared" si="31"/>
        <v>0</v>
      </c>
      <c r="AB17" s="1042">
        <f t="shared" si="32"/>
        <v>900000</v>
      </c>
      <c r="AC17" s="1042">
        <f t="shared" si="33"/>
        <v>0</v>
      </c>
      <c r="AD17" s="1042">
        <f t="shared" si="34"/>
        <v>0</v>
      </c>
      <c r="AE17" s="1042">
        <f t="shared" si="35"/>
        <v>900000</v>
      </c>
      <c r="AF17" s="1042">
        <f t="shared" si="36"/>
        <v>0</v>
      </c>
      <c r="AG17" s="1042">
        <f t="shared" si="37"/>
        <v>0</v>
      </c>
      <c r="AH17" s="1042">
        <f t="shared" si="38"/>
        <v>900000</v>
      </c>
      <c r="AI17" s="1042">
        <f t="shared" si="39"/>
        <v>0</v>
      </c>
      <c r="AJ17" s="1042">
        <f t="shared" si="40"/>
        <v>0</v>
      </c>
      <c r="AK17" s="1042">
        <f t="shared" si="41"/>
        <v>900000</v>
      </c>
      <c r="AL17" s="1042">
        <f t="shared" si="42"/>
        <v>0</v>
      </c>
      <c r="AM17" s="1042">
        <f>0</f>
        <v>0</v>
      </c>
      <c r="AN17" s="1042">
        <f t="shared" si="10"/>
        <v>900000</v>
      </c>
      <c r="AO17" s="1042">
        <f t="shared" si="43"/>
        <v>0</v>
      </c>
      <c r="AP17" s="1042">
        <f t="shared" si="44"/>
        <v>0</v>
      </c>
      <c r="AQ17" s="1042">
        <f t="shared" si="45"/>
        <v>900000</v>
      </c>
      <c r="AR17" s="1042">
        <f t="shared" si="46"/>
        <v>0</v>
      </c>
      <c r="AS17" s="1042">
        <f t="shared" si="14"/>
        <v>0</v>
      </c>
      <c r="AT17" s="1042">
        <f t="shared" si="47"/>
        <v>900000</v>
      </c>
      <c r="AU17" s="1042">
        <f t="shared" si="48"/>
        <v>0</v>
      </c>
      <c r="AV17" s="1042">
        <f t="shared" si="49"/>
        <v>0</v>
      </c>
      <c r="AW17" s="1042">
        <f t="shared" si="50"/>
        <v>900000</v>
      </c>
      <c r="AX17" s="1042">
        <f t="shared" si="51"/>
        <v>0</v>
      </c>
      <c r="AZ17" s="8">
        <f t="shared" si="52"/>
        <v>0</v>
      </c>
      <c r="BB17" s="57"/>
    </row>
    <row r="18" spans="1:54" ht="14.25" customHeight="1">
      <c r="A18" s="17">
        <f t="shared" si="53"/>
        <v>11</v>
      </c>
      <c r="B18" s="53" t="s">
        <v>770</v>
      </c>
      <c r="C18" s="238">
        <v>42005</v>
      </c>
      <c r="D18" s="55">
        <v>4</v>
      </c>
      <c r="E18" s="6">
        <v>1250000</v>
      </c>
      <c r="F18" s="1041">
        <f t="shared" si="0"/>
        <v>312500</v>
      </c>
      <c r="G18" s="1042"/>
      <c r="H18" s="1042"/>
      <c r="I18" s="1042"/>
      <c r="J18" s="1053">
        <f t="shared" si="15"/>
        <v>312500</v>
      </c>
      <c r="K18" s="1042">
        <f t="shared" si="16"/>
        <v>312500</v>
      </c>
      <c r="L18" s="1042">
        <f t="shared" si="17"/>
        <v>937500</v>
      </c>
      <c r="M18" s="1042">
        <f t="shared" si="18"/>
        <v>312500</v>
      </c>
      <c r="N18" s="1042">
        <f t="shared" si="19"/>
        <v>625000</v>
      </c>
      <c r="O18" s="1042">
        <f t="shared" si="20"/>
        <v>625000</v>
      </c>
      <c r="P18" s="1042">
        <f t="shared" si="21"/>
        <v>312500</v>
      </c>
      <c r="Q18" s="1042">
        <f t="shared" si="22"/>
        <v>937500</v>
      </c>
      <c r="R18" s="1042">
        <f t="shared" si="23"/>
        <v>312500</v>
      </c>
      <c r="S18" s="1042">
        <f t="shared" si="24"/>
        <v>312500</v>
      </c>
      <c r="T18" s="1042">
        <f t="shared" si="25"/>
        <v>1250000</v>
      </c>
      <c r="U18" s="1042">
        <f t="shared" si="26"/>
        <v>0</v>
      </c>
      <c r="V18" s="1042">
        <f t="shared" si="27"/>
        <v>0</v>
      </c>
      <c r="W18" s="1042">
        <f t="shared" si="28"/>
        <v>1250000</v>
      </c>
      <c r="X18" s="1042">
        <f t="shared" si="29"/>
        <v>0</v>
      </c>
      <c r="Y18" s="7">
        <v>1250000</v>
      </c>
      <c r="Z18" s="7">
        <f t="shared" si="30"/>
        <v>0</v>
      </c>
      <c r="AA18" s="1042">
        <f t="shared" si="31"/>
        <v>0</v>
      </c>
      <c r="AB18" s="1042">
        <f t="shared" si="32"/>
        <v>1250000</v>
      </c>
      <c r="AC18" s="1042">
        <f t="shared" si="33"/>
        <v>0</v>
      </c>
      <c r="AD18" s="1042">
        <f t="shared" si="34"/>
        <v>0</v>
      </c>
      <c r="AE18" s="1042">
        <f t="shared" si="35"/>
        <v>1250000</v>
      </c>
      <c r="AF18" s="1042">
        <f t="shared" si="36"/>
        <v>0</v>
      </c>
      <c r="AG18" s="1042">
        <f t="shared" si="37"/>
        <v>0</v>
      </c>
      <c r="AH18" s="1042">
        <f t="shared" si="38"/>
        <v>1250000</v>
      </c>
      <c r="AI18" s="1042">
        <f t="shared" si="39"/>
        <v>0</v>
      </c>
      <c r="AJ18" s="1042">
        <f t="shared" si="40"/>
        <v>0</v>
      </c>
      <c r="AK18" s="1042">
        <f t="shared" si="41"/>
        <v>1250000</v>
      </c>
      <c r="AL18" s="1042">
        <f t="shared" si="42"/>
        <v>0</v>
      </c>
      <c r="AM18" s="1042">
        <f>0</f>
        <v>0</v>
      </c>
      <c r="AN18" s="1042">
        <f t="shared" si="10"/>
        <v>1250000</v>
      </c>
      <c r="AO18" s="1042">
        <f t="shared" si="43"/>
        <v>0</v>
      </c>
      <c r="AP18" s="1042">
        <f t="shared" si="44"/>
        <v>0</v>
      </c>
      <c r="AQ18" s="1042">
        <f t="shared" si="45"/>
        <v>1250000</v>
      </c>
      <c r="AR18" s="1042">
        <f t="shared" si="46"/>
        <v>0</v>
      </c>
      <c r="AS18" s="1042">
        <f t="shared" si="14"/>
        <v>0</v>
      </c>
      <c r="AT18" s="1042">
        <f t="shared" si="47"/>
        <v>1250000</v>
      </c>
      <c r="AU18" s="1042">
        <f t="shared" si="48"/>
        <v>0</v>
      </c>
      <c r="AV18" s="1042">
        <f t="shared" si="49"/>
        <v>0</v>
      </c>
      <c r="AW18" s="1042">
        <f t="shared" si="50"/>
        <v>1250000</v>
      </c>
      <c r="AX18" s="1042">
        <f t="shared" si="51"/>
        <v>0</v>
      </c>
      <c r="AZ18" s="8">
        <f t="shared" si="52"/>
        <v>0</v>
      </c>
      <c r="BB18" s="57"/>
    </row>
    <row r="19" spans="1:54" ht="14.25" customHeight="1">
      <c r="A19" s="17">
        <f t="shared" si="53"/>
        <v>12</v>
      </c>
      <c r="B19" s="53" t="s">
        <v>771</v>
      </c>
      <c r="C19" s="238">
        <v>42005</v>
      </c>
      <c r="D19" s="55">
        <v>4</v>
      </c>
      <c r="E19" s="6">
        <v>175000</v>
      </c>
      <c r="F19" s="1041">
        <f t="shared" si="0"/>
        <v>43750</v>
      </c>
      <c r="G19" s="1042"/>
      <c r="H19" s="1042"/>
      <c r="I19" s="1042"/>
      <c r="J19" s="1053">
        <f t="shared" si="15"/>
        <v>43750</v>
      </c>
      <c r="K19" s="1042">
        <f t="shared" si="16"/>
        <v>43750</v>
      </c>
      <c r="L19" s="1042">
        <f t="shared" si="17"/>
        <v>131250</v>
      </c>
      <c r="M19" s="1042">
        <f t="shared" si="18"/>
        <v>43750</v>
      </c>
      <c r="N19" s="1042">
        <f t="shared" si="19"/>
        <v>87500</v>
      </c>
      <c r="O19" s="1042">
        <f t="shared" si="20"/>
        <v>87500</v>
      </c>
      <c r="P19" s="1042">
        <f t="shared" si="21"/>
        <v>43750</v>
      </c>
      <c r="Q19" s="1042">
        <f t="shared" si="22"/>
        <v>131250</v>
      </c>
      <c r="R19" s="1042">
        <f t="shared" si="23"/>
        <v>43750</v>
      </c>
      <c r="S19" s="1042">
        <f t="shared" si="24"/>
        <v>43750</v>
      </c>
      <c r="T19" s="1042">
        <f t="shared" si="25"/>
        <v>175000</v>
      </c>
      <c r="U19" s="1042">
        <f t="shared" si="26"/>
        <v>0</v>
      </c>
      <c r="V19" s="1042">
        <f t="shared" si="27"/>
        <v>0</v>
      </c>
      <c r="W19" s="1042">
        <f t="shared" si="28"/>
        <v>175000</v>
      </c>
      <c r="X19" s="1042">
        <f t="shared" si="29"/>
        <v>0</v>
      </c>
      <c r="Y19" s="7">
        <v>175000</v>
      </c>
      <c r="Z19" s="7">
        <f t="shared" si="30"/>
        <v>0</v>
      </c>
      <c r="AA19" s="1042">
        <f t="shared" si="31"/>
        <v>0</v>
      </c>
      <c r="AB19" s="1042">
        <f t="shared" si="32"/>
        <v>175000</v>
      </c>
      <c r="AC19" s="1042">
        <f t="shared" si="33"/>
        <v>0</v>
      </c>
      <c r="AD19" s="1042">
        <f t="shared" si="34"/>
        <v>0</v>
      </c>
      <c r="AE19" s="1042">
        <f t="shared" si="35"/>
        <v>175000</v>
      </c>
      <c r="AF19" s="1042">
        <f t="shared" si="36"/>
        <v>0</v>
      </c>
      <c r="AG19" s="1042">
        <f t="shared" si="37"/>
        <v>0</v>
      </c>
      <c r="AH19" s="1042">
        <f t="shared" si="38"/>
        <v>175000</v>
      </c>
      <c r="AI19" s="1042">
        <f t="shared" si="39"/>
        <v>0</v>
      </c>
      <c r="AJ19" s="1042">
        <f t="shared" si="40"/>
        <v>0</v>
      </c>
      <c r="AK19" s="1042">
        <f t="shared" si="41"/>
        <v>175000</v>
      </c>
      <c r="AL19" s="1042">
        <f t="shared" si="42"/>
        <v>0</v>
      </c>
      <c r="AM19" s="1042">
        <f>0</f>
        <v>0</v>
      </c>
      <c r="AN19" s="1042">
        <f t="shared" si="10"/>
        <v>175000</v>
      </c>
      <c r="AO19" s="1042">
        <f t="shared" si="43"/>
        <v>0</v>
      </c>
      <c r="AP19" s="1042">
        <f t="shared" si="44"/>
        <v>0</v>
      </c>
      <c r="AQ19" s="1042">
        <f t="shared" si="45"/>
        <v>175000</v>
      </c>
      <c r="AR19" s="1042">
        <f t="shared" si="46"/>
        <v>0</v>
      </c>
      <c r="AS19" s="1042">
        <f t="shared" si="14"/>
        <v>0</v>
      </c>
      <c r="AT19" s="1042">
        <f t="shared" si="47"/>
        <v>175000</v>
      </c>
      <c r="AU19" s="1042">
        <f t="shared" si="48"/>
        <v>0</v>
      </c>
      <c r="AV19" s="1042">
        <f t="shared" si="49"/>
        <v>0</v>
      </c>
      <c r="AW19" s="1042">
        <f t="shared" si="50"/>
        <v>175000</v>
      </c>
      <c r="AX19" s="1042">
        <f t="shared" si="51"/>
        <v>0</v>
      </c>
      <c r="AZ19" s="8">
        <f t="shared" si="52"/>
        <v>0</v>
      </c>
      <c r="BB19" s="57"/>
    </row>
    <row r="20" spans="1:54" ht="14.25" customHeight="1">
      <c r="A20" s="17">
        <f t="shared" si="53"/>
        <v>13</v>
      </c>
      <c r="B20" s="53" t="s">
        <v>772</v>
      </c>
      <c r="C20" s="238">
        <v>42005</v>
      </c>
      <c r="D20" s="55">
        <v>4</v>
      </c>
      <c r="E20" s="6">
        <v>2350000</v>
      </c>
      <c r="F20" s="1041">
        <f t="shared" si="0"/>
        <v>587500</v>
      </c>
      <c r="G20" s="1042"/>
      <c r="H20" s="1042"/>
      <c r="I20" s="1042"/>
      <c r="J20" s="1053">
        <f t="shared" si="15"/>
        <v>587500</v>
      </c>
      <c r="K20" s="1042">
        <f t="shared" si="16"/>
        <v>587500</v>
      </c>
      <c r="L20" s="1042">
        <f t="shared" si="17"/>
        <v>1762500</v>
      </c>
      <c r="M20" s="1042">
        <f t="shared" si="18"/>
        <v>587500</v>
      </c>
      <c r="N20" s="1042">
        <f t="shared" si="19"/>
        <v>1175000</v>
      </c>
      <c r="O20" s="1042">
        <f t="shared" si="20"/>
        <v>1175000</v>
      </c>
      <c r="P20" s="1042">
        <f t="shared" si="21"/>
        <v>587500</v>
      </c>
      <c r="Q20" s="1042">
        <f t="shared" si="22"/>
        <v>1762500</v>
      </c>
      <c r="R20" s="1042">
        <f t="shared" si="23"/>
        <v>587500</v>
      </c>
      <c r="S20" s="1042">
        <f t="shared" si="24"/>
        <v>587500</v>
      </c>
      <c r="T20" s="1042">
        <f t="shared" si="25"/>
        <v>2350000</v>
      </c>
      <c r="U20" s="1042">
        <f t="shared" si="26"/>
        <v>0</v>
      </c>
      <c r="V20" s="1042">
        <f t="shared" si="27"/>
        <v>0</v>
      </c>
      <c r="W20" s="1042">
        <f t="shared" si="28"/>
        <v>2350000</v>
      </c>
      <c r="X20" s="1042">
        <f t="shared" si="29"/>
        <v>0</v>
      </c>
      <c r="Y20" s="7">
        <v>2350000</v>
      </c>
      <c r="Z20" s="7">
        <f t="shared" si="30"/>
        <v>0</v>
      </c>
      <c r="AA20" s="1042">
        <f t="shared" si="31"/>
        <v>0</v>
      </c>
      <c r="AB20" s="1042">
        <f t="shared" si="32"/>
        <v>2350000</v>
      </c>
      <c r="AC20" s="1042">
        <f t="shared" si="33"/>
        <v>0</v>
      </c>
      <c r="AD20" s="1042">
        <f t="shared" si="34"/>
        <v>0</v>
      </c>
      <c r="AE20" s="1042">
        <f t="shared" si="35"/>
        <v>2350000</v>
      </c>
      <c r="AF20" s="1042">
        <f t="shared" si="36"/>
        <v>0</v>
      </c>
      <c r="AG20" s="1042">
        <f t="shared" si="37"/>
        <v>0</v>
      </c>
      <c r="AH20" s="1042">
        <f t="shared" si="38"/>
        <v>2350000</v>
      </c>
      <c r="AI20" s="1042">
        <f t="shared" si="39"/>
        <v>0</v>
      </c>
      <c r="AJ20" s="1042">
        <f t="shared" si="40"/>
        <v>0</v>
      </c>
      <c r="AK20" s="1042">
        <f t="shared" si="41"/>
        <v>2350000</v>
      </c>
      <c r="AL20" s="1042">
        <f t="shared" si="42"/>
        <v>0</v>
      </c>
      <c r="AM20" s="1042">
        <f>0</f>
        <v>0</v>
      </c>
      <c r="AN20" s="1042">
        <f t="shared" si="10"/>
        <v>2350000</v>
      </c>
      <c r="AO20" s="1042">
        <f t="shared" si="43"/>
        <v>0</v>
      </c>
      <c r="AP20" s="1042">
        <f t="shared" si="44"/>
        <v>0</v>
      </c>
      <c r="AQ20" s="1042">
        <f t="shared" si="45"/>
        <v>2350000</v>
      </c>
      <c r="AR20" s="1042">
        <f t="shared" si="46"/>
        <v>0</v>
      </c>
      <c r="AS20" s="1042">
        <f t="shared" si="14"/>
        <v>0</v>
      </c>
      <c r="AT20" s="1042">
        <f t="shared" si="47"/>
        <v>2350000</v>
      </c>
      <c r="AU20" s="1042">
        <f t="shared" si="48"/>
        <v>0</v>
      </c>
      <c r="AV20" s="1042">
        <f t="shared" si="49"/>
        <v>0</v>
      </c>
      <c r="AW20" s="1042">
        <f t="shared" si="50"/>
        <v>2350000</v>
      </c>
      <c r="AX20" s="1042">
        <f t="shared" si="51"/>
        <v>0</v>
      </c>
      <c r="AZ20" s="8">
        <f t="shared" si="52"/>
        <v>0</v>
      </c>
      <c r="BB20" s="57"/>
    </row>
    <row r="21" spans="1:54" ht="14.25" customHeight="1">
      <c r="A21" s="17">
        <f t="shared" si="53"/>
        <v>14</v>
      </c>
      <c r="B21" s="53" t="s">
        <v>773</v>
      </c>
      <c r="C21" s="238">
        <v>42005</v>
      </c>
      <c r="D21" s="55">
        <v>4</v>
      </c>
      <c r="E21" s="6">
        <v>980000</v>
      </c>
      <c r="F21" s="1041">
        <f t="shared" si="0"/>
        <v>245000</v>
      </c>
      <c r="G21" s="1042"/>
      <c r="H21" s="1042"/>
      <c r="I21" s="1042"/>
      <c r="J21" s="1053">
        <f t="shared" si="15"/>
        <v>245000</v>
      </c>
      <c r="K21" s="1042">
        <f t="shared" si="16"/>
        <v>245000</v>
      </c>
      <c r="L21" s="1042">
        <f t="shared" si="17"/>
        <v>735000</v>
      </c>
      <c r="M21" s="1042">
        <f t="shared" si="18"/>
        <v>245000</v>
      </c>
      <c r="N21" s="1042">
        <f t="shared" si="19"/>
        <v>490000</v>
      </c>
      <c r="O21" s="1042">
        <f t="shared" si="20"/>
        <v>490000</v>
      </c>
      <c r="P21" s="1042">
        <f t="shared" si="21"/>
        <v>245000</v>
      </c>
      <c r="Q21" s="1042">
        <f t="shared" si="22"/>
        <v>735000</v>
      </c>
      <c r="R21" s="1042">
        <f t="shared" si="23"/>
        <v>245000</v>
      </c>
      <c r="S21" s="1042">
        <f t="shared" si="24"/>
        <v>245000</v>
      </c>
      <c r="T21" s="1042">
        <f t="shared" si="25"/>
        <v>980000</v>
      </c>
      <c r="U21" s="1042">
        <f t="shared" si="26"/>
        <v>0</v>
      </c>
      <c r="V21" s="1042">
        <f t="shared" si="27"/>
        <v>0</v>
      </c>
      <c r="W21" s="1042">
        <f t="shared" si="28"/>
        <v>980000</v>
      </c>
      <c r="X21" s="1042">
        <f t="shared" si="29"/>
        <v>0</v>
      </c>
      <c r="Y21" s="7">
        <v>980000</v>
      </c>
      <c r="Z21" s="7">
        <f t="shared" si="30"/>
        <v>0</v>
      </c>
      <c r="AA21" s="1042">
        <f t="shared" si="31"/>
        <v>0</v>
      </c>
      <c r="AB21" s="1042">
        <f t="shared" si="32"/>
        <v>980000</v>
      </c>
      <c r="AC21" s="1042">
        <f t="shared" si="33"/>
        <v>0</v>
      </c>
      <c r="AD21" s="1042">
        <f t="shared" si="34"/>
        <v>0</v>
      </c>
      <c r="AE21" s="1042">
        <f t="shared" si="35"/>
        <v>980000</v>
      </c>
      <c r="AF21" s="1042">
        <f t="shared" si="36"/>
        <v>0</v>
      </c>
      <c r="AG21" s="1042">
        <f t="shared" si="37"/>
        <v>0</v>
      </c>
      <c r="AH21" s="1042">
        <f t="shared" si="38"/>
        <v>980000</v>
      </c>
      <c r="AI21" s="1042">
        <f t="shared" si="39"/>
        <v>0</v>
      </c>
      <c r="AJ21" s="1042">
        <f t="shared" si="40"/>
        <v>0</v>
      </c>
      <c r="AK21" s="1042">
        <f t="shared" si="41"/>
        <v>980000</v>
      </c>
      <c r="AL21" s="1042">
        <f t="shared" si="42"/>
        <v>0</v>
      </c>
      <c r="AM21" s="1042">
        <f>0</f>
        <v>0</v>
      </c>
      <c r="AN21" s="1042">
        <f t="shared" si="10"/>
        <v>980000</v>
      </c>
      <c r="AO21" s="1042">
        <f t="shared" si="43"/>
        <v>0</v>
      </c>
      <c r="AP21" s="1042">
        <f t="shared" si="44"/>
        <v>0</v>
      </c>
      <c r="AQ21" s="1042">
        <f t="shared" si="45"/>
        <v>980000</v>
      </c>
      <c r="AR21" s="1042">
        <f t="shared" si="46"/>
        <v>0</v>
      </c>
      <c r="AS21" s="1042">
        <f t="shared" si="14"/>
        <v>0</v>
      </c>
      <c r="AT21" s="1042">
        <f t="shared" si="47"/>
        <v>980000</v>
      </c>
      <c r="AU21" s="1042">
        <f t="shared" si="48"/>
        <v>0</v>
      </c>
      <c r="AV21" s="1042">
        <f t="shared" si="49"/>
        <v>0</v>
      </c>
      <c r="AW21" s="1042">
        <f t="shared" si="50"/>
        <v>980000</v>
      </c>
      <c r="AX21" s="1042">
        <f t="shared" si="51"/>
        <v>0</v>
      </c>
      <c r="AZ21" s="8">
        <f t="shared" si="52"/>
        <v>0</v>
      </c>
      <c r="BB21" s="57"/>
    </row>
    <row r="22" spans="1:54" ht="14.25" customHeight="1">
      <c r="A22" s="17">
        <f t="shared" si="53"/>
        <v>15</v>
      </c>
      <c r="B22" s="53" t="s">
        <v>774</v>
      </c>
      <c r="C22" s="238">
        <v>42005</v>
      </c>
      <c r="D22" s="55">
        <v>4</v>
      </c>
      <c r="E22" s="6">
        <v>595000</v>
      </c>
      <c r="F22" s="1041">
        <f t="shared" si="0"/>
        <v>148750</v>
      </c>
      <c r="G22" s="1042"/>
      <c r="H22" s="1042"/>
      <c r="I22" s="1042"/>
      <c r="J22" s="1053">
        <f t="shared" si="15"/>
        <v>148750</v>
      </c>
      <c r="K22" s="1042">
        <f t="shared" si="16"/>
        <v>148750</v>
      </c>
      <c r="L22" s="1042">
        <f t="shared" si="17"/>
        <v>446250</v>
      </c>
      <c r="M22" s="1042">
        <f t="shared" si="18"/>
        <v>148750</v>
      </c>
      <c r="N22" s="1042">
        <f t="shared" si="19"/>
        <v>297500</v>
      </c>
      <c r="O22" s="1042">
        <f t="shared" si="20"/>
        <v>297500</v>
      </c>
      <c r="P22" s="1042">
        <f t="shared" si="21"/>
        <v>148750</v>
      </c>
      <c r="Q22" s="1042">
        <f t="shared" si="22"/>
        <v>446250</v>
      </c>
      <c r="R22" s="1042">
        <f t="shared" si="23"/>
        <v>148750</v>
      </c>
      <c r="S22" s="1042">
        <f t="shared" si="24"/>
        <v>148750</v>
      </c>
      <c r="T22" s="1042">
        <f t="shared" si="25"/>
        <v>595000</v>
      </c>
      <c r="U22" s="1042">
        <f t="shared" si="26"/>
        <v>0</v>
      </c>
      <c r="V22" s="1042">
        <f t="shared" si="27"/>
        <v>0</v>
      </c>
      <c r="W22" s="1042">
        <f t="shared" si="28"/>
        <v>595000</v>
      </c>
      <c r="X22" s="1042">
        <f t="shared" si="29"/>
        <v>0</v>
      </c>
      <c r="Y22" s="7">
        <v>595000</v>
      </c>
      <c r="Z22" s="7">
        <f t="shared" si="30"/>
        <v>0</v>
      </c>
      <c r="AA22" s="1042">
        <f t="shared" si="31"/>
        <v>0</v>
      </c>
      <c r="AB22" s="1042">
        <f t="shared" si="32"/>
        <v>595000</v>
      </c>
      <c r="AC22" s="1042">
        <f t="shared" si="33"/>
        <v>0</v>
      </c>
      <c r="AD22" s="1042">
        <f t="shared" si="34"/>
        <v>0</v>
      </c>
      <c r="AE22" s="1042">
        <f t="shared" si="35"/>
        <v>595000</v>
      </c>
      <c r="AF22" s="1042">
        <f t="shared" si="36"/>
        <v>0</v>
      </c>
      <c r="AG22" s="1042">
        <f t="shared" si="37"/>
        <v>0</v>
      </c>
      <c r="AH22" s="1042">
        <f t="shared" si="38"/>
        <v>595000</v>
      </c>
      <c r="AI22" s="1042">
        <f t="shared" si="39"/>
        <v>0</v>
      </c>
      <c r="AJ22" s="1042">
        <f t="shared" si="40"/>
        <v>0</v>
      </c>
      <c r="AK22" s="1042">
        <f t="shared" si="41"/>
        <v>595000</v>
      </c>
      <c r="AL22" s="1042">
        <f t="shared" si="42"/>
        <v>0</v>
      </c>
      <c r="AM22" s="1042">
        <f>0</f>
        <v>0</v>
      </c>
      <c r="AN22" s="1042">
        <f t="shared" si="10"/>
        <v>595000</v>
      </c>
      <c r="AO22" s="1042">
        <f t="shared" si="43"/>
        <v>0</v>
      </c>
      <c r="AP22" s="1042">
        <f t="shared" si="44"/>
        <v>0</v>
      </c>
      <c r="AQ22" s="1042">
        <f t="shared" si="45"/>
        <v>595000</v>
      </c>
      <c r="AR22" s="1042">
        <f t="shared" si="46"/>
        <v>0</v>
      </c>
      <c r="AS22" s="1042">
        <f t="shared" si="14"/>
        <v>0</v>
      </c>
      <c r="AT22" s="1042">
        <f t="shared" si="47"/>
        <v>595000</v>
      </c>
      <c r="AU22" s="1042">
        <f t="shared" si="48"/>
        <v>0</v>
      </c>
      <c r="AV22" s="1042">
        <f t="shared" si="49"/>
        <v>0</v>
      </c>
      <c r="AW22" s="1042">
        <f t="shared" si="50"/>
        <v>595000</v>
      </c>
      <c r="AX22" s="1042">
        <f t="shared" si="51"/>
        <v>0</v>
      </c>
      <c r="AZ22" s="8">
        <f t="shared" si="52"/>
        <v>0</v>
      </c>
      <c r="BB22" s="57"/>
    </row>
    <row r="23" spans="1:54" ht="14.25" customHeight="1">
      <c r="A23" s="17">
        <f t="shared" si="53"/>
        <v>16</v>
      </c>
      <c r="B23" s="53" t="s">
        <v>775</v>
      </c>
      <c r="C23" s="238">
        <v>42005</v>
      </c>
      <c r="D23" s="55">
        <v>4</v>
      </c>
      <c r="E23" s="6">
        <v>5733000</v>
      </c>
      <c r="F23" s="1041">
        <f t="shared" si="0"/>
        <v>1433250</v>
      </c>
      <c r="G23" s="1042"/>
      <c r="H23" s="1042"/>
      <c r="I23" s="1042"/>
      <c r="J23" s="1053">
        <f t="shared" si="15"/>
        <v>1433250</v>
      </c>
      <c r="K23" s="1042">
        <f t="shared" si="16"/>
        <v>1433250</v>
      </c>
      <c r="L23" s="1042">
        <f t="shared" si="17"/>
        <v>4299750</v>
      </c>
      <c r="M23" s="1042">
        <f t="shared" si="18"/>
        <v>1433250</v>
      </c>
      <c r="N23" s="1042">
        <f t="shared" si="19"/>
        <v>2866500</v>
      </c>
      <c r="O23" s="1042">
        <f t="shared" si="20"/>
        <v>2866500</v>
      </c>
      <c r="P23" s="1042">
        <f t="shared" si="21"/>
        <v>1433250</v>
      </c>
      <c r="Q23" s="1042">
        <f t="shared" si="22"/>
        <v>4299750</v>
      </c>
      <c r="R23" s="1042">
        <f t="shared" si="23"/>
        <v>1433250</v>
      </c>
      <c r="S23" s="1042">
        <f t="shared" si="24"/>
        <v>1433250</v>
      </c>
      <c r="T23" s="1042">
        <f t="shared" si="25"/>
        <v>5733000</v>
      </c>
      <c r="U23" s="1042">
        <f t="shared" si="26"/>
        <v>0</v>
      </c>
      <c r="V23" s="1042">
        <f t="shared" si="27"/>
        <v>0</v>
      </c>
      <c r="W23" s="1042">
        <f t="shared" si="28"/>
        <v>5733000</v>
      </c>
      <c r="X23" s="1042">
        <f t="shared" si="29"/>
        <v>0</v>
      </c>
      <c r="Y23" s="7">
        <v>5733000</v>
      </c>
      <c r="Z23" s="7">
        <f t="shared" si="30"/>
        <v>0</v>
      </c>
      <c r="AA23" s="1042">
        <f t="shared" si="31"/>
        <v>0</v>
      </c>
      <c r="AB23" s="1042">
        <f t="shared" si="32"/>
        <v>5733000</v>
      </c>
      <c r="AC23" s="1042">
        <f t="shared" si="33"/>
        <v>0</v>
      </c>
      <c r="AD23" s="1042">
        <f t="shared" si="34"/>
        <v>0</v>
      </c>
      <c r="AE23" s="1042">
        <f t="shared" si="35"/>
        <v>5733000</v>
      </c>
      <c r="AF23" s="1042">
        <f t="shared" si="36"/>
        <v>0</v>
      </c>
      <c r="AG23" s="1042">
        <f t="shared" si="37"/>
        <v>0</v>
      </c>
      <c r="AH23" s="1042">
        <f t="shared" si="38"/>
        <v>5733000</v>
      </c>
      <c r="AI23" s="1042">
        <f t="shared" si="39"/>
        <v>0</v>
      </c>
      <c r="AJ23" s="1042">
        <f t="shared" si="40"/>
        <v>0</v>
      </c>
      <c r="AK23" s="1042">
        <f t="shared" si="41"/>
        <v>5733000</v>
      </c>
      <c r="AL23" s="1042">
        <f t="shared" si="42"/>
        <v>0</v>
      </c>
      <c r="AM23" s="1042">
        <f>0</f>
        <v>0</v>
      </c>
      <c r="AN23" s="1042">
        <f t="shared" si="10"/>
        <v>5733000</v>
      </c>
      <c r="AO23" s="1042">
        <f t="shared" si="43"/>
        <v>0</v>
      </c>
      <c r="AP23" s="1042">
        <f t="shared" si="44"/>
        <v>0</v>
      </c>
      <c r="AQ23" s="1042">
        <f t="shared" si="45"/>
        <v>5733000</v>
      </c>
      <c r="AR23" s="1042">
        <f t="shared" si="46"/>
        <v>0</v>
      </c>
      <c r="AS23" s="1042">
        <f t="shared" si="14"/>
        <v>0</v>
      </c>
      <c r="AT23" s="1042">
        <f t="shared" si="47"/>
        <v>5733000</v>
      </c>
      <c r="AU23" s="1042">
        <f t="shared" si="48"/>
        <v>0</v>
      </c>
      <c r="AV23" s="1042">
        <f t="shared" si="49"/>
        <v>0</v>
      </c>
      <c r="AW23" s="1042">
        <f t="shared" si="50"/>
        <v>5733000</v>
      </c>
      <c r="AX23" s="1042">
        <f t="shared" si="51"/>
        <v>0</v>
      </c>
      <c r="AZ23" s="8">
        <f t="shared" si="52"/>
        <v>0</v>
      </c>
      <c r="BB23" s="57"/>
    </row>
    <row r="24" spans="1:54" ht="14.25" customHeight="1">
      <c r="A24" s="17">
        <f t="shared" si="53"/>
        <v>17</v>
      </c>
      <c r="B24" s="53" t="s">
        <v>776</v>
      </c>
      <c r="C24" s="238">
        <v>42005</v>
      </c>
      <c r="D24" s="55">
        <v>4</v>
      </c>
      <c r="E24" s="6">
        <v>2760000</v>
      </c>
      <c r="F24" s="1041">
        <f t="shared" si="0"/>
        <v>690000</v>
      </c>
      <c r="G24" s="1042"/>
      <c r="H24" s="1042"/>
      <c r="I24" s="1042"/>
      <c r="J24" s="1053">
        <f t="shared" si="15"/>
        <v>690000</v>
      </c>
      <c r="K24" s="1042">
        <f t="shared" si="16"/>
        <v>690000</v>
      </c>
      <c r="L24" s="1042">
        <f t="shared" si="17"/>
        <v>2070000</v>
      </c>
      <c r="M24" s="1042">
        <f t="shared" si="18"/>
        <v>690000</v>
      </c>
      <c r="N24" s="1042">
        <f t="shared" si="19"/>
        <v>1380000</v>
      </c>
      <c r="O24" s="1042">
        <f t="shared" si="20"/>
        <v>1380000</v>
      </c>
      <c r="P24" s="1042">
        <f t="shared" si="21"/>
        <v>690000</v>
      </c>
      <c r="Q24" s="1042">
        <f t="shared" si="22"/>
        <v>2070000</v>
      </c>
      <c r="R24" s="1042">
        <f t="shared" si="23"/>
        <v>690000</v>
      </c>
      <c r="S24" s="1042">
        <f t="shared" si="24"/>
        <v>690000</v>
      </c>
      <c r="T24" s="1042">
        <f t="shared" si="25"/>
        <v>2760000</v>
      </c>
      <c r="U24" s="1042">
        <f t="shared" si="26"/>
        <v>0</v>
      </c>
      <c r="V24" s="1042">
        <f t="shared" si="27"/>
        <v>0</v>
      </c>
      <c r="W24" s="1042">
        <f t="shared" si="28"/>
        <v>2760000</v>
      </c>
      <c r="X24" s="1042">
        <f t="shared" si="29"/>
        <v>0</v>
      </c>
      <c r="Y24" s="7">
        <v>2760000</v>
      </c>
      <c r="Z24" s="7">
        <f t="shared" si="30"/>
        <v>0</v>
      </c>
      <c r="AA24" s="1042">
        <f t="shared" si="31"/>
        <v>0</v>
      </c>
      <c r="AB24" s="1042">
        <f t="shared" si="32"/>
        <v>2760000</v>
      </c>
      <c r="AC24" s="1042">
        <f t="shared" si="33"/>
        <v>0</v>
      </c>
      <c r="AD24" s="1042">
        <f t="shared" si="34"/>
        <v>0</v>
      </c>
      <c r="AE24" s="1042">
        <f t="shared" si="35"/>
        <v>2760000</v>
      </c>
      <c r="AF24" s="1042">
        <f t="shared" si="36"/>
        <v>0</v>
      </c>
      <c r="AG24" s="1042">
        <f t="shared" si="37"/>
        <v>0</v>
      </c>
      <c r="AH24" s="1042">
        <f t="shared" si="38"/>
        <v>2760000</v>
      </c>
      <c r="AI24" s="1042">
        <f t="shared" si="39"/>
        <v>0</v>
      </c>
      <c r="AJ24" s="1042">
        <f t="shared" si="40"/>
        <v>0</v>
      </c>
      <c r="AK24" s="1042">
        <f t="shared" si="41"/>
        <v>2760000</v>
      </c>
      <c r="AL24" s="1042">
        <f t="shared" si="42"/>
        <v>0</v>
      </c>
      <c r="AM24" s="1042">
        <f>0</f>
        <v>0</v>
      </c>
      <c r="AN24" s="1042">
        <f t="shared" si="10"/>
        <v>2760000</v>
      </c>
      <c r="AO24" s="1042">
        <f t="shared" si="43"/>
        <v>0</v>
      </c>
      <c r="AP24" s="1042">
        <f t="shared" si="44"/>
        <v>0</v>
      </c>
      <c r="AQ24" s="1042">
        <f t="shared" si="45"/>
        <v>2760000</v>
      </c>
      <c r="AR24" s="1042">
        <f t="shared" si="46"/>
        <v>0</v>
      </c>
      <c r="AS24" s="1042">
        <f t="shared" si="14"/>
        <v>0</v>
      </c>
      <c r="AT24" s="1042">
        <f t="shared" si="47"/>
        <v>2760000</v>
      </c>
      <c r="AU24" s="1042">
        <f t="shared" si="48"/>
        <v>0</v>
      </c>
      <c r="AV24" s="1042">
        <f t="shared" si="49"/>
        <v>0</v>
      </c>
      <c r="AW24" s="1042">
        <f t="shared" si="50"/>
        <v>2760000</v>
      </c>
      <c r="AX24" s="1042">
        <f t="shared" si="51"/>
        <v>0</v>
      </c>
      <c r="AZ24" s="8">
        <f t="shared" si="52"/>
        <v>0</v>
      </c>
      <c r="BB24" s="57"/>
    </row>
    <row r="25" spans="1:54" ht="14.25" customHeight="1">
      <c r="A25" s="17">
        <f t="shared" si="53"/>
        <v>18</v>
      </c>
      <c r="B25" s="53" t="s">
        <v>777</v>
      </c>
      <c r="C25" s="238">
        <v>42005</v>
      </c>
      <c r="D25" s="55">
        <v>4</v>
      </c>
      <c r="E25" s="6">
        <v>650000</v>
      </c>
      <c r="F25" s="1041">
        <f t="shared" si="0"/>
        <v>162500</v>
      </c>
      <c r="G25" s="1042"/>
      <c r="H25" s="1042"/>
      <c r="I25" s="1042"/>
      <c r="J25" s="1053">
        <f t="shared" si="15"/>
        <v>162500</v>
      </c>
      <c r="K25" s="1042">
        <f t="shared" si="16"/>
        <v>162500</v>
      </c>
      <c r="L25" s="1042">
        <f t="shared" si="17"/>
        <v>487500</v>
      </c>
      <c r="M25" s="1042">
        <f t="shared" si="18"/>
        <v>162500</v>
      </c>
      <c r="N25" s="1042">
        <f t="shared" si="19"/>
        <v>325000</v>
      </c>
      <c r="O25" s="1042">
        <f t="shared" si="20"/>
        <v>325000</v>
      </c>
      <c r="P25" s="1042">
        <f t="shared" si="21"/>
        <v>162500</v>
      </c>
      <c r="Q25" s="1042">
        <f t="shared" si="22"/>
        <v>487500</v>
      </c>
      <c r="R25" s="1042">
        <f t="shared" si="23"/>
        <v>162500</v>
      </c>
      <c r="S25" s="1042">
        <f t="shared" si="24"/>
        <v>162500</v>
      </c>
      <c r="T25" s="1042">
        <f t="shared" si="25"/>
        <v>650000</v>
      </c>
      <c r="U25" s="1042">
        <f t="shared" si="26"/>
        <v>0</v>
      </c>
      <c r="V25" s="1042">
        <f t="shared" si="27"/>
        <v>0</v>
      </c>
      <c r="W25" s="1042">
        <f t="shared" si="28"/>
        <v>650000</v>
      </c>
      <c r="X25" s="1042">
        <f t="shared" si="29"/>
        <v>0</v>
      </c>
      <c r="Y25" s="7">
        <v>650000</v>
      </c>
      <c r="Z25" s="7">
        <f t="shared" si="30"/>
        <v>0</v>
      </c>
      <c r="AA25" s="1042">
        <f t="shared" si="31"/>
        <v>0</v>
      </c>
      <c r="AB25" s="1042">
        <f t="shared" si="32"/>
        <v>650000</v>
      </c>
      <c r="AC25" s="1042">
        <f t="shared" si="33"/>
        <v>0</v>
      </c>
      <c r="AD25" s="1042">
        <f t="shared" si="34"/>
        <v>0</v>
      </c>
      <c r="AE25" s="1042">
        <f t="shared" si="35"/>
        <v>650000</v>
      </c>
      <c r="AF25" s="1042">
        <f t="shared" si="36"/>
        <v>0</v>
      </c>
      <c r="AG25" s="1042">
        <f t="shared" si="37"/>
        <v>0</v>
      </c>
      <c r="AH25" s="1042">
        <f t="shared" si="38"/>
        <v>650000</v>
      </c>
      <c r="AI25" s="1042">
        <f t="shared" si="39"/>
        <v>0</v>
      </c>
      <c r="AJ25" s="1042">
        <f t="shared" si="40"/>
        <v>0</v>
      </c>
      <c r="AK25" s="1042">
        <f t="shared" si="41"/>
        <v>650000</v>
      </c>
      <c r="AL25" s="1042">
        <f t="shared" si="42"/>
        <v>0</v>
      </c>
      <c r="AM25" s="1042">
        <f>0</f>
        <v>0</v>
      </c>
      <c r="AN25" s="1042">
        <f t="shared" si="10"/>
        <v>650000</v>
      </c>
      <c r="AO25" s="1042">
        <f t="shared" si="43"/>
        <v>0</v>
      </c>
      <c r="AP25" s="1042">
        <f t="shared" si="44"/>
        <v>0</v>
      </c>
      <c r="AQ25" s="1042">
        <f t="shared" si="45"/>
        <v>650000</v>
      </c>
      <c r="AR25" s="1042">
        <f t="shared" si="46"/>
        <v>0</v>
      </c>
      <c r="AS25" s="1042">
        <f t="shared" si="14"/>
        <v>0</v>
      </c>
      <c r="AT25" s="1042">
        <f t="shared" si="47"/>
        <v>650000</v>
      </c>
      <c r="AU25" s="1042">
        <f t="shared" si="48"/>
        <v>0</v>
      </c>
      <c r="AV25" s="1042">
        <f t="shared" si="49"/>
        <v>0</v>
      </c>
      <c r="AW25" s="1042">
        <f t="shared" si="50"/>
        <v>650000</v>
      </c>
      <c r="AX25" s="1042">
        <f t="shared" si="51"/>
        <v>0</v>
      </c>
      <c r="AZ25" s="8">
        <f t="shared" si="52"/>
        <v>0</v>
      </c>
      <c r="BB25" s="57"/>
    </row>
    <row r="26" spans="1:54" ht="14.25" customHeight="1">
      <c r="A26" s="17">
        <f t="shared" si="53"/>
        <v>19</v>
      </c>
      <c r="B26" s="53" t="s">
        <v>778</v>
      </c>
      <c r="C26" s="238">
        <v>42005</v>
      </c>
      <c r="D26" s="55">
        <v>4</v>
      </c>
      <c r="E26" s="6">
        <v>2600000</v>
      </c>
      <c r="F26" s="1041">
        <f t="shared" si="0"/>
        <v>650000</v>
      </c>
      <c r="G26" s="1042"/>
      <c r="H26" s="1042"/>
      <c r="I26" s="1042"/>
      <c r="J26" s="1053">
        <f t="shared" si="15"/>
        <v>650000</v>
      </c>
      <c r="K26" s="1042">
        <f t="shared" si="16"/>
        <v>650000</v>
      </c>
      <c r="L26" s="1042">
        <f t="shared" si="17"/>
        <v>1950000</v>
      </c>
      <c r="M26" s="1042">
        <f t="shared" si="18"/>
        <v>650000</v>
      </c>
      <c r="N26" s="1042">
        <f t="shared" si="19"/>
        <v>1300000</v>
      </c>
      <c r="O26" s="1042">
        <f t="shared" si="20"/>
        <v>1300000</v>
      </c>
      <c r="P26" s="1042">
        <f t="shared" si="21"/>
        <v>650000</v>
      </c>
      <c r="Q26" s="1042">
        <f t="shared" si="22"/>
        <v>1950000</v>
      </c>
      <c r="R26" s="1042">
        <f t="shared" si="23"/>
        <v>650000</v>
      </c>
      <c r="S26" s="1042">
        <f t="shared" si="24"/>
        <v>650000</v>
      </c>
      <c r="T26" s="1042">
        <f t="shared" si="25"/>
        <v>2600000</v>
      </c>
      <c r="U26" s="1042">
        <f t="shared" si="26"/>
        <v>0</v>
      </c>
      <c r="V26" s="1042">
        <f t="shared" si="27"/>
        <v>0</v>
      </c>
      <c r="W26" s="1042">
        <f t="shared" si="28"/>
        <v>2600000</v>
      </c>
      <c r="X26" s="1042">
        <f t="shared" si="29"/>
        <v>0</v>
      </c>
      <c r="Y26" s="7">
        <v>2600000</v>
      </c>
      <c r="Z26" s="7">
        <f t="shared" si="30"/>
        <v>0</v>
      </c>
      <c r="AA26" s="1042">
        <f t="shared" si="31"/>
        <v>0</v>
      </c>
      <c r="AB26" s="1042">
        <f t="shared" si="32"/>
        <v>2600000</v>
      </c>
      <c r="AC26" s="1042">
        <f t="shared" si="33"/>
        <v>0</v>
      </c>
      <c r="AD26" s="1042">
        <f t="shared" si="34"/>
        <v>0</v>
      </c>
      <c r="AE26" s="1042">
        <f t="shared" si="35"/>
        <v>2600000</v>
      </c>
      <c r="AF26" s="1042">
        <f t="shared" si="36"/>
        <v>0</v>
      </c>
      <c r="AG26" s="1042">
        <f t="shared" si="37"/>
        <v>0</v>
      </c>
      <c r="AH26" s="1042">
        <f t="shared" si="38"/>
        <v>2600000</v>
      </c>
      <c r="AI26" s="1042">
        <f t="shared" si="39"/>
        <v>0</v>
      </c>
      <c r="AJ26" s="1042">
        <f t="shared" si="40"/>
        <v>0</v>
      </c>
      <c r="AK26" s="1042">
        <f t="shared" si="41"/>
        <v>2600000</v>
      </c>
      <c r="AL26" s="1042">
        <f t="shared" si="42"/>
        <v>0</v>
      </c>
      <c r="AM26" s="1042">
        <f>0</f>
        <v>0</v>
      </c>
      <c r="AN26" s="1042">
        <f t="shared" si="10"/>
        <v>2600000</v>
      </c>
      <c r="AO26" s="1042">
        <f t="shared" si="43"/>
        <v>0</v>
      </c>
      <c r="AP26" s="1042">
        <f t="shared" si="44"/>
        <v>0</v>
      </c>
      <c r="AQ26" s="1042">
        <f t="shared" si="45"/>
        <v>2600000</v>
      </c>
      <c r="AR26" s="1042">
        <f t="shared" si="46"/>
        <v>0</v>
      </c>
      <c r="AS26" s="1042">
        <f t="shared" si="14"/>
        <v>0</v>
      </c>
      <c r="AT26" s="1042">
        <f t="shared" si="47"/>
        <v>2600000</v>
      </c>
      <c r="AU26" s="1042">
        <f t="shared" si="48"/>
        <v>0</v>
      </c>
      <c r="AV26" s="1042">
        <f t="shared" si="49"/>
        <v>0</v>
      </c>
      <c r="AW26" s="1042">
        <f t="shared" si="50"/>
        <v>2600000</v>
      </c>
      <c r="AX26" s="1042">
        <f t="shared" si="51"/>
        <v>0</v>
      </c>
      <c r="AZ26" s="8">
        <f t="shared" si="52"/>
        <v>0</v>
      </c>
      <c r="BB26" s="57"/>
    </row>
    <row r="27" spans="1:54" ht="14.25" customHeight="1">
      <c r="A27" s="17">
        <f t="shared" si="53"/>
        <v>20</v>
      </c>
      <c r="B27" s="53" t="s">
        <v>779</v>
      </c>
      <c r="C27" s="238">
        <v>43679</v>
      </c>
      <c r="D27" s="55">
        <v>4</v>
      </c>
      <c r="E27" s="6">
        <v>111700000</v>
      </c>
      <c r="F27" s="1041">
        <f t="shared" si="0"/>
        <v>27925000</v>
      </c>
      <c r="G27" s="1042"/>
      <c r="H27" s="1042"/>
      <c r="I27" s="1042"/>
      <c r="J27" s="1042"/>
      <c r="K27" s="1042"/>
      <c r="L27" s="1042"/>
      <c r="M27" s="1042"/>
      <c r="N27" s="1042"/>
      <c r="O27" s="1042"/>
      <c r="P27" s="1042"/>
      <c r="Q27" s="1042"/>
      <c r="R27" s="1042"/>
      <c r="S27" s="1042"/>
      <c r="T27" s="1042"/>
      <c r="U27" s="1042"/>
      <c r="V27" s="1053">
        <f>(F27/12)*(13-IF(C27="","",MONTH(C27)))</f>
        <v>11635416.666666668</v>
      </c>
      <c r="W27" s="1042">
        <f t="shared" ref="W27:W34" si="54">V27+T27</f>
        <v>11635416.666666668</v>
      </c>
      <c r="X27" s="1042">
        <f t="shared" ref="X27:X34" si="55">E27-W27</f>
        <v>100064583.33333333</v>
      </c>
      <c r="Y27" s="7">
        <v>11635416.666666668</v>
      </c>
      <c r="Z27" s="7">
        <f t="shared" si="30"/>
        <v>100064583.33333333</v>
      </c>
      <c r="AA27" s="1042">
        <f>(F27/12)*12</f>
        <v>27925000</v>
      </c>
      <c r="AB27" s="1042">
        <f t="shared" si="32"/>
        <v>39560416.666666672</v>
      </c>
      <c r="AC27" s="1042">
        <f t="shared" si="33"/>
        <v>72139583.333333328</v>
      </c>
      <c r="AD27" s="1042">
        <f>(F27/12)*12</f>
        <v>27925000</v>
      </c>
      <c r="AE27" s="1042">
        <f t="shared" ref="AE27:AE34" si="56">AD27+AB27</f>
        <v>67485416.666666672</v>
      </c>
      <c r="AF27" s="1042">
        <f t="shared" ref="AF27:AF34" si="57">E27-AE27</f>
        <v>44214583.333333328</v>
      </c>
      <c r="AG27" s="1042">
        <f>(F27/12)*12</f>
        <v>27925000</v>
      </c>
      <c r="AH27" s="1042">
        <f t="shared" ref="AH27:AH34" si="58">AE27+AG27</f>
        <v>95410416.666666672</v>
      </c>
      <c r="AI27" s="1042">
        <f t="shared" ref="AI27:AI34" si="59">E27-AH27</f>
        <v>16289583.333333328</v>
      </c>
      <c r="AJ27" s="1042">
        <f t="shared" ref="AJ27:AJ57" si="60">(F27/12)*1</f>
        <v>2327083.3333333335</v>
      </c>
      <c r="AK27" s="1042">
        <f t="shared" si="41"/>
        <v>97737500</v>
      </c>
      <c r="AL27" s="1042">
        <f t="shared" si="42"/>
        <v>13962500</v>
      </c>
      <c r="AM27" s="1042">
        <f>(F27/12)*7</f>
        <v>16289583.333333334</v>
      </c>
      <c r="AN27" s="1042">
        <f>AH27+AM27</f>
        <v>111700000</v>
      </c>
      <c r="AO27" s="1042">
        <f t="shared" si="43"/>
        <v>0</v>
      </c>
      <c r="AP27" s="1042">
        <f>(F27/12)*7</f>
        <v>16289583.333333334</v>
      </c>
      <c r="AQ27" s="1042">
        <f t="shared" ref="AQ27:AQ34" si="61">AP27+AH27</f>
        <v>111700000</v>
      </c>
      <c r="AR27" s="1042">
        <f t="shared" ref="AR27:AR34" si="62">E27-AQ27</f>
        <v>0</v>
      </c>
      <c r="AS27" s="1042">
        <f t="shared" si="14"/>
        <v>0</v>
      </c>
      <c r="AT27" s="1042">
        <f t="shared" si="47"/>
        <v>111700000</v>
      </c>
      <c r="AU27" s="1042">
        <f t="shared" si="48"/>
        <v>0</v>
      </c>
      <c r="AV27" s="1042">
        <f t="shared" si="49"/>
        <v>0</v>
      </c>
      <c r="AW27" s="1042">
        <f t="shared" si="50"/>
        <v>111700000</v>
      </c>
      <c r="AX27" s="1042">
        <f t="shared" si="51"/>
        <v>0</v>
      </c>
      <c r="AZ27" s="8">
        <f t="shared" si="52"/>
        <v>0</v>
      </c>
      <c r="BB27" s="57"/>
    </row>
    <row r="28" spans="1:54" ht="14.25" customHeight="1">
      <c r="A28" s="17">
        <f t="shared" si="53"/>
        <v>21</v>
      </c>
      <c r="B28" s="53" t="s">
        <v>780</v>
      </c>
      <c r="C28" s="238">
        <v>43752</v>
      </c>
      <c r="D28" s="55">
        <v>4</v>
      </c>
      <c r="E28" s="6">
        <v>5600000</v>
      </c>
      <c r="F28" s="1041">
        <f t="shared" si="0"/>
        <v>1400000</v>
      </c>
      <c r="G28" s="1042"/>
      <c r="H28" s="1042"/>
      <c r="I28" s="1042"/>
      <c r="J28" s="1042"/>
      <c r="K28" s="1042"/>
      <c r="L28" s="1042"/>
      <c r="M28" s="1042"/>
      <c r="N28" s="1042"/>
      <c r="O28" s="1042"/>
      <c r="P28" s="1042"/>
      <c r="Q28" s="1042"/>
      <c r="R28" s="1042"/>
      <c r="S28" s="1042"/>
      <c r="T28" s="1042"/>
      <c r="U28" s="1042"/>
      <c r="V28" s="1053">
        <f t="shared" ref="V28:V34" si="63">(F28/12)*(13-IF(C28="","",MONTH(C28)))</f>
        <v>350000</v>
      </c>
      <c r="W28" s="1042">
        <f t="shared" si="54"/>
        <v>350000</v>
      </c>
      <c r="X28" s="1042">
        <f t="shared" si="55"/>
        <v>5250000</v>
      </c>
      <c r="Y28" s="7">
        <v>350000</v>
      </c>
      <c r="Z28" s="7">
        <f t="shared" si="30"/>
        <v>5250000</v>
      </c>
      <c r="AA28" s="1042">
        <f t="shared" ref="AA28:AA34" si="64">(F28/12)*12</f>
        <v>1400000</v>
      </c>
      <c r="AB28" s="1042">
        <f t="shared" si="32"/>
        <v>1750000</v>
      </c>
      <c r="AC28" s="1042">
        <f t="shared" si="33"/>
        <v>3850000</v>
      </c>
      <c r="AD28" s="1042">
        <f t="shared" ref="AD28:AD34" si="65">(F28/12)*12</f>
        <v>1400000</v>
      </c>
      <c r="AE28" s="1042">
        <f t="shared" si="56"/>
        <v>3150000</v>
      </c>
      <c r="AF28" s="1042">
        <f t="shared" si="57"/>
        <v>2450000</v>
      </c>
      <c r="AG28" s="1042">
        <f t="shared" ref="AG28:AG34" si="66">(F28/12)*12</f>
        <v>1400000</v>
      </c>
      <c r="AH28" s="1042">
        <f t="shared" si="58"/>
        <v>4550000</v>
      </c>
      <c r="AI28" s="1042">
        <f t="shared" si="59"/>
        <v>1050000</v>
      </c>
      <c r="AJ28" s="1042">
        <f t="shared" si="60"/>
        <v>116666.66666666667</v>
      </c>
      <c r="AK28" s="1042">
        <f t="shared" si="41"/>
        <v>4666666.666666667</v>
      </c>
      <c r="AL28" s="1042">
        <f t="shared" si="42"/>
        <v>933333.33333333302</v>
      </c>
      <c r="AM28" s="1042">
        <f>(F28/12)*9</f>
        <v>1050000</v>
      </c>
      <c r="AN28" s="1042">
        <f t="shared" ref="AN28:AN57" si="67">AH28+AM28</f>
        <v>5600000</v>
      </c>
      <c r="AO28" s="1042">
        <f t="shared" ref="AO28:AO57" si="68">E28-AN28</f>
        <v>0</v>
      </c>
      <c r="AP28" s="1042">
        <f>(F28/12)*9</f>
        <v>1050000</v>
      </c>
      <c r="AQ28" s="1042">
        <f t="shared" si="61"/>
        <v>5600000</v>
      </c>
      <c r="AR28" s="1042">
        <f t="shared" si="62"/>
        <v>0</v>
      </c>
      <c r="AS28" s="1042">
        <f t="shared" si="14"/>
        <v>0</v>
      </c>
      <c r="AT28" s="1042">
        <f t="shared" si="47"/>
        <v>5600000</v>
      </c>
      <c r="AU28" s="1042">
        <f t="shared" si="48"/>
        <v>0</v>
      </c>
      <c r="AV28" s="1042">
        <f t="shared" si="49"/>
        <v>0</v>
      </c>
      <c r="AW28" s="1042">
        <f t="shared" si="50"/>
        <v>5600000</v>
      </c>
      <c r="AX28" s="1042">
        <f t="shared" si="51"/>
        <v>0</v>
      </c>
      <c r="AZ28" s="8">
        <f t="shared" si="52"/>
        <v>0</v>
      </c>
      <c r="BB28" s="57"/>
    </row>
    <row r="29" spans="1:54" ht="14.25" customHeight="1">
      <c r="A29" s="17">
        <f t="shared" si="53"/>
        <v>22</v>
      </c>
      <c r="B29" s="53" t="s">
        <v>781</v>
      </c>
      <c r="C29" s="238">
        <v>43748</v>
      </c>
      <c r="D29" s="55">
        <v>4</v>
      </c>
      <c r="E29" s="6">
        <v>7095000</v>
      </c>
      <c r="F29" s="1041">
        <f t="shared" si="0"/>
        <v>1773750</v>
      </c>
      <c r="G29" s="1042"/>
      <c r="H29" s="1042"/>
      <c r="I29" s="1042"/>
      <c r="J29" s="1042"/>
      <c r="K29" s="1042"/>
      <c r="L29" s="1042"/>
      <c r="M29" s="1042"/>
      <c r="N29" s="1042"/>
      <c r="O29" s="1042"/>
      <c r="P29" s="1042"/>
      <c r="Q29" s="1042"/>
      <c r="R29" s="1042"/>
      <c r="S29" s="1042"/>
      <c r="T29" s="1042"/>
      <c r="U29" s="1042"/>
      <c r="V29" s="1053">
        <f t="shared" si="63"/>
        <v>443437.5</v>
      </c>
      <c r="W29" s="1042">
        <f t="shared" si="54"/>
        <v>443437.5</v>
      </c>
      <c r="X29" s="1042">
        <f t="shared" si="55"/>
        <v>6651562.5</v>
      </c>
      <c r="Y29" s="7">
        <v>443437.5</v>
      </c>
      <c r="Z29" s="7">
        <f t="shared" si="30"/>
        <v>6651562.5</v>
      </c>
      <c r="AA29" s="1042">
        <f t="shared" si="64"/>
        <v>1773750</v>
      </c>
      <c r="AB29" s="1042">
        <f t="shared" si="32"/>
        <v>2217187.5</v>
      </c>
      <c r="AC29" s="1042">
        <f t="shared" si="33"/>
        <v>4877812.5</v>
      </c>
      <c r="AD29" s="1042">
        <f t="shared" si="65"/>
        <v>1773750</v>
      </c>
      <c r="AE29" s="1042">
        <f t="shared" si="56"/>
        <v>3990937.5</v>
      </c>
      <c r="AF29" s="1042">
        <f t="shared" si="57"/>
        <v>3104062.5</v>
      </c>
      <c r="AG29" s="1042">
        <f t="shared" si="66"/>
        <v>1773750</v>
      </c>
      <c r="AH29" s="1042">
        <f t="shared" si="58"/>
        <v>5764687.5</v>
      </c>
      <c r="AI29" s="1042">
        <f t="shared" si="59"/>
        <v>1330312.5</v>
      </c>
      <c r="AJ29" s="1042">
        <f t="shared" si="60"/>
        <v>147812.5</v>
      </c>
      <c r="AK29" s="1042">
        <f t="shared" si="41"/>
        <v>5912500</v>
      </c>
      <c r="AL29" s="1042">
        <f t="shared" si="42"/>
        <v>1182500</v>
      </c>
      <c r="AM29" s="1042">
        <f>(F29/12)*9</f>
        <v>1330312.5</v>
      </c>
      <c r="AN29" s="1042">
        <f t="shared" si="67"/>
        <v>7095000</v>
      </c>
      <c r="AO29" s="1042">
        <f t="shared" si="68"/>
        <v>0</v>
      </c>
      <c r="AP29" s="1042">
        <f>(F29/12)*9</f>
        <v>1330312.5</v>
      </c>
      <c r="AQ29" s="1042">
        <f t="shared" si="61"/>
        <v>7095000</v>
      </c>
      <c r="AR29" s="1042">
        <f t="shared" si="62"/>
        <v>0</v>
      </c>
      <c r="AS29" s="1042">
        <f t="shared" si="14"/>
        <v>0</v>
      </c>
      <c r="AT29" s="1042">
        <f t="shared" si="47"/>
        <v>7095000</v>
      </c>
      <c r="AU29" s="1042">
        <f t="shared" si="48"/>
        <v>0</v>
      </c>
      <c r="AV29" s="1042">
        <f t="shared" si="49"/>
        <v>0</v>
      </c>
      <c r="AW29" s="1042">
        <f t="shared" si="50"/>
        <v>7095000</v>
      </c>
      <c r="AX29" s="1042">
        <f t="shared" si="51"/>
        <v>0</v>
      </c>
      <c r="AZ29" s="8">
        <f t="shared" si="52"/>
        <v>0</v>
      </c>
      <c r="BB29" s="57"/>
    </row>
    <row r="30" spans="1:54" ht="14.25" customHeight="1">
      <c r="A30" s="17">
        <f t="shared" si="53"/>
        <v>23</v>
      </c>
      <c r="B30" s="53" t="s">
        <v>782</v>
      </c>
      <c r="C30" s="238">
        <v>43773</v>
      </c>
      <c r="D30" s="55">
        <v>4</v>
      </c>
      <c r="E30" s="6">
        <v>11990000</v>
      </c>
      <c r="F30" s="1041">
        <f t="shared" si="0"/>
        <v>2997500</v>
      </c>
      <c r="G30" s="1042"/>
      <c r="H30" s="1042"/>
      <c r="I30" s="1042"/>
      <c r="J30" s="1042"/>
      <c r="K30" s="1042"/>
      <c r="L30" s="1042"/>
      <c r="M30" s="1042"/>
      <c r="N30" s="1042"/>
      <c r="O30" s="1042"/>
      <c r="P30" s="1042"/>
      <c r="Q30" s="1042"/>
      <c r="R30" s="1042"/>
      <c r="S30" s="1042"/>
      <c r="T30" s="1042"/>
      <c r="U30" s="1042"/>
      <c r="V30" s="1053">
        <f t="shared" si="63"/>
        <v>499583.33333333331</v>
      </c>
      <c r="W30" s="1042">
        <f t="shared" si="54"/>
        <v>499583.33333333331</v>
      </c>
      <c r="X30" s="1042">
        <f t="shared" si="55"/>
        <v>11490416.666666666</v>
      </c>
      <c r="Y30" s="7">
        <v>499583.33333333331</v>
      </c>
      <c r="Z30" s="7">
        <f t="shared" si="30"/>
        <v>11490416.666666666</v>
      </c>
      <c r="AA30" s="1042">
        <f t="shared" si="64"/>
        <v>2997500</v>
      </c>
      <c r="AB30" s="1042">
        <f t="shared" si="32"/>
        <v>3497083.3333333335</v>
      </c>
      <c r="AC30" s="1042">
        <f t="shared" si="33"/>
        <v>8492916.666666666</v>
      </c>
      <c r="AD30" s="1042">
        <f t="shared" si="65"/>
        <v>2997500</v>
      </c>
      <c r="AE30" s="1042">
        <f t="shared" si="56"/>
        <v>6494583.333333334</v>
      </c>
      <c r="AF30" s="1042">
        <f t="shared" si="57"/>
        <v>5495416.666666666</v>
      </c>
      <c r="AG30" s="1042">
        <f t="shared" si="66"/>
        <v>2997500</v>
      </c>
      <c r="AH30" s="1042">
        <f t="shared" si="58"/>
        <v>9492083.333333334</v>
      </c>
      <c r="AI30" s="1042">
        <f t="shared" si="59"/>
        <v>2497916.666666666</v>
      </c>
      <c r="AJ30" s="1042">
        <f t="shared" si="60"/>
        <v>249791.66666666666</v>
      </c>
      <c r="AK30" s="1042">
        <f t="shared" si="41"/>
        <v>9741875</v>
      </c>
      <c r="AL30" s="1042">
        <f t="shared" si="42"/>
        <v>2248125</v>
      </c>
      <c r="AM30" s="1042">
        <f t="shared" ref="AM30:AM57" si="69">(F30/12)*9</f>
        <v>2248125</v>
      </c>
      <c r="AN30" s="1042">
        <f t="shared" si="67"/>
        <v>11740208.333333334</v>
      </c>
      <c r="AO30" s="1042">
        <f t="shared" si="68"/>
        <v>249791.66666666605</v>
      </c>
      <c r="AP30" s="1042">
        <f>(F30/12)*10</f>
        <v>2497916.6666666665</v>
      </c>
      <c r="AQ30" s="1042">
        <f t="shared" si="61"/>
        <v>11990000</v>
      </c>
      <c r="AR30" s="1042">
        <f t="shared" si="62"/>
        <v>0</v>
      </c>
      <c r="AS30" s="1042">
        <f t="shared" si="14"/>
        <v>0</v>
      </c>
      <c r="AT30" s="1042">
        <f t="shared" si="47"/>
        <v>11990000</v>
      </c>
      <c r="AU30" s="1042">
        <f t="shared" si="48"/>
        <v>0</v>
      </c>
      <c r="AV30" s="1042">
        <f t="shared" si="49"/>
        <v>0</v>
      </c>
      <c r="AW30" s="1042">
        <f t="shared" si="50"/>
        <v>11990000</v>
      </c>
      <c r="AX30" s="1042">
        <f t="shared" si="51"/>
        <v>0</v>
      </c>
      <c r="AZ30" s="8">
        <f t="shared" si="52"/>
        <v>0</v>
      </c>
      <c r="BB30" s="57"/>
    </row>
    <row r="31" spans="1:54" ht="14.25" customHeight="1">
      <c r="A31" s="17">
        <f t="shared" si="53"/>
        <v>24</v>
      </c>
      <c r="B31" s="53" t="s">
        <v>783</v>
      </c>
      <c r="C31" s="238">
        <v>43771</v>
      </c>
      <c r="D31" s="55">
        <v>4</v>
      </c>
      <c r="E31" s="6">
        <v>500000</v>
      </c>
      <c r="F31" s="1041">
        <f t="shared" si="0"/>
        <v>125000</v>
      </c>
      <c r="G31" s="1042"/>
      <c r="H31" s="1042"/>
      <c r="I31" s="1042"/>
      <c r="J31" s="1042"/>
      <c r="K31" s="1042"/>
      <c r="L31" s="1042"/>
      <c r="M31" s="1042"/>
      <c r="N31" s="1042"/>
      <c r="O31" s="1042"/>
      <c r="P31" s="1042"/>
      <c r="Q31" s="1042"/>
      <c r="R31" s="1042"/>
      <c r="S31" s="1042"/>
      <c r="T31" s="1042"/>
      <c r="U31" s="1042"/>
      <c r="V31" s="1053">
        <f t="shared" si="63"/>
        <v>20833.333333333332</v>
      </c>
      <c r="W31" s="1042">
        <f t="shared" si="54"/>
        <v>20833.333333333332</v>
      </c>
      <c r="X31" s="1042">
        <f t="shared" si="55"/>
        <v>479166.66666666669</v>
      </c>
      <c r="Y31" s="7">
        <v>20833.333333333332</v>
      </c>
      <c r="Z31" s="7">
        <f t="shared" si="30"/>
        <v>479166.66666666669</v>
      </c>
      <c r="AA31" s="1042">
        <f t="shared" si="64"/>
        <v>125000</v>
      </c>
      <c r="AB31" s="1042">
        <f t="shared" si="32"/>
        <v>145833.33333333334</v>
      </c>
      <c r="AC31" s="1042">
        <f t="shared" si="33"/>
        <v>354166.66666666663</v>
      </c>
      <c r="AD31" s="1042">
        <f t="shared" si="65"/>
        <v>125000</v>
      </c>
      <c r="AE31" s="1042">
        <f t="shared" si="56"/>
        <v>270833.33333333337</v>
      </c>
      <c r="AF31" s="1042">
        <f t="shared" si="57"/>
        <v>229166.66666666663</v>
      </c>
      <c r="AG31" s="1042">
        <f t="shared" si="66"/>
        <v>125000</v>
      </c>
      <c r="AH31" s="1042">
        <f t="shared" si="58"/>
        <v>395833.33333333337</v>
      </c>
      <c r="AI31" s="1042">
        <f t="shared" si="59"/>
        <v>104166.66666666663</v>
      </c>
      <c r="AJ31" s="1042">
        <f t="shared" si="60"/>
        <v>10416.666666666666</v>
      </c>
      <c r="AK31" s="1042">
        <f t="shared" si="41"/>
        <v>406250.00000000006</v>
      </c>
      <c r="AL31" s="1042">
        <f t="shared" si="42"/>
        <v>93749.999999999942</v>
      </c>
      <c r="AM31" s="1042">
        <f t="shared" si="69"/>
        <v>93750</v>
      </c>
      <c r="AN31" s="1042">
        <f t="shared" si="67"/>
        <v>489583.33333333337</v>
      </c>
      <c r="AO31" s="1042">
        <f t="shared" si="68"/>
        <v>10416.666666666628</v>
      </c>
      <c r="AP31" s="1042">
        <f>(F31/12)*10</f>
        <v>104166.66666666666</v>
      </c>
      <c r="AQ31" s="1042">
        <f t="shared" si="61"/>
        <v>500000</v>
      </c>
      <c r="AR31" s="1042">
        <f t="shared" si="62"/>
        <v>0</v>
      </c>
      <c r="AS31" s="1042">
        <f t="shared" si="14"/>
        <v>0</v>
      </c>
      <c r="AT31" s="1042">
        <f t="shared" si="47"/>
        <v>500000</v>
      </c>
      <c r="AU31" s="1042">
        <f t="shared" si="48"/>
        <v>0</v>
      </c>
      <c r="AV31" s="1042">
        <f t="shared" si="49"/>
        <v>0</v>
      </c>
      <c r="AW31" s="1042">
        <f t="shared" si="50"/>
        <v>500000</v>
      </c>
      <c r="AX31" s="1042">
        <f t="shared" si="51"/>
        <v>0</v>
      </c>
      <c r="AZ31" s="8">
        <f t="shared" si="52"/>
        <v>0</v>
      </c>
      <c r="BB31" s="57"/>
    </row>
    <row r="32" spans="1:54" ht="14.25" customHeight="1">
      <c r="A32" s="17">
        <f t="shared" si="53"/>
        <v>25</v>
      </c>
      <c r="B32" s="53" t="s">
        <v>784</v>
      </c>
      <c r="C32" s="238">
        <v>43770</v>
      </c>
      <c r="D32" s="55">
        <v>4</v>
      </c>
      <c r="E32" s="6">
        <v>1450000</v>
      </c>
      <c r="F32" s="1041">
        <f t="shared" si="0"/>
        <v>362500</v>
      </c>
      <c r="G32" s="1042"/>
      <c r="H32" s="1042"/>
      <c r="I32" s="1042"/>
      <c r="J32" s="1042"/>
      <c r="K32" s="1042"/>
      <c r="L32" s="1042"/>
      <c r="M32" s="1042"/>
      <c r="N32" s="1042"/>
      <c r="O32" s="1042"/>
      <c r="P32" s="1042"/>
      <c r="Q32" s="1042"/>
      <c r="R32" s="1042"/>
      <c r="S32" s="1042"/>
      <c r="T32" s="1042"/>
      <c r="U32" s="1042"/>
      <c r="V32" s="1053">
        <f t="shared" si="63"/>
        <v>60416.666666666664</v>
      </c>
      <c r="W32" s="1042">
        <f t="shared" si="54"/>
        <v>60416.666666666664</v>
      </c>
      <c r="X32" s="1042">
        <f t="shared" si="55"/>
        <v>1389583.3333333333</v>
      </c>
      <c r="Y32" s="7">
        <v>60416.666666666664</v>
      </c>
      <c r="Z32" s="7">
        <f t="shared" si="30"/>
        <v>1389583.3333333333</v>
      </c>
      <c r="AA32" s="1042">
        <f t="shared" si="64"/>
        <v>362500</v>
      </c>
      <c r="AB32" s="1042">
        <f t="shared" si="32"/>
        <v>422916.66666666669</v>
      </c>
      <c r="AC32" s="1042">
        <f t="shared" si="33"/>
        <v>1027083.3333333333</v>
      </c>
      <c r="AD32" s="1042">
        <f t="shared" si="65"/>
        <v>362500</v>
      </c>
      <c r="AE32" s="1042">
        <f t="shared" si="56"/>
        <v>785416.66666666674</v>
      </c>
      <c r="AF32" s="1042">
        <f t="shared" si="57"/>
        <v>664583.33333333326</v>
      </c>
      <c r="AG32" s="1042">
        <f t="shared" si="66"/>
        <v>362500</v>
      </c>
      <c r="AH32" s="1042">
        <f t="shared" si="58"/>
        <v>1147916.6666666667</v>
      </c>
      <c r="AI32" s="1042">
        <f t="shared" si="59"/>
        <v>302083.33333333326</v>
      </c>
      <c r="AJ32" s="1042">
        <f t="shared" si="60"/>
        <v>30208.333333333332</v>
      </c>
      <c r="AK32" s="1042">
        <f t="shared" si="41"/>
        <v>1178125</v>
      </c>
      <c r="AL32" s="1042">
        <f t="shared" si="42"/>
        <v>271875</v>
      </c>
      <c r="AM32" s="1042">
        <f t="shared" si="69"/>
        <v>271875</v>
      </c>
      <c r="AN32" s="1042">
        <f t="shared" si="67"/>
        <v>1419791.6666666667</v>
      </c>
      <c r="AO32" s="1042">
        <f t="shared" si="68"/>
        <v>30208.333333333256</v>
      </c>
      <c r="AP32" s="1042">
        <f>(F32/12)*10</f>
        <v>302083.33333333331</v>
      </c>
      <c r="AQ32" s="1042">
        <f t="shared" si="61"/>
        <v>1450000</v>
      </c>
      <c r="AR32" s="1042">
        <f t="shared" si="62"/>
        <v>0</v>
      </c>
      <c r="AS32" s="1042">
        <f t="shared" si="14"/>
        <v>0</v>
      </c>
      <c r="AT32" s="1042">
        <f t="shared" si="47"/>
        <v>1450000</v>
      </c>
      <c r="AU32" s="1042">
        <f t="shared" si="48"/>
        <v>0</v>
      </c>
      <c r="AV32" s="1042">
        <f t="shared" si="49"/>
        <v>0</v>
      </c>
      <c r="AW32" s="1042">
        <f t="shared" si="50"/>
        <v>1450000</v>
      </c>
      <c r="AX32" s="1042">
        <f t="shared" si="51"/>
        <v>0</v>
      </c>
      <c r="AZ32" s="8">
        <f t="shared" si="52"/>
        <v>0</v>
      </c>
      <c r="BB32" s="57"/>
    </row>
    <row r="33" spans="1:54" ht="14.25" customHeight="1">
      <c r="A33" s="17">
        <f t="shared" si="53"/>
        <v>26</v>
      </c>
      <c r="B33" s="53" t="s">
        <v>785</v>
      </c>
      <c r="C33" s="238">
        <v>43810</v>
      </c>
      <c r="D33" s="55">
        <v>4</v>
      </c>
      <c r="E33" s="6">
        <v>2500000</v>
      </c>
      <c r="F33" s="1041">
        <f t="shared" si="0"/>
        <v>625000</v>
      </c>
      <c r="G33" s="1042"/>
      <c r="H33" s="1042"/>
      <c r="I33" s="1042"/>
      <c r="J33" s="1042"/>
      <c r="K33" s="1042"/>
      <c r="L33" s="1042"/>
      <c r="M33" s="1042"/>
      <c r="N33" s="1042"/>
      <c r="O33" s="1042"/>
      <c r="P33" s="1042"/>
      <c r="Q33" s="1042"/>
      <c r="R33" s="1042"/>
      <c r="S33" s="1042"/>
      <c r="T33" s="1042"/>
      <c r="U33" s="1042"/>
      <c r="V33" s="1053">
        <f t="shared" si="63"/>
        <v>52083.333333333336</v>
      </c>
      <c r="W33" s="1042">
        <f t="shared" si="54"/>
        <v>52083.333333333336</v>
      </c>
      <c r="X33" s="1042">
        <f t="shared" si="55"/>
        <v>2447916.6666666665</v>
      </c>
      <c r="Y33" s="7">
        <v>52083.333333333336</v>
      </c>
      <c r="Z33" s="7">
        <f t="shared" si="30"/>
        <v>2447916.6666666665</v>
      </c>
      <c r="AA33" s="1042">
        <f t="shared" si="64"/>
        <v>625000</v>
      </c>
      <c r="AB33" s="1042">
        <f t="shared" si="32"/>
        <v>677083.33333333337</v>
      </c>
      <c r="AC33" s="1042">
        <f t="shared" si="33"/>
        <v>1822916.6666666665</v>
      </c>
      <c r="AD33" s="1042">
        <f t="shared" si="65"/>
        <v>625000</v>
      </c>
      <c r="AE33" s="1042">
        <f t="shared" si="56"/>
        <v>1302083.3333333335</v>
      </c>
      <c r="AF33" s="1042">
        <f t="shared" si="57"/>
        <v>1197916.6666666665</v>
      </c>
      <c r="AG33" s="1042">
        <f t="shared" si="66"/>
        <v>625000</v>
      </c>
      <c r="AH33" s="1042">
        <f t="shared" si="58"/>
        <v>1927083.3333333335</v>
      </c>
      <c r="AI33" s="1042">
        <f t="shared" si="59"/>
        <v>572916.66666666651</v>
      </c>
      <c r="AJ33" s="1042">
        <f t="shared" si="60"/>
        <v>52083.333333333336</v>
      </c>
      <c r="AK33" s="1042">
        <f t="shared" si="41"/>
        <v>1979166.6666666667</v>
      </c>
      <c r="AL33" s="1042">
        <f t="shared" si="42"/>
        <v>520833.33333333326</v>
      </c>
      <c r="AM33" s="1042">
        <f t="shared" si="69"/>
        <v>468750</v>
      </c>
      <c r="AN33" s="1042">
        <f t="shared" si="67"/>
        <v>2395833.3333333335</v>
      </c>
      <c r="AO33" s="1042">
        <f t="shared" si="68"/>
        <v>104166.66666666651</v>
      </c>
      <c r="AP33" s="1042">
        <f>(F33/12)*11</f>
        <v>572916.66666666674</v>
      </c>
      <c r="AQ33" s="1042">
        <f t="shared" si="61"/>
        <v>2500000</v>
      </c>
      <c r="AR33" s="1042">
        <f t="shared" si="62"/>
        <v>0</v>
      </c>
      <c r="AS33" s="1042">
        <f t="shared" si="14"/>
        <v>0</v>
      </c>
      <c r="AT33" s="1042">
        <f t="shared" si="47"/>
        <v>2500000</v>
      </c>
      <c r="AU33" s="1042">
        <f t="shared" si="48"/>
        <v>0</v>
      </c>
      <c r="AV33" s="1042">
        <f t="shared" si="49"/>
        <v>0</v>
      </c>
      <c r="AW33" s="1042">
        <f t="shared" si="50"/>
        <v>2500000</v>
      </c>
      <c r="AX33" s="1042">
        <f t="shared" si="51"/>
        <v>0</v>
      </c>
      <c r="AZ33" s="8">
        <f t="shared" si="52"/>
        <v>0</v>
      </c>
      <c r="BB33" s="57"/>
    </row>
    <row r="34" spans="1:54" ht="14.25" customHeight="1">
      <c r="A34" s="17">
        <f t="shared" si="53"/>
        <v>27</v>
      </c>
      <c r="B34" s="53" t="s">
        <v>784</v>
      </c>
      <c r="C34" s="238">
        <v>43820</v>
      </c>
      <c r="D34" s="55">
        <v>4</v>
      </c>
      <c r="E34" s="6">
        <v>1450000</v>
      </c>
      <c r="F34" s="1041">
        <f t="shared" si="0"/>
        <v>362500</v>
      </c>
      <c r="G34" s="1042"/>
      <c r="H34" s="1042"/>
      <c r="I34" s="1042"/>
      <c r="J34" s="1042"/>
      <c r="K34" s="1042"/>
      <c r="L34" s="1042"/>
      <c r="M34" s="1042"/>
      <c r="N34" s="1042"/>
      <c r="O34" s="1042"/>
      <c r="P34" s="1042"/>
      <c r="Q34" s="1042"/>
      <c r="R34" s="1042"/>
      <c r="S34" s="1042"/>
      <c r="T34" s="1042"/>
      <c r="U34" s="1042"/>
      <c r="V34" s="1053">
        <f t="shared" si="63"/>
        <v>30208.333333333332</v>
      </c>
      <c r="W34" s="1042">
        <f t="shared" si="54"/>
        <v>30208.333333333332</v>
      </c>
      <c r="X34" s="1042">
        <f t="shared" si="55"/>
        <v>1419791.6666666667</v>
      </c>
      <c r="Y34" s="7"/>
      <c r="Z34" s="7"/>
      <c r="AA34" s="1042">
        <f t="shared" si="64"/>
        <v>362500</v>
      </c>
      <c r="AB34" s="1042">
        <f t="shared" si="32"/>
        <v>392708.33333333331</v>
      </c>
      <c r="AC34" s="1042">
        <f t="shared" si="33"/>
        <v>1057291.6666666667</v>
      </c>
      <c r="AD34" s="1042">
        <f t="shared" si="65"/>
        <v>362500</v>
      </c>
      <c r="AE34" s="1042">
        <f t="shared" si="56"/>
        <v>755208.33333333326</v>
      </c>
      <c r="AF34" s="1042">
        <f t="shared" si="57"/>
        <v>694791.66666666674</v>
      </c>
      <c r="AG34" s="1042">
        <f t="shared" si="66"/>
        <v>362500</v>
      </c>
      <c r="AH34" s="1042">
        <f t="shared" si="58"/>
        <v>1117708.3333333333</v>
      </c>
      <c r="AI34" s="1042">
        <f t="shared" si="59"/>
        <v>332291.66666666674</v>
      </c>
      <c r="AJ34" s="1042">
        <f t="shared" si="60"/>
        <v>30208.333333333332</v>
      </c>
      <c r="AK34" s="1042">
        <f t="shared" si="41"/>
        <v>1147916.6666666665</v>
      </c>
      <c r="AL34" s="1042">
        <f t="shared" si="42"/>
        <v>302083.33333333349</v>
      </c>
      <c r="AM34" s="1042">
        <f t="shared" si="69"/>
        <v>271875</v>
      </c>
      <c r="AN34" s="1042">
        <f t="shared" si="67"/>
        <v>1389583.3333333333</v>
      </c>
      <c r="AO34" s="1042">
        <f t="shared" si="68"/>
        <v>60416.666666666744</v>
      </c>
      <c r="AP34" s="1042">
        <f>(F34/12)*11</f>
        <v>332291.66666666663</v>
      </c>
      <c r="AQ34" s="1042">
        <f t="shared" si="61"/>
        <v>1450000</v>
      </c>
      <c r="AR34" s="1042">
        <f t="shared" si="62"/>
        <v>0</v>
      </c>
      <c r="AS34" s="1042">
        <f t="shared" si="14"/>
        <v>0</v>
      </c>
      <c r="AT34" s="1042">
        <f t="shared" si="47"/>
        <v>1450000</v>
      </c>
      <c r="AU34" s="1042">
        <f t="shared" si="48"/>
        <v>0</v>
      </c>
      <c r="AV34" s="1042">
        <f t="shared" si="49"/>
        <v>0</v>
      </c>
      <c r="AW34" s="1042">
        <f t="shared" si="50"/>
        <v>1450000</v>
      </c>
      <c r="AX34" s="1042">
        <f t="shared" si="51"/>
        <v>0</v>
      </c>
      <c r="AZ34" s="8">
        <f t="shared" si="52"/>
        <v>0</v>
      </c>
      <c r="BB34" s="57"/>
    </row>
    <row r="35" spans="1:54" ht="14.25" customHeight="1">
      <c r="A35" s="17">
        <f t="shared" si="53"/>
        <v>28</v>
      </c>
      <c r="B35" s="53" t="s">
        <v>786</v>
      </c>
      <c r="C35" s="238">
        <v>43858</v>
      </c>
      <c r="D35" s="55">
        <v>4</v>
      </c>
      <c r="E35" s="6">
        <v>1000000</v>
      </c>
      <c r="F35" s="1041">
        <f t="shared" si="0"/>
        <v>250000</v>
      </c>
      <c r="G35" s="1042"/>
      <c r="H35" s="1042"/>
      <c r="I35" s="1042"/>
      <c r="J35" s="1042"/>
      <c r="K35" s="1042"/>
      <c r="L35" s="1042"/>
      <c r="M35" s="1042"/>
      <c r="N35" s="1042"/>
      <c r="O35" s="1042"/>
      <c r="P35" s="1042"/>
      <c r="Q35" s="1042"/>
      <c r="R35" s="1042"/>
      <c r="S35" s="1042"/>
      <c r="T35" s="1042"/>
      <c r="U35" s="1042"/>
      <c r="V35" s="1042"/>
      <c r="W35" s="1042"/>
      <c r="X35" s="1042"/>
      <c r="Y35" s="7"/>
      <c r="Z35" s="7"/>
      <c r="AA35" s="1053">
        <f>(F35/12)*(13-IF(C35="","",MONTH(C35)))</f>
        <v>250000</v>
      </c>
      <c r="AB35" s="1042">
        <f t="shared" si="32"/>
        <v>250000</v>
      </c>
      <c r="AC35" s="1042">
        <f t="shared" si="33"/>
        <v>750000</v>
      </c>
      <c r="AD35" s="1042">
        <f t="shared" ref="AD35:AD41" si="70">(F35/12)*12</f>
        <v>250000</v>
      </c>
      <c r="AE35" s="1042">
        <f t="shared" ref="AE35:AE41" si="71">AD35+AB35</f>
        <v>500000</v>
      </c>
      <c r="AF35" s="1042">
        <f t="shared" ref="AF35:AF41" si="72">E35-AE35</f>
        <v>500000</v>
      </c>
      <c r="AG35" s="1042">
        <f t="shared" ref="AG35:AG41" si="73">(F35/12)*12</f>
        <v>250000</v>
      </c>
      <c r="AH35" s="1042">
        <f t="shared" ref="AH35:AH41" si="74">AE35+AG35</f>
        <v>750000</v>
      </c>
      <c r="AI35" s="1042">
        <f t="shared" ref="AI35:AI41" si="75">E35-AH35</f>
        <v>250000</v>
      </c>
      <c r="AJ35" s="1042">
        <f t="shared" si="60"/>
        <v>20833.333333333332</v>
      </c>
      <c r="AK35" s="1042">
        <f t="shared" si="41"/>
        <v>770833.33333333337</v>
      </c>
      <c r="AL35" s="1042">
        <f t="shared" si="42"/>
        <v>229166.66666666663</v>
      </c>
      <c r="AM35" s="1042">
        <f t="shared" si="69"/>
        <v>187500</v>
      </c>
      <c r="AN35" s="1042">
        <f t="shared" si="67"/>
        <v>937500</v>
      </c>
      <c r="AO35" s="1042">
        <f t="shared" si="68"/>
        <v>62500</v>
      </c>
      <c r="AP35" s="1042">
        <f t="shared" ref="AP35:AP57" si="76">(F35/12)*12</f>
        <v>250000</v>
      </c>
      <c r="AQ35" s="1042">
        <f t="shared" ref="AQ35:AQ41" si="77">AP35+AH35</f>
        <v>1000000</v>
      </c>
      <c r="AR35" s="1042">
        <f t="shared" ref="AR35:AR41" si="78">E35-AQ35</f>
        <v>0</v>
      </c>
      <c r="AS35" s="1042">
        <f t="shared" si="14"/>
        <v>0</v>
      </c>
      <c r="AT35" s="1042">
        <f t="shared" si="47"/>
        <v>1000000</v>
      </c>
      <c r="AU35" s="1042">
        <f t="shared" si="48"/>
        <v>0</v>
      </c>
      <c r="AV35" s="1042">
        <f t="shared" si="49"/>
        <v>0</v>
      </c>
      <c r="AW35" s="1042">
        <f t="shared" si="50"/>
        <v>1000000</v>
      </c>
      <c r="AX35" s="1042">
        <f t="shared" si="51"/>
        <v>0</v>
      </c>
      <c r="AZ35" s="8">
        <f t="shared" si="52"/>
        <v>0</v>
      </c>
      <c r="BB35" s="57"/>
    </row>
    <row r="36" spans="1:54" ht="14.25" customHeight="1">
      <c r="A36" s="17">
        <f t="shared" si="53"/>
        <v>29</v>
      </c>
      <c r="B36" s="53" t="s">
        <v>787</v>
      </c>
      <c r="C36" s="238">
        <v>43896</v>
      </c>
      <c r="D36" s="55">
        <v>4</v>
      </c>
      <c r="E36" s="6">
        <v>600000</v>
      </c>
      <c r="F36" s="1041">
        <f t="shared" si="0"/>
        <v>150000</v>
      </c>
      <c r="G36" s="1042"/>
      <c r="H36" s="1042"/>
      <c r="I36" s="1042"/>
      <c r="J36" s="1042"/>
      <c r="K36" s="1042"/>
      <c r="L36" s="1042"/>
      <c r="M36" s="1042"/>
      <c r="N36" s="1042"/>
      <c r="O36" s="1042"/>
      <c r="P36" s="1042"/>
      <c r="Q36" s="1042"/>
      <c r="R36" s="1042"/>
      <c r="S36" s="1042"/>
      <c r="T36" s="1042"/>
      <c r="U36" s="1042"/>
      <c r="V36" s="1042"/>
      <c r="W36" s="1042"/>
      <c r="X36" s="1042"/>
      <c r="Y36" s="7"/>
      <c r="Z36" s="7"/>
      <c r="AA36" s="1053">
        <f t="shared" ref="AA36:AA41" si="79">(F36/12)*(13-IF(C36="","",MONTH(C36)))</f>
        <v>125000</v>
      </c>
      <c r="AB36" s="1042">
        <f t="shared" si="32"/>
        <v>125000</v>
      </c>
      <c r="AC36" s="1042">
        <f t="shared" si="33"/>
        <v>475000</v>
      </c>
      <c r="AD36" s="1042">
        <f t="shared" si="70"/>
        <v>150000</v>
      </c>
      <c r="AE36" s="1042">
        <f t="shared" si="71"/>
        <v>275000</v>
      </c>
      <c r="AF36" s="1042">
        <f t="shared" si="72"/>
        <v>325000</v>
      </c>
      <c r="AG36" s="1042">
        <f t="shared" si="73"/>
        <v>150000</v>
      </c>
      <c r="AH36" s="1042">
        <f t="shared" si="74"/>
        <v>425000</v>
      </c>
      <c r="AI36" s="1042">
        <f t="shared" si="75"/>
        <v>175000</v>
      </c>
      <c r="AJ36" s="1042">
        <f t="shared" si="60"/>
        <v>12500</v>
      </c>
      <c r="AK36" s="1042">
        <f t="shared" si="41"/>
        <v>437500</v>
      </c>
      <c r="AL36" s="1042">
        <f t="shared" si="42"/>
        <v>162500</v>
      </c>
      <c r="AM36" s="1042">
        <f t="shared" si="69"/>
        <v>112500</v>
      </c>
      <c r="AN36" s="1042">
        <f t="shared" si="67"/>
        <v>537500</v>
      </c>
      <c r="AO36" s="1042">
        <f t="shared" si="68"/>
        <v>62500</v>
      </c>
      <c r="AP36" s="1042">
        <f t="shared" si="76"/>
        <v>150000</v>
      </c>
      <c r="AQ36" s="1042">
        <f t="shared" si="77"/>
        <v>575000</v>
      </c>
      <c r="AR36" s="1042">
        <f t="shared" si="78"/>
        <v>25000</v>
      </c>
      <c r="AS36" s="1042">
        <f>(F36/12)*2</f>
        <v>25000</v>
      </c>
      <c r="AT36" s="1042">
        <f t="shared" si="47"/>
        <v>600000</v>
      </c>
      <c r="AU36" s="1042">
        <f t="shared" si="48"/>
        <v>0</v>
      </c>
      <c r="AV36" s="1042">
        <f>(F36/12)*2</f>
        <v>25000</v>
      </c>
      <c r="AW36" s="1042">
        <f t="shared" si="50"/>
        <v>600000</v>
      </c>
      <c r="AX36" s="1042">
        <f t="shared" si="51"/>
        <v>0</v>
      </c>
      <c r="AZ36" s="8">
        <f t="shared" si="52"/>
        <v>0</v>
      </c>
      <c r="BB36" s="57"/>
    </row>
    <row r="37" spans="1:54" ht="14.25" customHeight="1">
      <c r="A37" s="17">
        <f t="shared" si="53"/>
        <v>30</v>
      </c>
      <c r="B37" s="53" t="s">
        <v>788</v>
      </c>
      <c r="C37" s="238">
        <v>44049</v>
      </c>
      <c r="D37" s="55">
        <v>4</v>
      </c>
      <c r="E37" s="6">
        <v>1900000</v>
      </c>
      <c r="F37" s="1041">
        <f t="shared" si="0"/>
        <v>475000</v>
      </c>
      <c r="G37" s="1042"/>
      <c r="H37" s="1042"/>
      <c r="I37" s="1042"/>
      <c r="J37" s="1042"/>
      <c r="K37" s="1042"/>
      <c r="L37" s="1042"/>
      <c r="M37" s="1042"/>
      <c r="N37" s="1042"/>
      <c r="O37" s="1042"/>
      <c r="P37" s="1042"/>
      <c r="Q37" s="1042"/>
      <c r="R37" s="1042"/>
      <c r="S37" s="1042"/>
      <c r="T37" s="1042"/>
      <c r="U37" s="1042"/>
      <c r="V37" s="1042"/>
      <c r="W37" s="1042"/>
      <c r="X37" s="1042"/>
      <c r="Y37" s="7"/>
      <c r="Z37" s="7"/>
      <c r="AA37" s="1053">
        <f t="shared" si="79"/>
        <v>197916.66666666669</v>
      </c>
      <c r="AB37" s="1042">
        <f t="shared" si="32"/>
        <v>197916.66666666669</v>
      </c>
      <c r="AC37" s="1042">
        <f t="shared" si="33"/>
        <v>1702083.3333333333</v>
      </c>
      <c r="AD37" s="1042">
        <f t="shared" si="70"/>
        <v>475000</v>
      </c>
      <c r="AE37" s="1042">
        <f t="shared" si="71"/>
        <v>672916.66666666674</v>
      </c>
      <c r="AF37" s="1042">
        <f t="shared" si="72"/>
        <v>1227083.3333333333</v>
      </c>
      <c r="AG37" s="1042">
        <f t="shared" si="73"/>
        <v>475000</v>
      </c>
      <c r="AH37" s="1042">
        <f t="shared" si="74"/>
        <v>1147916.6666666667</v>
      </c>
      <c r="AI37" s="1042">
        <f t="shared" si="75"/>
        <v>752083.33333333326</v>
      </c>
      <c r="AJ37" s="1042">
        <f t="shared" si="60"/>
        <v>39583.333333333336</v>
      </c>
      <c r="AK37" s="1042">
        <f t="shared" si="41"/>
        <v>1187500</v>
      </c>
      <c r="AL37" s="1042">
        <f t="shared" si="42"/>
        <v>712500</v>
      </c>
      <c r="AM37" s="1042">
        <f t="shared" si="69"/>
        <v>356250</v>
      </c>
      <c r="AN37" s="1042">
        <f t="shared" si="67"/>
        <v>1504166.6666666667</v>
      </c>
      <c r="AO37" s="1042">
        <f t="shared" si="68"/>
        <v>395833.33333333326</v>
      </c>
      <c r="AP37" s="1042">
        <f t="shared" si="76"/>
        <v>475000</v>
      </c>
      <c r="AQ37" s="1042">
        <f t="shared" si="77"/>
        <v>1622916.6666666667</v>
      </c>
      <c r="AR37" s="1042">
        <f t="shared" si="78"/>
        <v>277083.33333333326</v>
      </c>
      <c r="AS37" s="1042">
        <f>(F37/12)*7</f>
        <v>277083.33333333337</v>
      </c>
      <c r="AT37" s="1042">
        <f t="shared" si="47"/>
        <v>1900000</v>
      </c>
      <c r="AU37" s="1042">
        <f t="shared" si="48"/>
        <v>0</v>
      </c>
      <c r="AV37" s="1042">
        <f>(F37/12)*7</f>
        <v>277083.33333333337</v>
      </c>
      <c r="AW37" s="1042">
        <f t="shared" si="50"/>
        <v>1900000</v>
      </c>
      <c r="AX37" s="1042">
        <f t="shared" si="51"/>
        <v>0</v>
      </c>
      <c r="AZ37" s="8">
        <f t="shared" si="52"/>
        <v>0</v>
      </c>
      <c r="BB37" s="57"/>
    </row>
    <row r="38" spans="1:54" ht="18" customHeight="1">
      <c r="A38" s="17">
        <f t="shared" si="53"/>
        <v>31</v>
      </c>
      <c r="B38" s="53" t="s">
        <v>789</v>
      </c>
      <c r="C38" s="238">
        <v>44049</v>
      </c>
      <c r="D38" s="55">
        <v>4</v>
      </c>
      <c r="E38" s="6">
        <v>180000</v>
      </c>
      <c r="F38" s="1041">
        <f t="shared" si="0"/>
        <v>45000</v>
      </c>
      <c r="G38" s="1042"/>
      <c r="H38" s="1042"/>
      <c r="I38" s="1042"/>
      <c r="J38" s="1042"/>
      <c r="K38" s="1042"/>
      <c r="L38" s="1042"/>
      <c r="M38" s="1042"/>
      <c r="N38" s="1042"/>
      <c r="O38" s="1042"/>
      <c r="P38" s="1042"/>
      <c r="Q38" s="1042"/>
      <c r="R38" s="1042"/>
      <c r="S38" s="1042"/>
      <c r="T38" s="1042"/>
      <c r="U38" s="1042"/>
      <c r="V38" s="1042"/>
      <c r="W38" s="1042"/>
      <c r="X38" s="1042"/>
      <c r="Y38" s="7"/>
      <c r="Z38" s="7"/>
      <c r="AA38" s="1053">
        <f t="shared" si="79"/>
        <v>18750</v>
      </c>
      <c r="AB38" s="1042">
        <f t="shared" si="32"/>
        <v>18750</v>
      </c>
      <c r="AC38" s="1042">
        <f t="shared" si="33"/>
        <v>161250</v>
      </c>
      <c r="AD38" s="1042">
        <f t="shared" si="70"/>
        <v>45000</v>
      </c>
      <c r="AE38" s="1042">
        <f t="shared" si="71"/>
        <v>63750</v>
      </c>
      <c r="AF38" s="1042">
        <f t="shared" si="72"/>
        <v>116250</v>
      </c>
      <c r="AG38" s="1042">
        <f t="shared" si="73"/>
        <v>45000</v>
      </c>
      <c r="AH38" s="1042">
        <f t="shared" si="74"/>
        <v>108750</v>
      </c>
      <c r="AI38" s="1042">
        <f t="shared" si="75"/>
        <v>71250</v>
      </c>
      <c r="AJ38" s="1042">
        <f t="shared" si="60"/>
        <v>3750</v>
      </c>
      <c r="AK38" s="1042">
        <f t="shared" si="41"/>
        <v>112500</v>
      </c>
      <c r="AL38" s="1042">
        <f t="shared" si="42"/>
        <v>67500</v>
      </c>
      <c r="AM38" s="1042">
        <f t="shared" si="69"/>
        <v>33750</v>
      </c>
      <c r="AN38" s="1042">
        <f t="shared" si="67"/>
        <v>142500</v>
      </c>
      <c r="AO38" s="1042">
        <f t="shared" si="68"/>
        <v>37500</v>
      </c>
      <c r="AP38" s="1042">
        <f t="shared" si="76"/>
        <v>45000</v>
      </c>
      <c r="AQ38" s="1042">
        <f t="shared" si="77"/>
        <v>153750</v>
      </c>
      <c r="AR38" s="1042">
        <f t="shared" si="78"/>
        <v>26250</v>
      </c>
      <c r="AS38" s="1042">
        <f>(F38/12)*7</f>
        <v>26250</v>
      </c>
      <c r="AT38" s="1042">
        <f t="shared" si="47"/>
        <v>180000</v>
      </c>
      <c r="AU38" s="1042">
        <f t="shared" si="48"/>
        <v>0</v>
      </c>
      <c r="AV38" s="1042">
        <f>(F38/12)*7</f>
        <v>26250</v>
      </c>
      <c r="AW38" s="1042">
        <f t="shared" si="50"/>
        <v>180000</v>
      </c>
      <c r="AX38" s="1042">
        <f t="shared" si="51"/>
        <v>0</v>
      </c>
      <c r="AZ38" s="8">
        <f t="shared" si="52"/>
        <v>0</v>
      </c>
      <c r="BB38" s="57"/>
    </row>
    <row r="39" spans="1:54" ht="14.25" customHeight="1">
      <c r="A39" s="17">
        <f t="shared" si="53"/>
        <v>32</v>
      </c>
      <c r="B39" s="53" t="s">
        <v>788</v>
      </c>
      <c r="C39" s="238">
        <v>44097</v>
      </c>
      <c r="D39" s="55">
        <v>4</v>
      </c>
      <c r="E39" s="6">
        <v>1900000</v>
      </c>
      <c r="F39" s="1041">
        <f t="shared" si="0"/>
        <v>475000</v>
      </c>
      <c r="G39" s="1042"/>
      <c r="H39" s="1042"/>
      <c r="I39" s="1042"/>
      <c r="J39" s="1042"/>
      <c r="K39" s="1042"/>
      <c r="L39" s="1042"/>
      <c r="M39" s="1042"/>
      <c r="N39" s="1042"/>
      <c r="O39" s="1042"/>
      <c r="P39" s="1042"/>
      <c r="Q39" s="1042"/>
      <c r="R39" s="1042"/>
      <c r="S39" s="1042"/>
      <c r="T39" s="1042"/>
      <c r="U39" s="1042"/>
      <c r="V39" s="1042"/>
      <c r="W39" s="1042"/>
      <c r="X39" s="1042"/>
      <c r="Y39" s="7"/>
      <c r="Z39" s="7"/>
      <c r="AA39" s="1053">
        <f t="shared" si="79"/>
        <v>158333.33333333334</v>
      </c>
      <c r="AB39" s="1042">
        <f t="shared" si="32"/>
        <v>158333.33333333334</v>
      </c>
      <c r="AC39" s="1042">
        <f t="shared" si="33"/>
        <v>1741666.6666666667</v>
      </c>
      <c r="AD39" s="1042">
        <f t="shared" si="70"/>
        <v>475000</v>
      </c>
      <c r="AE39" s="1042">
        <f t="shared" si="71"/>
        <v>633333.33333333337</v>
      </c>
      <c r="AF39" s="1042">
        <f t="shared" si="72"/>
        <v>1266666.6666666665</v>
      </c>
      <c r="AG39" s="1042">
        <f t="shared" si="73"/>
        <v>475000</v>
      </c>
      <c r="AH39" s="1042">
        <f t="shared" si="74"/>
        <v>1108333.3333333335</v>
      </c>
      <c r="AI39" s="1042">
        <f t="shared" si="75"/>
        <v>791666.66666666651</v>
      </c>
      <c r="AJ39" s="1042">
        <f t="shared" si="60"/>
        <v>39583.333333333336</v>
      </c>
      <c r="AK39" s="1042">
        <f t="shared" si="41"/>
        <v>1147916.6666666667</v>
      </c>
      <c r="AL39" s="1042">
        <f t="shared" si="42"/>
        <v>752083.33333333326</v>
      </c>
      <c r="AM39" s="1042">
        <f t="shared" si="69"/>
        <v>356250</v>
      </c>
      <c r="AN39" s="1042">
        <f t="shared" si="67"/>
        <v>1464583.3333333335</v>
      </c>
      <c r="AO39" s="1042">
        <f t="shared" si="68"/>
        <v>435416.66666666651</v>
      </c>
      <c r="AP39" s="1042">
        <f t="shared" si="76"/>
        <v>475000</v>
      </c>
      <c r="AQ39" s="1042">
        <f t="shared" si="77"/>
        <v>1583333.3333333335</v>
      </c>
      <c r="AR39" s="1042">
        <f t="shared" si="78"/>
        <v>316666.66666666651</v>
      </c>
      <c r="AS39" s="1042">
        <f>(F39/12)*8</f>
        <v>316666.66666666669</v>
      </c>
      <c r="AT39" s="1042">
        <f t="shared" si="47"/>
        <v>1900000.0000000002</v>
      </c>
      <c r="AU39" s="1042">
        <f t="shared" si="48"/>
        <v>0</v>
      </c>
      <c r="AV39" s="1042">
        <f>(F39/12)*8</f>
        <v>316666.66666666669</v>
      </c>
      <c r="AW39" s="1042">
        <f t="shared" si="50"/>
        <v>1900000.0000000002</v>
      </c>
      <c r="AX39" s="1042">
        <f t="shared" si="51"/>
        <v>0</v>
      </c>
      <c r="AZ39" s="8">
        <f t="shared" si="52"/>
        <v>-2.3283064365386963E-10</v>
      </c>
      <c r="BB39" s="57"/>
    </row>
    <row r="40" spans="1:54" ht="14.25" customHeight="1">
      <c r="A40" s="17">
        <f t="shared" si="53"/>
        <v>33</v>
      </c>
      <c r="B40" s="53" t="s">
        <v>790</v>
      </c>
      <c r="C40" s="238">
        <v>44084</v>
      </c>
      <c r="D40" s="55">
        <v>4</v>
      </c>
      <c r="E40" s="6">
        <v>275000</v>
      </c>
      <c r="F40" s="1041">
        <f t="shared" si="0"/>
        <v>68750</v>
      </c>
      <c r="G40" s="1042"/>
      <c r="H40" s="1042"/>
      <c r="I40" s="1042"/>
      <c r="J40" s="1042"/>
      <c r="K40" s="1042"/>
      <c r="L40" s="1042"/>
      <c r="M40" s="1042"/>
      <c r="N40" s="1042"/>
      <c r="O40" s="1042"/>
      <c r="P40" s="1042"/>
      <c r="Q40" s="1042"/>
      <c r="R40" s="1042"/>
      <c r="S40" s="1042"/>
      <c r="T40" s="1042"/>
      <c r="U40" s="1042"/>
      <c r="V40" s="1042"/>
      <c r="W40" s="1042"/>
      <c r="X40" s="1042"/>
      <c r="Y40" s="7"/>
      <c r="Z40" s="7"/>
      <c r="AA40" s="1053">
        <f t="shared" si="79"/>
        <v>22916.666666666668</v>
      </c>
      <c r="AB40" s="1042">
        <f t="shared" si="32"/>
        <v>22916.666666666668</v>
      </c>
      <c r="AC40" s="1042">
        <f t="shared" si="33"/>
        <v>252083.33333333334</v>
      </c>
      <c r="AD40" s="1042">
        <f t="shared" si="70"/>
        <v>68750</v>
      </c>
      <c r="AE40" s="1042">
        <f t="shared" si="71"/>
        <v>91666.666666666672</v>
      </c>
      <c r="AF40" s="1042">
        <f t="shared" si="72"/>
        <v>183333.33333333331</v>
      </c>
      <c r="AG40" s="1042">
        <f t="shared" si="73"/>
        <v>68750</v>
      </c>
      <c r="AH40" s="1042">
        <f t="shared" si="74"/>
        <v>160416.66666666669</v>
      </c>
      <c r="AI40" s="1042">
        <f t="shared" si="75"/>
        <v>114583.33333333331</v>
      </c>
      <c r="AJ40" s="1042">
        <f t="shared" si="60"/>
        <v>5729.166666666667</v>
      </c>
      <c r="AK40" s="1042">
        <f t="shared" si="41"/>
        <v>166145.83333333334</v>
      </c>
      <c r="AL40" s="1042">
        <f t="shared" si="42"/>
        <v>108854.16666666666</v>
      </c>
      <c r="AM40" s="1042">
        <f t="shared" si="69"/>
        <v>51562.5</v>
      </c>
      <c r="AN40" s="1042">
        <f t="shared" si="67"/>
        <v>211979.16666666669</v>
      </c>
      <c r="AO40" s="1042">
        <f t="shared" si="68"/>
        <v>63020.833333333314</v>
      </c>
      <c r="AP40" s="1042">
        <f t="shared" si="76"/>
        <v>68750</v>
      </c>
      <c r="AQ40" s="1042">
        <f t="shared" si="77"/>
        <v>229166.66666666669</v>
      </c>
      <c r="AR40" s="1042">
        <f t="shared" si="78"/>
        <v>45833.333333333314</v>
      </c>
      <c r="AS40" s="1042">
        <f>(F40/12)*8</f>
        <v>45833.333333333336</v>
      </c>
      <c r="AT40" s="1042">
        <f t="shared" si="47"/>
        <v>275000</v>
      </c>
      <c r="AU40" s="1042">
        <f t="shared" si="48"/>
        <v>0</v>
      </c>
      <c r="AV40" s="1042">
        <f>(F40/12)*8</f>
        <v>45833.333333333336</v>
      </c>
      <c r="AW40" s="1042">
        <f t="shared" si="50"/>
        <v>275000</v>
      </c>
      <c r="AX40" s="1042">
        <f t="shared" si="51"/>
        <v>0</v>
      </c>
      <c r="AZ40" s="8">
        <f t="shared" si="52"/>
        <v>0</v>
      </c>
      <c r="BB40" s="57"/>
    </row>
    <row r="41" spans="1:54" ht="14.25" customHeight="1">
      <c r="A41" s="17">
        <f t="shared" si="53"/>
        <v>34</v>
      </c>
      <c r="B41" s="53" t="s">
        <v>788</v>
      </c>
      <c r="C41" s="238">
        <v>44162</v>
      </c>
      <c r="D41" s="55">
        <v>4</v>
      </c>
      <c r="E41" s="6">
        <v>1785000</v>
      </c>
      <c r="F41" s="1041">
        <f t="shared" si="0"/>
        <v>446250</v>
      </c>
      <c r="G41" s="1042"/>
      <c r="H41" s="1042"/>
      <c r="I41" s="1042"/>
      <c r="J41" s="1042"/>
      <c r="K41" s="1042"/>
      <c r="L41" s="1042"/>
      <c r="M41" s="1042"/>
      <c r="N41" s="1042"/>
      <c r="O41" s="1042"/>
      <c r="P41" s="1042"/>
      <c r="Q41" s="1042"/>
      <c r="R41" s="1042"/>
      <c r="S41" s="1042"/>
      <c r="T41" s="1042"/>
      <c r="U41" s="1042"/>
      <c r="V41" s="1042"/>
      <c r="W41" s="1042"/>
      <c r="X41" s="1042"/>
      <c r="Y41" s="7"/>
      <c r="Z41" s="7"/>
      <c r="AA41" s="1053">
        <f t="shared" si="79"/>
        <v>74375</v>
      </c>
      <c r="AB41" s="1042">
        <f t="shared" si="32"/>
        <v>74375</v>
      </c>
      <c r="AC41" s="1042">
        <f t="shared" si="33"/>
        <v>1710625</v>
      </c>
      <c r="AD41" s="1042">
        <f t="shared" si="70"/>
        <v>446250</v>
      </c>
      <c r="AE41" s="1042">
        <f t="shared" si="71"/>
        <v>520625</v>
      </c>
      <c r="AF41" s="1042">
        <f t="shared" si="72"/>
        <v>1264375</v>
      </c>
      <c r="AG41" s="1042">
        <f t="shared" si="73"/>
        <v>446250</v>
      </c>
      <c r="AH41" s="1042">
        <f t="shared" si="74"/>
        <v>966875</v>
      </c>
      <c r="AI41" s="1042">
        <f t="shared" si="75"/>
        <v>818125</v>
      </c>
      <c r="AJ41" s="1042">
        <f t="shared" si="60"/>
        <v>37187.5</v>
      </c>
      <c r="AK41" s="1042">
        <f t="shared" si="41"/>
        <v>1004062.5</v>
      </c>
      <c r="AL41" s="1042">
        <f t="shared" si="42"/>
        <v>780937.5</v>
      </c>
      <c r="AM41" s="1042">
        <f t="shared" si="69"/>
        <v>334687.5</v>
      </c>
      <c r="AN41" s="1042">
        <f t="shared" si="67"/>
        <v>1301562.5</v>
      </c>
      <c r="AO41" s="1042">
        <f t="shared" si="68"/>
        <v>483437.5</v>
      </c>
      <c r="AP41" s="1042">
        <f t="shared" si="76"/>
        <v>446250</v>
      </c>
      <c r="AQ41" s="1042">
        <f t="shared" si="77"/>
        <v>1413125</v>
      </c>
      <c r="AR41" s="1042">
        <f t="shared" si="78"/>
        <v>371875</v>
      </c>
      <c r="AS41" s="1042">
        <f>(F41/12)*9</f>
        <v>334687.5</v>
      </c>
      <c r="AT41" s="1042">
        <f t="shared" si="47"/>
        <v>1747812.5</v>
      </c>
      <c r="AU41" s="1042">
        <f t="shared" si="48"/>
        <v>37187.5</v>
      </c>
      <c r="AV41" s="1042">
        <f>(F41/12)*10</f>
        <v>371875</v>
      </c>
      <c r="AW41" s="1042">
        <f t="shared" si="50"/>
        <v>1785000</v>
      </c>
      <c r="AX41" s="1042">
        <f t="shared" si="51"/>
        <v>0</v>
      </c>
      <c r="AZ41" s="8">
        <f t="shared" si="52"/>
        <v>0</v>
      </c>
      <c r="BB41" s="57"/>
    </row>
    <row r="42" spans="1:54" ht="14.25" customHeight="1">
      <c r="A42" s="17">
        <f t="shared" si="53"/>
        <v>35</v>
      </c>
      <c r="B42" s="53" t="s">
        <v>791</v>
      </c>
      <c r="C42" s="238">
        <v>44323</v>
      </c>
      <c r="D42" s="55">
        <v>4</v>
      </c>
      <c r="E42" s="6">
        <v>2652000</v>
      </c>
      <c r="F42" s="1041">
        <f t="shared" si="0"/>
        <v>663000</v>
      </c>
      <c r="G42" s="1042"/>
      <c r="H42" s="1042"/>
      <c r="I42" s="1042"/>
      <c r="J42" s="1042"/>
      <c r="K42" s="1042"/>
      <c r="L42" s="1042"/>
      <c r="M42" s="1042"/>
      <c r="N42" s="1042"/>
      <c r="O42" s="1042"/>
      <c r="P42" s="1042"/>
      <c r="Q42" s="1042"/>
      <c r="R42" s="1042"/>
      <c r="S42" s="1042"/>
      <c r="T42" s="1042"/>
      <c r="U42" s="1042"/>
      <c r="V42" s="1042"/>
      <c r="W42" s="1042"/>
      <c r="X42" s="1042"/>
      <c r="Y42" s="7"/>
      <c r="Z42" s="7"/>
      <c r="AA42" s="1042"/>
      <c r="AB42" s="1042"/>
      <c r="AC42" s="1042"/>
      <c r="AD42" s="1053">
        <f>(F42/12)*(13-IF(C42="","",MONTH(C42)))</f>
        <v>442000</v>
      </c>
      <c r="AE42" s="1042">
        <f t="shared" ref="AE42:AE43" si="80">AD42+AB42</f>
        <v>442000</v>
      </c>
      <c r="AF42" s="1042">
        <f t="shared" ref="AF42:AF43" si="81">E42-AE42</f>
        <v>2210000</v>
      </c>
      <c r="AG42" s="1042">
        <f t="shared" ref="AG42:AG43" si="82">(F42/12)*12</f>
        <v>663000</v>
      </c>
      <c r="AH42" s="1042">
        <f t="shared" ref="AH42:AH43" si="83">AE42+AG42</f>
        <v>1105000</v>
      </c>
      <c r="AI42" s="1042">
        <f t="shared" ref="AI42:AI43" si="84">E42-AH42</f>
        <v>1547000</v>
      </c>
      <c r="AJ42" s="1042">
        <f t="shared" si="60"/>
        <v>55250</v>
      </c>
      <c r="AK42" s="1042">
        <f t="shared" si="41"/>
        <v>1160250</v>
      </c>
      <c r="AL42" s="1042">
        <f t="shared" si="42"/>
        <v>1491750</v>
      </c>
      <c r="AM42" s="1042">
        <f t="shared" si="69"/>
        <v>497250</v>
      </c>
      <c r="AN42" s="1042">
        <f t="shared" si="67"/>
        <v>1602250</v>
      </c>
      <c r="AO42" s="1042">
        <f t="shared" si="68"/>
        <v>1049750</v>
      </c>
      <c r="AP42" s="1042">
        <f t="shared" si="76"/>
        <v>663000</v>
      </c>
      <c r="AQ42" s="1042">
        <f t="shared" ref="AQ42:AQ43" si="85">AP42+AH42</f>
        <v>1768000</v>
      </c>
      <c r="AR42" s="1042">
        <f t="shared" ref="AR42:AR43" si="86">E42-AQ42</f>
        <v>884000</v>
      </c>
      <c r="AS42" s="1042">
        <f t="shared" ref="AS42:AS57" si="87">(F42/12)*9</f>
        <v>497250</v>
      </c>
      <c r="AT42" s="1042">
        <f t="shared" si="47"/>
        <v>2265250</v>
      </c>
      <c r="AU42" s="1042">
        <f t="shared" si="48"/>
        <v>386750</v>
      </c>
      <c r="AV42" s="1042">
        <f t="shared" ref="AV42:AV57" si="88">(F42/12)*12</f>
        <v>663000</v>
      </c>
      <c r="AW42" s="1042">
        <f t="shared" si="50"/>
        <v>2431000</v>
      </c>
      <c r="AX42" s="1042">
        <f t="shared" si="51"/>
        <v>221000</v>
      </c>
      <c r="AZ42" s="8">
        <f t="shared" si="52"/>
        <v>0</v>
      </c>
      <c r="BB42" s="57"/>
    </row>
    <row r="43" spans="1:54" ht="14.25" customHeight="1">
      <c r="A43" s="17">
        <f t="shared" si="53"/>
        <v>36</v>
      </c>
      <c r="B43" s="53" t="s">
        <v>792</v>
      </c>
      <c r="C43" s="238">
        <v>44405</v>
      </c>
      <c r="D43" s="55">
        <v>4</v>
      </c>
      <c r="E43" s="6">
        <v>1150000</v>
      </c>
      <c r="F43" s="1041">
        <f t="shared" si="0"/>
        <v>287500</v>
      </c>
      <c r="G43" s="1042"/>
      <c r="H43" s="1042"/>
      <c r="I43" s="1042"/>
      <c r="J43" s="1042"/>
      <c r="K43" s="1042"/>
      <c r="L43" s="1042"/>
      <c r="M43" s="1042"/>
      <c r="N43" s="1042"/>
      <c r="O43" s="1042"/>
      <c r="P43" s="1042"/>
      <c r="Q43" s="1042"/>
      <c r="R43" s="1042"/>
      <c r="S43" s="1042"/>
      <c r="T43" s="1042"/>
      <c r="U43" s="1042"/>
      <c r="V43" s="1042"/>
      <c r="W43" s="1042"/>
      <c r="X43" s="1042"/>
      <c r="Y43" s="7"/>
      <c r="Z43" s="7"/>
      <c r="AA43" s="1042"/>
      <c r="AB43" s="1042"/>
      <c r="AC43" s="1042"/>
      <c r="AD43" s="1053">
        <f>(F43/12)*(13-IF(C43="","",MONTH(C43)))</f>
        <v>143750</v>
      </c>
      <c r="AE43" s="1042">
        <f t="shared" si="80"/>
        <v>143750</v>
      </c>
      <c r="AF43" s="1042">
        <f t="shared" si="81"/>
        <v>1006250</v>
      </c>
      <c r="AG43" s="1042">
        <f t="shared" si="82"/>
        <v>287500</v>
      </c>
      <c r="AH43" s="1042">
        <f t="shared" si="83"/>
        <v>431250</v>
      </c>
      <c r="AI43" s="1042">
        <f t="shared" si="84"/>
        <v>718750</v>
      </c>
      <c r="AJ43" s="1042">
        <f t="shared" si="60"/>
        <v>23958.333333333332</v>
      </c>
      <c r="AK43" s="1042">
        <f t="shared" si="41"/>
        <v>455208.33333333331</v>
      </c>
      <c r="AL43" s="1042">
        <f t="shared" si="42"/>
        <v>694791.66666666674</v>
      </c>
      <c r="AM43" s="1042">
        <f t="shared" si="69"/>
        <v>215625</v>
      </c>
      <c r="AN43" s="1042">
        <f t="shared" si="67"/>
        <v>646875</v>
      </c>
      <c r="AO43" s="1042">
        <f t="shared" si="68"/>
        <v>503125</v>
      </c>
      <c r="AP43" s="1042">
        <f t="shared" si="76"/>
        <v>287500</v>
      </c>
      <c r="AQ43" s="1042">
        <f t="shared" si="85"/>
        <v>718750</v>
      </c>
      <c r="AR43" s="1042">
        <f t="shared" si="86"/>
        <v>431250</v>
      </c>
      <c r="AS43" s="1042">
        <f t="shared" si="87"/>
        <v>215625</v>
      </c>
      <c r="AT43" s="1042">
        <f t="shared" si="47"/>
        <v>934375</v>
      </c>
      <c r="AU43" s="1042">
        <f t="shared" si="48"/>
        <v>215625</v>
      </c>
      <c r="AV43" s="1042">
        <f t="shared" si="88"/>
        <v>287500</v>
      </c>
      <c r="AW43" s="1042">
        <f t="shared" si="50"/>
        <v>1006250</v>
      </c>
      <c r="AX43" s="1042">
        <f t="shared" si="51"/>
        <v>143750</v>
      </c>
      <c r="AZ43" s="8">
        <f t="shared" si="52"/>
        <v>0</v>
      </c>
      <c r="BB43" s="57"/>
    </row>
    <row r="44" spans="1:54" ht="14.25" customHeight="1">
      <c r="A44" s="17">
        <f t="shared" si="53"/>
        <v>37</v>
      </c>
      <c r="B44" s="53" t="s">
        <v>793</v>
      </c>
      <c r="C44" s="238">
        <v>44587</v>
      </c>
      <c r="D44" s="55">
        <v>4</v>
      </c>
      <c r="E44" s="6">
        <v>1150000</v>
      </c>
      <c r="F44" s="1041">
        <f t="shared" si="0"/>
        <v>287500</v>
      </c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T44" s="1042"/>
      <c r="U44" s="1042"/>
      <c r="V44" s="1042"/>
      <c r="W44" s="1042"/>
      <c r="X44" s="1042"/>
      <c r="Y44" s="7"/>
      <c r="Z44" s="7"/>
      <c r="AA44" s="1042"/>
      <c r="AB44" s="1042"/>
      <c r="AC44" s="1042"/>
      <c r="AD44" s="1042"/>
      <c r="AE44" s="1042"/>
      <c r="AF44" s="1042"/>
      <c r="AG44" s="1053">
        <f>(F44/12)*(13-IF(C44="","",MONTH(C44)))</f>
        <v>287500</v>
      </c>
      <c r="AH44" s="1042">
        <f t="shared" ref="AH44:AH57" si="89">AE44+AG44</f>
        <v>287500</v>
      </c>
      <c r="AI44" s="1042">
        <f t="shared" ref="AI44:AI57" si="90">E44-AH44</f>
        <v>862500</v>
      </c>
      <c r="AJ44" s="1042">
        <f t="shared" si="60"/>
        <v>23958.333333333332</v>
      </c>
      <c r="AK44" s="1042">
        <f t="shared" si="41"/>
        <v>311458.33333333331</v>
      </c>
      <c r="AL44" s="1042">
        <f t="shared" si="42"/>
        <v>838541.66666666674</v>
      </c>
      <c r="AM44" s="1042">
        <f t="shared" si="69"/>
        <v>215625</v>
      </c>
      <c r="AN44" s="1042">
        <f t="shared" si="67"/>
        <v>503125</v>
      </c>
      <c r="AO44" s="1042">
        <f t="shared" si="68"/>
        <v>646875</v>
      </c>
      <c r="AP44" s="1042">
        <f t="shared" si="76"/>
        <v>287500</v>
      </c>
      <c r="AQ44" s="1042">
        <f t="shared" ref="AQ44:AQ57" si="91">AP44+AH44</f>
        <v>575000</v>
      </c>
      <c r="AR44" s="1042">
        <f t="shared" ref="AR44:AR57" si="92">E44-AQ44</f>
        <v>575000</v>
      </c>
      <c r="AS44" s="1042">
        <f t="shared" si="87"/>
        <v>215625</v>
      </c>
      <c r="AT44" s="1042">
        <f t="shared" si="47"/>
        <v>790625</v>
      </c>
      <c r="AU44" s="1042">
        <f t="shared" si="48"/>
        <v>359375</v>
      </c>
      <c r="AV44" s="1042">
        <f t="shared" si="88"/>
        <v>287500</v>
      </c>
      <c r="AW44" s="1042">
        <f t="shared" si="50"/>
        <v>862500</v>
      </c>
      <c r="AX44" s="1042">
        <f t="shared" si="51"/>
        <v>287500</v>
      </c>
      <c r="AZ44" s="8">
        <f t="shared" si="52"/>
        <v>0</v>
      </c>
      <c r="BB44" s="57"/>
    </row>
    <row r="45" spans="1:54" ht="14.25" customHeight="1">
      <c r="A45" s="17">
        <f t="shared" si="53"/>
        <v>38</v>
      </c>
      <c r="B45" s="53" t="s">
        <v>794</v>
      </c>
      <c r="C45" s="238">
        <v>44637</v>
      </c>
      <c r="D45" s="55">
        <v>4</v>
      </c>
      <c r="E45" s="6">
        <v>2050000</v>
      </c>
      <c r="F45" s="1041">
        <f t="shared" si="0"/>
        <v>512500</v>
      </c>
      <c r="G45" s="1042"/>
      <c r="H45" s="1042"/>
      <c r="I45" s="1042"/>
      <c r="J45" s="1042"/>
      <c r="K45" s="1042"/>
      <c r="L45" s="1042"/>
      <c r="M45" s="1042"/>
      <c r="N45" s="1042"/>
      <c r="O45" s="1042"/>
      <c r="P45" s="1042"/>
      <c r="Q45" s="1042"/>
      <c r="R45" s="1042"/>
      <c r="S45" s="1042"/>
      <c r="T45" s="1042"/>
      <c r="U45" s="1042"/>
      <c r="V45" s="1042"/>
      <c r="W45" s="1042"/>
      <c r="X45" s="1042"/>
      <c r="Y45" s="7"/>
      <c r="Z45" s="7"/>
      <c r="AA45" s="1042"/>
      <c r="AB45" s="1042"/>
      <c r="AC45" s="1042"/>
      <c r="AD45" s="1042"/>
      <c r="AE45" s="1042"/>
      <c r="AF45" s="1042"/>
      <c r="AG45" s="1053">
        <f t="shared" ref="AG45:AG57" si="93">(F45/12)*(13-IF(C45="","",MONTH(C45)))</f>
        <v>427083.33333333337</v>
      </c>
      <c r="AH45" s="1042">
        <f t="shared" si="89"/>
        <v>427083.33333333337</v>
      </c>
      <c r="AI45" s="1042">
        <f t="shared" si="90"/>
        <v>1622916.6666666665</v>
      </c>
      <c r="AJ45" s="1042">
        <f t="shared" si="60"/>
        <v>42708.333333333336</v>
      </c>
      <c r="AK45" s="1042">
        <f t="shared" si="41"/>
        <v>469791.66666666669</v>
      </c>
      <c r="AL45" s="1042">
        <f t="shared" si="42"/>
        <v>1580208.3333333333</v>
      </c>
      <c r="AM45" s="1042">
        <f t="shared" si="69"/>
        <v>384375</v>
      </c>
      <c r="AN45" s="1042">
        <f t="shared" si="67"/>
        <v>811458.33333333337</v>
      </c>
      <c r="AO45" s="1042">
        <f t="shared" si="68"/>
        <v>1238541.6666666665</v>
      </c>
      <c r="AP45" s="1042">
        <f t="shared" si="76"/>
        <v>512500</v>
      </c>
      <c r="AQ45" s="1042">
        <f t="shared" si="91"/>
        <v>939583.33333333337</v>
      </c>
      <c r="AR45" s="1042">
        <f t="shared" si="92"/>
        <v>1110416.6666666665</v>
      </c>
      <c r="AS45" s="1042">
        <f t="shared" si="87"/>
        <v>384375</v>
      </c>
      <c r="AT45" s="1042">
        <f t="shared" si="47"/>
        <v>1323958.3333333335</v>
      </c>
      <c r="AU45" s="1042">
        <f t="shared" si="48"/>
        <v>726041.66666666651</v>
      </c>
      <c r="AV45" s="1042">
        <f t="shared" si="88"/>
        <v>512500</v>
      </c>
      <c r="AW45" s="1042">
        <f t="shared" si="50"/>
        <v>1452083.3333333335</v>
      </c>
      <c r="AX45" s="1042">
        <f t="shared" si="51"/>
        <v>597916.66666666651</v>
      </c>
      <c r="AZ45" s="8">
        <f t="shared" si="52"/>
        <v>0</v>
      </c>
      <c r="BB45" s="57"/>
    </row>
    <row r="46" spans="1:54" ht="14.25" customHeight="1">
      <c r="A46" s="17">
        <f t="shared" si="53"/>
        <v>39</v>
      </c>
      <c r="B46" s="53" t="s">
        <v>793</v>
      </c>
      <c r="C46" s="238">
        <v>44652</v>
      </c>
      <c r="D46" s="55">
        <v>4</v>
      </c>
      <c r="E46" s="6">
        <v>1120000</v>
      </c>
      <c r="F46" s="1041">
        <f t="shared" ref="F46:F53" si="94">E46/D46</f>
        <v>280000</v>
      </c>
      <c r="G46" s="1042"/>
      <c r="H46" s="1042"/>
      <c r="I46" s="1042"/>
      <c r="J46" s="1062"/>
      <c r="K46" s="1042"/>
      <c r="L46" s="1042"/>
      <c r="M46" s="1042"/>
      <c r="N46" s="1042"/>
      <c r="O46" s="1042"/>
      <c r="P46" s="1042"/>
      <c r="Q46" s="1042"/>
      <c r="R46" s="1042"/>
      <c r="S46" s="1042"/>
      <c r="T46" s="1042"/>
      <c r="U46" s="1042"/>
      <c r="V46" s="1042"/>
      <c r="W46" s="1042"/>
      <c r="X46" s="1042"/>
      <c r="Y46" s="7"/>
      <c r="Z46" s="7"/>
      <c r="AA46" s="1042"/>
      <c r="AB46" s="1042"/>
      <c r="AC46" s="1042"/>
      <c r="AD46" s="1042"/>
      <c r="AE46" s="1042"/>
      <c r="AF46" s="1042"/>
      <c r="AG46" s="1053">
        <f t="shared" si="93"/>
        <v>210000</v>
      </c>
      <c r="AH46" s="1042">
        <f t="shared" si="89"/>
        <v>210000</v>
      </c>
      <c r="AI46" s="1042">
        <f t="shared" si="90"/>
        <v>910000</v>
      </c>
      <c r="AJ46" s="1042">
        <f t="shared" si="60"/>
        <v>23333.333333333332</v>
      </c>
      <c r="AK46" s="1042">
        <f t="shared" si="41"/>
        <v>233333.33333333334</v>
      </c>
      <c r="AL46" s="1042">
        <f t="shared" si="42"/>
        <v>886666.66666666663</v>
      </c>
      <c r="AM46" s="1042">
        <f t="shared" si="69"/>
        <v>210000</v>
      </c>
      <c r="AN46" s="1042">
        <f t="shared" si="67"/>
        <v>420000</v>
      </c>
      <c r="AO46" s="1042">
        <f t="shared" si="68"/>
        <v>700000</v>
      </c>
      <c r="AP46" s="1042">
        <f t="shared" si="76"/>
        <v>280000</v>
      </c>
      <c r="AQ46" s="1042">
        <f t="shared" si="91"/>
        <v>490000</v>
      </c>
      <c r="AR46" s="1042">
        <f t="shared" si="92"/>
        <v>630000</v>
      </c>
      <c r="AS46" s="1042">
        <f t="shared" si="87"/>
        <v>210000</v>
      </c>
      <c r="AT46" s="1042">
        <f t="shared" si="47"/>
        <v>700000</v>
      </c>
      <c r="AU46" s="1042">
        <f t="shared" si="48"/>
        <v>420000</v>
      </c>
      <c r="AV46" s="1042">
        <f t="shared" si="88"/>
        <v>280000</v>
      </c>
      <c r="AW46" s="1042">
        <f t="shared" si="50"/>
        <v>770000</v>
      </c>
      <c r="AX46" s="1042">
        <f t="shared" si="51"/>
        <v>350000</v>
      </c>
      <c r="AZ46" s="8">
        <f t="shared" si="52"/>
        <v>0</v>
      </c>
      <c r="BB46" s="57"/>
    </row>
    <row r="47" spans="1:54" ht="14.25" customHeight="1">
      <c r="A47" s="17">
        <f t="shared" si="53"/>
        <v>40</v>
      </c>
      <c r="B47" s="53" t="s">
        <v>794</v>
      </c>
      <c r="C47" s="238">
        <v>44704</v>
      </c>
      <c r="D47" s="55">
        <v>4</v>
      </c>
      <c r="E47" s="6">
        <v>4960000</v>
      </c>
      <c r="F47" s="1041">
        <f t="shared" si="94"/>
        <v>1240000</v>
      </c>
      <c r="G47" s="1042"/>
      <c r="H47" s="1042"/>
      <c r="I47" s="1042"/>
      <c r="J47" s="1062"/>
      <c r="K47" s="1042"/>
      <c r="L47" s="1042"/>
      <c r="M47" s="1042"/>
      <c r="N47" s="1042"/>
      <c r="O47" s="1042"/>
      <c r="P47" s="1042"/>
      <c r="Q47" s="1042"/>
      <c r="R47" s="1042"/>
      <c r="S47" s="1042"/>
      <c r="T47" s="1042"/>
      <c r="U47" s="1042"/>
      <c r="V47" s="1042"/>
      <c r="W47" s="1042"/>
      <c r="X47" s="1042"/>
      <c r="Y47" s="7"/>
      <c r="Z47" s="7"/>
      <c r="AA47" s="1042"/>
      <c r="AB47" s="1042"/>
      <c r="AC47" s="1042"/>
      <c r="AD47" s="1042"/>
      <c r="AE47" s="1042"/>
      <c r="AF47" s="1042"/>
      <c r="AG47" s="1053">
        <f t="shared" si="93"/>
        <v>826666.66666666663</v>
      </c>
      <c r="AH47" s="1042">
        <f t="shared" si="89"/>
        <v>826666.66666666663</v>
      </c>
      <c r="AI47" s="1042">
        <f t="shared" si="90"/>
        <v>4133333.3333333335</v>
      </c>
      <c r="AJ47" s="1042">
        <f t="shared" si="60"/>
        <v>103333.33333333333</v>
      </c>
      <c r="AK47" s="1042">
        <f t="shared" si="41"/>
        <v>930000</v>
      </c>
      <c r="AL47" s="1042">
        <f t="shared" si="42"/>
        <v>4030000</v>
      </c>
      <c r="AM47" s="1042">
        <f t="shared" si="69"/>
        <v>930000</v>
      </c>
      <c r="AN47" s="1042">
        <f t="shared" si="67"/>
        <v>1756666.6666666665</v>
      </c>
      <c r="AO47" s="1042">
        <f t="shared" si="68"/>
        <v>3203333.3333333335</v>
      </c>
      <c r="AP47" s="1042">
        <f t="shared" si="76"/>
        <v>1240000</v>
      </c>
      <c r="AQ47" s="1042">
        <f t="shared" si="91"/>
        <v>2066666.6666666665</v>
      </c>
      <c r="AR47" s="1042">
        <f t="shared" si="92"/>
        <v>2893333.3333333335</v>
      </c>
      <c r="AS47" s="1042">
        <f t="shared" si="87"/>
        <v>930000</v>
      </c>
      <c r="AT47" s="1042">
        <f t="shared" si="47"/>
        <v>2996666.6666666665</v>
      </c>
      <c r="AU47" s="1042">
        <f t="shared" si="48"/>
        <v>1963333.3333333335</v>
      </c>
      <c r="AV47" s="1042">
        <f t="shared" si="88"/>
        <v>1240000</v>
      </c>
      <c r="AW47" s="1042">
        <f t="shared" si="50"/>
        <v>3306666.6666666665</v>
      </c>
      <c r="AX47" s="1042">
        <f t="shared" si="51"/>
        <v>1653333.3333333335</v>
      </c>
      <c r="AZ47" s="8">
        <f t="shared" si="52"/>
        <v>0</v>
      </c>
      <c r="BB47" s="57"/>
    </row>
    <row r="48" spans="1:54" ht="14.25" customHeight="1">
      <c r="A48" s="17">
        <f t="shared" si="53"/>
        <v>41</v>
      </c>
      <c r="B48" s="53" t="s">
        <v>795</v>
      </c>
      <c r="C48" s="238">
        <v>44706</v>
      </c>
      <c r="D48" s="55">
        <v>4</v>
      </c>
      <c r="E48" s="6">
        <v>1800000</v>
      </c>
      <c r="F48" s="1041">
        <f t="shared" si="94"/>
        <v>450000</v>
      </c>
      <c r="G48" s="1042"/>
      <c r="H48" s="1042"/>
      <c r="I48" s="1042"/>
      <c r="J48" s="1062"/>
      <c r="K48" s="1042"/>
      <c r="L48" s="1042"/>
      <c r="M48" s="1042"/>
      <c r="N48" s="1042"/>
      <c r="O48" s="1042"/>
      <c r="P48" s="1042"/>
      <c r="Q48" s="1042"/>
      <c r="R48" s="1042"/>
      <c r="S48" s="1042"/>
      <c r="T48" s="1042"/>
      <c r="U48" s="1042"/>
      <c r="V48" s="1042"/>
      <c r="W48" s="1042"/>
      <c r="X48" s="1042"/>
      <c r="Y48" s="7"/>
      <c r="Z48" s="7"/>
      <c r="AA48" s="1042"/>
      <c r="AB48" s="1042"/>
      <c r="AC48" s="1042"/>
      <c r="AD48" s="1042"/>
      <c r="AE48" s="1042"/>
      <c r="AF48" s="1042"/>
      <c r="AG48" s="1053">
        <f t="shared" si="93"/>
        <v>300000</v>
      </c>
      <c r="AH48" s="1042">
        <f t="shared" si="89"/>
        <v>300000</v>
      </c>
      <c r="AI48" s="1042">
        <f t="shared" si="90"/>
        <v>1500000</v>
      </c>
      <c r="AJ48" s="1042">
        <f t="shared" si="60"/>
        <v>37500</v>
      </c>
      <c r="AK48" s="1042">
        <f t="shared" si="41"/>
        <v>337500</v>
      </c>
      <c r="AL48" s="1042">
        <f t="shared" si="42"/>
        <v>1462500</v>
      </c>
      <c r="AM48" s="1042">
        <f t="shared" si="69"/>
        <v>337500</v>
      </c>
      <c r="AN48" s="1042">
        <f t="shared" si="67"/>
        <v>637500</v>
      </c>
      <c r="AO48" s="1042">
        <f t="shared" si="68"/>
        <v>1162500</v>
      </c>
      <c r="AP48" s="1042">
        <f t="shared" si="76"/>
        <v>450000</v>
      </c>
      <c r="AQ48" s="1042">
        <f t="shared" si="91"/>
        <v>750000</v>
      </c>
      <c r="AR48" s="1042">
        <f t="shared" si="92"/>
        <v>1050000</v>
      </c>
      <c r="AS48" s="1042">
        <f t="shared" si="87"/>
        <v>337500</v>
      </c>
      <c r="AT48" s="1042">
        <f t="shared" si="47"/>
        <v>1087500</v>
      </c>
      <c r="AU48" s="1042">
        <f t="shared" si="48"/>
        <v>712500</v>
      </c>
      <c r="AV48" s="1042">
        <f t="shared" si="88"/>
        <v>450000</v>
      </c>
      <c r="AW48" s="1042">
        <f t="shared" si="50"/>
        <v>1200000</v>
      </c>
      <c r="AX48" s="1042">
        <f t="shared" si="51"/>
        <v>600000</v>
      </c>
      <c r="AZ48" s="8">
        <f t="shared" si="52"/>
        <v>0</v>
      </c>
      <c r="BB48" s="57"/>
    </row>
    <row r="49" spans="1:54" ht="14.25" customHeight="1">
      <c r="A49" s="17">
        <f t="shared" si="53"/>
        <v>42</v>
      </c>
      <c r="B49" s="53" t="s">
        <v>794</v>
      </c>
      <c r="C49" s="238">
        <v>44711</v>
      </c>
      <c r="D49" s="55">
        <v>4</v>
      </c>
      <c r="E49" s="6">
        <v>2050000</v>
      </c>
      <c r="F49" s="1041">
        <f t="shared" si="94"/>
        <v>512500</v>
      </c>
      <c r="G49" s="1042"/>
      <c r="H49" s="1042"/>
      <c r="I49" s="1042"/>
      <c r="J49" s="1062"/>
      <c r="K49" s="1042"/>
      <c r="L49" s="1042"/>
      <c r="M49" s="1042"/>
      <c r="N49" s="1042"/>
      <c r="O49" s="1042"/>
      <c r="P49" s="1042"/>
      <c r="Q49" s="1042"/>
      <c r="R49" s="1042"/>
      <c r="S49" s="1042"/>
      <c r="T49" s="1042"/>
      <c r="U49" s="1042"/>
      <c r="V49" s="1042"/>
      <c r="W49" s="1042"/>
      <c r="X49" s="1042"/>
      <c r="Y49" s="7"/>
      <c r="Z49" s="7"/>
      <c r="AA49" s="1042"/>
      <c r="AB49" s="1042"/>
      <c r="AC49" s="1042"/>
      <c r="AD49" s="1042"/>
      <c r="AE49" s="1042"/>
      <c r="AF49" s="1042"/>
      <c r="AG49" s="1053">
        <f t="shared" si="93"/>
        <v>341666.66666666669</v>
      </c>
      <c r="AH49" s="1042">
        <f t="shared" si="89"/>
        <v>341666.66666666669</v>
      </c>
      <c r="AI49" s="1042">
        <f t="shared" si="90"/>
        <v>1708333.3333333333</v>
      </c>
      <c r="AJ49" s="1042">
        <f t="shared" si="60"/>
        <v>42708.333333333336</v>
      </c>
      <c r="AK49" s="1042">
        <f t="shared" si="41"/>
        <v>384375</v>
      </c>
      <c r="AL49" s="1042">
        <f t="shared" si="42"/>
        <v>1665625</v>
      </c>
      <c r="AM49" s="1042">
        <f t="shared" si="69"/>
        <v>384375</v>
      </c>
      <c r="AN49" s="1042">
        <f t="shared" si="67"/>
        <v>726041.66666666674</v>
      </c>
      <c r="AO49" s="1042">
        <f t="shared" si="68"/>
        <v>1323958.3333333333</v>
      </c>
      <c r="AP49" s="1042">
        <f t="shared" si="76"/>
        <v>512500</v>
      </c>
      <c r="AQ49" s="1042">
        <f t="shared" si="91"/>
        <v>854166.66666666674</v>
      </c>
      <c r="AR49" s="1042">
        <f t="shared" si="92"/>
        <v>1195833.3333333333</v>
      </c>
      <c r="AS49" s="1042">
        <f t="shared" si="87"/>
        <v>384375</v>
      </c>
      <c r="AT49" s="1042">
        <f t="shared" si="47"/>
        <v>1238541.6666666667</v>
      </c>
      <c r="AU49" s="1042">
        <f t="shared" si="48"/>
        <v>811458.33333333326</v>
      </c>
      <c r="AV49" s="1042">
        <f t="shared" si="88"/>
        <v>512500</v>
      </c>
      <c r="AW49" s="1042">
        <f t="shared" si="50"/>
        <v>1366666.6666666667</v>
      </c>
      <c r="AX49" s="1042">
        <f t="shared" si="51"/>
        <v>683333.33333333326</v>
      </c>
      <c r="AZ49" s="8">
        <f t="shared" si="52"/>
        <v>0</v>
      </c>
      <c r="BB49" s="57"/>
    </row>
    <row r="50" spans="1:54" ht="14.25" customHeight="1">
      <c r="A50" s="17">
        <f t="shared" si="53"/>
        <v>43</v>
      </c>
      <c r="B50" s="53" t="s">
        <v>796</v>
      </c>
      <c r="C50" s="238">
        <v>44749</v>
      </c>
      <c r="D50" s="55">
        <v>4</v>
      </c>
      <c r="E50" s="6">
        <v>1150000</v>
      </c>
      <c r="F50" s="1041">
        <f t="shared" si="94"/>
        <v>287500</v>
      </c>
      <c r="G50" s="1042"/>
      <c r="H50" s="1042"/>
      <c r="I50" s="1042"/>
      <c r="J50" s="1062"/>
      <c r="K50" s="1042"/>
      <c r="L50" s="1042"/>
      <c r="M50" s="1042"/>
      <c r="N50" s="1042"/>
      <c r="O50" s="1042"/>
      <c r="P50" s="1042"/>
      <c r="Q50" s="1042"/>
      <c r="R50" s="1042"/>
      <c r="S50" s="1042"/>
      <c r="T50" s="1042"/>
      <c r="U50" s="1042"/>
      <c r="V50" s="1042"/>
      <c r="W50" s="1042"/>
      <c r="X50" s="1042"/>
      <c r="Y50" s="7"/>
      <c r="Z50" s="7"/>
      <c r="AA50" s="1042"/>
      <c r="AB50" s="1042"/>
      <c r="AC50" s="1042"/>
      <c r="AD50" s="1042"/>
      <c r="AE50" s="1042"/>
      <c r="AF50" s="1042"/>
      <c r="AG50" s="1053">
        <f t="shared" si="93"/>
        <v>143750</v>
      </c>
      <c r="AH50" s="1042">
        <f t="shared" si="89"/>
        <v>143750</v>
      </c>
      <c r="AI50" s="1042">
        <f t="shared" si="90"/>
        <v>1006250</v>
      </c>
      <c r="AJ50" s="1042">
        <f t="shared" si="60"/>
        <v>23958.333333333332</v>
      </c>
      <c r="AK50" s="1042">
        <f t="shared" si="41"/>
        <v>167708.33333333334</v>
      </c>
      <c r="AL50" s="1042">
        <f t="shared" si="42"/>
        <v>982291.66666666663</v>
      </c>
      <c r="AM50" s="1042">
        <f t="shared" si="69"/>
        <v>215625</v>
      </c>
      <c r="AN50" s="1042">
        <f t="shared" si="67"/>
        <v>359375</v>
      </c>
      <c r="AO50" s="1042">
        <f t="shared" si="68"/>
        <v>790625</v>
      </c>
      <c r="AP50" s="1042">
        <f t="shared" si="76"/>
        <v>287500</v>
      </c>
      <c r="AQ50" s="1042">
        <f t="shared" si="91"/>
        <v>431250</v>
      </c>
      <c r="AR50" s="1042">
        <f t="shared" si="92"/>
        <v>718750</v>
      </c>
      <c r="AS50" s="1042">
        <f t="shared" si="87"/>
        <v>215625</v>
      </c>
      <c r="AT50" s="1042">
        <f t="shared" si="47"/>
        <v>646875</v>
      </c>
      <c r="AU50" s="1042">
        <f t="shared" si="48"/>
        <v>503125</v>
      </c>
      <c r="AV50" s="1042">
        <f t="shared" si="88"/>
        <v>287500</v>
      </c>
      <c r="AW50" s="1042">
        <f t="shared" si="50"/>
        <v>718750</v>
      </c>
      <c r="AX50" s="1042">
        <f t="shared" si="51"/>
        <v>431250</v>
      </c>
      <c r="AZ50" s="8">
        <f t="shared" si="52"/>
        <v>0</v>
      </c>
      <c r="BB50" s="57"/>
    </row>
    <row r="51" spans="1:54" ht="14.25" customHeight="1">
      <c r="A51" s="17">
        <f t="shared" si="53"/>
        <v>44</v>
      </c>
      <c r="B51" s="53" t="s">
        <v>793</v>
      </c>
      <c r="C51" s="238">
        <v>44817</v>
      </c>
      <c r="D51" s="55">
        <v>4</v>
      </c>
      <c r="E51" s="6">
        <v>1050000</v>
      </c>
      <c r="F51" s="1041">
        <f t="shared" si="94"/>
        <v>262500</v>
      </c>
      <c r="G51" s="1042"/>
      <c r="H51" s="1042"/>
      <c r="I51" s="1042"/>
      <c r="J51" s="1062"/>
      <c r="K51" s="1042"/>
      <c r="L51" s="1042"/>
      <c r="M51" s="1042"/>
      <c r="N51" s="1042"/>
      <c r="O51" s="1042"/>
      <c r="P51" s="1042"/>
      <c r="Q51" s="1042"/>
      <c r="R51" s="1042"/>
      <c r="S51" s="1042"/>
      <c r="T51" s="1042"/>
      <c r="U51" s="1042"/>
      <c r="V51" s="1042"/>
      <c r="W51" s="1042"/>
      <c r="X51" s="1042"/>
      <c r="Y51" s="7"/>
      <c r="Z51" s="7"/>
      <c r="AA51" s="1042"/>
      <c r="AB51" s="1042"/>
      <c r="AC51" s="1042"/>
      <c r="AD51" s="1042"/>
      <c r="AE51" s="1042"/>
      <c r="AF51" s="1042"/>
      <c r="AG51" s="1053">
        <f t="shared" si="93"/>
        <v>87500</v>
      </c>
      <c r="AH51" s="1042">
        <f t="shared" si="89"/>
        <v>87500</v>
      </c>
      <c r="AI51" s="1042">
        <f t="shared" si="90"/>
        <v>962500</v>
      </c>
      <c r="AJ51" s="1042">
        <f t="shared" si="60"/>
        <v>21875</v>
      </c>
      <c r="AK51" s="1042">
        <f t="shared" si="41"/>
        <v>109375</v>
      </c>
      <c r="AL51" s="1042">
        <f t="shared" si="42"/>
        <v>940625</v>
      </c>
      <c r="AM51" s="1042">
        <f t="shared" si="69"/>
        <v>196875</v>
      </c>
      <c r="AN51" s="1042">
        <f t="shared" si="67"/>
        <v>284375</v>
      </c>
      <c r="AO51" s="1042">
        <f t="shared" si="68"/>
        <v>765625</v>
      </c>
      <c r="AP51" s="1042">
        <f t="shared" si="76"/>
        <v>262500</v>
      </c>
      <c r="AQ51" s="1042">
        <f t="shared" si="91"/>
        <v>350000</v>
      </c>
      <c r="AR51" s="1042">
        <f t="shared" si="92"/>
        <v>700000</v>
      </c>
      <c r="AS51" s="1042">
        <f t="shared" si="87"/>
        <v>196875</v>
      </c>
      <c r="AT51" s="1042">
        <f t="shared" si="47"/>
        <v>546875</v>
      </c>
      <c r="AU51" s="1042">
        <f t="shared" si="48"/>
        <v>503125</v>
      </c>
      <c r="AV51" s="1042">
        <f t="shared" si="88"/>
        <v>262500</v>
      </c>
      <c r="AW51" s="1042">
        <f t="shared" si="50"/>
        <v>612500</v>
      </c>
      <c r="AX51" s="1042">
        <f t="shared" si="51"/>
        <v>437500</v>
      </c>
      <c r="AZ51" s="8">
        <f t="shared" si="52"/>
        <v>0</v>
      </c>
      <c r="BB51" s="57"/>
    </row>
    <row r="52" spans="1:54" ht="14.25" customHeight="1">
      <c r="A52" s="17">
        <f t="shared" si="53"/>
        <v>45</v>
      </c>
      <c r="B52" s="53" t="s">
        <v>794</v>
      </c>
      <c r="C52" s="238">
        <v>44869</v>
      </c>
      <c r="D52" s="55">
        <v>4</v>
      </c>
      <c r="E52" s="6">
        <v>1925000</v>
      </c>
      <c r="F52" s="1041">
        <f t="shared" si="94"/>
        <v>481250</v>
      </c>
      <c r="G52" s="1042"/>
      <c r="H52" s="1042"/>
      <c r="I52" s="1042"/>
      <c r="J52" s="1062"/>
      <c r="K52" s="1042"/>
      <c r="L52" s="1042"/>
      <c r="M52" s="1042"/>
      <c r="N52" s="1042"/>
      <c r="O52" s="1042"/>
      <c r="P52" s="1042"/>
      <c r="Q52" s="1042"/>
      <c r="R52" s="1042"/>
      <c r="S52" s="1042"/>
      <c r="T52" s="1042"/>
      <c r="U52" s="1042"/>
      <c r="V52" s="1042"/>
      <c r="W52" s="1042"/>
      <c r="X52" s="1042"/>
      <c r="Y52" s="7"/>
      <c r="Z52" s="7"/>
      <c r="AA52" s="1042"/>
      <c r="AB52" s="1042"/>
      <c r="AC52" s="1042"/>
      <c r="AD52" s="1042"/>
      <c r="AE52" s="1042"/>
      <c r="AF52" s="1042"/>
      <c r="AG52" s="1053">
        <f t="shared" si="93"/>
        <v>80208.333333333328</v>
      </c>
      <c r="AH52" s="1042">
        <f t="shared" si="89"/>
        <v>80208.333333333328</v>
      </c>
      <c r="AI52" s="1042">
        <f t="shared" si="90"/>
        <v>1844791.6666666667</v>
      </c>
      <c r="AJ52" s="1042">
        <f t="shared" si="60"/>
        <v>40104.166666666664</v>
      </c>
      <c r="AK52" s="1042">
        <f t="shared" si="41"/>
        <v>120312.5</v>
      </c>
      <c r="AL52" s="1042">
        <f t="shared" si="42"/>
        <v>1804687.5</v>
      </c>
      <c r="AM52" s="1042">
        <f t="shared" si="69"/>
        <v>360937.5</v>
      </c>
      <c r="AN52" s="1042">
        <f t="shared" si="67"/>
        <v>441145.83333333331</v>
      </c>
      <c r="AO52" s="1042">
        <f t="shared" si="68"/>
        <v>1483854.1666666667</v>
      </c>
      <c r="AP52" s="1042">
        <f t="shared" si="76"/>
        <v>481250</v>
      </c>
      <c r="AQ52" s="1042">
        <f t="shared" si="91"/>
        <v>561458.33333333337</v>
      </c>
      <c r="AR52" s="1042">
        <f t="shared" si="92"/>
        <v>1363541.6666666665</v>
      </c>
      <c r="AS52" s="1042">
        <f t="shared" si="87"/>
        <v>360937.5</v>
      </c>
      <c r="AT52" s="1042">
        <f t="shared" si="47"/>
        <v>922395.83333333337</v>
      </c>
      <c r="AU52" s="1042">
        <f t="shared" si="48"/>
        <v>1002604.1666666666</v>
      </c>
      <c r="AV52" s="1042">
        <f t="shared" si="88"/>
        <v>481250</v>
      </c>
      <c r="AW52" s="1042">
        <f t="shared" si="50"/>
        <v>1042708.3333333334</v>
      </c>
      <c r="AX52" s="1042">
        <f t="shared" si="51"/>
        <v>882291.66666666663</v>
      </c>
      <c r="AZ52" s="8">
        <f t="shared" si="52"/>
        <v>0</v>
      </c>
      <c r="BB52" s="57"/>
    </row>
    <row r="53" spans="1:54" ht="14.25" customHeight="1">
      <c r="A53" s="17">
        <f t="shared" si="53"/>
        <v>46</v>
      </c>
      <c r="B53" s="53" t="s">
        <v>797</v>
      </c>
      <c r="C53" s="238">
        <v>44874</v>
      </c>
      <c r="D53" s="55">
        <v>4</v>
      </c>
      <c r="E53" s="6">
        <v>3680000</v>
      </c>
      <c r="F53" s="1041">
        <f t="shared" si="94"/>
        <v>920000</v>
      </c>
      <c r="G53" s="1042"/>
      <c r="H53" s="1042"/>
      <c r="I53" s="1042"/>
      <c r="J53" s="1042"/>
      <c r="K53" s="1042"/>
      <c r="L53" s="1042"/>
      <c r="M53" s="1042"/>
      <c r="N53" s="1042"/>
      <c r="O53" s="1042"/>
      <c r="P53" s="1042"/>
      <c r="Q53" s="1042"/>
      <c r="R53" s="1042"/>
      <c r="S53" s="1042"/>
      <c r="T53" s="1042"/>
      <c r="U53" s="1042"/>
      <c r="V53" s="1042"/>
      <c r="W53" s="1042"/>
      <c r="X53" s="1042"/>
      <c r="Y53" s="7"/>
      <c r="Z53" s="7"/>
      <c r="AA53" s="1042"/>
      <c r="AB53" s="1042"/>
      <c r="AC53" s="1042"/>
      <c r="AD53" s="1042"/>
      <c r="AE53" s="1042"/>
      <c r="AF53" s="1042"/>
      <c r="AG53" s="1053">
        <f t="shared" si="93"/>
        <v>153333.33333333334</v>
      </c>
      <c r="AH53" s="1042">
        <f t="shared" si="89"/>
        <v>153333.33333333334</v>
      </c>
      <c r="AI53" s="1042">
        <f t="shared" si="90"/>
        <v>3526666.6666666665</v>
      </c>
      <c r="AJ53" s="1042">
        <f t="shared" si="60"/>
        <v>76666.666666666672</v>
      </c>
      <c r="AK53" s="1042">
        <f t="shared" si="41"/>
        <v>230000</v>
      </c>
      <c r="AL53" s="1042">
        <f t="shared" si="42"/>
        <v>3450000</v>
      </c>
      <c r="AM53" s="1042">
        <f t="shared" si="69"/>
        <v>690000</v>
      </c>
      <c r="AN53" s="1042">
        <f t="shared" si="67"/>
        <v>843333.33333333337</v>
      </c>
      <c r="AO53" s="1042">
        <f t="shared" si="68"/>
        <v>2836666.6666666665</v>
      </c>
      <c r="AP53" s="1042">
        <f t="shared" si="76"/>
        <v>920000</v>
      </c>
      <c r="AQ53" s="1042">
        <f t="shared" si="91"/>
        <v>1073333.3333333333</v>
      </c>
      <c r="AR53" s="1042">
        <f t="shared" si="92"/>
        <v>2606666.666666667</v>
      </c>
      <c r="AS53" s="1042">
        <f t="shared" si="87"/>
        <v>690000</v>
      </c>
      <c r="AT53" s="1042">
        <f t="shared" si="47"/>
        <v>1763333.3333333333</v>
      </c>
      <c r="AU53" s="1042">
        <f t="shared" si="48"/>
        <v>1916666.6666666667</v>
      </c>
      <c r="AV53" s="1042">
        <f t="shared" si="88"/>
        <v>920000</v>
      </c>
      <c r="AW53" s="1042">
        <f t="shared" si="50"/>
        <v>1993333.3333333333</v>
      </c>
      <c r="AX53" s="1042">
        <f t="shared" si="51"/>
        <v>1686666.6666666667</v>
      </c>
      <c r="AZ53" s="8">
        <f t="shared" si="52"/>
        <v>0</v>
      </c>
      <c r="BB53" s="57"/>
    </row>
    <row r="54" spans="1:54" ht="14.25" customHeight="1">
      <c r="A54" s="17">
        <f t="shared" si="53"/>
        <v>47</v>
      </c>
      <c r="B54" s="56" t="s">
        <v>798</v>
      </c>
      <c r="C54" s="238">
        <v>44888</v>
      </c>
      <c r="D54" s="55">
        <v>4</v>
      </c>
      <c r="E54" s="6">
        <v>5850000</v>
      </c>
      <c r="F54" s="1041">
        <f>E54/D54</f>
        <v>1462500</v>
      </c>
      <c r="G54" s="1042"/>
      <c r="H54" s="1042"/>
      <c r="I54" s="1042"/>
      <c r="J54" s="1042"/>
      <c r="K54" s="1042"/>
      <c r="L54" s="1042"/>
      <c r="M54" s="1042"/>
      <c r="N54" s="1042"/>
      <c r="O54" s="1042"/>
      <c r="P54" s="1042"/>
      <c r="Q54" s="1042"/>
      <c r="R54" s="1042"/>
      <c r="S54" s="1042"/>
      <c r="T54" s="1042"/>
      <c r="U54" s="1042"/>
      <c r="V54" s="1042"/>
      <c r="W54" s="1042"/>
      <c r="X54" s="1042"/>
      <c r="Y54" s="7"/>
      <c r="Z54" s="7"/>
      <c r="AA54" s="1042"/>
      <c r="AB54" s="1042"/>
      <c r="AC54" s="1042"/>
      <c r="AD54" s="1042"/>
      <c r="AE54" s="1042"/>
      <c r="AF54" s="1042"/>
      <c r="AG54" s="1053">
        <f t="shared" si="93"/>
        <v>243750</v>
      </c>
      <c r="AH54" s="1042">
        <f t="shared" si="89"/>
        <v>243750</v>
      </c>
      <c r="AI54" s="1042">
        <f t="shared" si="90"/>
        <v>5606250</v>
      </c>
      <c r="AJ54" s="1042">
        <f t="shared" si="60"/>
        <v>121875</v>
      </c>
      <c r="AK54" s="1042">
        <f t="shared" si="41"/>
        <v>365625</v>
      </c>
      <c r="AL54" s="1042">
        <f t="shared" si="42"/>
        <v>5484375</v>
      </c>
      <c r="AM54" s="1042">
        <f t="shared" si="69"/>
        <v>1096875</v>
      </c>
      <c r="AN54" s="1042">
        <f t="shared" si="67"/>
        <v>1340625</v>
      </c>
      <c r="AO54" s="1042">
        <f t="shared" si="68"/>
        <v>4509375</v>
      </c>
      <c r="AP54" s="1042">
        <f t="shared" si="76"/>
        <v>1462500</v>
      </c>
      <c r="AQ54" s="1042">
        <f t="shared" si="91"/>
        <v>1706250</v>
      </c>
      <c r="AR54" s="1042">
        <f t="shared" si="92"/>
        <v>4143750</v>
      </c>
      <c r="AS54" s="1042">
        <f t="shared" si="87"/>
        <v>1096875</v>
      </c>
      <c r="AT54" s="1042">
        <f t="shared" si="47"/>
        <v>2803125</v>
      </c>
      <c r="AU54" s="1042">
        <f t="shared" si="48"/>
        <v>3046875</v>
      </c>
      <c r="AV54" s="1042">
        <f t="shared" si="88"/>
        <v>1462500</v>
      </c>
      <c r="AW54" s="1042">
        <f t="shared" si="50"/>
        <v>3168750</v>
      </c>
      <c r="AX54" s="1042">
        <f t="shared" si="51"/>
        <v>2681250</v>
      </c>
      <c r="AZ54" s="8">
        <f t="shared" si="52"/>
        <v>0</v>
      </c>
      <c r="BB54" s="57"/>
    </row>
    <row r="55" spans="1:54" ht="14.25" customHeight="1">
      <c r="A55" s="17">
        <f t="shared" si="53"/>
        <v>48</v>
      </c>
      <c r="B55" s="56" t="s">
        <v>799</v>
      </c>
      <c r="C55" s="238">
        <v>44891</v>
      </c>
      <c r="D55" s="55">
        <v>4</v>
      </c>
      <c r="E55" s="6">
        <v>4300000</v>
      </c>
      <c r="F55" s="1041">
        <f>E55/D55</f>
        <v>1075000</v>
      </c>
      <c r="G55" s="1042"/>
      <c r="H55" s="1042"/>
      <c r="I55" s="1042"/>
      <c r="J55" s="1042"/>
      <c r="K55" s="1042"/>
      <c r="L55" s="1042"/>
      <c r="M55" s="1042"/>
      <c r="N55" s="1042"/>
      <c r="O55" s="1042"/>
      <c r="P55" s="1042"/>
      <c r="Q55" s="1042"/>
      <c r="R55" s="1042"/>
      <c r="S55" s="1042"/>
      <c r="T55" s="1042"/>
      <c r="U55" s="1042"/>
      <c r="V55" s="1042"/>
      <c r="W55" s="1042"/>
      <c r="X55" s="1042"/>
      <c r="Y55" s="7"/>
      <c r="Z55" s="7"/>
      <c r="AA55" s="1042"/>
      <c r="AB55" s="1042"/>
      <c r="AC55" s="1042"/>
      <c r="AD55" s="1042"/>
      <c r="AE55" s="1042"/>
      <c r="AF55" s="1042"/>
      <c r="AG55" s="1053">
        <f t="shared" si="93"/>
        <v>179166.66666666666</v>
      </c>
      <c r="AH55" s="1042">
        <f t="shared" si="89"/>
        <v>179166.66666666666</v>
      </c>
      <c r="AI55" s="1042">
        <f t="shared" si="90"/>
        <v>4120833.3333333335</v>
      </c>
      <c r="AJ55" s="1042">
        <f t="shared" si="60"/>
        <v>89583.333333333328</v>
      </c>
      <c r="AK55" s="1042">
        <f t="shared" si="41"/>
        <v>268750</v>
      </c>
      <c r="AL55" s="1042">
        <f t="shared" si="42"/>
        <v>4031250</v>
      </c>
      <c r="AM55" s="1042">
        <f t="shared" si="69"/>
        <v>806250</v>
      </c>
      <c r="AN55" s="1042">
        <f t="shared" si="67"/>
        <v>985416.66666666663</v>
      </c>
      <c r="AO55" s="1042">
        <f t="shared" si="68"/>
        <v>3314583.3333333335</v>
      </c>
      <c r="AP55" s="1042">
        <f t="shared" si="76"/>
        <v>1075000</v>
      </c>
      <c r="AQ55" s="1042">
        <f t="shared" si="91"/>
        <v>1254166.6666666667</v>
      </c>
      <c r="AR55" s="1042">
        <f t="shared" si="92"/>
        <v>3045833.333333333</v>
      </c>
      <c r="AS55" s="1042">
        <f t="shared" si="87"/>
        <v>806250</v>
      </c>
      <c r="AT55" s="1042">
        <f t="shared" si="47"/>
        <v>2060416.6666666667</v>
      </c>
      <c r="AU55" s="1042">
        <f t="shared" si="48"/>
        <v>2239583.333333333</v>
      </c>
      <c r="AV55" s="1042">
        <f t="shared" si="88"/>
        <v>1075000</v>
      </c>
      <c r="AW55" s="1042">
        <f t="shared" si="50"/>
        <v>2329166.666666667</v>
      </c>
      <c r="AX55" s="1042">
        <f t="shared" si="51"/>
        <v>1970833.333333333</v>
      </c>
      <c r="AZ55" s="8">
        <f t="shared" si="52"/>
        <v>0</v>
      </c>
      <c r="BB55" s="57"/>
    </row>
    <row r="56" spans="1:54" ht="14.25" customHeight="1">
      <c r="A56" s="17">
        <f t="shared" si="53"/>
        <v>49</v>
      </c>
      <c r="B56" s="56" t="s">
        <v>800</v>
      </c>
      <c r="C56" s="238">
        <v>44897</v>
      </c>
      <c r="D56" s="55">
        <v>4</v>
      </c>
      <c r="E56" s="6">
        <v>2985000</v>
      </c>
      <c r="F56" s="1041">
        <f>E56/D56</f>
        <v>746250</v>
      </c>
      <c r="G56" s="1042"/>
      <c r="H56" s="1042"/>
      <c r="I56" s="1042"/>
      <c r="J56" s="1042"/>
      <c r="K56" s="1042"/>
      <c r="L56" s="1042"/>
      <c r="M56" s="1042"/>
      <c r="N56" s="1042"/>
      <c r="O56" s="1042"/>
      <c r="P56" s="1042"/>
      <c r="Q56" s="1042"/>
      <c r="R56" s="1042"/>
      <c r="S56" s="1042"/>
      <c r="T56" s="1042"/>
      <c r="U56" s="1042"/>
      <c r="V56" s="1042"/>
      <c r="W56" s="1042"/>
      <c r="X56" s="1042"/>
      <c r="Y56" s="7"/>
      <c r="Z56" s="7"/>
      <c r="AA56" s="1042"/>
      <c r="AB56" s="1042"/>
      <c r="AC56" s="1042"/>
      <c r="AD56" s="1042"/>
      <c r="AE56" s="1042"/>
      <c r="AF56" s="1042"/>
      <c r="AG56" s="1053">
        <f t="shared" si="93"/>
        <v>62187.5</v>
      </c>
      <c r="AH56" s="1042">
        <f t="shared" si="89"/>
        <v>62187.5</v>
      </c>
      <c r="AI56" s="1042">
        <f t="shared" si="90"/>
        <v>2922812.5</v>
      </c>
      <c r="AJ56" s="1042">
        <f t="shared" si="60"/>
        <v>62187.5</v>
      </c>
      <c r="AK56" s="1042">
        <f t="shared" si="41"/>
        <v>124375</v>
      </c>
      <c r="AL56" s="1042">
        <f t="shared" si="42"/>
        <v>2860625</v>
      </c>
      <c r="AM56" s="1042">
        <f t="shared" si="69"/>
        <v>559687.5</v>
      </c>
      <c r="AN56" s="1042">
        <f t="shared" si="67"/>
        <v>621875</v>
      </c>
      <c r="AO56" s="1042">
        <f t="shared" si="68"/>
        <v>2363125</v>
      </c>
      <c r="AP56" s="1042">
        <f t="shared" si="76"/>
        <v>746250</v>
      </c>
      <c r="AQ56" s="1042">
        <f t="shared" si="91"/>
        <v>808437.5</v>
      </c>
      <c r="AR56" s="1042">
        <f t="shared" si="92"/>
        <v>2176562.5</v>
      </c>
      <c r="AS56" s="1042">
        <f t="shared" si="87"/>
        <v>559687.5</v>
      </c>
      <c r="AT56" s="1042">
        <f t="shared" si="47"/>
        <v>1368125</v>
      </c>
      <c r="AU56" s="1042">
        <f t="shared" si="48"/>
        <v>1616875</v>
      </c>
      <c r="AV56" s="1042">
        <f t="shared" si="88"/>
        <v>746250</v>
      </c>
      <c r="AW56" s="1042">
        <f t="shared" si="50"/>
        <v>1554687.5</v>
      </c>
      <c r="AX56" s="1042">
        <f t="shared" si="51"/>
        <v>1430312.5</v>
      </c>
      <c r="AZ56" s="8">
        <f t="shared" si="52"/>
        <v>0</v>
      </c>
      <c r="BB56" s="57"/>
    </row>
    <row r="57" spans="1:54" ht="14.25" customHeight="1">
      <c r="A57" s="17">
        <f t="shared" si="53"/>
        <v>50</v>
      </c>
      <c r="B57" s="56" t="s">
        <v>801</v>
      </c>
      <c r="C57" s="238">
        <v>44924</v>
      </c>
      <c r="D57" s="55">
        <v>4</v>
      </c>
      <c r="E57" s="6">
        <v>6300000</v>
      </c>
      <c r="F57" s="1041">
        <f>E57/D57</f>
        <v>1575000</v>
      </c>
      <c r="G57" s="1042"/>
      <c r="H57" s="1042"/>
      <c r="I57" s="1042"/>
      <c r="J57" s="1042"/>
      <c r="K57" s="1042"/>
      <c r="L57" s="1042"/>
      <c r="M57" s="1042"/>
      <c r="N57" s="1042"/>
      <c r="O57" s="1042"/>
      <c r="P57" s="1042"/>
      <c r="Q57" s="1042"/>
      <c r="R57" s="1042"/>
      <c r="S57" s="1042"/>
      <c r="T57" s="1042"/>
      <c r="U57" s="1042"/>
      <c r="V57" s="1042"/>
      <c r="W57" s="1042"/>
      <c r="X57" s="1042"/>
      <c r="Y57" s="7"/>
      <c r="Z57" s="7"/>
      <c r="AA57" s="1042"/>
      <c r="AB57" s="1042"/>
      <c r="AC57" s="1042"/>
      <c r="AD57" s="1042"/>
      <c r="AE57" s="1042"/>
      <c r="AF57" s="1042"/>
      <c r="AG57" s="1053">
        <f t="shared" si="93"/>
        <v>131250</v>
      </c>
      <c r="AH57" s="1042">
        <f t="shared" si="89"/>
        <v>131250</v>
      </c>
      <c r="AI57" s="1042">
        <f t="shared" si="90"/>
        <v>6168750</v>
      </c>
      <c r="AJ57" s="1042">
        <f t="shared" si="60"/>
        <v>131250</v>
      </c>
      <c r="AK57" s="1042">
        <f t="shared" si="41"/>
        <v>262500</v>
      </c>
      <c r="AL57" s="1042">
        <f t="shared" si="42"/>
        <v>6037500</v>
      </c>
      <c r="AM57" s="1042">
        <f t="shared" si="69"/>
        <v>1181250</v>
      </c>
      <c r="AN57" s="1042">
        <f t="shared" si="67"/>
        <v>1312500</v>
      </c>
      <c r="AO57" s="1042">
        <f t="shared" si="68"/>
        <v>4987500</v>
      </c>
      <c r="AP57" s="1042">
        <f t="shared" si="76"/>
        <v>1575000</v>
      </c>
      <c r="AQ57" s="1042">
        <f t="shared" si="91"/>
        <v>1706250</v>
      </c>
      <c r="AR57" s="1042">
        <f t="shared" si="92"/>
        <v>4593750</v>
      </c>
      <c r="AS57" s="1042">
        <f t="shared" si="87"/>
        <v>1181250</v>
      </c>
      <c r="AT57" s="1042">
        <f t="shared" si="47"/>
        <v>2887500</v>
      </c>
      <c r="AU57" s="1042">
        <f t="shared" si="48"/>
        <v>3412500</v>
      </c>
      <c r="AV57" s="1042">
        <f t="shared" si="88"/>
        <v>1575000</v>
      </c>
      <c r="AW57" s="1042">
        <f t="shared" si="50"/>
        <v>3281250</v>
      </c>
      <c r="AX57" s="1042">
        <f t="shared" si="51"/>
        <v>3018750</v>
      </c>
      <c r="AZ57" s="8">
        <f t="shared" si="52"/>
        <v>0</v>
      </c>
      <c r="BB57" s="57"/>
    </row>
    <row r="58" spans="1:54" s="220" customFormat="1" ht="14.25" customHeight="1">
      <c r="A58" s="190" t="s">
        <v>324</v>
      </c>
      <c r="B58" s="230" t="s">
        <v>238</v>
      </c>
      <c r="C58" s="215"/>
      <c r="D58" s="216"/>
      <c r="E58" s="217"/>
      <c r="F58" s="1045"/>
      <c r="G58" s="1046"/>
      <c r="H58" s="1046"/>
      <c r="I58" s="1046"/>
      <c r="J58" s="1046"/>
      <c r="K58" s="1046"/>
      <c r="L58" s="1046"/>
      <c r="M58" s="1046"/>
      <c r="N58" s="1046"/>
      <c r="O58" s="1046"/>
      <c r="P58" s="1046"/>
      <c r="Q58" s="1046"/>
      <c r="R58" s="1046"/>
      <c r="S58" s="1046"/>
      <c r="T58" s="1046"/>
      <c r="U58" s="1046"/>
      <c r="V58" s="1046"/>
      <c r="W58" s="1046"/>
      <c r="X58" s="1046"/>
      <c r="Y58" s="219"/>
      <c r="Z58" s="219"/>
      <c r="AA58" s="1046"/>
      <c r="AB58" s="1046"/>
      <c r="AC58" s="1046"/>
      <c r="AD58" s="1046"/>
      <c r="AE58" s="1046"/>
      <c r="AF58" s="1046"/>
      <c r="AG58" s="1046"/>
      <c r="AH58" s="1046"/>
      <c r="AI58" s="1063"/>
      <c r="AJ58" s="1063"/>
      <c r="AK58" s="1063"/>
      <c r="AL58" s="1063"/>
      <c r="AM58" s="1063"/>
      <c r="AN58" s="1063"/>
      <c r="AO58" s="1063"/>
      <c r="AP58" s="1046"/>
      <c r="AQ58" s="1046"/>
      <c r="AR58" s="1046"/>
      <c r="AS58" s="1046"/>
      <c r="AT58" s="1046"/>
      <c r="AU58" s="1046"/>
      <c r="AV58" s="1046"/>
      <c r="AW58" s="1046"/>
      <c r="AX58" s="1046"/>
      <c r="AZ58" s="8">
        <f t="shared" si="52"/>
        <v>0</v>
      </c>
      <c r="BB58" s="221"/>
    </row>
    <row r="59" spans="1:54" s="220" customFormat="1" ht="14.25" customHeight="1">
      <c r="A59" s="190"/>
      <c r="B59" s="230" t="s">
        <v>405</v>
      </c>
      <c r="C59" s="215"/>
      <c r="D59" s="216"/>
      <c r="E59" s="217"/>
      <c r="F59" s="1045"/>
      <c r="G59" s="1046"/>
      <c r="H59" s="1046"/>
      <c r="I59" s="1046"/>
      <c r="J59" s="1046"/>
      <c r="K59" s="1046"/>
      <c r="L59" s="1046"/>
      <c r="M59" s="1046"/>
      <c r="N59" s="1046"/>
      <c r="O59" s="1046"/>
      <c r="P59" s="1046"/>
      <c r="Q59" s="1046"/>
      <c r="R59" s="1046"/>
      <c r="S59" s="1046"/>
      <c r="T59" s="1046"/>
      <c r="U59" s="1046"/>
      <c r="V59" s="1046"/>
      <c r="W59" s="1046"/>
      <c r="X59" s="1046"/>
      <c r="Y59" s="219"/>
      <c r="Z59" s="219"/>
      <c r="AA59" s="1046"/>
      <c r="AB59" s="1046"/>
      <c r="AC59" s="1046"/>
      <c r="AD59" s="1046"/>
      <c r="AE59" s="1046"/>
      <c r="AF59" s="1046"/>
      <c r="AG59" s="1046"/>
      <c r="AH59" s="1046"/>
      <c r="AI59" s="1063"/>
      <c r="AJ59" s="1063"/>
      <c r="AK59" s="1063"/>
      <c r="AL59" s="1063"/>
      <c r="AM59" s="1063"/>
      <c r="AN59" s="1063"/>
      <c r="AO59" s="1063"/>
      <c r="AP59" s="1046"/>
      <c r="AQ59" s="1046"/>
      <c r="AR59" s="1046"/>
      <c r="AS59" s="1046"/>
      <c r="AT59" s="1046"/>
      <c r="AU59" s="1046"/>
      <c r="AV59" s="1046"/>
      <c r="AW59" s="1046"/>
      <c r="AX59" s="1046"/>
      <c r="AZ59" s="8">
        <f t="shared" si="52"/>
        <v>0</v>
      </c>
      <c r="BB59" s="221"/>
    </row>
    <row r="60" spans="1:54" ht="14.25" customHeight="1">
      <c r="A60" s="17">
        <v>1</v>
      </c>
      <c r="B60" s="56" t="s">
        <v>802</v>
      </c>
      <c r="C60" s="238">
        <v>42005</v>
      </c>
      <c r="D60" s="55">
        <v>4</v>
      </c>
      <c r="E60" s="6">
        <v>9450000</v>
      </c>
      <c r="F60" s="1041">
        <f t="shared" ref="F60:F78" si="95">E60/D60</f>
        <v>2362500</v>
      </c>
      <c r="G60" s="1042"/>
      <c r="H60" s="1042"/>
      <c r="I60" s="1042"/>
      <c r="J60" s="1053">
        <f t="shared" ref="J60:J65" si="96">(F60/12)*(13-IF(C60="","",MONTH(C60)))</f>
        <v>2362500</v>
      </c>
      <c r="K60" s="1042">
        <f t="shared" ref="K60:K65" si="97">J60+H60</f>
        <v>2362500</v>
      </c>
      <c r="L60" s="1042">
        <f t="shared" ref="L60:L65" si="98">E60-K60</f>
        <v>7087500</v>
      </c>
      <c r="M60" s="1042">
        <f t="shared" ref="M60:M65" si="99">(F60/12)*12</f>
        <v>2362500</v>
      </c>
      <c r="N60" s="1042">
        <f t="shared" ref="N60:N65" si="100">K60+M60</f>
        <v>4725000</v>
      </c>
      <c r="O60" s="1042">
        <f t="shared" ref="O60:O65" si="101">E60-N60</f>
        <v>4725000</v>
      </c>
      <c r="P60" s="1042">
        <f t="shared" ref="P60:P65" si="102">(F60/12)*12</f>
        <v>2362500</v>
      </c>
      <c r="Q60" s="1042">
        <f t="shared" ref="Q60:Q65" si="103">N60+P60</f>
        <v>7087500</v>
      </c>
      <c r="R60" s="1042">
        <f t="shared" ref="R60:R65" si="104">E60-Q60</f>
        <v>2362500</v>
      </c>
      <c r="S60" s="1042">
        <f t="shared" ref="S60:S65" si="105">(F60/12)*12</f>
        <v>2362500</v>
      </c>
      <c r="T60" s="1042">
        <f t="shared" ref="T60:T65" si="106">Q60+S60</f>
        <v>9450000</v>
      </c>
      <c r="U60" s="1042">
        <f t="shared" ref="U60:U65" si="107">E60-T60</f>
        <v>0</v>
      </c>
      <c r="V60" s="1042">
        <f t="shared" ref="V60:V65" si="108">(F60/12)*0</f>
        <v>0</v>
      </c>
      <c r="W60" s="1042">
        <f t="shared" ref="W60:W65" si="109">V60+T60</f>
        <v>9450000</v>
      </c>
      <c r="X60" s="1042">
        <f t="shared" ref="X60:X65" si="110">E60-W60</f>
        <v>0</v>
      </c>
      <c r="Y60" s="7">
        <v>9450000</v>
      </c>
      <c r="Z60" s="7">
        <f t="shared" ref="Z60:Z76" si="111">E60-Y60</f>
        <v>0</v>
      </c>
      <c r="AA60" s="1042">
        <f t="shared" ref="AA60:AA65" si="112">(F60/12)*0</f>
        <v>0</v>
      </c>
      <c r="AB60" s="1042">
        <f t="shared" ref="AB60:AB76" si="113">W60+AA60</f>
        <v>9450000</v>
      </c>
      <c r="AC60" s="1042">
        <f>E60-AB60</f>
        <v>0</v>
      </c>
      <c r="AD60" s="1042">
        <f t="shared" ref="AD60:AD65" si="114">(F60/12)*0</f>
        <v>0</v>
      </c>
      <c r="AE60" s="1042">
        <f t="shared" ref="AE60:AE65" si="115">AD60+AB60</f>
        <v>9450000</v>
      </c>
      <c r="AF60" s="1042">
        <f t="shared" ref="AF60:AF65" si="116">E60-AE60</f>
        <v>0</v>
      </c>
      <c r="AG60" s="1042">
        <f t="shared" ref="AG60:AG65" si="117">(F60/12)*0</f>
        <v>0</v>
      </c>
      <c r="AH60" s="1042">
        <f t="shared" ref="AH60:AH65" si="118">AE60+AG60</f>
        <v>9450000</v>
      </c>
      <c r="AI60" s="1042">
        <f t="shared" ref="AI60:AI65" si="119">E60-AH60</f>
        <v>0</v>
      </c>
      <c r="AJ60" s="1042">
        <f>(F60/12)*0</f>
        <v>0</v>
      </c>
      <c r="AK60" s="1042">
        <f t="shared" si="41"/>
        <v>9450000</v>
      </c>
      <c r="AL60" s="1042">
        <f t="shared" si="42"/>
        <v>0</v>
      </c>
      <c r="AM60" s="1042">
        <f>0</f>
        <v>0</v>
      </c>
      <c r="AN60" s="1042">
        <f t="shared" ref="AN60:AN79" si="120">AH60+AM60</f>
        <v>9450000</v>
      </c>
      <c r="AO60" s="1042">
        <f t="shared" ref="AO60:AO79" si="121">E60-AN60</f>
        <v>0</v>
      </c>
      <c r="AP60" s="1042">
        <f t="shared" ref="AP60:AP65" si="122">(F60/12)*0</f>
        <v>0</v>
      </c>
      <c r="AQ60" s="1042">
        <f t="shared" ref="AQ60:AQ65" si="123">AP60+AH60</f>
        <v>9450000</v>
      </c>
      <c r="AR60" s="1042">
        <f t="shared" ref="AR60:AR65" si="124">E60-AQ60</f>
        <v>0</v>
      </c>
      <c r="AS60" s="1042">
        <f>(F60/12)*0</f>
        <v>0</v>
      </c>
      <c r="AT60" s="1042">
        <f t="shared" ref="AT60:AT79" si="125">AQ60+AS60</f>
        <v>9450000</v>
      </c>
      <c r="AU60" s="1042">
        <f t="shared" ref="AU60:AU79" si="126">E60-AT60</f>
        <v>0</v>
      </c>
      <c r="AV60" s="1042">
        <f>(F60/12)*0</f>
        <v>0</v>
      </c>
      <c r="AW60" s="1042">
        <f t="shared" ref="AW60:AW79" si="127">AQ60+AV60</f>
        <v>9450000</v>
      </c>
      <c r="AX60" s="1042">
        <f t="shared" ref="AX60:AX79" si="128">E60-AW60</f>
        <v>0</v>
      </c>
      <c r="AZ60" s="8">
        <f t="shared" si="52"/>
        <v>0</v>
      </c>
      <c r="BB60" s="57"/>
    </row>
    <row r="61" spans="1:54" ht="14.25" customHeight="1">
      <c r="A61" s="17">
        <f>A60+1</f>
        <v>2</v>
      </c>
      <c r="B61" s="56" t="s">
        <v>803</v>
      </c>
      <c r="C61" s="238">
        <v>42005</v>
      </c>
      <c r="D61" s="55">
        <v>4</v>
      </c>
      <c r="E61" s="6">
        <v>1300000</v>
      </c>
      <c r="F61" s="1041">
        <f t="shared" si="95"/>
        <v>325000</v>
      </c>
      <c r="G61" s="1042"/>
      <c r="H61" s="1042"/>
      <c r="I61" s="1042"/>
      <c r="J61" s="1053">
        <f t="shared" si="96"/>
        <v>325000</v>
      </c>
      <c r="K61" s="1042">
        <f t="shared" si="97"/>
        <v>325000</v>
      </c>
      <c r="L61" s="1042">
        <f t="shared" si="98"/>
        <v>975000</v>
      </c>
      <c r="M61" s="1042">
        <f t="shared" si="99"/>
        <v>325000</v>
      </c>
      <c r="N61" s="1042">
        <f t="shared" si="100"/>
        <v>650000</v>
      </c>
      <c r="O61" s="1042">
        <f t="shared" si="101"/>
        <v>650000</v>
      </c>
      <c r="P61" s="1042">
        <f t="shared" si="102"/>
        <v>325000</v>
      </c>
      <c r="Q61" s="1042">
        <f t="shared" si="103"/>
        <v>975000</v>
      </c>
      <c r="R61" s="1042">
        <f t="shared" si="104"/>
        <v>325000</v>
      </c>
      <c r="S61" s="1042">
        <f t="shared" si="105"/>
        <v>325000</v>
      </c>
      <c r="T61" s="1042">
        <f t="shared" si="106"/>
        <v>1300000</v>
      </c>
      <c r="U61" s="1042">
        <f t="shared" si="107"/>
        <v>0</v>
      </c>
      <c r="V61" s="1042">
        <f t="shared" si="108"/>
        <v>0</v>
      </c>
      <c r="W61" s="1042">
        <f t="shared" si="109"/>
        <v>1300000</v>
      </c>
      <c r="X61" s="1042">
        <f t="shared" si="110"/>
        <v>0</v>
      </c>
      <c r="Y61" s="7">
        <v>1300000</v>
      </c>
      <c r="Z61" s="7">
        <f t="shared" si="111"/>
        <v>0</v>
      </c>
      <c r="AA61" s="1042">
        <f t="shared" si="112"/>
        <v>0</v>
      </c>
      <c r="AB61" s="1042">
        <f t="shared" si="113"/>
        <v>1300000</v>
      </c>
      <c r="AC61" s="1042">
        <f t="shared" ref="AC61:AC76" si="129">E61-AB61</f>
        <v>0</v>
      </c>
      <c r="AD61" s="1042">
        <f t="shared" si="114"/>
        <v>0</v>
      </c>
      <c r="AE61" s="1042">
        <f t="shared" si="115"/>
        <v>1300000</v>
      </c>
      <c r="AF61" s="1042">
        <f t="shared" si="116"/>
        <v>0</v>
      </c>
      <c r="AG61" s="1042">
        <f t="shared" si="117"/>
        <v>0</v>
      </c>
      <c r="AH61" s="1042">
        <f t="shared" si="118"/>
        <v>1300000</v>
      </c>
      <c r="AI61" s="1042">
        <f t="shared" si="119"/>
        <v>0</v>
      </c>
      <c r="AJ61" s="1042">
        <f t="shared" ref="AJ61:AJ74" si="130">(F61/12)*0</f>
        <v>0</v>
      </c>
      <c r="AK61" s="1042">
        <f t="shared" si="41"/>
        <v>1300000</v>
      </c>
      <c r="AL61" s="1042">
        <f t="shared" si="42"/>
        <v>0</v>
      </c>
      <c r="AM61" s="1042">
        <f>0</f>
        <v>0</v>
      </c>
      <c r="AN61" s="1042">
        <f t="shared" si="120"/>
        <v>1300000</v>
      </c>
      <c r="AO61" s="1042">
        <f t="shared" si="121"/>
        <v>0</v>
      </c>
      <c r="AP61" s="1042">
        <f t="shared" si="122"/>
        <v>0</v>
      </c>
      <c r="AQ61" s="1042">
        <f t="shared" si="123"/>
        <v>1300000</v>
      </c>
      <c r="AR61" s="1042">
        <f t="shared" si="124"/>
        <v>0</v>
      </c>
      <c r="AS61" s="1042">
        <f t="shared" ref="AS61:AS76" si="131">(F61/12)*0</f>
        <v>0</v>
      </c>
      <c r="AT61" s="1042">
        <f t="shared" si="125"/>
        <v>1300000</v>
      </c>
      <c r="AU61" s="1042">
        <f t="shared" si="126"/>
        <v>0</v>
      </c>
      <c r="AV61" s="1042">
        <f t="shared" ref="AV61:AV76" si="132">(F61/12)*0</f>
        <v>0</v>
      </c>
      <c r="AW61" s="1042">
        <f t="shared" si="127"/>
        <v>1300000</v>
      </c>
      <c r="AX61" s="1042">
        <f t="shared" si="128"/>
        <v>0</v>
      </c>
      <c r="AZ61" s="8">
        <f t="shared" si="52"/>
        <v>0</v>
      </c>
      <c r="BB61" s="57"/>
    </row>
    <row r="62" spans="1:54" ht="14.25" customHeight="1">
      <c r="A62" s="17">
        <f t="shared" ref="A62:A79" si="133">A61+1</f>
        <v>3</v>
      </c>
      <c r="B62" s="56" t="s">
        <v>804</v>
      </c>
      <c r="C62" s="238">
        <v>42005</v>
      </c>
      <c r="D62" s="55">
        <v>4</v>
      </c>
      <c r="E62" s="6">
        <v>2517500</v>
      </c>
      <c r="F62" s="1041">
        <f t="shared" si="95"/>
        <v>629375</v>
      </c>
      <c r="G62" s="1042"/>
      <c r="H62" s="1042"/>
      <c r="I62" s="1042"/>
      <c r="J62" s="1053">
        <f t="shared" si="96"/>
        <v>629375</v>
      </c>
      <c r="K62" s="1042">
        <f t="shared" si="97"/>
        <v>629375</v>
      </c>
      <c r="L62" s="1042">
        <f t="shared" si="98"/>
        <v>1888125</v>
      </c>
      <c r="M62" s="1042">
        <f t="shared" si="99"/>
        <v>629375</v>
      </c>
      <c r="N62" s="1042">
        <f t="shared" si="100"/>
        <v>1258750</v>
      </c>
      <c r="O62" s="1042">
        <f t="shared" si="101"/>
        <v>1258750</v>
      </c>
      <c r="P62" s="1042">
        <f t="shared" si="102"/>
        <v>629375</v>
      </c>
      <c r="Q62" s="1042">
        <f t="shared" si="103"/>
        <v>1888125</v>
      </c>
      <c r="R62" s="1042">
        <f t="shared" si="104"/>
        <v>629375</v>
      </c>
      <c r="S62" s="1042">
        <f t="shared" si="105"/>
        <v>629375</v>
      </c>
      <c r="T62" s="1042">
        <f t="shared" si="106"/>
        <v>2517500</v>
      </c>
      <c r="U62" s="1042">
        <f t="shared" si="107"/>
        <v>0</v>
      </c>
      <c r="V62" s="1042">
        <f t="shared" si="108"/>
        <v>0</v>
      </c>
      <c r="W62" s="1042">
        <f t="shared" si="109"/>
        <v>2517500</v>
      </c>
      <c r="X62" s="1042">
        <f t="shared" si="110"/>
        <v>0</v>
      </c>
      <c r="Y62" s="7">
        <v>2517500</v>
      </c>
      <c r="Z62" s="7">
        <f t="shared" si="111"/>
        <v>0</v>
      </c>
      <c r="AA62" s="1042">
        <f t="shared" si="112"/>
        <v>0</v>
      </c>
      <c r="AB62" s="1042">
        <f t="shared" si="113"/>
        <v>2517500</v>
      </c>
      <c r="AC62" s="1042">
        <f t="shared" si="129"/>
        <v>0</v>
      </c>
      <c r="AD62" s="1042">
        <f t="shared" si="114"/>
        <v>0</v>
      </c>
      <c r="AE62" s="1042">
        <f t="shared" si="115"/>
        <v>2517500</v>
      </c>
      <c r="AF62" s="1042">
        <f t="shared" si="116"/>
        <v>0</v>
      </c>
      <c r="AG62" s="1042">
        <f t="shared" si="117"/>
        <v>0</v>
      </c>
      <c r="AH62" s="1042">
        <f t="shared" si="118"/>
        <v>2517500</v>
      </c>
      <c r="AI62" s="1042">
        <f t="shared" si="119"/>
        <v>0</v>
      </c>
      <c r="AJ62" s="1042">
        <f t="shared" si="130"/>
        <v>0</v>
      </c>
      <c r="AK62" s="1042">
        <f t="shared" si="41"/>
        <v>2517500</v>
      </c>
      <c r="AL62" s="1042">
        <f t="shared" si="42"/>
        <v>0</v>
      </c>
      <c r="AM62" s="1042">
        <f>0</f>
        <v>0</v>
      </c>
      <c r="AN62" s="1042">
        <f t="shared" si="120"/>
        <v>2517500</v>
      </c>
      <c r="AO62" s="1042">
        <f t="shared" si="121"/>
        <v>0</v>
      </c>
      <c r="AP62" s="1042">
        <f t="shared" si="122"/>
        <v>0</v>
      </c>
      <c r="AQ62" s="1042">
        <f t="shared" si="123"/>
        <v>2517500</v>
      </c>
      <c r="AR62" s="1042">
        <f t="shared" si="124"/>
        <v>0</v>
      </c>
      <c r="AS62" s="1042">
        <f t="shared" si="131"/>
        <v>0</v>
      </c>
      <c r="AT62" s="1042">
        <f t="shared" si="125"/>
        <v>2517500</v>
      </c>
      <c r="AU62" s="1042">
        <f t="shared" si="126"/>
        <v>0</v>
      </c>
      <c r="AV62" s="1042">
        <f t="shared" si="132"/>
        <v>0</v>
      </c>
      <c r="AW62" s="1042">
        <f t="shared" si="127"/>
        <v>2517500</v>
      </c>
      <c r="AX62" s="1042">
        <f t="shared" si="128"/>
        <v>0</v>
      </c>
      <c r="AZ62" s="8">
        <f t="shared" si="52"/>
        <v>0</v>
      </c>
      <c r="BB62" s="57"/>
    </row>
    <row r="63" spans="1:54" ht="14.25" customHeight="1">
      <c r="A63" s="17">
        <f t="shared" si="133"/>
        <v>4</v>
      </c>
      <c r="B63" s="56" t="s">
        <v>805</v>
      </c>
      <c r="C63" s="238">
        <v>42005</v>
      </c>
      <c r="D63" s="55">
        <v>4</v>
      </c>
      <c r="E63" s="6">
        <v>250000</v>
      </c>
      <c r="F63" s="1041">
        <f t="shared" si="95"/>
        <v>62500</v>
      </c>
      <c r="G63" s="1042"/>
      <c r="H63" s="1042"/>
      <c r="I63" s="1042"/>
      <c r="J63" s="1053">
        <f t="shared" si="96"/>
        <v>62500</v>
      </c>
      <c r="K63" s="1042">
        <f t="shared" si="97"/>
        <v>62500</v>
      </c>
      <c r="L63" s="1042">
        <f t="shared" si="98"/>
        <v>187500</v>
      </c>
      <c r="M63" s="1042">
        <f t="shared" si="99"/>
        <v>62500</v>
      </c>
      <c r="N63" s="1042">
        <f t="shared" si="100"/>
        <v>125000</v>
      </c>
      <c r="O63" s="1042">
        <f t="shared" si="101"/>
        <v>125000</v>
      </c>
      <c r="P63" s="1042">
        <f t="shared" si="102"/>
        <v>62500</v>
      </c>
      <c r="Q63" s="1042">
        <f t="shared" si="103"/>
        <v>187500</v>
      </c>
      <c r="R63" s="1042">
        <f t="shared" si="104"/>
        <v>62500</v>
      </c>
      <c r="S63" s="1042">
        <f t="shared" si="105"/>
        <v>62500</v>
      </c>
      <c r="T63" s="1042">
        <f t="shared" si="106"/>
        <v>250000</v>
      </c>
      <c r="U63" s="1042">
        <f t="shared" si="107"/>
        <v>0</v>
      </c>
      <c r="V63" s="1042">
        <f t="shared" si="108"/>
        <v>0</v>
      </c>
      <c r="W63" s="1042">
        <f t="shared" si="109"/>
        <v>250000</v>
      </c>
      <c r="X63" s="1042">
        <f t="shared" si="110"/>
        <v>0</v>
      </c>
      <c r="Y63" s="7">
        <v>250000</v>
      </c>
      <c r="Z63" s="7">
        <f t="shared" si="111"/>
        <v>0</v>
      </c>
      <c r="AA63" s="1042">
        <f t="shared" si="112"/>
        <v>0</v>
      </c>
      <c r="AB63" s="1042">
        <f t="shared" si="113"/>
        <v>250000</v>
      </c>
      <c r="AC63" s="1042">
        <f t="shared" si="129"/>
        <v>0</v>
      </c>
      <c r="AD63" s="1042">
        <f t="shared" si="114"/>
        <v>0</v>
      </c>
      <c r="AE63" s="1042">
        <f t="shared" si="115"/>
        <v>250000</v>
      </c>
      <c r="AF63" s="1042">
        <f t="shared" si="116"/>
        <v>0</v>
      </c>
      <c r="AG63" s="1042">
        <f t="shared" si="117"/>
        <v>0</v>
      </c>
      <c r="AH63" s="1042">
        <f t="shared" si="118"/>
        <v>250000</v>
      </c>
      <c r="AI63" s="1042">
        <f t="shared" si="119"/>
        <v>0</v>
      </c>
      <c r="AJ63" s="1042">
        <f t="shared" si="130"/>
        <v>0</v>
      </c>
      <c r="AK63" s="1042">
        <f t="shared" si="41"/>
        <v>250000</v>
      </c>
      <c r="AL63" s="1042">
        <f t="shared" si="42"/>
        <v>0</v>
      </c>
      <c r="AM63" s="1042">
        <f>0</f>
        <v>0</v>
      </c>
      <c r="AN63" s="1042">
        <f t="shared" si="120"/>
        <v>250000</v>
      </c>
      <c r="AO63" s="1042">
        <f t="shared" si="121"/>
        <v>0</v>
      </c>
      <c r="AP63" s="1042">
        <f t="shared" si="122"/>
        <v>0</v>
      </c>
      <c r="AQ63" s="1042">
        <f t="shared" si="123"/>
        <v>250000</v>
      </c>
      <c r="AR63" s="1042">
        <f t="shared" si="124"/>
        <v>0</v>
      </c>
      <c r="AS63" s="1042">
        <f t="shared" si="131"/>
        <v>0</v>
      </c>
      <c r="AT63" s="1042">
        <f t="shared" si="125"/>
        <v>250000</v>
      </c>
      <c r="AU63" s="1042">
        <f t="shared" si="126"/>
        <v>0</v>
      </c>
      <c r="AV63" s="1042">
        <f t="shared" si="132"/>
        <v>0</v>
      </c>
      <c r="AW63" s="1042">
        <f t="shared" si="127"/>
        <v>250000</v>
      </c>
      <c r="AX63" s="1042">
        <f t="shared" si="128"/>
        <v>0</v>
      </c>
      <c r="AZ63" s="8">
        <f t="shared" si="52"/>
        <v>0</v>
      </c>
      <c r="BB63" s="57"/>
    </row>
    <row r="64" spans="1:54" ht="14.25" customHeight="1">
      <c r="A64" s="17">
        <f t="shared" si="133"/>
        <v>5</v>
      </c>
      <c r="B64" s="56" t="s">
        <v>806</v>
      </c>
      <c r="C64" s="238">
        <v>42005</v>
      </c>
      <c r="D64" s="55">
        <v>4</v>
      </c>
      <c r="E64" s="6">
        <v>1650000</v>
      </c>
      <c r="F64" s="1041">
        <f t="shared" si="95"/>
        <v>412500</v>
      </c>
      <c r="G64" s="1042"/>
      <c r="H64" s="1042"/>
      <c r="I64" s="1042"/>
      <c r="J64" s="1053">
        <f t="shared" si="96"/>
        <v>412500</v>
      </c>
      <c r="K64" s="1042">
        <f t="shared" si="97"/>
        <v>412500</v>
      </c>
      <c r="L64" s="1042">
        <f t="shared" si="98"/>
        <v>1237500</v>
      </c>
      <c r="M64" s="1042">
        <f t="shared" si="99"/>
        <v>412500</v>
      </c>
      <c r="N64" s="1042">
        <f t="shared" si="100"/>
        <v>825000</v>
      </c>
      <c r="O64" s="1042">
        <f t="shared" si="101"/>
        <v>825000</v>
      </c>
      <c r="P64" s="1042">
        <f t="shared" si="102"/>
        <v>412500</v>
      </c>
      <c r="Q64" s="1042">
        <f t="shared" si="103"/>
        <v>1237500</v>
      </c>
      <c r="R64" s="1042">
        <f t="shared" si="104"/>
        <v>412500</v>
      </c>
      <c r="S64" s="1042">
        <f t="shared" si="105"/>
        <v>412500</v>
      </c>
      <c r="T64" s="1042">
        <f t="shared" si="106"/>
        <v>1650000</v>
      </c>
      <c r="U64" s="1042">
        <f t="shared" si="107"/>
        <v>0</v>
      </c>
      <c r="V64" s="1042">
        <f t="shared" si="108"/>
        <v>0</v>
      </c>
      <c r="W64" s="1042">
        <f t="shared" si="109"/>
        <v>1650000</v>
      </c>
      <c r="X64" s="1042">
        <f t="shared" si="110"/>
        <v>0</v>
      </c>
      <c r="Y64" s="7">
        <v>1650000</v>
      </c>
      <c r="Z64" s="7">
        <f t="shared" si="111"/>
        <v>0</v>
      </c>
      <c r="AA64" s="1042">
        <f t="shared" si="112"/>
        <v>0</v>
      </c>
      <c r="AB64" s="1042">
        <f t="shared" si="113"/>
        <v>1650000</v>
      </c>
      <c r="AC64" s="1042">
        <f t="shared" si="129"/>
        <v>0</v>
      </c>
      <c r="AD64" s="1042">
        <f t="shared" si="114"/>
        <v>0</v>
      </c>
      <c r="AE64" s="1042">
        <f t="shared" si="115"/>
        <v>1650000</v>
      </c>
      <c r="AF64" s="1042">
        <f t="shared" si="116"/>
        <v>0</v>
      </c>
      <c r="AG64" s="1042">
        <f t="shared" si="117"/>
        <v>0</v>
      </c>
      <c r="AH64" s="1042">
        <f t="shared" si="118"/>
        <v>1650000</v>
      </c>
      <c r="AI64" s="1042">
        <f t="shared" si="119"/>
        <v>0</v>
      </c>
      <c r="AJ64" s="1042">
        <f t="shared" si="130"/>
        <v>0</v>
      </c>
      <c r="AK64" s="1042">
        <f t="shared" si="41"/>
        <v>1650000</v>
      </c>
      <c r="AL64" s="1042">
        <f t="shared" si="42"/>
        <v>0</v>
      </c>
      <c r="AM64" s="1042">
        <f>0</f>
        <v>0</v>
      </c>
      <c r="AN64" s="1042">
        <f t="shared" si="120"/>
        <v>1650000</v>
      </c>
      <c r="AO64" s="1042">
        <f t="shared" si="121"/>
        <v>0</v>
      </c>
      <c r="AP64" s="1042">
        <f t="shared" si="122"/>
        <v>0</v>
      </c>
      <c r="AQ64" s="1042">
        <f t="shared" si="123"/>
        <v>1650000</v>
      </c>
      <c r="AR64" s="1042">
        <f t="shared" si="124"/>
        <v>0</v>
      </c>
      <c r="AS64" s="1042">
        <f t="shared" si="131"/>
        <v>0</v>
      </c>
      <c r="AT64" s="1042">
        <f t="shared" si="125"/>
        <v>1650000</v>
      </c>
      <c r="AU64" s="1042">
        <f t="shared" si="126"/>
        <v>0</v>
      </c>
      <c r="AV64" s="1042">
        <f t="shared" si="132"/>
        <v>0</v>
      </c>
      <c r="AW64" s="1042">
        <f t="shared" si="127"/>
        <v>1650000</v>
      </c>
      <c r="AX64" s="1042">
        <f t="shared" si="128"/>
        <v>0</v>
      </c>
      <c r="AZ64" s="8">
        <f t="shared" si="52"/>
        <v>0</v>
      </c>
      <c r="BB64" s="57"/>
    </row>
    <row r="65" spans="1:54" ht="14.25" customHeight="1">
      <c r="A65" s="17">
        <f t="shared" si="133"/>
        <v>6</v>
      </c>
      <c r="B65" s="56" t="s">
        <v>807</v>
      </c>
      <c r="C65" s="238">
        <v>42005</v>
      </c>
      <c r="D65" s="55">
        <v>4</v>
      </c>
      <c r="E65" s="6">
        <v>2625000</v>
      </c>
      <c r="F65" s="1041">
        <f t="shared" si="95"/>
        <v>656250</v>
      </c>
      <c r="G65" s="1042"/>
      <c r="H65" s="1042"/>
      <c r="I65" s="1042"/>
      <c r="J65" s="1053">
        <f t="shared" si="96"/>
        <v>656250</v>
      </c>
      <c r="K65" s="1042">
        <f t="shared" si="97"/>
        <v>656250</v>
      </c>
      <c r="L65" s="1042">
        <f t="shared" si="98"/>
        <v>1968750</v>
      </c>
      <c r="M65" s="1042">
        <f t="shared" si="99"/>
        <v>656250</v>
      </c>
      <c r="N65" s="1042">
        <f t="shared" si="100"/>
        <v>1312500</v>
      </c>
      <c r="O65" s="1042">
        <f t="shared" si="101"/>
        <v>1312500</v>
      </c>
      <c r="P65" s="1042">
        <f t="shared" si="102"/>
        <v>656250</v>
      </c>
      <c r="Q65" s="1042">
        <f t="shared" si="103"/>
        <v>1968750</v>
      </c>
      <c r="R65" s="1042">
        <f t="shared" si="104"/>
        <v>656250</v>
      </c>
      <c r="S65" s="1042">
        <f t="shared" si="105"/>
        <v>656250</v>
      </c>
      <c r="T65" s="1042">
        <f t="shared" si="106"/>
        <v>2625000</v>
      </c>
      <c r="U65" s="1042">
        <f t="shared" si="107"/>
        <v>0</v>
      </c>
      <c r="V65" s="1042">
        <f t="shared" si="108"/>
        <v>0</v>
      </c>
      <c r="W65" s="1042">
        <f t="shared" si="109"/>
        <v>2625000</v>
      </c>
      <c r="X65" s="1042">
        <f t="shared" si="110"/>
        <v>0</v>
      </c>
      <c r="Y65" s="7">
        <v>2625000</v>
      </c>
      <c r="Z65" s="7">
        <f t="shared" si="111"/>
        <v>0</v>
      </c>
      <c r="AA65" s="1042">
        <f t="shared" si="112"/>
        <v>0</v>
      </c>
      <c r="AB65" s="1042">
        <f t="shared" si="113"/>
        <v>2625000</v>
      </c>
      <c r="AC65" s="1042">
        <f t="shared" si="129"/>
        <v>0</v>
      </c>
      <c r="AD65" s="1042">
        <f t="shared" si="114"/>
        <v>0</v>
      </c>
      <c r="AE65" s="1042">
        <f t="shared" si="115"/>
        <v>2625000</v>
      </c>
      <c r="AF65" s="1042">
        <f t="shared" si="116"/>
        <v>0</v>
      </c>
      <c r="AG65" s="1042">
        <f t="shared" si="117"/>
        <v>0</v>
      </c>
      <c r="AH65" s="1042">
        <f t="shared" si="118"/>
        <v>2625000</v>
      </c>
      <c r="AI65" s="1042">
        <f t="shared" si="119"/>
        <v>0</v>
      </c>
      <c r="AJ65" s="1042">
        <f t="shared" si="130"/>
        <v>0</v>
      </c>
      <c r="AK65" s="1042">
        <f t="shared" si="41"/>
        <v>2625000</v>
      </c>
      <c r="AL65" s="1042">
        <f t="shared" si="42"/>
        <v>0</v>
      </c>
      <c r="AM65" s="1042">
        <f>0</f>
        <v>0</v>
      </c>
      <c r="AN65" s="1042">
        <f t="shared" si="120"/>
        <v>2625000</v>
      </c>
      <c r="AO65" s="1042">
        <f t="shared" si="121"/>
        <v>0</v>
      </c>
      <c r="AP65" s="1042">
        <f t="shared" si="122"/>
        <v>0</v>
      </c>
      <c r="AQ65" s="1042">
        <f t="shared" si="123"/>
        <v>2625000</v>
      </c>
      <c r="AR65" s="1042">
        <f t="shared" si="124"/>
        <v>0</v>
      </c>
      <c r="AS65" s="1042">
        <f t="shared" si="131"/>
        <v>0</v>
      </c>
      <c r="AT65" s="1042">
        <f t="shared" si="125"/>
        <v>2625000</v>
      </c>
      <c r="AU65" s="1042">
        <f t="shared" si="126"/>
        <v>0</v>
      </c>
      <c r="AV65" s="1042">
        <f t="shared" si="132"/>
        <v>0</v>
      </c>
      <c r="AW65" s="1042">
        <f t="shared" si="127"/>
        <v>2625000</v>
      </c>
      <c r="AX65" s="1042">
        <f t="shared" si="128"/>
        <v>0</v>
      </c>
      <c r="AY65" s="19"/>
      <c r="AZ65" s="8">
        <f t="shared" si="52"/>
        <v>0</v>
      </c>
      <c r="BB65" s="57"/>
    </row>
    <row r="66" spans="1:54" ht="14.25" customHeight="1">
      <c r="A66" s="17">
        <f t="shared" si="133"/>
        <v>7</v>
      </c>
      <c r="B66" s="947" t="s">
        <v>808</v>
      </c>
      <c r="C66" s="238">
        <v>42370</v>
      </c>
      <c r="D66" s="55">
        <v>4</v>
      </c>
      <c r="E66" s="1043">
        <v>24049545</v>
      </c>
      <c r="F66" s="1041">
        <f t="shared" si="95"/>
        <v>6012386.25</v>
      </c>
      <c r="G66" s="1042"/>
      <c r="H66" s="1042"/>
      <c r="I66" s="1042"/>
      <c r="J66" s="1042"/>
      <c r="K66" s="1042"/>
      <c r="L66" s="1042"/>
      <c r="M66" s="1053">
        <f>(F66/12)*(13-IF(C66="","",MONTH(C66)))</f>
        <v>6012386.25</v>
      </c>
      <c r="N66" s="1042">
        <f t="shared" ref="N66:N68" si="134">K66+M66</f>
        <v>6012386.25</v>
      </c>
      <c r="O66" s="1042">
        <f t="shared" ref="O66:O68" si="135">E66-N66</f>
        <v>18037158.75</v>
      </c>
      <c r="P66" s="1042">
        <f t="shared" ref="P66:P68" si="136">(F66/12)*12</f>
        <v>6012386.25</v>
      </c>
      <c r="Q66" s="1042">
        <f t="shared" ref="Q66:Q68" si="137">N66+P66</f>
        <v>12024772.5</v>
      </c>
      <c r="R66" s="1042">
        <f t="shared" ref="R66:R68" si="138">E66-Q66</f>
        <v>12024772.5</v>
      </c>
      <c r="S66" s="1042">
        <f>(F66/12)*12</f>
        <v>6012386.25</v>
      </c>
      <c r="T66" s="1042">
        <f>Q66+S66</f>
        <v>18037158.75</v>
      </c>
      <c r="U66" s="1042">
        <f>E66-T66</f>
        <v>6012386.25</v>
      </c>
      <c r="V66" s="1042">
        <f>(F66/12)*12</f>
        <v>6012386.25</v>
      </c>
      <c r="W66" s="1042">
        <f t="shared" ref="W66:W68" si="139">V66+T66</f>
        <v>24049545</v>
      </c>
      <c r="X66" s="1042">
        <f t="shared" ref="X66:X68" si="140">E66-W66</f>
        <v>0</v>
      </c>
      <c r="Y66" s="1037">
        <f>F66*D66</f>
        <v>24049545</v>
      </c>
      <c r="Z66" s="7">
        <f t="shared" si="111"/>
        <v>0</v>
      </c>
      <c r="AA66" s="1042">
        <f t="shared" ref="AA66:AA68" si="141">(F66/12)*0</f>
        <v>0</v>
      </c>
      <c r="AB66" s="1042">
        <f t="shared" si="113"/>
        <v>24049545</v>
      </c>
      <c r="AC66" s="1042">
        <f t="shared" si="129"/>
        <v>0</v>
      </c>
      <c r="AD66" s="1042">
        <f t="shared" ref="AD66:AD68" si="142">(F66/12)*0</f>
        <v>0</v>
      </c>
      <c r="AE66" s="1042">
        <f t="shared" ref="AE66:AE68" si="143">AD66+AB66</f>
        <v>24049545</v>
      </c>
      <c r="AF66" s="1042">
        <f t="shared" ref="AF66:AF68" si="144">E66-AE66</f>
        <v>0</v>
      </c>
      <c r="AG66" s="1042">
        <f t="shared" ref="AG66:AG68" si="145">(F66/12)*0</f>
        <v>0</v>
      </c>
      <c r="AH66" s="1042">
        <f t="shared" ref="AH66:AH68" si="146">AE66+AG66</f>
        <v>24049545</v>
      </c>
      <c r="AI66" s="1042">
        <f t="shared" ref="AI66:AI68" si="147">E66-AH66</f>
        <v>0</v>
      </c>
      <c r="AJ66" s="1042">
        <f t="shared" si="130"/>
        <v>0</v>
      </c>
      <c r="AK66" s="1042">
        <f t="shared" si="41"/>
        <v>24049545</v>
      </c>
      <c r="AL66" s="1042">
        <f t="shared" si="42"/>
        <v>0</v>
      </c>
      <c r="AM66" s="1042">
        <f>0</f>
        <v>0</v>
      </c>
      <c r="AN66" s="1042">
        <f t="shared" si="120"/>
        <v>24049545</v>
      </c>
      <c r="AO66" s="1042">
        <f t="shared" si="121"/>
        <v>0</v>
      </c>
      <c r="AP66" s="1042">
        <f t="shared" ref="AP66:AP68" si="148">(F66/12)*0</f>
        <v>0</v>
      </c>
      <c r="AQ66" s="1042">
        <f t="shared" ref="AQ66:AQ68" si="149">AP66+AH66</f>
        <v>24049545</v>
      </c>
      <c r="AR66" s="1042">
        <f t="shared" ref="AR66:AR68" si="150">E66-AQ66</f>
        <v>0</v>
      </c>
      <c r="AS66" s="1042">
        <f t="shared" si="131"/>
        <v>0</v>
      </c>
      <c r="AT66" s="1042">
        <f t="shared" si="125"/>
        <v>24049545</v>
      </c>
      <c r="AU66" s="1042">
        <f t="shared" si="126"/>
        <v>0</v>
      </c>
      <c r="AV66" s="1042">
        <f t="shared" si="132"/>
        <v>0</v>
      </c>
      <c r="AW66" s="1042">
        <f t="shared" si="127"/>
        <v>24049545</v>
      </c>
      <c r="AX66" s="1042">
        <f t="shared" si="128"/>
        <v>0</v>
      </c>
      <c r="AY66" s="19"/>
      <c r="AZ66" s="8">
        <f t="shared" si="52"/>
        <v>0</v>
      </c>
      <c r="BB66" s="57"/>
    </row>
    <row r="67" spans="1:54" ht="14.25" customHeight="1">
      <c r="A67" s="17">
        <f t="shared" si="133"/>
        <v>8</v>
      </c>
      <c r="B67" s="56" t="s">
        <v>809</v>
      </c>
      <c r="C67" s="238">
        <v>42370</v>
      </c>
      <c r="D67" s="55">
        <v>4</v>
      </c>
      <c r="E67" s="6">
        <v>210000000</v>
      </c>
      <c r="F67" s="1041">
        <f t="shared" si="95"/>
        <v>52500000</v>
      </c>
      <c r="G67" s="1042"/>
      <c r="H67" s="1042"/>
      <c r="I67" s="1042"/>
      <c r="J67" s="1042"/>
      <c r="K67" s="1042"/>
      <c r="L67" s="1042"/>
      <c r="M67" s="1053">
        <f t="shared" ref="M67:M68" si="151">(F67/12)*(13-IF(C67="","",MONTH(C67)))</f>
        <v>52500000</v>
      </c>
      <c r="N67" s="1042">
        <f t="shared" si="134"/>
        <v>52500000</v>
      </c>
      <c r="O67" s="1042">
        <f t="shared" si="135"/>
        <v>157500000</v>
      </c>
      <c r="P67" s="1042">
        <f t="shared" si="136"/>
        <v>52500000</v>
      </c>
      <c r="Q67" s="1042">
        <f t="shared" si="137"/>
        <v>105000000</v>
      </c>
      <c r="R67" s="1042">
        <f t="shared" si="138"/>
        <v>105000000</v>
      </c>
      <c r="S67" s="1042">
        <f t="shared" ref="S67:S68" si="152">(F67/12)*12</f>
        <v>52500000</v>
      </c>
      <c r="T67" s="1042">
        <f t="shared" ref="T67:T68" si="153">Q67+S67</f>
        <v>157500000</v>
      </c>
      <c r="U67" s="1042">
        <f t="shared" ref="U67:U68" si="154">E67-T67</f>
        <v>52500000</v>
      </c>
      <c r="V67" s="1042">
        <f t="shared" ref="V67:V68" si="155">(F67/12)*12</f>
        <v>52500000</v>
      </c>
      <c r="W67" s="1042">
        <f t="shared" si="139"/>
        <v>210000000</v>
      </c>
      <c r="X67" s="1042">
        <f t="shared" si="140"/>
        <v>0</v>
      </c>
      <c r="Y67" s="7">
        <v>175000000</v>
      </c>
      <c r="Z67" s="7">
        <f t="shared" si="111"/>
        <v>35000000</v>
      </c>
      <c r="AA67" s="1042">
        <f t="shared" si="141"/>
        <v>0</v>
      </c>
      <c r="AB67" s="1042">
        <f t="shared" si="113"/>
        <v>210000000</v>
      </c>
      <c r="AC67" s="1042">
        <f t="shared" si="129"/>
        <v>0</v>
      </c>
      <c r="AD67" s="1042">
        <f t="shared" si="142"/>
        <v>0</v>
      </c>
      <c r="AE67" s="1042">
        <f t="shared" si="143"/>
        <v>210000000</v>
      </c>
      <c r="AF67" s="1042">
        <f t="shared" si="144"/>
        <v>0</v>
      </c>
      <c r="AG67" s="1042">
        <f t="shared" si="145"/>
        <v>0</v>
      </c>
      <c r="AH67" s="1042">
        <f t="shared" si="146"/>
        <v>210000000</v>
      </c>
      <c r="AI67" s="1042">
        <f t="shared" si="147"/>
        <v>0</v>
      </c>
      <c r="AJ67" s="1042">
        <f t="shared" si="130"/>
        <v>0</v>
      </c>
      <c r="AK67" s="1042">
        <f t="shared" si="41"/>
        <v>210000000</v>
      </c>
      <c r="AL67" s="1042">
        <f t="shared" si="42"/>
        <v>0</v>
      </c>
      <c r="AM67" s="1042">
        <f>0</f>
        <v>0</v>
      </c>
      <c r="AN67" s="1042">
        <f t="shared" si="120"/>
        <v>210000000</v>
      </c>
      <c r="AO67" s="1042">
        <f t="shared" si="121"/>
        <v>0</v>
      </c>
      <c r="AP67" s="1042">
        <f t="shared" si="148"/>
        <v>0</v>
      </c>
      <c r="AQ67" s="1042">
        <f t="shared" si="149"/>
        <v>210000000</v>
      </c>
      <c r="AR67" s="1042">
        <f t="shared" si="150"/>
        <v>0</v>
      </c>
      <c r="AS67" s="1042">
        <f t="shared" si="131"/>
        <v>0</v>
      </c>
      <c r="AT67" s="1042">
        <f t="shared" si="125"/>
        <v>210000000</v>
      </c>
      <c r="AU67" s="1042">
        <f t="shared" si="126"/>
        <v>0</v>
      </c>
      <c r="AV67" s="1042">
        <f t="shared" si="132"/>
        <v>0</v>
      </c>
      <c r="AW67" s="1042">
        <f t="shared" si="127"/>
        <v>210000000</v>
      </c>
      <c r="AX67" s="1042">
        <f t="shared" si="128"/>
        <v>0</v>
      </c>
      <c r="AY67" s="19"/>
      <c r="AZ67" s="8">
        <f t="shared" si="52"/>
        <v>0</v>
      </c>
      <c r="BB67" s="57"/>
    </row>
    <row r="68" spans="1:54" ht="14.25" customHeight="1">
      <c r="A68" s="17">
        <f t="shared" si="133"/>
        <v>9</v>
      </c>
      <c r="B68" s="56" t="s">
        <v>810</v>
      </c>
      <c r="C68" s="238">
        <v>42370</v>
      </c>
      <c r="D68" s="55">
        <v>4</v>
      </c>
      <c r="E68" s="6">
        <v>112000000</v>
      </c>
      <c r="F68" s="1041">
        <f t="shared" si="95"/>
        <v>28000000</v>
      </c>
      <c r="G68" s="1042"/>
      <c r="H68" s="1042"/>
      <c r="I68" s="1042"/>
      <c r="J68" s="1042"/>
      <c r="K68" s="1042"/>
      <c r="L68" s="1042"/>
      <c r="M68" s="1053">
        <f t="shared" si="151"/>
        <v>28000000</v>
      </c>
      <c r="N68" s="1042">
        <f t="shared" si="134"/>
        <v>28000000</v>
      </c>
      <c r="O68" s="1042">
        <f t="shared" si="135"/>
        <v>84000000</v>
      </c>
      <c r="P68" s="1042">
        <f t="shared" si="136"/>
        <v>28000000</v>
      </c>
      <c r="Q68" s="1042">
        <f t="shared" si="137"/>
        <v>56000000</v>
      </c>
      <c r="R68" s="1042">
        <f t="shared" si="138"/>
        <v>56000000</v>
      </c>
      <c r="S68" s="1042">
        <f t="shared" si="152"/>
        <v>28000000</v>
      </c>
      <c r="T68" s="1042">
        <f t="shared" si="153"/>
        <v>84000000</v>
      </c>
      <c r="U68" s="1042">
        <f t="shared" si="154"/>
        <v>28000000</v>
      </c>
      <c r="V68" s="1042">
        <f t="shared" si="155"/>
        <v>28000000</v>
      </c>
      <c r="W68" s="1042">
        <f t="shared" si="139"/>
        <v>112000000</v>
      </c>
      <c r="X68" s="1042">
        <f t="shared" si="140"/>
        <v>0</v>
      </c>
      <c r="Y68" s="7">
        <v>91000000</v>
      </c>
      <c r="Z68" s="7">
        <f t="shared" si="111"/>
        <v>21000000</v>
      </c>
      <c r="AA68" s="1042">
        <f t="shared" si="141"/>
        <v>0</v>
      </c>
      <c r="AB68" s="1042">
        <f t="shared" si="113"/>
        <v>112000000</v>
      </c>
      <c r="AC68" s="1042">
        <f t="shared" si="129"/>
        <v>0</v>
      </c>
      <c r="AD68" s="1042">
        <f t="shared" si="142"/>
        <v>0</v>
      </c>
      <c r="AE68" s="1042">
        <f t="shared" si="143"/>
        <v>112000000</v>
      </c>
      <c r="AF68" s="1042">
        <f t="shared" si="144"/>
        <v>0</v>
      </c>
      <c r="AG68" s="1042">
        <f t="shared" si="145"/>
        <v>0</v>
      </c>
      <c r="AH68" s="1042">
        <f t="shared" si="146"/>
        <v>112000000</v>
      </c>
      <c r="AI68" s="1042">
        <f t="shared" si="147"/>
        <v>0</v>
      </c>
      <c r="AJ68" s="1042">
        <f t="shared" si="130"/>
        <v>0</v>
      </c>
      <c r="AK68" s="1042">
        <f t="shared" si="41"/>
        <v>112000000</v>
      </c>
      <c r="AL68" s="1042">
        <f t="shared" si="42"/>
        <v>0</v>
      </c>
      <c r="AM68" s="1042">
        <f>0</f>
        <v>0</v>
      </c>
      <c r="AN68" s="1042">
        <f t="shared" si="120"/>
        <v>112000000</v>
      </c>
      <c r="AO68" s="1042">
        <f t="shared" si="121"/>
        <v>0</v>
      </c>
      <c r="AP68" s="1042">
        <f t="shared" si="148"/>
        <v>0</v>
      </c>
      <c r="AQ68" s="1042">
        <f t="shared" si="149"/>
        <v>112000000</v>
      </c>
      <c r="AR68" s="1042">
        <f t="shared" si="150"/>
        <v>0</v>
      </c>
      <c r="AS68" s="1042">
        <f t="shared" si="131"/>
        <v>0</v>
      </c>
      <c r="AT68" s="1042">
        <f t="shared" si="125"/>
        <v>112000000</v>
      </c>
      <c r="AU68" s="1042">
        <f t="shared" si="126"/>
        <v>0</v>
      </c>
      <c r="AV68" s="1042">
        <f t="shared" si="132"/>
        <v>0</v>
      </c>
      <c r="AW68" s="1042">
        <f t="shared" si="127"/>
        <v>112000000</v>
      </c>
      <c r="AX68" s="1042">
        <f t="shared" si="128"/>
        <v>0</v>
      </c>
      <c r="AY68" s="19"/>
      <c r="AZ68" s="8">
        <f t="shared" si="52"/>
        <v>0</v>
      </c>
      <c r="BB68" s="57"/>
    </row>
    <row r="69" spans="1:54" ht="14.25" customHeight="1">
      <c r="A69" s="17">
        <f t="shared" si="133"/>
        <v>10</v>
      </c>
      <c r="B69" s="56" t="s">
        <v>811</v>
      </c>
      <c r="C69" s="238">
        <v>42736</v>
      </c>
      <c r="D69" s="55">
        <v>4</v>
      </c>
      <c r="E69" s="6">
        <v>301700000</v>
      </c>
      <c r="F69" s="1041">
        <f t="shared" si="95"/>
        <v>75425000</v>
      </c>
      <c r="G69" s="1042"/>
      <c r="H69" s="1042"/>
      <c r="I69" s="1042"/>
      <c r="J69" s="1042"/>
      <c r="K69" s="1042"/>
      <c r="L69" s="1042"/>
      <c r="M69" s="1042"/>
      <c r="N69" s="1042"/>
      <c r="O69" s="1042"/>
      <c r="P69" s="1053">
        <f>(F69/12)*(13-IF(C69="","",MONTH(C69)))</f>
        <v>75425000</v>
      </c>
      <c r="Q69" s="1042">
        <f t="shared" ref="Q69:Q73" si="156">N69+P69</f>
        <v>75425000</v>
      </c>
      <c r="R69" s="1042">
        <f t="shared" ref="R69:R73" si="157">E69-Q69</f>
        <v>226275000</v>
      </c>
      <c r="S69" s="1042">
        <f t="shared" ref="S69:S73" si="158">(F69/12)*12</f>
        <v>75425000</v>
      </c>
      <c r="T69" s="1042">
        <f t="shared" ref="T69:T73" si="159">Q69+S69</f>
        <v>150850000</v>
      </c>
      <c r="U69" s="1042">
        <f t="shared" ref="U69:U73" si="160">E69-T69</f>
        <v>150850000</v>
      </c>
      <c r="V69" s="1042">
        <f t="shared" ref="V69:V73" si="161">(F69/12)*12</f>
        <v>75425000</v>
      </c>
      <c r="W69" s="1042">
        <f t="shared" ref="W69:W73" si="162">V69+T69</f>
        <v>226275000</v>
      </c>
      <c r="X69" s="1042">
        <f t="shared" ref="X69:X73" si="163">E69-W69</f>
        <v>75425000</v>
      </c>
      <c r="Y69" s="7">
        <v>210164583.33333331</v>
      </c>
      <c r="Z69" s="7">
        <f t="shared" si="111"/>
        <v>91535416.666666687</v>
      </c>
      <c r="AA69" s="1042">
        <f>(F69/12)*12</f>
        <v>75425000</v>
      </c>
      <c r="AB69" s="1042">
        <f>W69+AA69</f>
        <v>301700000</v>
      </c>
      <c r="AC69" s="1042">
        <f t="shared" si="129"/>
        <v>0</v>
      </c>
      <c r="AD69" s="1042">
        <f t="shared" ref="AD69:AD73" si="164">(F69/12)*0</f>
        <v>0</v>
      </c>
      <c r="AE69" s="1042">
        <f t="shared" ref="AE69:AE73" si="165">AD69+AB69</f>
        <v>301700000</v>
      </c>
      <c r="AF69" s="1042">
        <f t="shared" ref="AF69:AF73" si="166">E69-AE69</f>
        <v>0</v>
      </c>
      <c r="AG69" s="1042">
        <f t="shared" ref="AG69:AG73" si="167">(F69/12)*0</f>
        <v>0</v>
      </c>
      <c r="AH69" s="1042">
        <f t="shared" ref="AH69:AH73" si="168">AE69+AG69</f>
        <v>301700000</v>
      </c>
      <c r="AI69" s="1042">
        <f t="shared" ref="AI69:AI73" si="169">E69-AH69</f>
        <v>0</v>
      </c>
      <c r="AJ69" s="1042">
        <f t="shared" si="130"/>
        <v>0</v>
      </c>
      <c r="AK69" s="1042">
        <f t="shared" si="41"/>
        <v>301700000</v>
      </c>
      <c r="AL69" s="1042">
        <f t="shared" si="42"/>
        <v>0</v>
      </c>
      <c r="AM69" s="1042">
        <f>0</f>
        <v>0</v>
      </c>
      <c r="AN69" s="1042">
        <f t="shared" si="120"/>
        <v>301700000</v>
      </c>
      <c r="AO69" s="1042">
        <f t="shared" si="121"/>
        <v>0</v>
      </c>
      <c r="AP69" s="1042">
        <f t="shared" ref="AP69:AP73" si="170">(F69/12)*0</f>
        <v>0</v>
      </c>
      <c r="AQ69" s="1042">
        <f t="shared" ref="AQ69:AQ73" si="171">AP69+AH69</f>
        <v>301700000</v>
      </c>
      <c r="AR69" s="1042">
        <f t="shared" ref="AR69:AR73" si="172">E69-AQ69</f>
        <v>0</v>
      </c>
      <c r="AS69" s="1042">
        <f t="shared" si="131"/>
        <v>0</v>
      </c>
      <c r="AT69" s="1042">
        <f t="shared" si="125"/>
        <v>301700000</v>
      </c>
      <c r="AU69" s="1042">
        <f t="shared" si="126"/>
        <v>0</v>
      </c>
      <c r="AV69" s="1042">
        <f t="shared" si="132"/>
        <v>0</v>
      </c>
      <c r="AW69" s="1042">
        <f t="shared" si="127"/>
        <v>301700000</v>
      </c>
      <c r="AX69" s="1042">
        <f t="shared" si="128"/>
        <v>0</v>
      </c>
      <c r="AY69" s="19"/>
      <c r="AZ69" s="8">
        <f t="shared" si="52"/>
        <v>0</v>
      </c>
      <c r="BB69" s="57"/>
    </row>
    <row r="70" spans="1:54" ht="14.25" customHeight="1">
      <c r="A70" s="17">
        <f t="shared" si="133"/>
        <v>11</v>
      </c>
      <c r="B70" s="56" t="s">
        <v>812</v>
      </c>
      <c r="C70" s="238">
        <v>42736</v>
      </c>
      <c r="D70" s="55">
        <v>4</v>
      </c>
      <c r="E70" s="6">
        <v>30000000</v>
      </c>
      <c r="F70" s="1041">
        <f t="shared" si="95"/>
        <v>7500000</v>
      </c>
      <c r="G70" s="1042"/>
      <c r="H70" s="1042"/>
      <c r="I70" s="1042"/>
      <c r="J70" s="1042"/>
      <c r="K70" s="1042"/>
      <c r="L70" s="1042"/>
      <c r="M70" s="1042"/>
      <c r="N70" s="1042"/>
      <c r="O70" s="1042"/>
      <c r="P70" s="1053">
        <f t="shared" ref="P70:P73" si="173">(F70/12)*(13-IF(C70="","",MONTH(C70)))</f>
        <v>7500000</v>
      </c>
      <c r="Q70" s="1042">
        <f t="shared" si="156"/>
        <v>7500000</v>
      </c>
      <c r="R70" s="1042">
        <f t="shared" si="157"/>
        <v>22500000</v>
      </c>
      <c r="S70" s="1042">
        <f t="shared" si="158"/>
        <v>7500000</v>
      </c>
      <c r="T70" s="1042">
        <f t="shared" si="159"/>
        <v>15000000</v>
      </c>
      <c r="U70" s="1042">
        <f t="shared" si="160"/>
        <v>15000000</v>
      </c>
      <c r="V70" s="1042">
        <f t="shared" si="161"/>
        <v>7500000</v>
      </c>
      <c r="W70" s="1042">
        <f t="shared" si="162"/>
        <v>22500000</v>
      </c>
      <c r="X70" s="1042">
        <f t="shared" si="163"/>
        <v>7500000</v>
      </c>
      <c r="Y70" s="7">
        <v>20625000</v>
      </c>
      <c r="Z70" s="7">
        <f t="shared" si="111"/>
        <v>9375000</v>
      </c>
      <c r="AA70" s="1042">
        <f t="shared" ref="AA70:AA73" si="174">(F70/12)*12</f>
        <v>7500000</v>
      </c>
      <c r="AB70" s="1042">
        <f t="shared" si="113"/>
        <v>30000000</v>
      </c>
      <c r="AC70" s="1042">
        <f t="shared" si="129"/>
        <v>0</v>
      </c>
      <c r="AD70" s="1042">
        <f t="shared" si="164"/>
        <v>0</v>
      </c>
      <c r="AE70" s="1042">
        <f t="shared" si="165"/>
        <v>30000000</v>
      </c>
      <c r="AF70" s="1042">
        <f t="shared" si="166"/>
        <v>0</v>
      </c>
      <c r="AG70" s="1042">
        <f t="shared" si="167"/>
        <v>0</v>
      </c>
      <c r="AH70" s="1042">
        <f t="shared" si="168"/>
        <v>30000000</v>
      </c>
      <c r="AI70" s="1042">
        <f t="shared" si="169"/>
        <v>0</v>
      </c>
      <c r="AJ70" s="1042">
        <f t="shared" si="130"/>
        <v>0</v>
      </c>
      <c r="AK70" s="1042">
        <f t="shared" si="41"/>
        <v>30000000</v>
      </c>
      <c r="AL70" s="1042">
        <f t="shared" si="42"/>
        <v>0</v>
      </c>
      <c r="AM70" s="1042">
        <f>0</f>
        <v>0</v>
      </c>
      <c r="AN70" s="1042">
        <f t="shared" si="120"/>
        <v>30000000</v>
      </c>
      <c r="AO70" s="1042">
        <f t="shared" si="121"/>
        <v>0</v>
      </c>
      <c r="AP70" s="1042">
        <f t="shared" si="170"/>
        <v>0</v>
      </c>
      <c r="AQ70" s="1042">
        <f t="shared" si="171"/>
        <v>30000000</v>
      </c>
      <c r="AR70" s="1042">
        <f t="shared" si="172"/>
        <v>0</v>
      </c>
      <c r="AS70" s="1042">
        <f t="shared" si="131"/>
        <v>0</v>
      </c>
      <c r="AT70" s="1042">
        <f t="shared" si="125"/>
        <v>30000000</v>
      </c>
      <c r="AU70" s="1042">
        <f t="shared" si="126"/>
        <v>0</v>
      </c>
      <c r="AV70" s="1042">
        <f t="shared" si="132"/>
        <v>0</v>
      </c>
      <c r="AW70" s="1042">
        <f t="shared" si="127"/>
        <v>30000000</v>
      </c>
      <c r="AX70" s="1042">
        <f t="shared" si="128"/>
        <v>0</v>
      </c>
      <c r="AZ70" s="8">
        <f t="shared" si="52"/>
        <v>0</v>
      </c>
      <c r="BB70" s="57"/>
    </row>
    <row r="71" spans="1:54" ht="14.25" customHeight="1">
      <c r="A71" s="17">
        <f t="shared" si="133"/>
        <v>12</v>
      </c>
      <c r="B71" s="53" t="s">
        <v>813</v>
      </c>
      <c r="C71" s="238">
        <v>42736</v>
      </c>
      <c r="D71" s="55">
        <v>4</v>
      </c>
      <c r="E71" s="6">
        <v>17750000</v>
      </c>
      <c r="F71" s="1041">
        <f t="shared" si="95"/>
        <v>4437500</v>
      </c>
      <c r="G71" s="1042"/>
      <c r="H71" s="1042"/>
      <c r="I71" s="1042"/>
      <c r="J71" s="1042"/>
      <c r="K71" s="1042"/>
      <c r="L71" s="1042"/>
      <c r="M71" s="1042"/>
      <c r="N71" s="1042"/>
      <c r="O71" s="1042"/>
      <c r="P71" s="1053">
        <f t="shared" si="173"/>
        <v>4437500</v>
      </c>
      <c r="Q71" s="1042">
        <f t="shared" si="156"/>
        <v>4437500</v>
      </c>
      <c r="R71" s="1042">
        <f t="shared" si="157"/>
        <v>13312500</v>
      </c>
      <c r="S71" s="1042">
        <f t="shared" si="158"/>
        <v>4437500</v>
      </c>
      <c r="T71" s="1042">
        <f t="shared" si="159"/>
        <v>8875000</v>
      </c>
      <c r="U71" s="1042">
        <f t="shared" si="160"/>
        <v>8875000</v>
      </c>
      <c r="V71" s="1042">
        <f t="shared" si="161"/>
        <v>4437500</v>
      </c>
      <c r="W71" s="1042">
        <f t="shared" si="162"/>
        <v>13312500</v>
      </c>
      <c r="X71" s="1042">
        <f t="shared" si="163"/>
        <v>4437500</v>
      </c>
      <c r="Y71" s="7">
        <v>11833333.333333332</v>
      </c>
      <c r="Z71" s="7">
        <f t="shared" si="111"/>
        <v>5916666.6666666679</v>
      </c>
      <c r="AA71" s="1042">
        <f t="shared" si="174"/>
        <v>4437500</v>
      </c>
      <c r="AB71" s="1042">
        <f t="shared" si="113"/>
        <v>17750000</v>
      </c>
      <c r="AC71" s="1042">
        <f t="shared" si="129"/>
        <v>0</v>
      </c>
      <c r="AD71" s="1042">
        <f t="shared" si="164"/>
        <v>0</v>
      </c>
      <c r="AE71" s="1042">
        <f t="shared" si="165"/>
        <v>17750000</v>
      </c>
      <c r="AF71" s="1042">
        <f t="shared" si="166"/>
        <v>0</v>
      </c>
      <c r="AG71" s="1042">
        <f t="shared" si="167"/>
        <v>0</v>
      </c>
      <c r="AH71" s="1042">
        <f t="shared" si="168"/>
        <v>17750000</v>
      </c>
      <c r="AI71" s="1042">
        <f t="shared" si="169"/>
        <v>0</v>
      </c>
      <c r="AJ71" s="1042">
        <f t="shared" si="130"/>
        <v>0</v>
      </c>
      <c r="AK71" s="1042">
        <f t="shared" si="41"/>
        <v>17750000</v>
      </c>
      <c r="AL71" s="1042">
        <f t="shared" si="42"/>
        <v>0</v>
      </c>
      <c r="AM71" s="1042">
        <f>0</f>
        <v>0</v>
      </c>
      <c r="AN71" s="1042">
        <f t="shared" si="120"/>
        <v>17750000</v>
      </c>
      <c r="AO71" s="1042">
        <f t="shared" si="121"/>
        <v>0</v>
      </c>
      <c r="AP71" s="1042">
        <f t="shared" si="170"/>
        <v>0</v>
      </c>
      <c r="AQ71" s="1042">
        <f t="shared" si="171"/>
        <v>17750000</v>
      </c>
      <c r="AR71" s="1042">
        <f t="shared" si="172"/>
        <v>0</v>
      </c>
      <c r="AS71" s="1042">
        <f t="shared" si="131"/>
        <v>0</v>
      </c>
      <c r="AT71" s="1042">
        <f t="shared" si="125"/>
        <v>17750000</v>
      </c>
      <c r="AU71" s="1042">
        <f t="shared" si="126"/>
        <v>0</v>
      </c>
      <c r="AV71" s="1042">
        <f t="shared" si="132"/>
        <v>0</v>
      </c>
      <c r="AW71" s="1042">
        <f t="shared" si="127"/>
        <v>17750000</v>
      </c>
      <c r="AX71" s="1042">
        <f t="shared" si="128"/>
        <v>0</v>
      </c>
      <c r="AZ71" s="8">
        <f t="shared" si="52"/>
        <v>0</v>
      </c>
      <c r="BB71" s="57"/>
    </row>
    <row r="72" spans="1:54" ht="13" customHeight="1">
      <c r="A72" s="17">
        <f t="shared" si="133"/>
        <v>13</v>
      </c>
      <c r="B72" s="53" t="s">
        <v>814</v>
      </c>
      <c r="C72" s="238">
        <v>42736</v>
      </c>
      <c r="D72" s="55">
        <v>4</v>
      </c>
      <c r="E72" s="6">
        <v>15105000</v>
      </c>
      <c r="F72" s="1041">
        <f t="shared" si="95"/>
        <v>3776250</v>
      </c>
      <c r="G72" s="1042"/>
      <c r="H72" s="1042"/>
      <c r="I72" s="1042"/>
      <c r="J72" s="1042"/>
      <c r="K72" s="1042"/>
      <c r="L72" s="1042"/>
      <c r="M72" s="1042"/>
      <c r="N72" s="1042"/>
      <c r="O72" s="1042"/>
      <c r="P72" s="1053">
        <f t="shared" si="173"/>
        <v>3776250</v>
      </c>
      <c r="Q72" s="1042">
        <f t="shared" si="156"/>
        <v>3776250</v>
      </c>
      <c r="R72" s="1042">
        <f t="shared" si="157"/>
        <v>11328750</v>
      </c>
      <c r="S72" s="1042">
        <f t="shared" si="158"/>
        <v>3776250</v>
      </c>
      <c r="T72" s="1042">
        <f t="shared" si="159"/>
        <v>7552500</v>
      </c>
      <c r="U72" s="1042">
        <f t="shared" si="160"/>
        <v>7552500</v>
      </c>
      <c r="V72" s="1042">
        <f t="shared" si="161"/>
        <v>3776250</v>
      </c>
      <c r="W72" s="1042">
        <f t="shared" si="162"/>
        <v>11328750</v>
      </c>
      <c r="X72" s="1042">
        <f t="shared" si="163"/>
        <v>3776250</v>
      </c>
      <c r="Y72" s="7">
        <v>9755312.5</v>
      </c>
      <c r="Z72" s="7">
        <f t="shared" si="111"/>
        <v>5349687.5</v>
      </c>
      <c r="AA72" s="1042">
        <f t="shared" si="174"/>
        <v>3776250</v>
      </c>
      <c r="AB72" s="1042">
        <f t="shared" si="113"/>
        <v>15105000</v>
      </c>
      <c r="AC72" s="1042">
        <f t="shared" si="129"/>
        <v>0</v>
      </c>
      <c r="AD72" s="1042">
        <f t="shared" si="164"/>
        <v>0</v>
      </c>
      <c r="AE72" s="1042">
        <f t="shared" si="165"/>
        <v>15105000</v>
      </c>
      <c r="AF72" s="1042">
        <f t="shared" si="166"/>
        <v>0</v>
      </c>
      <c r="AG72" s="1042">
        <f t="shared" si="167"/>
        <v>0</v>
      </c>
      <c r="AH72" s="1042">
        <f t="shared" si="168"/>
        <v>15105000</v>
      </c>
      <c r="AI72" s="1042">
        <f t="shared" si="169"/>
        <v>0</v>
      </c>
      <c r="AJ72" s="1042">
        <f t="shared" si="130"/>
        <v>0</v>
      </c>
      <c r="AK72" s="1042">
        <f t="shared" si="41"/>
        <v>15105000</v>
      </c>
      <c r="AL72" s="1042">
        <f t="shared" si="42"/>
        <v>0</v>
      </c>
      <c r="AM72" s="1042">
        <f>0</f>
        <v>0</v>
      </c>
      <c r="AN72" s="1042">
        <f t="shared" si="120"/>
        <v>15105000</v>
      </c>
      <c r="AO72" s="1042">
        <f t="shared" si="121"/>
        <v>0</v>
      </c>
      <c r="AP72" s="1042">
        <f t="shared" si="170"/>
        <v>0</v>
      </c>
      <c r="AQ72" s="1042">
        <f t="shared" si="171"/>
        <v>15105000</v>
      </c>
      <c r="AR72" s="1042">
        <f t="shared" si="172"/>
        <v>0</v>
      </c>
      <c r="AS72" s="1042">
        <f t="shared" si="131"/>
        <v>0</v>
      </c>
      <c r="AT72" s="1042">
        <f t="shared" si="125"/>
        <v>15105000</v>
      </c>
      <c r="AU72" s="1042">
        <f t="shared" si="126"/>
        <v>0</v>
      </c>
      <c r="AV72" s="1042">
        <f t="shared" si="132"/>
        <v>0</v>
      </c>
      <c r="AW72" s="1042">
        <f t="shared" si="127"/>
        <v>15105000</v>
      </c>
      <c r="AX72" s="1042">
        <f t="shared" si="128"/>
        <v>0</v>
      </c>
      <c r="AZ72" s="8">
        <f t="shared" si="52"/>
        <v>0</v>
      </c>
      <c r="BB72" s="57"/>
    </row>
    <row r="73" spans="1:54" ht="14.25" customHeight="1">
      <c r="A73" s="17">
        <f t="shared" si="133"/>
        <v>14</v>
      </c>
      <c r="B73" s="53" t="s">
        <v>815</v>
      </c>
      <c r="C73" s="238">
        <v>42736</v>
      </c>
      <c r="D73" s="55">
        <v>4</v>
      </c>
      <c r="E73" s="6">
        <v>11700000</v>
      </c>
      <c r="F73" s="1041">
        <f t="shared" si="95"/>
        <v>2925000</v>
      </c>
      <c r="G73" s="1042"/>
      <c r="H73" s="1042"/>
      <c r="I73" s="1042"/>
      <c r="J73" s="1042"/>
      <c r="K73" s="1042"/>
      <c r="L73" s="1042"/>
      <c r="M73" s="1042"/>
      <c r="N73" s="1042"/>
      <c r="O73" s="1042"/>
      <c r="P73" s="1053">
        <f t="shared" si="173"/>
        <v>2925000</v>
      </c>
      <c r="Q73" s="1042">
        <f t="shared" si="156"/>
        <v>2925000</v>
      </c>
      <c r="R73" s="1042">
        <f t="shared" si="157"/>
        <v>8775000</v>
      </c>
      <c r="S73" s="1042">
        <f t="shared" si="158"/>
        <v>2925000</v>
      </c>
      <c r="T73" s="1042">
        <f t="shared" si="159"/>
        <v>5850000</v>
      </c>
      <c r="U73" s="1042">
        <f t="shared" si="160"/>
        <v>5850000</v>
      </c>
      <c r="V73" s="1042">
        <f t="shared" si="161"/>
        <v>2925000</v>
      </c>
      <c r="W73" s="1042">
        <f t="shared" si="162"/>
        <v>8775000</v>
      </c>
      <c r="X73" s="1042">
        <f t="shared" si="163"/>
        <v>2925000</v>
      </c>
      <c r="Y73" s="7">
        <v>6093750</v>
      </c>
      <c r="Z73" s="7">
        <f t="shared" si="111"/>
        <v>5606250</v>
      </c>
      <c r="AA73" s="1042">
        <f t="shared" si="174"/>
        <v>2925000</v>
      </c>
      <c r="AB73" s="1042">
        <f t="shared" si="113"/>
        <v>11700000</v>
      </c>
      <c r="AC73" s="1042">
        <f t="shared" si="129"/>
        <v>0</v>
      </c>
      <c r="AD73" s="1042">
        <f t="shared" si="164"/>
        <v>0</v>
      </c>
      <c r="AE73" s="1042">
        <f t="shared" si="165"/>
        <v>11700000</v>
      </c>
      <c r="AF73" s="1042">
        <f t="shared" si="166"/>
        <v>0</v>
      </c>
      <c r="AG73" s="1042">
        <f t="shared" si="167"/>
        <v>0</v>
      </c>
      <c r="AH73" s="1042">
        <f t="shared" si="168"/>
        <v>11700000</v>
      </c>
      <c r="AI73" s="1042">
        <f t="shared" si="169"/>
        <v>0</v>
      </c>
      <c r="AJ73" s="1042">
        <f t="shared" si="130"/>
        <v>0</v>
      </c>
      <c r="AK73" s="1042">
        <f t="shared" ref="AK73:AK78" si="175">AH73+AJ73</f>
        <v>11700000</v>
      </c>
      <c r="AL73" s="1042">
        <f t="shared" ref="AL73:AL78" si="176">E73-AK73</f>
        <v>0</v>
      </c>
      <c r="AM73" s="1042">
        <f>0</f>
        <v>0</v>
      </c>
      <c r="AN73" s="1042">
        <f t="shared" si="120"/>
        <v>11700000</v>
      </c>
      <c r="AO73" s="1042">
        <f t="shared" si="121"/>
        <v>0</v>
      </c>
      <c r="AP73" s="1042">
        <f t="shared" si="170"/>
        <v>0</v>
      </c>
      <c r="AQ73" s="1042">
        <f t="shared" si="171"/>
        <v>11700000</v>
      </c>
      <c r="AR73" s="1042">
        <f t="shared" si="172"/>
        <v>0</v>
      </c>
      <c r="AS73" s="1042">
        <f t="shared" si="131"/>
        <v>0</v>
      </c>
      <c r="AT73" s="1042">
        <f t="shared" si="125"/>
        <v>11700000</v>
      </c>
      <c r="AU73" s="1042">
        <f t="shared" si="126"/>
        <v>0</v>
      </c>
      <c r="AV73" s="1042">
        <f t="shared" si="132"/>
        <v>0</v>
      </c>
      <c r="AW73" s="1042">
        <f t="shared" si="127"/>
        <v>11700000</v>
      </c>
      <c r="AX73" s="1042">
        <f t="shared" si="128"/>
        <v>0</v>
      </c>
      <c r="AZ73" s="8">
        <f t="shared" ref="AZ73:AZ86" si="177">E73-AW73-AX73</f>
        <v>0</v>
      </c>
      <c r="BB73" s="57"/>
    </row>
    <row r="74" spans="1:54" ht="14.25" customHeight="1">
      <c r="A74" s="17">
        <f t="shared" si="133"/>
        <v>15</v>
      </c>
      <c r="B74" s="53" t="s">
        <v>816</v>
      </c>
      <c r="C74" s="254">
        <v>43495</v>
      </c>
      <c r="D74" s="55">
        <v>4</v>
      </c>
      <c r="E74" s="6">
        <v>32470000</v>
      </c>
      <c r="F74" s="1041">
        <f t="shared" si="95"/>
        <v>8117500</v>
      </c>
      <c r="G74" s="1042"/>
      <c r="H74" s="1042"/>
      <c r="I74" s="1042"/>
      <c r="J74" s="1042"/>
      <c r="K74" s="1042"/>
      <c r="L74" s="1042"/>
      <c r="M74" s="1042"/>
      <c r="N74" s="1042"/>
      <c r="O74" s="1042"/>
      <c r="P74" s="1042"/>
      <c r="Q74" s="1042"/>
      <c r="R74" s="1042"/>
      <c r="S74" s="1042"/>
      <c r="T74" s="1042"/>
      <c r="U74" s="1042"/>
      <c r="V74" s="1053">
        <f t="shared" ref="V74:V76" si="178">(F74/12)*(13-IF(C74="","",MONTH(C74)))</f>
        <v>8117500</v>
      </c>
      <c r="W74" s="1042">
        <f t="shared" ref="W74:W76" si="179">V74+T74</f>
        <v>8117500</v>
      </c>
      <c r="X74" s="1042">
        <f t="shared" ref="X74:X76" si="180">E74-W74</f>
        <v>24352500</v>
      </c>
      <c r="Y74" s="7">
        <v>7441041.666666667</v>
      </c>
      <c r="Z74" s="7">
        <f t="shared" si="111"/>
        <v>25028958.333333332</v>
      </c>
      <c r="AA74" s="1042">
        <f t="shared" ref="AA74:AA76" si="181">(F74/12)*12</f>
        <v>8117500</v>
      </c>
      <c r="AB74" s="1042">
        <f t="shared" si="113"/>
        <v>16235000</v>
      </c>
      <c r="AC74" s="1042">
        <f t="shared" si="129"/>
        <v>16235000</v>
      </c>
      <c r="AD74" s="1042">
        <f>(F74/12)*12</f>
        <v>8117500</v>
      </c>
      <c r="AE74" s="1042">
        <f t="shared" ref="AE74:AE76" si="182">AD74+AB74</f>
        <v>24352500</v>
      </c>
      <c r="AF74" s="1042">
        <f t="shared" ref="AF74:AF76" si="183">E74-AE74</f>
        <v>8117500</v>
      </c>
      <c r="AG74" s="1042">
        <f>(F74/12)*12</f>
        <v>8117500</v>
      </c>
      <c r="AH74" s="1042">
        <f t="shared" ref="AH74:AH76" si="184">AE74+AG74</f>
        <v>32470000</v>
      </c>
      <c r="AI74" s="1042">
        <f t="shared" ref="AI74:AI76" si="185">E74-AH74</f>
        <v>0</v>
      </c>
      <c r="AJ74" s="1042">
        <f t="shared" si="130"/>
        <v>0</v>
      </c>
      <c r="AK74" s="1042">
        <f t="shared" si="175"/>
        <v>32470000</v>
      </c>
      <c r="AL74" s="1042">
        <f t="shared" si="176"/>
        <v>0</v>
      </c>
      <c r="AM74" s="1042">
        <f>0</f>
        <v>0</v>
      </c>
      <c r="AN74" s="1042">
        <f t="shared" si="120"/>
        <v>32470000</v>
      </c>
      <c r="AO74" s="1042">
        <f t="shared" si="121"/>
        <v>0</v>
      </c>
      <c r="AP74" s="1042">
        <f t="shared" ref="AP74" si="186">(F74/12)*0</f>
        <v>0</v>
      </c>
      <c r="AQ74" s="1042">
        <f t="shared" ref="AQ74:AQ76" si="187">AP74+AH74</f>
        <v>32470000</v>
      </c>
      <c r="AR74" s="1042">
        <f t="shared" ref="AR74:AR76" si="188">E74-AQ74</f>
        <v>0</v>
      </c>
      <c r="AS74" s="1042">
        <f t="shared" si="131"/>
        <v>0</v>
      </c>
      <c r="AT74" s="1042">
        <f t="shared" si="125"/>
        <v>32470000</v>
      </c>
      <c r="AU74" s="1042">
        <f t="shared" si="126"/>
        <v>0</v>
      </c>
      <c r="AV74" s="1042">
        <f t="shared" si="132"/>
        <v>0</v>
      </c>
      <c r="AW74" s="1042">
        <f t="shared" si="127"/>
        <v>32470000</v>
      </c>
      <c r="AX74" s="1042">
        <f t="shared" si="128"/>
        <v>0</v>
      </c>
      <c r="AZ74" s="8">
        <f t="shared" si="177"/>
        <v>0</v>
      </c>
      <c r="BB74" s="57"/>
    </row>
    <row r="75" spans="1:54" ht="14.25" customHeight="1">
      <c r="A75" s="17">
        <f t="shared" si="133"/>
        <v>16</v>
      </c>
      <c r="B75" s="53" t="s">
        <v>146</v>
      </c>
      <c r="C75" s="254">
        <v>43663</v>
      </c>
      <c r="D75" s="55">
        <v>4</v>
      </c>
      <c r="E75" s="6">
        <v>114349251</v>
      </c>
      <c r="F75" s="1041">
        <f t="shared" si="95"/>
        <v>28587312.75</v>
      </c>
      <c r="G75" s="1042"/>
      <c r="H75" s="1042"/>
      <c r="I75" s="1042"/>
      <c r="J75" s="1042"/>
      <c r="K75" s="1042"/>
      <c r="L75" s="1042"/>
      <c r="M75" s="1042"/>
      <c r="N75" s="1042"/>
      <c r="O75" s="1042"/>
      <c r="P75" s="1042"/>
      <c r="Q75" s="1042"/>
      <c r="R75" s="1042"/>
      <c r="S75" s="1042"/>
      <c r="T75" s="1042"/>
      <c r="U75" s="1042"/>
      <c r="V75" s="1053">
        <f t="shared" si="178"/>
        <v>14293656.375</v>
      </c>
      <c r="W75" s="1042">
        <f t="shared" si="179"/>
        <v>14293656.375</v>
      </c>
      <c r="X75" s="1042">
        <f t="shared" si="180"/>
        <v>100055594.625</v>
      </c>
      <c r="Y75" s="7">
        <v>11911380.3125</v>
      </c>
      <c r="Z75" s="7">
        <f t="shared" si="111"/>
        <v>102437870.6875</v>
      </c>
      <c r="AA75" s="1042">
        <f t="shared" si="181"/>
        <v>28587312.75</v>
      </c>
      <c r="AB75" s="1042">
        <f t="shared" si="113"/>
        <v>42880969.125</v>
      </c>
      <c r="AC75" s="1042">
        <f t="shared" si="129"/>
        <v>71468281.875</v>
      </c>
      <c r="AD75" s="1042">
        <f t="shared" ref="AD75:AD76" si="189">(F75/12)*12</f>
        <v>28587312.75</v>
      </c>
      <c r="AE75" s="1042">
        <f t="shared" si="182"/>
        <v>71468281.875</v>
      </c>
      <c r="AF75" s="1042">
        <f t="shared" si="183"/>
        <v>42880969.125</v>
      </c>
      <c r="AG75" s="1042">
        <f t="shared" ref="AG75:AG76" si="190">(F75/12)*12</f>
        <v>28587312.75</v>
      </c>
      <c r="AH75" s="1042">
        <f t="shared" si="184"/>
        <v>100055594.625</v>
      </c>
      <c r="AI75" s="1042">
        <f t="shared" si="185"/>
        <v>14293656.375</v>
      </c>
      <c r="AJ75" s="1042">
        <f t="shared" ref="AJ75:AJ78" si="191">(F75/12)*1</f>
        <v>2382276.0625</v>
      </c>
      <c r="AK75" s="1042">
        <f t="shared" si="175"/>
        <v>102437870.6875</v>
      </c>
      <c r="AL75" s="1042">
        <f t="shared" si="176"/>
        <v>11911380.3125</v>
      </c>
      <c r="AM75" s="1042">
        <f>(F75/12)*6</f>
        <v>14293656.375</v>
      </c>
      <c r="AN75" s="1042">
        <f t="shared" si="120"/>
        <v>114349251</v>
      </c>
      <c r="AO75" s="1042">
        <f t="shared" si="121"/>
        <v>0</v>
      </c>
      <c r="AP75" s="1042">
        <f>(F75/12)*6</f>
        <v>14293656.375</v>
      </c>
      <c r="AQ75" s="1042">
        <f t="shared" si="187"/>
        <v>114349251</v>
      </c>
      <c r="AR75" s="1042">
        <f t="shared" si="188"/>
        <v>0</v>
      </c>
      <c r="AS75" s="1042">
        <f t="shared" si="131"/>
        <v>0</v>
      </c>
      <c r="AT75" s="1042">
        <f t="shared" si="125"/>
        <v>114349251</v>
      </c>
      <c r="AU75" s="1042">
        <f t="shared" si="126"/>
        <v>0</v>
      </c>
      <c r="AV75" s="1042">
        <f t="shared" si="132"/>
        <v>0</v>
      </c>
      <c r="AW75" s="1042">
        <f t="shared" si="127"/>
        <v>114349251</v>
      </c>
      <c r="AX75" s="1042">
        <f t="shared" si="128"/>
        <v>0</v>
      </c>
      <c r="AZ75" s="8">
        <f t="shared" si="177"/>
        <v>0</v>
      </c>
      <c r="BB75" s="57"/>
    </row>
    <row r="76" spans="1:54" ht="14.25" customHeight="1">
      <c r="A76" s="17">
        <f t="shared" si="133"/>
        <v>17</v>
      </c>
      <c r="B76" s="53" t="s">
        <v>817</v>
      </c>
      <c r="C76" s="254">
        <v>43801</v>
      </c>
      <c r="D76" s="55">
        <v>4</v>
      </c>
      <c r="E76" s="6">
        <v>3700000</v>
      </c>
      <c r="F76" s="1041">
        <f t="shared" si="95"/>
        <v>925000</v>
      </c>
      <c r="G76" s="1042"/>
      <c r="H76" s="1042"/>
      <c r="I76" s="1042"/>
      <c r="J76" s="1042"/>
      <c r="K76" s="1042"/>
      <c r="L76" s="1042"/>
      <c r="M76" s="1042"/>
      <c r="N76" s="1042"/>
      <c r="O76" s="1042"/>
      <c r="P76" s="1042"/>
      <c r="Q76" s="1042"/>
      <c r="R76" s="1042"/>
      <c r="S76" s="1042"/>
      <c r="T76" s="1042"/>
      <c r="U76" s="1042"/>
      <c r="V76" s="1053">
        <f t="shared" si="178"/>
        <v>77083.333333333328</v>
      </c>
      <c r="W76" s="1042">
        <f t="shared" si="179"/>
        <v>77083.333333333328</v>
      </c>
      <c r="X76" s="1042">
        <f t="shared" si="180"/>
        <v>3622916.6666666665</v>
      </c>
      <c r="Y76" s="7">
        <v>77083.333333333328</v>
      </c>
      <c r="Z76" s="7">
        <f t="shared" si="111"/>
        <v>3622916.6666666665</v>
      </c>
      <c r="AA76" s="1042">
        <f t="shared" si="181"/>
        <v>925000</v>
      </c>
      <c r="AB76" s="1042">
        <f t="shared" si="113"/>
        <v>1002083.3333333334</v>
      </c>
      <c r="AC76" s="1042">
        <f t="shared" si="129"/>
        <v>2697916.6666666665</v>
      </c>
      <c r="AD76" s="1042">
        <f t="shared" si="189"/>
        <v>925000</v>
      </c>
      <c r="AE76" s="1042">
        <f t="shared" si="182"/>
        <v>1927083.3333333335</v>
      </c>
      <c r="AF76" s="1042">
        <f t="shared" si="183"/>
        <v>1772916.6666666665</v>
      </c>
      <c r="AG76" s="1042">
        <f t="shared" si="190"/>
        <v>925000</v>
      </c>
      <c r="AH76" s="1042">
        <f t="shared" si="184"/>
        <v>2852083.3333333335</v>
      </c>
      <c r="AI76" s="1042">
        <f t="shared" si="185"/>
        <v>847916.66666666651</v>
      </c>
      <c r="AJ76" s="1042">
        <f t="shared" si="191"/>
        <v>77083.333333333328</v>
      </c>
      <c r="AK76" s="1042">
        <f t="shared" si="175"/>
        <v>2929166.666666667</v>
      </c>
      <c r="AL76" s="1042">
        <f t="shared" si="176"/>
        <v>770833.33333333302</v>
      </c>
      <c r="AM76" s="1042">
        <f t="shared" ref="AM76:AM79" si="192">(F76/12)*9</f>
        <v>693750</v>
      </c>
      <c r="AN76" s="1042">
        <f t="shared" si="120"/>
        <v>3545833.3333333335</v>
      </c>
      <c r="AO76" s="1042">
        <f t="shared" si="121"/>
        <v>154166.66666666651</v>
      </c>
      <c r="AP76" s="1042">
        <f>(F76/12)*11</f>
        <v>847916.66666666663</v>
      </c>
      <c r="AQ76" s="1042">
        <f t="shared" si="187"/>
        <v>3700000</v>
      </c>
      <c r="AR76" s="1042">
        <f t="shared" si="188"/>
        <v>0</v>
      </c>
      <c r="AS76" s="1042">
        <f t="shared" si="131"/>
        <v>0</v>
      </c>
      <c r="AT76" s="1042">
        <f t="shared" si="125"/>
        <v>3700000</v>
      </c>
      <c r="AU76" s="1042">
        <f t="shared" si="126"/>
        <v>0</v>
      </c>
      <c r="AV76" s="1042">
        <f t="shared" si="132"/>
        <v>0</v>
      </c>
      <c r="AW76" s="1042">
        <f t="shared" si="127"/>
        <v>3700000</v>
      </c>
      <c r="AX76" s="1042">
        <f t="shared" si="128"/>
        <v>0</v>
      </c>
      <c r="AZ76" s="8">
        <f t="shared" si="177"/>
        <v>0</v>
      </c>
      <c r="BB76" s="57"/>
    </row>
    <row r="77" spans="1:54" ht="14.25" customHeight="1">
      <c r="A77" s="17">
        <f t="shared" si="133"/>
        <v>18</v>
      </c>
      <c r="B77" s="53" t="s">
        <v>818</v>
      </c>
      <c r="C77" s="254">
        <v>44631</v>
      </c>
      <c r="D77" s="55">
        <v>4</v>
      </c>
      <c r="E77" s="6">
        <v>3485000</v>
      </c>
      <c r="F77" s="1041">
        <f t="shared" si="95"/>
        <v>871250</v>
      </c>
      <c r="G77" s="1042"/>
      <c r="H77" s="1042"/>
      <c r="I77" s="1042"/>
      <c r="J77" s="1042"/>
      <c r="K77" s="1042"/>
      <c r="L77" s="1042"/>
      <c r="M77" s="1042"/>
      <c r="N77" s="1042"/>
      <c r="O77" s="1042"/>
      <c r="P77" s="1042"/>
      <c r="Q77" s="1042"/>
      <c r="R77" s="1042"/>
      <c r="S77" s="1042"/>
      <c r="T77" s="1042"/>
      <c r="U77" s="1042"/>
      <c r="V77" s="1042"/>
      <c r="W77" s="1042"/>
      <c r="X77" s="1042"/>
      <c r="Y77" s="7"/>
      <c r="Z77" s="7"/>
      <c r="AA77" s="1042"/>
      <c r="AB77" s="1042"/>
      <c r="AC77" s="1042"/>
      <c r="AD77" s="1042"/>
      <c r="AE77" s="1042"/>
      <c r="AF77" s="1042"/>
      <c r="AG77" s="1053">
        <f t="shared" ref="AG77:AG78" si="193">(F77/12)*(13-IF(C77="","",MONTH(C77)))</f>
        <v>726041.66666666674</v>
      </c>
      <c r="AH77" s="1042">
        <f t="shared" ref="AH77:AH78" si="194">AE77+AG77</f>
        <v>726041.66666666674</v>
      </c>
      <c r="AI77" s="1042">
        <f t="shared" ref="AI77:AI78" si="195">E77-AH77</f>
        <v>2758958.333333333</v>
      </c>
      <c r="AJ77" s="1042">
        <f t="shared" si="191"/>
        <v>72604.166666666672</v>
      </c>
      <c r="AK77" s="1042">
        <f t="shared" si="175"/>
        <v>798645.83333333337</v>
      </c>
      <c r="AL77" s="1042">
        <f t="shared" si="176"/>
        <v>2686354.1666666665</v>
      </c>
      <c r="AM77" s="1042">
        <f t="shared" si="192"/>
        <v>653437.5</v>
      </c>
      <c r="AN77" s="1042">
        <f t="shared" si="120"/>
        <v>1379479.1666666667</v>
      </c>
      <c r="AO77" s="1042">
        <f t="shared" si="121"/>
        <v>2105520.833333333</v>
      </c>
      <c r="AP77" s="1042">
        <f t="shared" ref="AP77:AP78" si="196">(F77/12)*12</f>
        <v>871250</v>
      </c>
      <c r="AQ77" s="1042">
        <f t="shared" ref="AQ77:AQ78" si="197">AP77+AH77</f>
        <v>1597291.6666666667</v>
      </c>
      <c r="AR77" s="1042">
        <f t="shared" ref="AR77:AR78" si="198">E77-AQ77</f>
        <v>1887708.3333333333</v>
      </c>
      <c r="AS77" s="1042">
        <f>(F77/12)*9</f>
        <v>653437.5</v>
      </c>
      <c r="AT77" s="1042">
        <f t="shared" si="125"/>
        <v>2250729.166666667</v>
      </c>
      <c r="AU77" s="1042">
        <f t="shared" si="126"/>
        <v>1234270.833333333</v>
      </c>
      <c r="AV77" s="1042">
        <f t="shared" ref="AV77:AV78" si="199">(F77/12)*12</f>
        <v>871250</v>
      </c>
      <c r="AW77" s="1042">
        <f t="shared" si="127"/>
        <v>2468541.666666667</v>
      </c>
      <c r="AX77" s="1042">
        <f t="shared" si="128"/>
        <v>1016458.333333333</v>
      </c>
      <c r="AZ77" s="8">
        <f t="shared" si="177"/>
        <v>0</v>
      </c>
      <c r="BB77" s="57"/>
    </row>
    <row r="78" spans="1:54" ht="14.25" customHeight="1">
      <c r="A78" s="17">
        <f t="shared" si="133"/>
        <v>19</v>
      </c>
      <c r="B78" s="53" t="s">
        <v>819</v>
      </c>
      <c r="C78" s="254">
        <v>44739</v>
      </c>
      <c r="D78" s="55">
        <v>4</v>
      </c>
      <c r="E78" s="6">
        <v>17500000</v>
      </c>
      <c r="F78" s="1041">
        <f t="shared" si="95"/>
        <v>4375000</v>
      </c>
      <c r="G78" s="1042"/>
      <c r="H78" s="1042"/>
      <c r="I78" s="1042"/>
      <c r="J78" s="1042"/>
      <c r="K78" s="1042"/>
      <c r="L78" s="1042"/>
      <c r="M78" s="1042"/>
      <c r="N78" s="1042"/>
      <c r="O78" s="1042"/>
      <c r="P78" s="1042"/>
      <c r="Q78" s="1042"/>
      <c r="R78" s="1042"/>
      <c r="S78" s="1042"/>
      <c r="T78" s="1042"/>
      <c r="U78" s="1042"/>
      <c r="V78" s="1042"/>
      <c r="W78" s="1042"/>
      <c r="X78" s="1042"/>
      <c r="Y78" s="7"/>
      <c r="Z78" s="7"/>
      <c r="AA78" s="1042"/>
      <c r="AB78" s="1042"/>
      <c r="AC78" s="1042"/>
      <c r="AD78" s="1042"/>
      <c r="AE78" s="1042"/>
      <c r="AF78" s="1042"/>
      <c r="AG78" s="1053">
        <f t="shared" si="193"/>
        <v>2552083.333333333</v>
      </c>
      <c r="AH78" s="1042">
        <f t="shared" si="194"/>
        <v>2552083.333333333</v>
      </c>
      <c r="AI78" s="1042">
        <f t="shared" si="195"/>
        <v>14947916.666666668</v>
      </c>
      <c r="AJ78" s="1042">
        <f t="shared" si="191"/>
        <v>364583.33333333331</v>
      </c>
      <c r="AK78" s="1042">
        <f t="shared" si="175"/>
        <v>2916666.6666666665</v>
      </c>
      <c r="AL78" s="1042">
        <f t="shared" si="176"/>
        <v>14583333.333333334</v>
      </c>
      <c r="AM78" s="1042">
        <f t="shared" si="192"/>
        <v>3281250</v>
      </c>
      <c r="AN78" s="1042">
        <f t="shared" si="120"/>
        <v>5833333.333333333</v>
      </c>
      <c r="AO78" s="1042">
        <f t="shared" si="121"/>
        <v>11666666.666666668</v>
      </c>
      <c r="AP78" s="1042">
        <f t="shared" si="196"/>
        <v>4375000</v>
      </c>
      <c r="AQ78" s="1042">
        <f t="shared" si="197"/>
        <v>6927083.333333333</v>
      </c>
      <c r="AR78" s="1042">
        <f t="shared" si="198"/>
        <v>10572916.666666668</v>
      </c>
      <c r="AS78" s="1042">
        <f>(F78/12)*9</f>
        <v>3281250</v>
      </c>
      <c r="AT78" s="1042">
        <f t="shared" si="125"/>
        <v>10208333.333333332</v>
      </c>
      <c r="AU78" s="1042">
        <f t="shared" si="126"/>
        <v>7291666.6666666679</v>
      </c>
      <c r="AV78" s="1042">
        <f t="shared" si="199"/>
        <v>4375000</v>
      </c>
      <c r="AW78" s="1042">
        <f t="shared" si="127"/>
        <v>11302083.333333332</v>
      </c>
      <c r="AX78" s="1042">
        <f t="shared" si="128"/>
        <v>6197916.6666666679</v>
      </c>
      <c r="AZ78" s="8">
        <f t="shared" si="177"/>
        <v>0</v>
      </c>
      <c r="BB78" s="57"/>
    </row>
    <row r="79" spans="1:54" ht="14.25" customHeight="1">
      <c r="A79" s="17">
        <f t="shared" si="133"/>
        <v>20</v>
      </c>
      <c r="B79" s="53" t="s">
        <v>1217</v>
      </c>
      <c r="C79" s="254">
        <v>44991</v>
      </c>
      <c r="D79" s="55">
        <v>4</v>
      </c>
      <c r="E79" s="6">
        <v>29115000</v>
      </c>
      <c r="F79" s="1041">
        <f t="shared" ref="F79" si="200">E79/D79</f>
        <v>7278750</v>
      </c>
      <c r="G79" s="1042"/>
      <c r="H79" s="1042"/>
      <c r="I79" s="1042"/>
      <c r="J79" s="1042"/>
      <c r="K79" s="1042"/>
      <c r="L79" s="1042"/>
      <c r="M79" s="1042"/>
      <c r="N79" s="1042"/>
      <c r="O79" s="1042"/>
      <c r="P79" s="1042"/>
      <c r="Q79" s="1042"/>
      <c r="R79" s="1042"/>
      <c r="S79" s="1042"/>
      <c r="T79" s="1042"/>
      <c r="U79" s="1042"/>
      <c r="V79" s="1042"/>
      <c r="W79" s="1042"/>
      <c r="X79" s="1042"/>
      <c r="Y79" s="7"/>
      <c r="Z79" s="7"/>
      <c r="AA79" s="1042"/>
      <c r="AB79" s="1042"/>
      <c r="AC79" s="1042"/>
      <c r="AD79" s="1042"/>
      <c r="AE79" s="1042"/>
      <c r="AF79" s="1042"/>
      <c r="AG79" s="1042"/>
      <c r="AH79" s="1042"/>
      <c r="AI79" s="1042"/>
      <c r="AJ79" s="1042"/>
      <c r="AK79" s="1042"/>
      <c r="AL79" s="1042"/>
      <c r="AM79" s="1042">
        <f t="shared" si="192"/>
        <v>5459062.5</v>
      </c>
      <c r="AN79" s="1042">
        <f t="shared" si="120"/>
        <v>5459062.5</v>
      </c>
      <c r="AO79" s="1042">
        <f t="shared" si="121"/>
        <v>23655937.5</v>
      </c>
      <c r="AP79" s="1118">
        <f>(F79/12)*12</f>
        <v>7278750</v>
      </c>
      <c r="AQ79" s="1042">
        <f t="shared" ref="AQ79" si="201">AP79+AH79</f>
        <v>7278750</v>
      </c>
      <c r="AR79" s="1042">
        <f t="shared" ref="AR79" si="202">E79-AQ79</f>
        <v>21836250</v>
      </c>
      <c r="AS79" s="1118">
        <f>(F79/12)*7</f>
        <v>4245937.5</v>
      </c>
      <c r="AT79" s="1042">
        <f t="shared" si="125"/>
        <v>11524687.5</v>
      </c>
      <c r="AU79" s="1042">
        <f t="shared" si="126"/>
        <v>17590312.5</v>
      </c>
      <c r="AV79" s="1042">
        <f>(F79/12)*9</f>
        <v>5459062.5</v>
      </c>
      <c r="AW79" s="1042">
        <f t="shared" si="127"/>
        <v>12737812.5</v>
      </c>
      <c r="AX79" s="1042">
        <f t="shared" si="128"/>
        <v>16377187.5</v>
      </c>
      <c r="AZ79" s="8">
        <f t="shared" si="177"/>
        <v>0</v>
      </c>
      <c r="BB79" s="187"/>
    </row>
    <row r="80" spans="1:54" ht="14.25" customHeight="1">
      <c r="A80" s="17"/>
      <c r="B80" s="53"/>
      <c r="C80" s="254"/>
      <c r="D80" s="55"/>
      <c r="E80" s="6"/>
      <c r="F80" s="1041"/>
      <c r="G80" s="1042"/>
      <c r="H80" s="1042"/>
      <c r="I80" s="1042"/>
      <c r="J80" s="1042"/>
      <c r="K80" s="1042"/>
      <c r="L80" s="1042"/>
      <c r="M80" s="1042"/>
      <c r="N80" s="1042"/>
      <c r="O80" s="1042"/>
      <c r="P80" s="1042"/>
      <c r="Q80" s="1042"/>
      <c r="R80" s="1042"/>
      <c r="S80" s="1042"/>
      <c r="T80" s="1042"/>
      <c r="U80" s="1042"/>
      <c r="V80" s="1042"/>
      <c r="W80" s="1042"/>
      <c r="X80" s="1042"/>
      <c r="Y80" s="7"/>
      <c r="Z80" s="7"/>
      <c r="AA80" s="1042"/>
      <c r="AB80" s="1042"/>
      <c r="AC80" s="1042"/>
      <c r="AD80" s="1042"/>
      <c r="AE80" s="1042"/>
      <c r="AF80" s="1042"/>
      <c r="AG80" s="1042"/>
      <c r="AH80" s="1042"/>
      <c r="AI80" s="1042"/>
      <c r="AJ80" s="1042"/>
      <c r="AK80" s="1042"/>
      <c r="AL80" s="1042"/>
      <c r="AM80" s="1042"/>
      <c r="AN80" s="1042"/>
      <c r="AO80" s="1042"/>
      <c r="AP80" s="1042"/>
      <c r="AQ80" s="1042"/>
      <c r="AR80" s="1042"/>
      <c r="AS80" s="1042"/>
      <c r="AT80" s="1042"/>
      <c r="AU80" s="1042"/>
      <c r="AV80" s="1042"/>
      <c r="AW80" s="1042"/>
      <c r="AX80" s="1042"/>
      <c r="AZ80" s="8">
        <f t="shared" si="177"/>
        <v>0</v>
      </c>
      <c r="BB80" s="187"/>
    </row>
    <row r="81" spans="1:54" s="244" customFormat="1" ht="14.25" customHeight="1">
      <c r="A81" s="213">
        <v>2</v>
      </c>
      <c r="B81" s="213" t="s">
        <v>820</v>
      </c>
      <c r="C81" s="256"/>
      <c r="D81" s="241"/>
      <c r="E81" s="217"/>
      <c r="F81" s="1061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42"/>
      <c r="Z81" s="242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  <c r="AT81" s="217"/>
      <c r="AU81" s="217"/>
      <c r="AV81" s="217"/>
      <c r="AW81" s="217"/>
      <c r="AX81" s="217"/>
      <c r="AZ81" s="8">
        <f t="shared" si="177"/>
        <v>0</v>
      </c>
      <c r="BB81" s="245"/>
    </row>
    <row r="82" spans="1:54" s="220" customFormat="1" ht="14.25" customHeight="1">
      <c r="A82" s="190" t="s">
        <v>233</v>
      </c>
      <c r="B82" s="214" t="s">
        <v>236</v>
      </c>
      <c r="C82" s="255"/>
      <c r="D82" s="216"/>
      <c r="E82" s="217"/>
      <c r="F82" s="1045"/>
      <c r="G82" s="1046"/>
      <c r="H82" s="1046"/>
      <c r="I82" s="1046"/>
      <c r="J82" s="1046"/>
      <c r="K82" s="1046"/>
      <c r="L82" s="1046"/>
      <c r="M82" s="1046"/>
      <c r="N82" s="1046"/>
      <c r="O82" s="1046"/>
      <c r="P82" s="1046"/>
      <c r="Q82" s="1046"/>
      <c r="R82" s="1046"/>
      <c r="S82" s="1046"/>
      <c r="T82" s="1046"/>
      <c r="U82" s="1046"/>
      <c r="V82" s="1046"/>
      <c r="W82" s="1046"/>
      <c r="X82" s="1046"/>
      <c r="Y82" s="219"/>
      <c r="Z82" s="219"/>
      <c r="AA82" s="1046"/>
      <c r="AB82" s="1046"/>
      <c r="AC82" s="1046"/>
      <c r="AD82" s="1046"/>
      <c r="AE82" s="1046"/>
      <c r="AF82" s="1046"/>
      <c r="AG82" s="1046"/>
      <c r="AH82" s="1046"/>
      <c r="AI82" s="1046"/>
      <c r="AJ82" s="1046"/>
      <c r="AK82" s="1046"/>
      <c r="AL82" s="1046"/>
      <c r="AM82" s="1046"/>
      <c r="AN82" s="1046"/>
      <c r="AO82" s="1046"/>
      <c r="AP82" s="1046"/>
      <c r="AQ82" s="1046"/>
      <c r="AR82" s="1046"/>
      <c r="AS82" s="1046"/>
      <c r="AT82" s="1046"/>
      <c r="AU82" s="1046"/>
      <c r="AV82" s="1046"/>
      <c r="AW82" s="1046"/>
      <c r="AX82" s="1046"/>
      <c r="AZ82" s="8">
        <f t="shared" si="177"/>
        <v>0</v>
      </c>
      <c r="BB82" s="221"/>
    </row>
    <row r="83" spans="1:54" ht="14.25" customHeight="1">
      <c r="A83" s="17">
        <v>1</v>
      </c>
      <c r="B83" s="53" t="s">
        <v>821</v>
      </c>
      <c r="C83" s="238">
        <v>38718</v>
      </c>
      <c r="D83" s="55">
        <v>4</v>
      </c>
      <c r="E83" s="6">
        <v>11300000</v>
      </c>
      <c r="F83" s="1041">
        <f t="shared" ref="F83:F111" si="203">E83/D83</f>
        <v>2825000</v>
      </c>
      <c r="G83" s="1053"/>
      <c r="H83" s="1042">
        <f>G83</f>
        <v>0</v>
      </c>
      <c r="I83" s="1042">
        <f>E83-H83</f>
        <v>11300000</v>
      </c>
      <c r="J83" s="1042">
        <f>(F83/12)*0</f>
        <v>0</v>
      </c>
      <c r="K83" s="1042">
        <f t="shared" ref="K83" si="204">J83+H83</f>
        <v>0</v>
      </c>
      <c r="L83" s="1042">
        <f t="shared" ref="L83" si="205">E83-K83</f>
        <v>11300000</v>
      </c>
      <c r="M83" s="1042">
        <f t="shared" ref="M83:M85" si="206">(F83/12)*12</f>
        <v>2825000</v>
      </c>
      <c r="N83" s="1042">
        <f t="shared" ref="N83:N93" si="207">K83+M83</f>
        <v>2825000</v>
      </c>
      <c r="O83" s="1042">
        <f t="shared" ref="O83:O93" si="208">E83-N83</f>
        <v>8475000</v>
      </c>
      <c r="P83" s="1042">
        <f t="shared" ref="P83:P86" si="209">(F83/12)*12</f>
        <v>2825000</v>
      </c>
      <c r="Q83" s="1042">
        <f t="shared" ref="Q83:Q93" si="210">N83+P83</f>
        <v>5650000</v>
      </c>
      <c r="R83" s="1042">
        <f t="shared" ref="R83:R93" si="211">E83-Q83</f>
        <v>5650000</v>
      </c>
      <c r="S83" s="1042">
        <f>(F83/12)*12</f>
        <v>2825000</v>
      </c>
      <c r="T83" s="1042">
        <f t="shared" ref="T83:T87" si="212">Q83+S83</f>
        <v>8475000</v>
      </c>
      <c r="U83" s="1042">
        <f t="shared" ref="U83:U87" si="213">E83-T83</f>
        <v>2825000</v>
      </c>
      <c r="V83" s="1042">
        <f>(F83/12)*12</f>
        <v>2825000</v>
      </c>
      <c r="W83" s="1042">
        <f t="shared" ref="W83:W87" si="214">V83+T83</f>
        <v>11300000</v>
      </c>
      <c r="X83" s="1042">
        <f t="shared" ref="X83:X87" si="215">E83-W83</f>
        <v>0</v>
      </c>
      <c r="Y83" s="7">
        <v>8475000</v>
      </c>
      <c r="Z83" s="7">
        <f t="shared" ref="Z83:Z111" si="216">E83-Y83</f>
        <v>2825000</v>
      </c>
      <c r="AA83" s="1042">
        <f t="shared" ref="AA83:AA87" si="217">(F83/12)*0</f>
        <v>0</v>
      </c>
      <c r="AB83" s="1042">
        <f t="shared" ref="AB83:AB142" si="218">W83+AA83</f>
        <v>11300000</v>
      </c>
      <c r="AC83" s="1042">
        <f t="shared" ref="AC83:AC87" si="219">E83-AB83</f>
        <v>0</v>
      </c>
      <c r="AD83" s="1042">
        <f t="shared" ref="AD83:AD87" si="220">(F83/12)*0</f>
        <v>0</v>
      </c>
      <c r="AE83" s="1042">
        <f t="shared" ref="AE83:AE87" si="221">AD83+AB83</f>
        <v>11300000</v>
      </c>
      <c r="AF83" s="1042">
        <f t="shared" ref="AF83:AF87" si="222">E83-AE83</f>
        <v>0</v>
      </c>
      <c r="AG83" s="1042">
        <f t="shared" ref="AG83:AG87" si="223">(F83/12)*0</f>
        <v>0</v>
      </c>
      <c r="AH83" s="1042">
        <f t="shared" ref="AH83:AH87" si="224">AE83+AG83</f>
        <v>11300000</v>
      </c>
      <c r="AI83" s="1042">
        <f t="shared" ref="AI83:AI87" si="225">E83-AH83</f>
        <v>0</v>
      </c>
      <c r="AJ83" s="1042">
        <f>(F83/12)*0</f>
        <v>0</v>
      </c>
      <c r="AK83" s="1042">
        <f t="shared" ref="AK83:AK86" si="226">AH83+AJ83</f>
        <v>11300000</v>
      </c>
      <c r="AL83" s="1042">
        <f t="shared" ref="AL83:AL86" si="227">E83-AK83</f>
        <v>0</v>
      </c>
      <c r="AM83" s="1042">
        <f>0</f>
        <v>0</v>
      </c>
      <c r="AN83" s="1042">
        <f t="shared" ref="AN83:AN86" si="228">AH83+AM83</f>
        <v>11300000</v>
      </c>
      <c r="AO83" s="1042">
        <f t="shared" ref="AO83:AO86" si="229">E83-AN83</f>
        <v>0</v>
      </c>
      <c r="AP83" s="1042">
        <f t="shared" ref="AP83:AP87" si="230">(F83/12)*0</f>
        <v>0</v>
      </c>
      <c r="AQ83" s="1042">
        <f t="shared" ref="AQ83:AQ87" si="231">AP83+AH83</f>
        <v>11300000</v>
      </c>
      <c r="AR83" s="1042">
        <f t="shared" ref="AR83:AR87" si="232">E83-AQ83</f>
        <v>0</v>
      </c>
      <c r="AS83" s="1042">
        <f>(F83/12)*0</f>
        <v>0</v>
      </c>
      <c r="AT83" s="1042">
        <f t="shared" ref="AT83:AT86" si="233">AQ83+AS83</f>
        <v>11300000</v>
      </c>
      <c r="AU83" s="1042">
        <f t="shared" ref="AU83:AU86" si="234">E83-AT83</f>
        <v>0</v>
      </c>
      <c r="AV83" s="1042">
        <f t="shared" ref="AV83:AV86" si="235">(F83/12)*0</f>
        <v>0</v>
      </c>
      <c r="AW83" s="1042">
        <f t="shared" ref="AW83:AW86" si="236">AQ83+AV83</f>
        <v>11300000</v>
      </c>
      <c r="AX83" s="1042">
        <f t="shared" ref="AX83:AX86" si="237">E83-AW83</f>
        <v>0</v>
      </c>
      <c r="AZ83" s="8">
        <f t="shared" si="177"/>
        <v>0</v>
      </c>
      <c r="BB83" s="57"/>
    </row>
    <row r="84" spans="1:54" ht="14.25" customHeight="1">
      <c r="A84" s="17">
        <f>A83+1</f>
        <v>2</v>
      </c>
      <c r="B84" s="948" t="s">
        <v>822</v>
      </c>
      <c r="C84" s="238">
        <v>38718</v>
      </c>
      <c r="D84" s="55">
        <v>4</v>
      </c>
      <c r="E84" s="1043">
        <v>2000000</v>
      </c>
      <c r="F84" s="1041">
        <f t="shared" si="203"/>
        <v>500000</v>
      </c>
      <c r="G84" s="1053"/>
      <c r="H84" s="1042">
        <f t="shared" ref="H84:H87" si="238">G84</f>
        <v>0</v>
      </c>
      <c r="I84" s="1042">
        <f t="shared" ref="I84:I87" si="239">E84-H84</f>
        <v>2000000</v>
      </c>
      <c r="J84" s="1042">
        <f>(F84/12)*0</f>
        <v>0</v>
      </c>
      <c r="K84" s="1042">
        <f t="shared" ref="K84:K87" si="240">J84+H84</f>
        <v>0</v>
      </c>
      <c r="L84" s="1042">
        <f t="shared" ref="L84:L87" si="241">E84-K84</f>
        <v>2000000</v>
      </c>
      <c r="M84" s="1042">
        <f t="shared" si="206"/>
        <v>500000</v>
      </c>
      <c r="N84" s="1042">
        <f t="shared" si="207"/>
        <v>500000</v>
      </c>
      <c r="O84" s="1042">
        <f t="shared" si="208"/>
        <v>1500000</v>
      </c>
      <c r="P84" s="1042">
        <f t="shared" si="209"/>
        <v>500000</v>
      </c>
      <c r="Q84" s="1042">
        <f t="shared" si="210"/>
        <v>1000000</v>
      </c>
      <c r="R84" s="1042">
        <f t="shared" si="211"/>
        <v>1000000</v>
      </c>
      <c r="S84" s="1042">
        <f t="shared" ref="S84:S86" si="242">(F84/12)*12</f>
        <v>500000</v>
      </c>
      <c r="T84" s="1042">
        <f t="shared" si="212"/>
        <v>1500000</v>
      </c>
      <c r="U84" s="1042">
        <f t="shared" si="213"/>
        <v>500000</v>
      </c>
      <c r="V84" s="1042">
        <f t="shared" ref="V84:V86" si="243">(F84/12)*12</f>
        <v>500000</v>
      </c>
      <c r="W84" s="1042">
        <f t="shared" si="214"/>
        <v>2000000</v>
      </c>
      <c r="X84" s="1042">
        <f t="shared" si="215"/>
        <v>0</v>
      </c>
      <c r="Y84" s="1037">
        <f>F84*D84</f>
        <v>2000000</v>
      </c>
      <c r="Z84" s="7">
        <f t="shared" si="216"/>
        <v>0</v>
      </c>
      <c r="AA84" s="1042">
        <f t="shared" si="217"/>
        <v>0</v>
      </c>
      <c r="AB84" s="1042">
        <f t="shared" si="218"/>
        <v>2000000</v>
      </c>
      <c r="AC84" s="1042">
        <f t="shared" si="219"/>
        <v>0</v>
      </c>
      <c r="AD84" s="1042">
        <f t="shared" si="220"/>
        <v>0</v>
      </c>
      <c r="AE84" s="1042">
        <f t="shared" si="221"/>
        <v>2000000</v>
      </c>
      <c r="AF84" s="1042">
        <f t="shared" si="222"/>
        <v>0</v>
      </c>
      <c r="AG84" s="1042">
        <f t="shared" si="223"/>
        <v>0</v>
      </c>
      <c r="AH84" s="1042">
        <f t="shared" si="224"/>
        <v>2000000</v>
      </c>
      <c r="AI84" s="1042">
        <f t="shared" si="225"/>
        <v>0</v>
      </c>
      <c r="AJ84" s="1042">
        <f t="shared" ref="AJ84:AJ103" si="244">(F84/12)*0</f>
        <v>0</v>
      </c>
      <c r="AK84" s="1042">
        <f t="shared" si="226"/>
        <v>2000000</v>
      </c>
      <c r="AL84" s="1042">
        <f t="shared" si="227"/>
        <v>0</v>
      </c>
      <c r="AM84" s="1042">
        <f>0</f>
        <v>0</v>
      </c>
      <c r="AN84" s="1042">
        <f t="shared" si="228"/>
        <v>2000000</v>
      </c>
      <c r="AO84" s="1042">
        <f t="shared" si="229"/>
        <v>0</v>
      </c>
      <c r="AP84" s="1042">
        <f t="shared" si="230"/>
        <v>0</v>
      </c>
      <c r="AQ84" s="1042">
        <f t="shared" si="231"/>
        <v>2000000</v>
      </c>
      <c r="AR84" s="1042">
        <f t="shared" si="232"/>
        <v>0</v>
      </c>
      <c r="AS84" s="1042">
        <f t="shared" ref="AS84:AS86" si="245">(F84/12)*0</f>
        <v>0</v>
      </c>
      <c r="AT84" s="1042">
        <f t="shared" si="233"/>
        <v>2000000</v>
      </c>
      <c r="AU84" s="1042">
        <f t="shared" si="234"/>
        <v>0</v>
      </c>
      <c r="AV84" s="1042">
        <f t="shared" si="235"/>
        <v>0</v>
      </c>
      <c r="AW84" s="1042">
        <f t="shared" si="236"/>
        <v>2000000</v>
      </c>
      <c r="AX84" s="1042">
        <f t="shared" si="237"/>
        <v>0</v>
      </c>
      <c r="AZ84" s="8">
        <f t="shared" si="177"/>
        <v>0</v>
      </c>
      <c r="BB84" s="57"/>
    </row>
    <row r="85" spans="1:54" ht="14.25" customHeight="1">
      <c r="A85" s="17">
        <f t="shared" ref="A85:A105" si="246">A84+1</f>
        <v>3</v>
      </c>
      <c r="B85" s="53" t="s">
        <v>823</v>
      </c>
      <c r="C85" s="238">
        <v>40909</v>
      </c>
      <c r="D85" s="55">
        <v>4</v>
      </c>
      <c r="E85" s="6">
        <v>4700000</v>
      </c>
      <c r="F85" s="1041">
        <f t="shared" si="203"/>
        <v>1175000</v>
      </c>
      <c r="G85" s="1053"/>
      <c r="H85" s="1042">
        <f t="shared" si="238"/>
        <v>0</v>
      </c>
      <c r="I85" s="1042">
        <f t="shared" si="239"/>
        <v>4700000</v>
      </c>
      <c r="J85" s="1042">
        <f t="shared" ref="J85:J86" si="247">(F85/12)*0</f>
        <v>0</v>
      </c>
      <c r="K85" s="1042">
        <f t="shared" si="240"/>
        <v>0</v>
      </c>
      <c r="L85" s="1042">
        <f t="shared" si="241"/>
        <v>4700000</v>
      </c>
      <c r="M85" s="1042">
        <f t="shared" si="206"/>
        <v>1175000</v>
      </c>
      <c r="N85" s="1042">
        <f t="shared" si="207"/>
        <v>1175000</v>
      </c>
      <c r="O85" s="1042">
        <f t="shared" si="208"/>
        <v>3525000</v>
      </c>
      <c r="P85" s="1042">
        <f t="shared" si="209"/>
        <v>1175000</v>
      </c>
      <c r="Q85" s="1042">
        <f t="shared" si="210"/>
        <v>2350000</v>
      </c>
      <c r="R85" s="1042">
        <f t="shared" si="211"/>
        <v>2350000</v>
      </c>
      <c r="S85" s="1042">
        <f t="shared" si="242"/>
        <v>1175000</v>
      </c>
      <c r="T85" s="1042">
        <f t="shared" si="212"/>
        <v>3525000</v>
      </c>
      <c r="U85" s="1042">
        <f t="shared" si="213"/>
        <v>1175000</v>
      </c>
      <c r="V85" s="1042">
        <f t="shared" si="243"/>
        <v>1175000</v>
      </c>
      <c r="W85" s="1042">
        <f t="shared" si="214"/>
        <v>4700000</v>
      </c>
      <c r="X85" s="1042">
        <f t="shared" si="215"/>
        <v>0</v>
      </c>
      <c r="Y85" s="7">
        <v>3525000</v>
      </c>
      <c r="Z85" s="7">
        <f t="shared" si="216"/>
        <v>1175000</v>
      </c>
      <c r="AA85" s="1042">
        <f t="shared" si="217"/>
        <v>0</v>
      </c>
      <c r="AB85" s="1042">
        <f t="shared" si="218"/>
        <v>4700000</v>
      </c>
      <c r="AC85" s="1042">
        <f t="shared" si="219"/>
        <v>0</v>
      </c>
      <c r="AD85" s="1042">
        <f t="shared" si="220"/>
        <v>0</v>
      </c>
      <c r="AE85" s="1042">
        <f t="shared" si="221"/>
        <v>4700000</v>
      </c>
      <c r="AF85" s="1042">
        <f t="shared" si="222"/>
        <v>0</v>
      </c>
      <c r="AG85" s="1042">
        <f t="shared" si="223"/>
        <v>0</v>
      </c>
      <c r="AH85" s="1042">
        <f t="shared" si="224"/>
        <v>4700000</v>
      </c>
      <c r="AI85" s="1042">
        <f t="shared" si="225"/>
        <v>0</v>
      </c>
      <c r="AJ85" s="1042">
        <f t="shared" si="244"/>
        <v>0</v>
      </c>
      <c r="AK85" s="1042">
        <f t="shared" si="226"/>
        <v>4700000</v>
      </c>
      <c r="AL85" s="1042">
        <f t="shared" si="227"/>
        <v>0</v>
      </c>
      <c r="AM85" s="1042">
        <f>0</f>
        <v>0</v>
      </c>
      <c r="AN85" s="1042">
        <f t="shared" si="228"/>
        <v>4700000</v>
      </c>
      <c r="AO85" s="1042">
        <f t="shared" si="229"/>
        <v>0</v>
      </c>
      <c r="AP85" s="1042">
        <f t="shared" si="230"/>
        <v>0</v>
      </c>
      <c r="AQ85" s="1042">
        <f t="shared" si="231"/>
        <v>4700000</v>
      </c>
      <c r="AR85" s="1042">
        <f t="shared" si="232"/>
        <v>0</v>
      </c>
      <c r="AS85" s="1042">
        <f t="shared" si="245"/>
        <v>0</v>
      </c>
      <c r="AT85" s="1042">
        <f t="shared" si="233"/>
        <v>4700000</v>
      </c>
      <c r="AU85" s="1042">
        <f t="shared" si="234"/>
        <v>0</v>
      </c>
      <c r="AV85" s="1042">
        <f t="shared" si="235"/>
        <v>0</v>
      </c>
      <c r="AW85" s="1042">
        <f t="shared" si="236"/>
        <v>4700000</v>
      </c>
      <c r="AX85" s="1042">
        <f t="shared" si="237"/>
        <v>0</v>
      </c>
      <c r="AZ85" s="8">
        <f t="shared" si="177"/>
        <v>0</v>
      </c>
      <c r="BB85" s="57"/>
    </row>
    <row r="86" spans="1:54" ht="14.25" customHeight="1">
      <c r="A86" s="17">
        <f t="shared" si="246"/>
        <v>4</v>
      </c>
      <c r="B86" s="53" t="s">
        <v>824</v>
      </c>
      <c r="C86" s="238">
        <v>41275</v>
      </c>
      <c r="D86" s="55">
        <v>4</v>
      </c>
      <c r="E86" s="6">
        <v>4700000</v>
      </c>
      <c r="F86" s="1041">
        <f t="shared" si="203"/>
        <v>1175000</v>
      </c>
      <c r="G86" s="1053"/>
      <c r="H86" s="1042">
        <f t="shared" si="238"/>
        <v>0</v>
      </c>
      <c r="I86" s="1042">
        <f t="shared" si="239"/>
        <v>4700000</v>
      </c>
      <c r="J86" s="1042">
        <f t="shared" si="247"/>
        <v>0</v>
      </c>
      <c r="K86" s="1042">
        <f t="shared" si="240"/>
        <v>0</v>
      </c>
      <c r="L86" s="1042">
        <f t="shared" si="241"/>
        <v>4700000</v>
      </c>
      <c r="M86" s="1042">
        <f t="shared" ref="M86:M93" si="248">(F86/12)*12</f>
        <v>1175000</v>
      </c>
      <c r="N86" s="1042">
        <f t="shared" si="207"/>
        <v>1175000</v>
      </c>
      <c r="O86" s="1042">
        <f t="shared" si="208"/>
        <v>3525000</v>
      </c>
      <c r="P86" s="1042">
        <f t="shared" si="209"/>
        <v>1175000</v>
      </c>
      <c r="Q86" s="1042">
        <f t="shared" si="210"/>
        <v>2350000</v>
      </c>
      <c r="R86" s="1042">
        <f t="shared" si="211"/>
        <v>2350000</v>
      </c>
      <c r="S86" s="1042">
        <f t="shared" si="242"/>
        <v>1175000</v>
      </c>
      <c r="T86" s="1042">
        <f t="shared" si="212"/>
        <v>3525000</v>
      </c>
      <c r="U86" s="1042">
        <f t="shared" si="213"/>
        <v>1175000</v>
      </c>
      <c r="V86" s="1042">
        <f t="shared" si="243"/>
        <v>1175000</v>
      </c>
      <c r="W86" s="1042">
        <f t="shared" si="214"/>
        <v>4700000</v>
      </c>
      <c r="X86" s="1042">
        <f t="shared" si="215"/>
        <v>0</v>
      </c>
      <c r="Y86" s="7">
        <v>3525000</v>
      </c>
      <c r="Z86" s="7">
        <f t="shared" si="216"/>
        <v>1175000</v>
      </c>
      <c r="AA86" s="1042">
        <f t="shared" si="217"/>
        <v>0</v>
      </c>
      <c r="AB86" s="1042">
        <f t="shared" si="218"/>
        <v>4700000</v>
      </c>
      <c r="AC86" s="1042">
        <f t="shared" si="219"/>
        <v>0</v>
      </c>
      <c r="AD86" s="1042">
        <f t="shared" si="220"/>
        <v>0</v>
      </c>
      <c r="AE86" s="1042">
        <f t="shared" si="221"/>
        <v>4700000</v>
      </c>
      <c r="AF86" s="1042">
        <f t="shared" si="222"/>
        <v>0</v>
      </c>
      <c r="AG86" s="1042">
        <f t="shared" si="223"/>
        <v>0</v>
      </c>
      <c r="AH86" s="1042">
        <f t="shared" si="224"/>
        <v>4700000</v>
      </c>
      <c r="AI86" s="1042">
        <f t="shared" si="225"/>
        <v>0</v>
      </c>
      <c r="AJ86" s="1042">
        <f t="shared" si="244"/>
        <v>0</v>
      </c>
      <c r="AK86" s="1042">
        <f t="shared" si="226"/>
        <v>4700000</v>
      </c>
      <c r="AL86" s="1042">
        <f t="shared" si="227"/>
        <v>0</v>
      </c>
      <c r="AM86" s="1042">
        <f>0</f>
        <v>0</v>
      </c>
      <c r="AN86" s="1042">
        <f t="shared" si="228"/>
        <v>4700000</v>
      </c>
      <c r="AO86" s="1042">
        <f t="shared" si="229"/>
        <v>0</v>
      </c>
      <c r="AP86" s="1042">
        <f t="shared" si="230"/>
        <v>0</v>
      </c>
      <c r="AQ86" s="1042">
        <f t="shared" si="231"/>
        <v>4700000</v>
      </c>
      <c r="AR86" s="1042">
        <f t="shared" si="232"/>
        <v>0</v>
      </c>
      <c r="AS86" s="1042">
        <f t="shared" si="245"/>
        <v>0</v>
      </c>
      <c r="AT86" s="1042">
        <f t="shared" si="233"/>
        <v>4700000</v>
      </c>
      <c r="AU86" s="1042">
        <f t="shared" si="234"/>
        <v>0</v>
      </c>
      <c r="AV86" s="1042">
        <f t="shared" si="235"/>
        <v>0</v>
      </c>
      <c r="AW86" s="1042">
        <f t="shared" si="236"/>
        <v>4700000</v>
      </c>
      <c r="AX86" s="1042">
        <f t="shared" si="237"/>
        <v>0</v>
      </c>
      <c r="AZ86" s="8">
        <f t="shared" si="177"/>
        <v>0</v>
      </c>
      <c r="BB86" s="57"/>
    </row>
    <row r="87" spans="1:54" ht="14.25" hidden="1" customHeight="1">
      <c r="A87" s="874">
        <f t="shared" si="246"/>
        <v>5</v>
      </c>
      <c r="B87" s="875" t="s">
        <v>825</v>
      </c>
      <c r="C87" s="876">
        <v>41640</v>
      </c>
      <c r="D87" s="877">
        <v>4</v>
      </c>
      <c r="E87" s="878">
        <f>4200000*0</f>
        <v>0</v>
      </c>
      <c r="F87" s="879">
        <f t="shared" si="203"/>
        <v>0</v>
      </c>
      <c r="G87" s="880">
        <f>(F87/12)*(13-IF(C87="","",MONTH(C87)))*1</f>
        <v>0</v>
      </c>
      <c r="H87" s="880">
        <f t="shared" si="238"/>
        <v>0</v>
      </c>
      <c r="I87" s="880">
        <f t="shared" si="239"/>
        <v>0</v>
      </c>
      <c r="J87" s="880">
        <f t="shared" ref="J87" si="249">(F87/12)*12</f>
        <v>0</v>
      </c>
      <c r="K87" s="880">
        <f t="shared" si="240"/>
        <v>0</v>
      </c>
      <c r="L87" s="880">
        <f t="shared" si="241"/>
        <v>0</v>
      </c>
      <c r="M87" s="880">
        <f t="shared" si="248"/>
        <v>0</v>
      </c>
      <c r="N87" s="880">
        <f t="shared" si="207"/>
        <v>0</v>
      </c>
      <c r="O87" s="880">
        <f t="shared" si="208"/>
        <v>0</v>
      </c>
      <c r="P87" s="880">
        <f t="shared" ref="P87:P93" si="250">(F87/12)*12</f>
        <v>0</v>
      </c>
      <c r="Q87" s="880">
        <f t="shared" si="210"/>
        <v>0</v>
      </c>
      <c r="R87" s="880">
        <f t="shared" si="211"/>
        <v>0</v>
      </c>
      <c r="S87" s="880">
        <f t="shared" ref="S87" si="251">(F87/12)*0</f>
        <v>0</v>
      </c>
      <c r="T87" s="880">
        <f t="shared" si="212"/>
        <v>0</v>
      </c>
      <c r="U87" s="880">
        <f t="shared" si="213"/>
        <v>0</v>
      </c>
      <c r="V87" s="880">
        <f t="shared" ref="V87" si="252">(F87/12)*0</f>
        <v>0</v>
      </c>
      <c r="W87" s="880">
        <f t="shared" si="214"/>
        <v>0</v>
      </c>
      <c r="X87" s="880">
        <f t="shared" si="215"/>
        <v>0</v>
      </c>
      <c r="Y87" s="880">
        <f>3150000*0</f>
        <v>0</v>
      </c>
      <c r="Z87" s="880">
        <f t="shared" si="216"/>
        <v>0</v>
      </c>
      <c r="AA87" s="880">
        <f t="shared" si="217"/>
        <v>0</v>
      </c>
      <c r="AB87" s="880">
        <f t="shared" si="218"/>
        <v>0</v>
      </c>
      <c r="AC87" s="880">
        <f t="shared" si="219"/>
        <v>0</v>
      </c>
      <c r="AD87" s="880">
        <f t="shared" si="220"/>
        <v>0</v>
      </c>
      <c r="AE87" s="880">
        <f t="shared" si="221"/>
        <v>0</v>
      </c>
      <c r="AF87" s="880">
        <f t="shared" si="222"/>
        <v>0</v>
      </c>
      <c r="AG87" s="880">
        <f t="shared" si="223"/>
        <v>0</v>
      </c>
      <c r="AH87" s="880">
        <f t="shared" si="224"/>
        <v>0</v>
      </c>
      <c r="AI87" s="880">
        <f t="shared" si="225"/>
        <v>0</v>
      </c>
      <c r="AJ87" s="880">
        <f t="shared" si="244"/>
        <v>0</v>
      </c>
      <c r="AK87" s="880"/>
      <c r="AL87" s="880"/>
      <c r="AM87" s="880"/>
      <c r="AN87" s="880"/>
      <c r="AO87" s="880"/>
      <c r="AP87" s="880">
        <f t="shared" si="230"/>
        <v>0</v>
      </c>
      <c r="AQ87" s="880">
        <f t="shared" si="231"/>
        <v>0</v>
      </c>
      <c r="AR87" s="880">
        <f t="shared" si="232"/>
        <v>0</v>
      </c>
      <c r="AS87" s="896"/>
      <c r="AT87" s="896"/>
      <c r="AU87" s="896"/>
      <c r="AV87" s="896"/>
      <c r="AW87" s="896"/>
      <c r="AX87" s="896"/>
      <c r="AZ87" s="8">
        <f t="shared" ref="AZ87:AZ111" si="253">E87-AQ87-AR87</f>
        <v>0</v>
      </c>
      <c r="BB87" s="57"/>
    </row>
    <row r="88" spans="1:54" ht="14.25" customHeight="1">
      <c r="A88" s="17">
        <f t="shared" si="246"/>
        <v>6</v>
      </c>
      <c r="B88" s="53" t="s">
        <v>826</v>
      </c>
      <c r="C88" s="238">
        <v>42005</v>
      </c>
      <c r="D88" s="55">
        <v>4</v>
      </c>
      <c r="E88" s="6">
        <v>5100000</v>
      </c>
      <c r="F88" s="1041">
        <f t="shared" si="203"/>
        <v>1275000</v>
      </c>
      <c r="G88" s="1042"/>
      <c r="H88" s="1042"/>
      <c r="I88" s="1042"/>
      <c r="J88" s="1053">
        <f t="shared" ref="J88:J93" si="254">(F88/12)*(13-IF(C88="","",MONTH(C88)))</f>
        <v>1275000</v>
      </c>
      <c r="K88" s="1042">
        <f t="shared" ref="K88:K93" si="255">J88+H88</f>
        <v>1275000</v>
      </c>
      <c r="L88" s="1042">
        <f t="shared" ref="L88:L93" si="256">E88-K88</f>
        <v>3825000</v>
      </c>
      <c r="M88" s="1042">
        <f t="shared" si="248"/>
        <v>1275000</v>
      </c>
      <c r="N88" s="1042">
        <f t="shared" si="207"/>
        <v>2550000</v>
      </c>
      <c r="O88" s="1042">
        <f t="shared" si="208"/>
        <v>2550000</v>
      </c>
      <c r="P88" s="1042">
        <f t="shared" si="250"/>
        <v>1275000</v>
      </c>
      <c r="Q88" s="1042">
        <f t="shared" si="210"/>
        <v>3825000</v>
      </c>
      <c r="R88" s="1042">
        <f t="shared" si="211"/>
        <v>1275000</v>
      </c>
      <c r="S88" s="1042">
        <f t="shared" ref="S88:S96" si="257">(F88/12)*12</f>
        <v>1275000</v>
      </c>
      <c r="T88" s="1042">
        <f t="shared" ref="T88:T96" si="258">Q88+S88</f>
        <v>5100000</v>
      </c>
      <c r="U88" s="1042">
        <f t="shared" ref="U88:U96" si="259">E88-T88</f>
        <v>0</v>
      </c>
      <c r="V88" s="1042">
        <f t="shared" ref="V88:V93" si="260">(F88/12)*0</f>
        <v>0</v>
      </c>
      <c r="W88" s="1042">
        <f t="shared" ref="W88:W93" si="261">V88+T88</f>
        <v>5100000</v>
      </c>
      <c r="X88" s="1042">
        <f t="shared" ref="X88:X93" si="262">E88-W88</f>
        <v>0</v>
      </c>
      <c r="Y88" s="7">
        <v>5098125</v>
      </c>
      <c r="Z88" s="7">
        <f t="shared" si="216"/>
        <v>1875</v>
      </c>
      <c r="AA88" s="1042">
        <f t="shared" ref="AA88:AA93" si="263">(F88/12)*0</f>
        <v>0</v>
      </c>
      <c r="AB88" s="1042">
        <f t="shared" si="218"/>
        <v>5100000</v>
      </c>
      <c r="AC88" s="1042">
        <f t="shared" ref="AC88:AC93" si="264">E88-AB88</f>
        <v>0</v>
      </c>
      <c r="AD88" s="1042">
        <f t="shared" ref="AD88:AD93" si="265">(F88/12)*0</f>
        <v>0</v>
      </c>
      <c r="AE88" s="1042">
        <f t="shared" ref="AE88:AE93" si="266">AD88+AB88</f>
        <v>5100000</v>
      </c>
      <c r="AF88" s="1042">
        <f t="shared" ref="AF88:AF93" si="267">E88-AE88</f>
        <v>0</v>
      </c>
      <c r="AG88" s="1042">
        <f t="shared" ref="AG88:AG93" si="268">(F88/12)*0</f>
        <v>0</v>
      </c>
      <c r="AH88" s="1042">
        <f t="shared" ref="AH88:AH93" si="269">AE88+AG88</f>
        <v>5100000</v>
      </c>
      <c r="AI88" s="1042">
        <f t="shared" ref="AI88:AI93" si="270">E88-AH88</f>
        <v>0</v>
      </c>
      <c r="AJ88" s="1042">
        <f t="shared" si="244"/>
        <v>0</v>
      </c>
      <c r="AK88" s="1042">
        <f t="shared" ref="AK88" si="271">AH88+AJ88</f>
        <v>5100000</v>
      </c>
      <c r="AL88" s="1042">
        <f t="shared" ref="AL88" si="272">E88-AK88</f>
        <v>0</v>
      </c>
      <c r="AM88" s="1042">
        <f>0</f>
        <v>0</v>
      </c>
      <c r="AN88" s="1042">
        <f t="shared" ref="AN88" si="273">AH88+AM88</f>
        <v>5100000</v>
      </c>
      <c r="AO88" s="1042">
        <f t="shared" ref="AO88" si="274">E88-AN88</f>
        <v>0</v>
      </c>
      <c r="AP88" s="1042">
        <f t="shared" ref="AP88:AP93" si="275">(F88/12)*0</f>
        <v>0</v>
      </c>
      <c r="AQ88" s="1042">
        <f t="shared" ref="AQ88:AQ93" si="276">AP88+AH88</f>
        <v>5100000</v>
      </c>
      <c r="AR88" s="1042">
        <f t="shared" ref="AR88:AR93" si="277">E88-AQ88</f>
        <v>0</v>
      </c>
      <c r="AS88" s="1042">
        <f>(F88/12)*0</f>
        <v>0</v>
      </c>
      <c r="AT88" s="1042">
        <f t="shared" ref="AT88" si="278">AQ88+AS88</f>
        <v>5100000</v>
      </c>
      <c r="AU88" s="1042">
        <f t="shared" ref="AU88" si="279">E88-AT88</f>
        <v>0</v>
      </c>
      <c r="AV88" s="1042">
        <f>(F88/12)*0</f>
        <v>0</v>
      </c>
      <c r="AW88" s="1042">
        <f t="shared" ref="AW88" si="280">AQ88+AV88</f>
        <v>5100000</v>
      </c>
      <c r="AX88" s="1042">
        <f t="shared" ref="AX88" si="281">E88-AW88</f>
        <v>0</v>
      </c>
      <c r="AZ88" s="8">
        <f>E88-AW88-AX88</f>
        <v>0</v>
      </c>
      <c r="BB88" s="57"/>
    </row>
    <row r="89" spans="1:54" ht="14.25" hidden="1" customHeight="1">
      <c r="A89" s="874">
        <f t="shared" si="246"/>
        <v>7</v>
      </c>
      <c r="B89" s="875" t="s">
        <v>827</v>
      </c>
      <c r="C89" s="876">
        <v>42005</v>
      </c>
      <c r="D89" s="877">
        <v>4</v>
      </c>
      <c r="E89" s="878">
        <f>3713000*0</f>
        <v>0</v>
      </c>
      <c r="F89" s="879">
        <f t="shared" si="203"/>
        <v>0</v>
      </c>
      <c r="G89" s="880"/>
      <c r="H89" s="880"/>
      <c r="I89" s="880"/>
      <c r="J89" s="880">
        <f t="shared" si="254"/>
        <v>0</v>
      </c>
      <c r="K89" s="880">
        <f t="shared" si="255"/>
        <v>0</v>
      </c>
      <c r="L89" s="880">
        <f t="shared" si="256"/>
        <v>0</v>
      </c>
      <c r="M89" s="880">
        <f t="shared" si="248"/>
        <v>0</v>
      </c>
      <c r="N89" s="880">
        <f t="shared" si="207"/>
        <v>0</v>
      </c>
      <c r="O89" s="880">
        <f t="shared" si="208"/>
        <v>0</v>
      </c>
      <c r="P89" s="880">
        <f t="shared" si="250"/>
        <v>0</v>
      </c>
      <c r="Q89" s="880">
        <f t="shared" si="210"/>
        <v>0</v>
      </c>
      <c r="R89" s="880">
        <f t="shared" si="211"/>
        <v>0</v>
      </c>
      <c r="S89" s="880">
        <f t="shared" si="257"/>
        <v>0</v>
      </c>
      <c r="T89" s="880">
        <f t="shared" si="258"/>
        <v>0</v>
      </c>
      <c r="U89" s="880">
        <f t="shared" si="259"/>
        <v>0</v>
      </c>
      <c r="V89" s="880">
        <f t="shared" si="260"/>
        <v>0</v>
      </c>
      <c r="W89" s="880">
        <f t="shared" si="261"/>
        <v>0</v>
      </c>
      <c r="X89" s="880">
        <f t="shared" si="262"/>
        <v>0</v>
      </c>
      <c r="Y89" s="880">
        <f>3465466.66666667*0</f>
        <v>0</v>
      </c>
      <c r="Z89" s="880">
        <f t="shared" si="216"/>
        <v>0</v>
      </c>
      <c r="AA89" s="880">
        <f t="shared" si="263"/>
        <v>0</v>
      </c>
      <c r="AB89" s="880">
        <f t="shared" si="218"/>
        <v>0</v>
      </c>
      <c r="AC89" s="880">
        <f t="shared" si="264"/>
        <v>0</v>
      </c>
      <c r="AD89" s="880">
        <f t="shared" si="265"/>
        <v>0</v>
      </c>
      <c r="AE89" s="880">
        <f t="shared" si="266"/>
        <v>0</v>
      </c>
      <c r="AF89" s="880">
        <f t="shared" si="267"/>
        <v>0</v>
      </c>
      <c r="AG89" s="880">
        <f t="shared" si="268"/>
        <v>0</v>
      </c>
      <c r="AH89" s="880">
        <f t="shared" si="269"/>
        <v>0</v>
      </c>
      <c r="AI89" s="880">
        <f t="shared" si="270"/>
        <v>0</v>
      </c>
      <c r="AJ89" s="880">
        <f t="shared" si="244"/>
        <v>0</v>
      </c>
      <c r="AK89" s="880"/>
      <c r="AL89" s="880"/>
      <c r="AM89" s="880"/>
      <c r="AN89" s="880"/>
      <c r="AO89" s="880"/>
      <c r="AP89" s="880">
        <f t="shared" si="275"/>
        <v>0</v>
      </c>
      <c r="AQ89" s="880">
        <f t="shared" si="276"/>
        <v>0</v>
      </c>
      <c r="AR89" s="880">
        <f t="shared" si="277"/>
        <v>0</v>
      </c>
      <c r="AS89" s="896"/>
      <c r="AT89" s="896"/>
      <c r="AU89" s="896"/>
      <c r="AV89" s="896"/>
      <c r="AW89" s="896"/>
      <c r="AX89" s="896"/>
      <c r="AZ89" s="8">
        <f t="shared" si="253"/>
        <v>0</v>
      </c>
      <c r="BB89" s="57"/>
    </row>
    <row r="90" spans="1:54" ht="14.25" customHeight="1">
      <c r="A90" s="17">
        <f t="shared" si="246"/>
        <v>8</v>
      </c>
      <c r="B90" s="53" t="s">
        <v>828</v>
      </c>
      <c r="C90" s="238">
        <v>42005</v>
      </c>
      <c r="D90" s="55">
        <v>4</v>
      </c>
      <c r="E90" s="6">
        <v>530000</v>
      </c>
      <c r="F90" s="1041">
        <f t="shared" si="203"/>
        <v>132500</v>
      </c>
      <c r="G90" s="1042"/>
      <c r="H90" s="1042"/>
      <c r="I90" s="1042"/>
      <c r="J90" s="1053">
        <f t="shared" si="254"/>
        <v>132500</v>
      </c>
      <c r="K90" s="1042">
        <f t="shared" si="255"/>
        <v>132500</v>
      </c>
      <c r="L90" s="1042">
        <f t="shared" si="256"/>
        <v>397500</v>
      </c>
      <c r="M90" s="1042">
        <f t="shared" si="248"/>
        <v>132500</v>
      </c>
      <c r="N90" s="1042">
        <f t="shared" si="207"/>
        <v>265000</v>
      </c>
      <c r="O90" s="1042">
        <f t="shared" si="208"/>
        <v>265000</v>
      </c>
      <c r="P90" s="1042">
        <f t="shared" si="250"/>
        <v>132500</v>
      </c>
      <c r="Q90" s="1042">
        <f t="shared" si="210"/>
        <v>397500</v>
      </c>
      <c r="R90" s="1042">
        <f t="shared" si="211"/>
        <v>132500</v>
      </c>
      <c r="S90" s="1042">
        <f t="shared" si="257"/>
        <v>132500</v>
      </c>
      <c r="T90" s="1042">
        <f t="shared" si="258"/>
        <v>530000</v>
      </c>
      <c r="U90" s="1042">
        <f t="shared" si="259"/>
        <v>0</v>
      </c>
      <c r="V90" s="1042">
        <f t="shared" si="260"/>
        <v>0</v>
      </c>
      <c r="W90" s="1042">
        <f t="shared" si="261"/>
        <v>530000</v>
      </c>
      <c r="X90" s="1042">
        <f t="shared" si="262"/>
        <v>0</v>
      </c>
      <c r="Y90" s="7">
        <v>494666.66666666674</v>
      </c>
      <c r="Z90" s="7">
        <f t="shared" si="216"/>
        <v>35333.333333333256</v>
      </c>
      <c r="AA90" s="1042">
        <f t="shared" si="263"/>
        <v>0</v>
      </c>
      <c r="AB90" s="1042">
        <f t="shared" si="218"/>
        <v>530000</v>
      </c>
      <c r="AC90" s="1042">
        <f t="shared" si="264"/>
        <v>0</v>
      </c>
      <c r="AD90" s="1042">
        <f t="shared" si="265"/>
        <v>0</v>
      </c>
      <c r="AE90" s="1042">
        <f t="shared" si="266"/>
        <v>530000</v>
      </c>
      <c r="AF90" s="1042">
        <f t="shared" si="267"/>
        <v>0</v>
      </c>
      <c r="AG90" s="1042">
        <f t="shared" si="268"/>
        <v>0</v>
      </c>
      <c r="AH90" s="1042">
        <f t="shared" si="269"/>
        <v>530000</v>
      </c>
      <c r="AI90" s="1042">
        <f t="shared" si="270"/>
        <v>0</v>
      </c>
      <c r="AJ90" s="1042">
        <f t="shared" si="244"/>
        <v>0</v>
      </c>
      <c r="AK90" s="1042">
        <f t="shared" ref="AK90:AK94" si="282">AH90+AJ90</f>
        <v>530000</v>
      </c>
      <c r="AL90" s="1042">
        <f t="shared" ref="AL90:AL94" si="283">E90-AK90</f>
        <v>0</v>
      </c>
      <c r="AM90" s="1042">
        <f>0</f>
        <v>0</v>
      </c>
      <c r="AN90" s="1042">
        <f t="shared" ref="AN90:AN94" si="284">AH90+AM90</f>
        <v>530000</v>
      </c>
      <c r="AO90" s="1042">
        <f t="shared" ref="AO90:AO94" si="285">E90-AN90</f>
        <v>0</v>
      </c>
      <c r="AP90" s="1042">
        <f t="shared" si="275"/>
        <v>0</v>
      </c>
      <c r="AQ90" s="1042">
        <f t="shared" si="276"/>
        <v>530000</v>
      </c>
      <c r="AR90" s="1042">
        <f t="shared" si="277"/>
        <v>0</v>
      </c>
      <c r="AS90" s="1042">
        <f t="shared" ref="AS90:AS94" si="286">(F90/12)*0</f>
        <v>0</v>
      </c>
      <c r="AT90" s="1042">
        <f t="shared" ref="AT90:AT94" si="287">AQ90+AS90</f>
        <v>530000</v>
      </c>
      <c r="AU90" s="1042">
        <f t="shared" ref="AU90:AU94" si="288">E90-AT90</f>
        <v>0</v>
      </c>
      <c r="AV90" s="1042">
        <f t="shared" ref="AV90:AV94" si="289">(F90/12)*0</f>
        <v>0</v>
      </c>
      <c r="AW90" s="1042">
        <f t="shared" ref="AW90:AW94" si="290">AQ90+AV90</f>
        <v>530000</v>
      </c>
      <c r="AX90" s="1042">
        <f t="shared" ref="AX90:AX94" si="291">E90-AW90</f>
        <v>0</v>
      </c>
      <c r="AZ90" s="8">
        <f t="shared" ref="AZ90:AZ94" si="292">E90-AW90-AX90</f>
        <v>0</v>
      </c>
      <c r="BB90" s="57"/>
    </row>
    <row r="91" spans="1:54" ht="14.25" customHeight="1">
      <c r="A91" s="17">
        <f t="shared" si="246"/>
        <v>9</v>
      </c>
      <c r="B91" s="53" t="s">
        <v>829</v>
      </c>
      <c r="C91" s="238">
        <v>42005</v>
      </c>
      <c r="D91" s="55">
        <v>4</v>
      </c>
      <c r="E91" s="6">
        <v>525000</v>
      </c>
      <c r="F91" s="1041">
        <f t="shared" si="203"/>
        <v>131250</v>
      </c>
      <c r="G91" s="1042"/>
      <c r="H91" s="1042"/>
      <c r="I91" s="1042"/>
      <c r="J91" s="1053">
        <f t="shared" si="254"/>
        <v>131250</v>
      </c>
      <c r="K91" s="1042">
        <f t="shared" si="255"/>
        <v>131250</v>
      </c>
      <c r="L91" s="1042">
        <f t="shared" si="256"/>
        <v>393750</v>
      </c>
      <c r="M91" s="1042">
        <f t="shared" si="248"/>
        <v>131250</v>
      </c>
      <c r="N91" s="1042">
        <f t="shared" si="207"/>
        <v>262500</v>
      </c>
      <c r="O91" s="1042">
        <f t="shared" si="208"/>
        <v>262500</v>
      </c>
      <c r="P91" s="1042">
        <f t="shared" si="250"/>
        <v>131250</v>
      </c>
      <c r="Q91" s="1042">
        <f t="shared" si="210"/>
        <v>393750</v>
      </c>
      <c r="R91" s="1042">
        <f t="shared" si="211"/>
        <v>131250</v>
      </c>
      <c r="S91" s="1042">
        <f t="shared" si="257"/>
        <v>131250</v>
      </c>
      <c r="T91" s="1042">
        <f t="shared" si="258"/>
        <v>525000</v>
      </c>
      <c r="U91" s="1042">
        <f t="shared" si="259"/>
        <v>0</v>
      </c>
      <c r="V91" s="1042">
        <f t="shared" si="260"/>
        <v>0</v>
      </c>
      <c r="W91" s="1042">
        <f t="shared" si="261"/>
        <v>525000</v>
      </c>
      <c r="X91" s="1042">
        <f t="shared" si="262"/>
        <v>0</v>
      </c>
      <c r="Y91" s="7">
        <v>481250</v>
      </c>
      <c r="Z91" s="7">
        <f t="shared" si="216"/>
        <v>43750</v>
      </c>
      <c r="AA91" s="1042">
        <f t="shared" si="263"/>
        <v>0</v>
      </c>
      <c r="AB91" s="1042">
        <f t="shared" si="218"/>
        <v>525000</v>
      </c>
      <c r="AC91" s="1042">
        <f t="shared" si="264"/>
        <v>0</v>
      </c>
      <c r="AD91" s="1042">
        <f t="shared" si="265"/>
        <v>0</v>
      </c>
      <c r="AE91" s="1042">
        <f t="shared" si="266"/>
        <v>525000</v>
      </c>
      <c r="AF91" s="1042">
        <f t="shared" si="267"/>
        <v>0</v>
      </c>
      <c r="AG91" s="1042">
        <f t="shared" si="268"/>
        <v>0</v>
      </c>
      <c r="AH91" s="1042">
        <f t="shared" si="269"/>
        <v>525000</v>
      </c>
      <c r="AI91" s="1042">
        <f t="shared" si="270"/>
        <v>0</v>
      </c>
      <c r="AJ91" s="1042">
        <f t="shared" si="244"/>
        <v>0</v>
      </c>
      <c r="AK91" s="1042">
        <f t="shared" si="282"/>
        <v>525000</v>
      </c>
      <c r="AL91" s="1042">
        <f t="shared" si="283"/>
        <v>0</v>
      </c>
      <c r="AM91" s="1042">
        <f>0</f>
        <v>0</v>
      </c>
      <c r="AN91" s="1042">
        <f t="shared" si="284"/>
        <v>525000</v>
      </c>
      <c r="AO91" s="1042">
        <f t="shared" si="285"/>
        <v>0</v>
      </c>
      <c r="AP91" s="1042">
        <f t="shared" si="275"/>
        <v>0</v>
      </c>
      <c r="AQ91" s="1042">
        <f t="shared" si="276"/>
        <v>525000</v>
      </c>
      <c r="AR91" s="1042">
        <f t="shared" si="277"/>
        <v>0</v>
      </c>
      <c r="AS91" s="1042">
        <f t="shared" si="286"/>
        <v>0</v>
      </c>
      <c r="AT91" s="1042">
        <f t="shared" si="287"/>
        <v>525000</v>
      </c>
      <c r="AU91" s="1042">
        <f t="shared" si="288"/>
        <v>0</v>
      </c>
      <c r="AV91" s="1042">
        <f t="shared" si="289"/>
        <v>0</v>
      </c>
      <c r="AW91" s="1042">
        <f t="shared" si="290"/>
        <v>525000</v>
      </c>
      <c r="AX91" s="1042">
        <f t="shared" si="291"/>
        <v>0</v>
      </c>
      <c r="AZ91" s="8">
        <f t="shared" si="292"/>
        <v>0</v>
      </c>
      <c r="BB91" s="57"/>
    </row>
    <row r="92" spans="1:54" ht="14.25" customHeight="1">
      <c r="A92" s="17">
        <f t="shared" si="246"/>
        <v>10</v>
      </c>
      <c r="B92" s="53" t="s">
        <v>830</v>
      </c>
      <c r="C92" s="238">
        <v>42005</v>
      </c>
      <c r="D92" s="55">
        <v>4</v>
      </c>
      <c r="E92" s="6">
        <v>2970000</v>
      </c>
      <c r="F92" s="1041">
        <f t="shared" si="203"/>
        <v>742500</v>
      </c>
      <c r="G92" s="1042"/>
      <c r="H92" s="1042"/>
      <c r="I92" s="1042"/>
      <c r="J92" s="1053">
        <f t="shared" si="254"/>
        <v>742500</v>
      </c>
      <c r="K92" s="1042">
        <f t="shared" si="255"/>
        <v>742500</v>
      </c>
      <c r="L92" s="1042">
        <f t="shared" si="256"/>
        <v>2227500</v>
      </c>
      <c r="M92" s="1042">
        <f t="shared" si="248"/>
        <v>742500</v>
      </c>
      <c r="N92" s="1042">
        <f t="shared" si="207"/>
        <v>1485000</v>
      </c>
      <c r="O92" s="1042">
        <f t="shared" si="208"/>
        <v>1485000</v>
      </c>
      <c r="P92" s="1042">
        <f t="shared" si="250"/>
        <v>742500</v>
      </c>
      <c r="Q92" s="1042">
        <f t="shared" si="210"/>
        <v>2227500</v>
      </c>
      <c r="R92" s="1042">
        <f t="shared" si="211"/>
        <v>742500</v>
      </c>
      <c r="S92" s="1042">
        <f t="shared" si="257"/>
        <v>742500</v>
      </c>
      <c r="T92" s="1042">
        <f t="shared" si="258"/>
        <v>2970000</v>
      </c>
      <c r="U92" s="1042">
        <f t="shared" si="259"/>
        <v>0</v>
      </c>
      <c r="V92" s="1042">
        <f t="shared" si="260"/>
        <v>0</v>
      </c>
      <c r="W92" s="1042">
        <f t="shared" si="261"/>
        <v>2970000</v>
      </c>
      <c r="X92" s="1042">
        <f t="shared" si="262"/>
        <v>0</v>
      </c>
      <c r="Y92" s="7">
        <v>2673000</v>
      </c>
      <c r="Z92" s="7">
        <f t="shared" si="216"/>
        <v>297000</v>
      </c>
      <c r="AA92" s="1042">
        <f t="shared" si="263"/>
        <v>0</v>
      </c>
      <c r="AB92" s="1042">
        <f t="shared" si="218"/>
        <v>2970000</v>
      </c>
      <c r="AC92" s="1042">
        <f t="shared" si="264"/>
        <v>0</v>
      </c>
      <c r="AD92" s="1042">
        <f t="shared" si="265"/>
        <v>0</v>
      </c>
      <c r="AE92" s="1042">
        <f t="shared" si="266"/>
        <v>2970000</v>
      </c>
      <c r="AF92" s="1042">
        <f t="shared" si="267"/>
        <v>0</v>
      </c>
      <c r="AG92" s="1042">
        <f t="shared" si="268"/>
        <v>0</v>
      </c>
      <c r="AH92" s="1042">
        <f t="shared" si="269"/>
        <v>2970000</v>
      </c>
      <c r="AI92" s="1042">
        <f t="shared" si="270"/>
        <v>0</v>
      </c>
      <c r="AJ92" s="1042">
        <f t="shared" si="244"/>
        <v>0</v>
      </c>
      <c r="AK92" s="1042">
        <f t="shared" si="282"/>
        <v>2970000</v>
      </c>
      <c r="AL92" s="1042">
        <f t="shared" si="283"/>
        <v>0</v>
      </c>
      <c r="AM92" s="1042">
        <f>0</f>
        <v>0</v>
      </c>
      <c r="AN92" s="1042">
        <f t="shared" si="284"/>
        <v>2970000</v>
      </c>
      <c r="AO92" s="1042">
        <f t="shared" si="285"/>
        <v>0</v>
      </c>
      <c r="AP92" s="1042">
        <f t="shared" si="275"/>
        <v>0</v>
      </c>
      <c r="AQ92" s="1042">
        <f t="shared" si="276"/>
        <v>2970000</v>
      </c>
      <c r="AR92" s="1042">
        <f t="shared" si="277"/>
        <v>0</v>
      </c>
      <c r="AS92" s="1042">
        <f t="shared" si="286"/>
        <v>0</v>
      </c>
      <c r="AT92" s="1042">
        <f t="shared" si="287"/>
        <v>2970000</v>
      </c>
      <c r="AU92" s="1042">
        <f t="shared" si="288"/>
        <v>0</v>
      </c>
      <c r="AV92" s="1042">
        <f t="shared" si="289"/>
        <v>0</v>
      </c>
      <c r="AW92" s="1042">
        <f t="shared" si="290"/>
        <v>2970000</v>
      </c>
      <c r="AX92" s="1042">
        <f t="shared" si="291"/>
        <v>0</v>
      </c>
      <c r="AZ92" s="8">
        <f t="shared" si="292"/>
        <v>0</v>
      </c>
      <c r="BB92" s="57"/>
    </row>
    <row r="93" spans="1:54" ht="14.25" customHeight="1">
      <c r="A93" s="17">
        <f t="shared" si="246"/>
        <v>11</v>
      </c>
      <c r="B93" s="53" t="s">
        <v>831</v>
      </c>
      <c r="C93" s="238">
        <v>42005</v>
      </c>
      <c r="D93" s="55">
        <v>4</v>
      </c>
      <c r="E93" s="6">
        <v>565000</v>
      </c>
      <c r="F93" s="1041">
        <f t="shared" si="203"/>
        <v>141250</v>
      </c>
      <c r="G93" s="1042"/>
      <c r="H93" s="1042"/>
      <c r="I93" s="1042"/>
      <c r="J93" s="1053">
        <f t="shared" si="254"/>
        <v>141250</v>
      </c>
      <c r="K93" s="1042">
        <f t="shared" si="255"/>
        <v>141250</v>
      </c>
      <c r="L93" s="1042">
        <f t="shared" si="256"/>
        <v>423750</v>
      </c>
      <c r="M93" s="1042">
        <f t="shared" si="248"/>
        <v>141250</v>
      </c>
      <c r="N93" s="1042">
        <f t="shared" si="207"/>
        <v>282500</v>
      </c>
      <c r="O93" s="1042">
        <f t="shared" si="208"/>
        <v>282500</v>
      </c>
      <c r="P93" s="1042">
        <f t="shared" si="250"/>
        <v>141250</v>
      </c>
      <c r="Q93" s="1042">
        <f t="shared" si="210"/>
        <v>423750</v>
      </c>
      <c r="R93" s="1042">
        <f t="shared" si="211"/>
        <v>141250</v>
      </c>
      <c r="S93" s="1042">
        <f t="shared" si="257"/>
        <v>141250</v>
      </c>
      <c r="T93" s="1042">
        <f t="shared" si="258"/>
        <v>565000</v>
      </c>
      <c r="U93" s="1042">
        <f t="shared" si="259"/>
        <v>0</v>
      </c>
      <c r="V93" s="1042">
        <f t="shared" si="260"/>
        <v>0</v>
      </c>
      <c r="W93" s="1042">
        <f t="shared" si="261"/>
        <v>565000</v>
      </c>
      <c r="X93" s="1042">
        <f t="shared" si="262"/>
        <v>0</v>
      </c>
      <c r="Y93" s="7">
        <v>508500</v>
      </c>
      <c r="Z93" s="7">
        <f t="shared" si="216"/>
        <v>56500</v>
      </c>
      <c r="AA93" s="1042">
        <f t="shared" si="263"/>
        <v>0</v>
      </c>
      <c r="AB93" s="1042">
        <f t="shared" si="218"/>
        <v>565000</v>
      </c>
      <c r="AC93" s="1042">
        <f t="shared" si="264"/>
        <v>0</v>
      </c>
      <c r="AD93" s="1042">
        <f t="shared" si="265"/>
        <v>0</v>
      </c>
      <c r="AE93" s="1042">
        <f t="shared" si="266"/>
        <v>565000</v>
      </c>
      <c r="AF93" s="1042">
        <f t="shared" si="267"/>
        <v>0</v>
      </c>
      <c r="AG93" s="1042">
        <f t="shared" si="268"/>
        <v>0</v>
      </c>
      <c r="AH93" s="1042">
        <f t="shared" si="269"/>
        <v>565000</v>
      </c>
      <c r="AI93" s="1042">
        <f t="shared" si="270"/>
        <v>0</v>
      </c>
      <c r="AJ93" s="1042">
        <f t="shared" si="244"/>
        <v>0</v>
      </c>
      <c r="AK93" s="1042">
        <f t="shared" si="282"/>
        <v>565000</v>
      </c>
      <c r="AL93" s="1042">
        <f t="shared" si="283"/>
        <v>0</v>
      </c>
      <c r="AM93" s="1042">
        <f>0</f>
        <v>0</v>
      </c>
      <c r="AN93" s="1042">
        <f t="shared" si="284"/>
        <v>565000</v>
      </c>
      <c r="AO93" s="1042">
        <f t="shared" si="285"/>
        <v>0</v>
      </c>
      <c r="AP93" s="1042">
        <f t="shared" si="275"/>
        <v>0</v>
      </c>
      <c r="AQ93" s="1042">
        <f t="shared" si="276"/>
        <v>565000</v>
      </c>
      <c r="AR93" s="1042">
        <f t="shared" si="277"/>
        <v>0</v>
      </c>
      <c r="AS93" s="1042">
        <f t="shared" si="286"/>
        <v>0</v>
      </c>
      <c r="AT93" s="1042">
        <f t="shared" si="287"/>
        <v>565000</v>
      </c>
      <c r="AU93" s="1042">
        <f t="shared" si="288"/>
        <v>0</v>
      </c>
      <c r="AV93" s="1042">
        <f t="shared" si="289"/>
        <v>0</v>
      </c>
      <c r="AW93" s="1042">
        <f t="shared" si="290"/>
        <v>565000</v>
      </c>
      <c r="AX93" s="1042">
        <f t="shared" si="291"/>
        <v>0</v>
      </c>
      <c r="AZ93" s="8">
        <f t="shared" si="292"/>
        <v>0</v>
      </c>
      <c r="BB93" s="57"/>
    </row>
    <row r="94" spans="1:54" ht="14.25" customHeight="1">
      <c r="A94" s="17">
        <f t="shared" si="246"/>
        <v>12</v>
      </c>
      <c r="B94" s="53" t="s">
        <v>826</v>
      </c>
      <c r="C94" s="238">
        <v>42370</v>
      </c>
      <c r="D94" s="55">
        <v>4</v>
      </c>
      <c r="E94" s="6">
        <v>3350000</v>
      </c>
      <c r="F94" s="1041">
        <f t="shared" si="203"/>
        <v>837500</v>
      </c>
      <c r="G94" s="1042"/>
      <c r="H94" s="1042"/>
      <c r="I94" s="1042"/>
      <c r="J94" s="1042"/>
      <c r="K94" s="1042"/>
      <c r="L94" s="1042"/>
      <c r="M94" s="1053">
        <f t="shared" ref="M94:M96" si="293">(F94/12)*(13-IF(C94="","",MONTH(C94)))</f>
        <v>837500</v>
      </c>
      <c r="N94" s="1042">
        <f t="shared" ref="N94:N96" si="294">K94+M94</f>
        <v>837500</v>
      </c>
      <c r="O94" s="1042">
        <f t="shared" ref="O94:O96" si="295">E94-N94</f>
        <v>2512500</v>
      </c>
      <c r="P94" s="1042">
        <f t="shared" ref="P94:P96" si="296">(F94/12)*12</f>
        <v>837500</v>
      </c>
      <c r="Q94" s="1042">
        <f t="shared" ref="Q94:Q96" si="297">N94+P94</f>
        <v>1675000</v>
      </c>
      <c r="R94" s="1042">
        <f t="shared" ref="R94:R96" si="298">E94-Q94</f>
        <v>1675000</v>
      </c>
      <c r="S94" s="1042">
        <f t="shared" si="257"/>
        <v>837500</v>
      </c>
      <c r="T94" s="1042">
        <f t="shared" si="258"/>
        <v>2512500</v>
      </c>
      <c r="U94" s="1042">
        <f t="shared" si="259"/>
        <v>837500</v>
      </c>
      <c r="V94" s="1042">
        <f>(F94/12)*12</f>
        <v>837500</v>
      </c>
      <c r="W94" s="1042">
        <f t="shared" ref="W94:W95" si="299">V94+T94</f>
        <v>3350000</v>
      </c>
      <c r="X94" s="1042">
        <f t="shared" ref="X94:X95" si="300">E94-W94</f>
        <v>0</v>
      </c>
      <c r="Y94" s="7">
        <v>2093750</v>
      </c>
      <c r="Z94" s="7">
        <f t="shared" si="216"/>
        <v>1256250</v>
      </c>
      <c r="AA94" s="1042">
        <f t="shared" ref="AA94:AA95" si="301">(F94/12)*0</f>
        <v>0</v>
      </c>
      <c r="AB94" s="1042">
        <f t="shared" si="218"/>
        <v>3350000</v>
      </c>
      <c r="AC94" s="1042">
        <f t="shared" ref="AC94:AC95" si="302">E94-AB94</f>
        <v>0</v>
      </c>
      <c r="AD94" s="1042">
        <f t="shared" ref="AD94:AD95" si="303">(F94/12)*0</f>
        <v>0</v>
      </c>
      <c r="AE94" s="1042">
        <f t="shared" ref="AE94:AE95" si="304">AD94+AB94</f>
        <v>3350000</v>
      </c>
      <c r="AF94" s="1042">
        <f t="shared" ref="AF94:AF95" si="305">E94-AE94</f>
        <v>0</v>
      </c>
      <c r="AG94" s="1042">
        <f t="shared" ref="AG94:AG95" si="306">(F94/12)*0</f>
        <v>0</v>
      </c>
      <c r="AH94" s="1042">
        <f t="shared" ref="AH94:AH95" si="307">AE94+AG94</f>
        <v>3350000</v>
      </c>
      <c r="AI94" s="1042">
        <f t="shared" ref="AI94:AI95" si="308">E94-AH94</f>
        <v>0</v>
      </c>
      <c r="AJ94" s="1042">
        <f t="shared" si="244"/>
        <v>0</v>
      </c>
      <c r="AK94" s="1042">
        <f t="shared" si="282"/>
        <v>3350000</v>
      </c>
      <c r="AL94" s="1042">
        <f t="shared" si="283"/>
        <v>0</v>
      </c>
      <c r="AM94" s="1042">
        <f>0</f>
        <v>0</v>
      </c>
      <c r="AN94" s="1042">
        <f t="shared" si="284"/>
        <v>3350000</v>
      </c>
      <c r="AO94" s="1042">
        <f t="shared" si="285"/>
        <v>0</v>
      </c>
      <c r="AP94" s="1042">
        <f t="shared" ref="AP94:AP95" si="309">(F94/12)*0</f>
        <v>0</v>
      </c>
      <c r="AQ94" s="1042">
        <f t="shared" ref="AQ94:AQ95" si="310">AP94+AH94</f>
        <v>3350000</v>
      </c>
      <c r="AR94" s="1042">
        <f t="shared" ref="AR94:AR95" si="311">E94-AQ94</f>
        <v>0</v>
      </c>
      <c r="AS94" s="1042">
        <f t="shared" si="286"/>
        <v>0</v>
      </c>
      <c r="AT94" s="1042">
        <f t="shared" si="287"/>
        <v>3350000</v>
      </c>
      <c r="AU94" s="1042">
        <f t="shared" si="288"/>
        <v>0</v>
      </c>
      <c r="AV94" s="1042">
        <f t="shared" si="289"/>
        <v>0</v>
      </c>
      <c r="AW94" s="1042">
        <f t="shared" si="290"/>
        <v>3350000</v>
      </c>
      <c r="AX94" s="1042">
        <f t="shared" si="291"/>
        <v>0</v>
      </c>
      <c r="AZ94" s="8">
        <f t="shared" si="292"/>
        <v>0</v>
      </c>
      <c r="BB94" s="57"/>
    </row>
    <row r="95" spans="1:54" ht="14.25" hidden="1" customHeight="1">
      <c r="A95" s="874">
        <f t="shared" si="246"/>
        <v>13</v>
      </c>
      <c r="B95" s="875" t="s">
        <v>832</v>
      </c>
      <c r="C95" s="876">
        <v>42370</v>
      </c>
      <c r="D95" s="877">
        <v>4</v>
      </c>
      <c r="E95" s="878">
        <f>5900000*0</f>
        <v>0</v>
      </c>
      <c r="F95" s="879">
        <f t="shared" si="203"/>
        <v>0</v>
      </c>
      <c r="G95" s="880"/>
      <c r="H95" s="880"/>
      <c r="I95" s="880"/>
      <c r="J95" s="880"/>
      <c r="K95" s="880"/>
      <c r="L95" s="880"/>
      <c r="M95" s="880">
        <f t="shared" si="293"/>
        <v>0</v>
      </c>
      <c r="N95" s="880">
        <f t="shared" si="294"/>
        <v>0</v>
      </c>
      <c r="O95" s="880">
        <f t="shared" si="295"/>
        <v>0</v>
      </c>
      <c r="P95" s="880">
        <f t="shared" si="296"/>
        <v>0</v>
      </c>
      <c r="Q95" s="880">
        <f t="shared" si="297"/>
        <v>0</v>
      </c>
      <c r="R95" s="880">
        <f t="shared" si="298"/>
        <v>0</v>
      </c>
      <c r="S95" s="880">
        <f t="shared" si="257"/>
        <v>0</v>
      </c>
      <c r="T95" s="880">
        <f t="shared" si="258"/>
        <v>0</v>
      </c>
      <c r="U95" s="880">
        <f t="shared" si="259"/>
        <v>0</v>
      </c>
      <c r="V95" s="880">
        <f>(F95/12)*12</f>
        <v>0</v>
      </c>
      <c r="W95" s="880">
        <f t="shared" si="299"/>
        <v>0</v>
      </c>
      <c r="X95" s="880">
        <f t="shared" si="300"/>
        <v>0</v>
      </c>
      <c r="Y95" s="880">
        <f>3441666.66666667*0</f>
        <v>0</v>
      </c>
      <c r="Z95" s="880">
        <f t="shared" si="216"/>
        <v>0</v>
      </c>
      <c r="AA95" s="880">
        <f t="shared" si="301"/>
        <v>0</v>
      </c>
      <c r="AB95" s="880">
        <f t="shared" si="218"/>
        <v>0</v>
      </c>
      <c r="AC95" s="880">
        <f t="shared" si="302"/>
        <v>0</v>
      </c>
      <c r="AD95" s="880">
        <f t="shared" si="303"/>
        <v>0</v>
      </c>
      <c r="AE95" s="880">
        <f t="shared" si="304"/>
        <v>0</v>
      </c>
      <c r="AF95" s="880">
        <f t="shared" si="305"/>
        <v>0</v>
      </c>
      <c r="AG95" s="880">
        <f t="shared" si="306"/>
        <v>0</v>
      </c>
      <c r="AH95" s="880">
        <f t="shared" si="307"/>
        <v>0</v>
      </c>
      <c r="AI95" s="880">
        <f t="shared" si="308"/>
        <v>0</v>
      </c>
      <c r="AJ95" s="880">
        <f t="shared" si="244"/>
        <v>0</v>
      </c>
      <c r="AK95" s="880"/>
      <c r="AL95" s="880"/>
      <c r="AM95" s="880"/>
      <c r="AN95" s="880"/>
      <c r="AO95" s="880"/>
      <c r="AP95" s="880">
        <f t="shared" si="309"/>
        <v>0</v>
      </c>
      <c r="AQ95" s="880">
        <f t="shared" si="310"/>
        <v>0</v>
      </c>
      <c r="AR95" s="880">
        <f t="shared" si="311"/>
        <v>0</v>
      </c>
      <c r="AS95" s="896"/>
      <c r="AT95" s="896"/>
      <c r="AU95" s="896"/>
      <c r="AV95" s="896"/>
      <c r="AW95" s="896"/>
      <c r="AX95" s="896"/>
      <c r="AZ95" s="8">
        <f t="shared" si="253"/>
        <v>0</v>
      </c>
      <c r="BB95" s="57"/>
    </row>
    <row r="96" spans="1:54" ht="14.25" customHeight="1">
      <c r="A96" s="17">
        <f t="shared" si="246"/>
        <v>14</v>
      </c>
      <c r="B96" s="53" t="s">
        <v>833</v>
      </c>
      <c r="C96" s="238">
        <v>42370</v>
      </c>
      <c r="D96" s="55">
        <v>4</v>
      </c>
      <c r="E96" s="6">
        <v>5400000</v>
      </c>
      <c r="F96" s="1041">
        <f t="shared" si="203"/>
        <v>1350000</v>
      </c>
      <c r="G96" s="1042"/>
      <c r="H96" s="1042"/>
      <c r="I96" s="1042"/>
      <c r="J96" s="1042"/>
      <c r="K96" s="1042"/>
      <c r="L96" s="1042"/>
      <c r="M96" s="1053">
        <f t="shared" si="293"/>
        <v>1350000</v>
      </c>
      <c r="N96" s="1042">
        <f t="shared" si="294"/>
        <v>1350000</v>
      </c>
      <c r="O96" s="1042">
        <f t="shared" si="295"/>
        <v>4050000</v>
      </c>
      <c r="P96" s="1042">
        <f t="shared" si="296"/>
        <v>1350000</v>
      </c>
      <c r="Q96" s="1042">
        <f t="shared" si="297"/>
        <v>2700000</v>
      </c>
      <c r="R96" s="1042">
        <f t="shared" si="298"/>
        <v>2700000</v>
      </c>
      <c r="S96" s="1042">
        <f t="shared" si="257"/>
        <v>1350000</v>
      </c>
      <c r="T96" s="1042">
        <f t="shared" si="258"/>
        <v>4050000</v>
      </c>
      <c r="U96" s="1042">
        <f t="shared" si="259"/>
        <v>1350000</v>
      </c>
      <c r="V96" s="1042">
        <f>(F96/12)*12</f>
        <v>1350000</v>
      </c>
      <c r="W96" s="1042">
        <f t="shared" ref="W96" si="312">V96+T96</f>
        <v>5400000</v>
      </c>
      <c r="X96" s="1042">
        <f t="shared" ref="X96" si="313">E96-W96</f>
        <v>0</v>
      </c>
      <c r="Y96" s="7">
        <v>3037500</v>
      </c>
      <c r="Z96" s="7">
        <f t="shared" si="216"/>
        <v>2362500</v>
      </c>
      <c r="AA96" s="1042">
        <f t="shared" ref="AA96" si="314">(F96/12)*0</f>
        <v>0</v>
      </c>
      <c r="AB96" s="1042">
        <f t="shared" si="218"/>
        <v>5400000</v>
      </c>
      <c r="AC96" s="1042">
        <f t="shared" ref="AC96" si="315">E96-AB96</f>
        <v>0</v>
      </c>
      <c r="AD96" s="1042">
        <f t="shared" ref="AD96" si="316">(F96/12)*0</f>
        <v>0</v>
      </c>
      <c r="AE96" s="1042">
        <f t="shared" ref="AE96" si="317">AD96+AB96</f>
        <v>5400000</v>
      </c>
      <c r="AF96" s="1042">
        <f t="shared" ref="AF96" si="318">E96-AE96</f>
        <v>0</v>
      </c>
      <c r="AG96" s="1042">
        <f t="shared" ref="AG96" si="319">(F96/12)*0</f>
        <v>0</v>
      </c>
      <c r="AH96" s="1042">
        <f t="shared" ref="AH96" si="320">AE96+AG96</f>
        <v>5400000</v>
      </c>
      <c r="AI96" s="1042">
        <f t="shared" ref="AI96" si="321">E96-AH96</f>
        <v>0</v>
      </c>
      <c r="AJ96" s="1042">
        <f t="shared" si="244"/>
        <v>0</v>
      </c>
      <c r="AK96" s="1042">
        <f t="shared" ref="AK96:AK101" si="322">AH96+AJ96</f>
        <v>5400000</v>
      </c>
      <c r="AL96" s="1042">
        <f t="shared" ref="AL96:AL101" si="323">E96-AK96</f>
        <v>0</v>
      </c>
      <c r="AM96" s="1042">
        <f>0</f>
        <v>0</v>
      </c>
      <c r="AN96" s="1042">
        <f t="shared" ref="AN96:AN101" si="324">AH96+AM96</f>
        <v>5400000</v>
      </c>
      <c r="AO96" s="1042">
        <f t="shared" ref="AO96:AO101" si="325">E96-AN96</f>
        <v>0</v>
      </c>
      <c r="AP96" s="1042">
        <f t="shared" ref="AP96" si="326">(F96/12)*0</f>
        <v>0</v>
      </c>
      <c r="AQ96" s="1042">
        <f t="shared" ref="AQ96" si="327">AP96+AH96</f>
        <v>5400000</v>
      </c>
      <c r="AR96" s="1042">
        <f t="shared" ref="AR96" si="328">E96-AQ96</f>
        <v>0</v>
      </c>
      <c r="AS96" s="1042">
        <f t="shared" ref="AS96:AS101" si="329">(F96/12)*0</f>
        <v>0</v>
      </c>
      <c r="AT96" s="1042">
        <f t="shared" ref="AT96:AT101" si="330">AQ96+AS96</f>
        <v>5400000</v>
      </c>
      <c r="AU96" s="1042">
        <f t="shared" ref="AU96:AU101" si="331">E96-AT96</f>
        <v>0</v>
      </c>
      <c r="AV96" s="1042">
        <f t="shared" ref="AV96:AV101" si="332">(F96/12)*0</f>
        <v>0</v>
      </c>
      <c r="AW96" s="1042">
        <f t="shared" ref="AW96:AW101" si="333">AQ96+AV96</f>
        <v>5400000</v>
      </c>
      <c r="AX96" s="1042">
        <f t="shared" ref="AX96:AX101" si="334">E96-AW96</f>
        <v>0</v>
      </c>
      <c r="AZ96" s="8">
        <f t="shared" ref="AZ96:AZ101" si="335">E96-AW96-AX96</f>
        <v>0</v>
      </c>
      <c r="BB96" s="57"/>
    </row>
    <row r="97" spans="1:54" ht="14.25" customHeight="1">
      <c r="A97" s="17">
        <f t="shared" si="246"/>
        <v>15</v>
      </c>
      <c r="B97" s="53" t="s">
        <v>834</v>
      </c>
      <c r="C97" s="238">
        <v>42736</v>
      </c>
      <c r="D97" s="55">
        <v>4</v>
      </c>
      <c r="E97" s="6">
        <v>5510000</v>
      </c>
      <c r="F97" s="1041">
        <f t="shared" si="203"/>
        <v>1377500</v>
      </c>
      <c r="G97" s="1042"/>
      <c r="H97" s="1042"/>
      <c r="I97" s="1042"/>
      <c r="J97" s="1042"/>
      <c r="K97" s="1042"/>
      <c r="L97" s="1042"/>
      <c r="M97" s="1042"/>
      <c r="N97" s="1042"/>
      <c r="O97" s="1042"/>
      <c r="P97" s="1053">
        <f t="shared" ref="P97:P98" si="336">(F97/12)*(13-IF(C97="","",MONTH(C97)))</f>
        <v>1377500</v>
      </c>
      <c r="Q97" s="1042">
        <f t="shared" ref="Q97:Q98" si="337">N97+P97</f>
        <v>1377500</v>
      </c>
      <c r="R97" s="1042">
        <f t="shared" ref="R97:R98" si="338">E97-Q97</f>
        <v>4132500</v>
      </c>
      <c r="S97" s="1042">
        <f t="shared" ref="S97:S98" si="339">(F97/12)*12</f>
        <v>1377500</v>
      </c>
      <c r="T97" s="1042">
        <f t="shared" ref="T97:T98" si="340">Q97+S97</f>
        <v>2755000</v>
      </c>
      <c r="U97" s="1042">
        <f t="shared" ref="U97:U98" si="341">E97-T97</f>
        <v>2755000</v>
      </c>
      <c r="V97" s="1042">
        <f t="shared" ref="V97:V98" si="342">(F97/12)*12</f>
        <v>1377500</v>
      </c>
      <c r="W97" s="1042">
        <f t="shared" ref="W97:W98" si="343">V97+T97</f>
        <v>4132500</v>
      </c>
      <c r="X97" s="1042">
        <f t="shared" ref="X97:X98" si="344">E97-W97</f>
        <v>1377500</v>
      </c>
      <c r="Y97" s="7">
        <v>2410625</v>
      </c>
      <c r="Z97" s="7">
        <f t="shared" si="216"/>
        <v>3099375</v>
      </c>
      <c r="AA97" s="1042">
        <f>(F97/12)*12</f>
        <v>1377500</v>
      </c>
      <c r="AB97" s="1042">
        <f t="shared" si="218"/>
        <v>5510000</v>
      </c>
      <c r="AC97" s="1042">
        <f t="shared" ref="AC97:AC98" si="345">E97-AB97</f>
        <v>0</v>
      </c>
      <c r="AD97" s="1042">
        <f t="shared" ref="AD97:AD98" si="346">(F97/12)*0</f>
        <v>0</v>
      </c>
      <c r="AE97" s="1042">
        <f t="shared" ref="AE97:AE98" si="347">AD97+AB97</f>
        <v>5510000</v>
      </c>
      <c r="AF97" s="1042">
        <f t="shared" ref="AF97:AF98" si="348">E97-AE97</f>
        <v>0</v>
      </c>
      <c r="AG97" s="1042">
        <f t="shared" ref="AG97:AG98" si="349">(F97/12)*0</f>
        <v>0</v>
      </c>
      <c r="AH97" s="1042">
        <f t="shared" ref="AH97:AH98" si="350">AE97+AG97</f>
        <v>5510000</v>
      </c>
      <c r="AI97" s="1042">
        <f t="shared" ref="AI97:AI98" si="351">E97-AH97</f>
        <v>0</v>
      </c>
      <c r="AJ97" s="1042">
        <f t="shared" si="244"/>
        <v>0</v>
      </c>
      <c r="AK97" s="1042">
        <f t="shared" si="322"/>
        <v>5510000</v>
      </c>
      <c r="AL97" s="1042">
        <f t="shared" si="323"/>
        <v>0</v>
      </c>
      <c r="AM97" s="1042">
        <f>0</f>
        <v>0</v>
      </c>
      <c r="AN97" s="1042">
        <f t="shared" si="324"/>
        <v>5510000</v>
      </c>
      <c r="AO97" s="1042">
        <f t="shared" si="325"/>
        <v>0</v>
      </c>
      <c r="AP97" s="1042">
        <f t="shared" ref="AP97:AP98" si="352">(F97/12)*0</f>
        <v>0</v>
      </c>
      <c r="AQ97" s="1042">
        <f t="shared" ref="AQ97:AQ98" si="353">AP97+AH97</f>
        <v>5510000</v>
      </c>
      <c r="AR97" s="1042">
        <f t="shared" ref="AR97:AR98" si="354">E97-AQ97</f>
        <v>0</v>
      </c>
      <c r="AS97" s="1042">
        <f t="shared" si="329"/>
        <v>0</v>
      </c>
      <c r="AT97" s="1042">
        <f t="shared" si="330"/>
        <v>5510000</v>
      </c>
      <c r="AU97" s="1042">
        <f t="shared" si="331"/>
        <v>0</v>
      </c>
      <c r="AV97" s="1042">
        <f t="shared" si="332"/>
        <v>0</v>
      </c>
      <c r="AW97" s="1042">
        <f t="shared" si="333"/>
        <v>5510000</v>
      </c>
      <c r="AX97" s="1042">
        <f t="shared" si="334"/>
        <v>0</v>
      </c>
      <c r="AZ97" s="8">
        <f t="shared" si="335"/>
        <v>0</v>
      </c>
      <c r="BB97" s="57"/>
    </row>
    <row r="98" spans="1:54" ht="14.25" customHeight="1">
      <c r="A98" s="17">
        <f t="shared" si="246"/>
        <v>16</v>
      </c>
      <c r="B98" s="53" t="s">
        <v>835</v>
      </c>
      <c r="C98" s="238">
        <v>42736</v>
      </c>
      <c r="D98" s="55">
        <v>4</v>
      </c>
      <c r="E98" s="6">
        <v>34963500</v>
      </c>
      <c r="F98" s="1041">
        <f t="shared" si="203"/>
        <v>8740875</v>
      </c>
      <c r="G98" s="1042"/>
      <c r="H98" s="1042"/>
      <c r="I98" s="1042"/>
      <c r="J98" s="1042"/>
      <c r="K98" s="1042"/>
      <c r="L98" s="1042"/>
      <c r="M98" s="1042"/>
      <c r="N98" s="1042"/>
      <c r="O98" s="1042"/>
      <c r="P98" s="1053">
        <f t="shared" si="336"/>
        <v>8740875</v>
      </c>
      <c r="Q98" s="1042">
        <f t="shared" si="337"/>
        <v>8740875</v>
      </c>
      <c r="R98" s="1042">
        <f t="shared" si="338"/>
        <v>26222625</v>
      </c>
      <c r="S98" s="1042">
        <f t="shared" si="339"/>
        <v>8740875</v>
      </c>
      <c r="T98" s="1042">
        <f t="shared" si="340"/>
        <v>17481750</v>
      </c>
      <c r="U98" s="1042">
        <f t="shared" si="341"/>
        <v>17481750</v>
      </c>
      <c r="V98" s="1042">
        <f t="shared" si="342"/>
        <v>8740875</v>
      </c>
      <c r="W98" s="1042">
        <f t="shared" si="343"/>
        <v>26222625</v>
      </c>
      <c r="X98" s="1042">
        <f t="shared" si="344"/>
        <v>8740875</v>
      </c>
      <c r="Y98" s="7">
        <v>10197687.5</v>
      </c>
      <c r="Z98" s="7">
        <f t="shared" si="216"/>
        <v>24765812.5</v>
      </c>
      <c r="AA98" s="1042">
        <f>(F98/12)*12</f>
        <v>8740875</v>
      </c>
      <c r="AB98" s="1042">
        <f t="shared" si="218"/>
        <v>34963500</v>
      </c>
      <c r="AC98" s="1042">
        <f t="shared" si="345"/>
        <v>0</v>
      </c>
      <c r="AD98" s="1042">
        <f t="shared" si="346"/>
        <v>0</v>
      </c>
      <c r="AE98" s="1042">
        <f t="shared" si="347"/>
        <v>34963500</v>
      </c>
      <c r="AF98" s="1042">
        <f t="shared" si="348"/>
        <v>0</v>
      </c>
      <c r="AG98" s="1042">
        <f t="shared" si="349"/>
        <v>0</v>
      </c>
      <c r="AH98" s="1042">
        <f t="shared" si="350"/>
        <v>34963500</v>
      </c>
      <c r="AI98" s="1042">
        <f t="shared" si="351"/>
        <v>0</v>
      </c>
      <c r="AJ98" s="1042">
        <f t="shared" si="244"/>
        <v>0</v>
      </c>
      <c r="AK98" s="1042">
        <f t="shared" si="322"/>
        <v>34963500</v>
      </c>
      <c r="AL98" s="1042">
        <f t="shared" si="323"/>
        <v>0</v>
      </c>
      <c r="AM98" s="1042">
        <f>0</f>
        <v>0</v>
      </c>
      <c r="AN98" s="1042">
        <f t="shared" si="324"/>
        <v>34963500</v>
      </c>
      <c r="AO98" s="1042">
        <f t="shared" si="325"/>
        <v>0</v>
      </c>
      <c r="AP98" s="1042">
        <f t="shared" si="352"/>
        <v>0</v>
      </c>
      <c r="AQ98" s="1042">
        <f t="shared" si="353"/>
        <v>34963500</v>
      </c>
      <c r="AR98" s="1042">
        <f t="shared" si="354"/>
        <v>0</v>
      </c>
      <c r="AS98" s="1042">
        <f t="shared" si="329"/>
        <v>0</v>
      </c>
      <c r="AT98" s="1042">
        <f t="shared" si="330"/>
        <v>34963500</v>
      </c>
      <c r="AU98" s="1042">
        <f t="shared" si="331"/>
        <v>0</v>
      </c>
      <c r="AV98" s="1042">
        <f t="shared" si="332"/>
        <v>0</v>
      </c>
      <c r="AW98" s="1042">
        <f t="shared" si="333"/>
        <v>34963500</v>
      </c>
      <c r="AX98" s="1042">
        <f t="shared" si="334"/>
        <v>0</v>
      </c>
      <c r="AZ98" s="8">
        <f t="shared" si="335"/>
        <v>0</v>
      </c>
      <c r="BB98" s="57"/>
    </row>
    <row r="99" spans="1:54" ht="14.25" customHeight="1">
      <c r="A99" s="17">
        <f t="shared" si="246"/>
        <v>17</v>
      </c>
      <c r="B99" s="948" t="s">
        <v>836</v>
      </c>
      <c r="C99" s="238">
        <v>43160</v>
      </c>
      <c r="D99" s="55">
        <v>4</v>
      </c>
      <c r="E99" s="1043">
        <v>5900000</v>
      </c>
      <c r="F99" s="1041">
        <f t="shared" si="203"/>
        <v>1475000</v>
      </c>
      <c r="G99" s="1042"/>
      <c r="H99" s="1042"/>
      <c r="I99" s="1042"/>
      <c r="J99" s="1042"/>
      <c r="K99" s="1042"/>
      <c r="L99" s="1042"/>
      <c r="M99" s="1042"/>
      <c r="N99" s="1042"/>
      <c r="O99" s="1042"/>
      <c r="P99" s="1042"/>
      <c r="Q99" s="1042"/>
      <c r="R99" s="1042"/>
      <c r="S99" s="1053">
        <f>(F99/12)*(13-IF(C99="","",MONTH(C99)))</f>
        <v>1229166.6666666667</v>
      </c>
      <c r="T99" s="1042">
        <f t="shared" ref="T99:T104" si="355">Q99+S99</f>
        <v>1229166.6666666667</v>
      </c>
      <c r="U99" s="1042">
        <f t="shared" ref="U99:U104" si="356">E99-T99</f>
        <v>4670833.333333333</v>
      </c>
      <c r="V99" s="1042">
        <f t="shared" ref="V99:V104" si="357">(F99/12)*12</f>
        <v>1475000</v>
      </c>
      <c r="W99" s="1042">
        <f t="shared" ref="W99:W104" si="358">V99+T99</f>
        <v>2704166.666666667</v>
      </c>
      <c r="X99" s="1042">
        <f t="shared" ref="X99:X104" si="359">E99-W99</f>
        <v>3195833.333333333</v>
      </c>
      <c r="Y99" s="7">
        <v>2718750</v>
      </c>
      <c r="Z99" s="7">
        <f t="shared" si="216"/>
        <v>3181250</v>
      </c>
      <c r="AA99" s="1042">
        <f t="shared" ref="AA99:AA104" si="360">(F99/12)*12</f>
        <v>1475000</v>
      </c>
      <c r="AB99" s="1042">
        <f t="shared" si="218"/>
        <v>4179166.666666667</v>
      </c>
      <c r="AC99" s="1042">
        <f t="shared" ref="AC99:AC105" si="361">E99-AB99</f>
        <v>1720833.333333333</v>
      </c>
      <c r="AD99" s="1042">
        <f>(F99/12)*12</f>
        <v>1475000</v>
      </c>
      <c r="AE99" s="1042">
        <f t="shared" ref="AE99:AE105" si="362">AD99+AB99</f>
        <v>5654166.666666667</v>
      </c>
      <c r="AF99" s="1042">
        <f t="shared" ref="AF99:AF105" si="363">E99-AE99</f>
        <v>245833.33333333302</v>
      </c>
      <c r="AG99" s="1042">
        <f>(F99/12)*2</f>
        <v>245833.33333333334</v>
      </c>
      <c r="AH99" s="1042">
        <f t="shared" ref="AH99:AH105" si="364">AE99+AG99</f>
        <v>5900000</v>
      </c>
      <c r="AI99" s="1042">
        <f t="shared" ref="AI99:AI105" si="365">E99-AH99</f>
        <v>0</v>
      </c>
      <c r="AJ99" s="1042">
        <f t="shared" si="244"/>
        <v>0</v>
      </c>
      <c r="AK99" s="1042">
        <f t="shared" si="322"/>
        <v>5900000</v>
      </c>
      <c r="AL99" s="1042">
        <f t="shared" si="323"/>
        <v>0</v>
      </c>
      <c r="AM99" s="1042">
        <f>0</f>
        <v>0</v>
      </c>
      <c r="AN99" s="1042">
        <f t="shared" si="324"/>
        <v>5900000</v>
      </c>
      <c r="AO99" s="1042">
        <f t="shared" si="325"/>
        <v>0</v>
      </c>
      <c r="AP99" s="1042">
        <f t="shared" ref="AP99:AP104" si="366">(F99/12)*0</f>
        <v>0</v>
      </c>
      <c r="AQ99" s="1042">
        <f t="shared" ref="AQ99:AQ105" si="367">AP99+AH99</f>
        <v>5900000</v>
      </c>
      <c r="AR99" s="1042">
        <f t="shared" ref="AR99:AR105" si="368">E99-AQ99</f>
        <v>0</v>
      </c>
      <c r="AS99" s="1042">
        <f t="shared" si="329"/>
        <v>0</v>
      </c>
      <c r="AT99" s="1042">
        <f t="shared" si="330"/>
        <v>5900000</v>
      </c>
      <c r="AU99" s="1042">
        <f t="shared" si="331"/>
        <v>0</v>
      </c>
      <c r="AV99" s="1042">
        <f t="shared" si="332"/>
        <v>0</v>
      </c>
      <c r="AW99" s="1042">
        <f t="shared" si="333"/>
        <v>5900000</v>
      </c>
      <c r="AX99" s="1042">
        <f t="shared" si="334"/>
        <v>0</v>
      </c>
      <c r="AZ99" s="8">
        <f t="shared" si="335"/>
        <v>0</v>
      </c>
      <c r="BB99" s="57"/>
    </row>
    <row r="100" spans="1:54" ht="14.25" customHeight="1">
      <c r="A100" s="17">
        <f t="shared" si="246"/>
        <v>18</v>
      </c>
      <c r="B100" s="948" t="s">
        <v>837</v>
      </c>
      <c r="C100" s="238">
        <v>43160</v>
      </c>
      <c r="D100" s="55">
        <v>4</v>
      </c>
      <c r="E100" s="1043">
        <v>5900000</v>
      </c>
      <c r="F100" s="1041">
        <f t="shared" si="203"/>
        <v>1475000</v>
      </c>
      <c r="G100" s="1042"/>
      <c r="H100" s="1042"/>
      <c r="I100" s="1042"/>
      <c r="J100" s="1042"/>
      <c r="K100" s="1042"/>
      <c r="L100" s="1042"/>
      <c r="M100" s="1042"/>
      <c r="N100" s="1042"/>
      <c r="O100" s="1042"/>
      <c r="P100" s="1042"/>
      <c r="Q100" s="1042"/>
      <c r="R100" s="1042"/>
      <c r="S100" s="1053">
        <f t="shared" ref="S100:S104" si="369">(F100/12)*(13-IF(C100="","",MONTH(C100)))</f>
        <v>1229166.6666666667</v>
      </c>
      <c r="T100" s="1042">
        <f t="shared" si="355"/>
        <v>1229166.6666666667</v>
      </c>
      <c r="U100" s="1042">
        <f t="shared" si="356"/>
        <v>4670833.333333333</v>
      </c>
      <c r="V100" s="1042">
        <f t="shared" si="357"/>
        <v>1475000</v>
      </c>
      <c r="W100" s="1042">
        <f t="shared" si="358"/>
        <v>2704166.666666667</v>
      </c>
      <c r="X100" s="1042">
        <f t="shared" si="359"/>
        <v>3195833.333333333</v>
      </c>
      <c r="Y100" s="7">
        <v>1392187.5</v>
      </c>
      <c r="Z100" s="7">
        <f t="shared" si="216"/>
        <v>4507812.5</v>
      </c>
      <c r="AA100" s="1042">
        <f t="shared" si="360"/>
        <v>1475000</v>
      </c>
      <c r="AB100" s="1042">
        <f t="shared" si="218"/>
        <v>4179166.666666667</v>
      </c>
      <c r="AC100" s="1042">
        <f t="shared" si="361"/>
        <v>1720833.333333333</v>
      </c>
      <c r="AD100" s="1042">
        <f t="shared" ref="AD100:AD105" si="370">(F100/12)*12</f>
        <v>1475000</v>
      </c>
      <c r="AE100" s="1042">
        <f t="shared" si="362"/>
        <v>5654166.666666667</v>
      </c>
      <c r="AF100" s="1042">
        <f t="shared" si="363"/>
        <v>245833.33333333302</v>
      </c>
      <c r="AG100" s="1042">
        <f>(F100/12)*2</f>
        <v>245833.33333333334</v>
      </c>
      <c r="AH100" s="1042">
        <f t="shared" si="364"/>
        <v>5900000</v>
      </c>
      <c r="AI100" s="1042">
        <f t="shared" si="365"/>
        <v>0</v>
      </c>
      <c r="AJ100" s="1042">
        <f t="shared" si="244"/>
        <v>0</v>
      </c>
      <c r="AK100" s="1042">
        <f t="shared" si="322"/>
        <v>5900000</v>
      </c>
      <c r="AL100" s="1042">
        <f t="shared" si="323"/>
        <v>0</v>
      </c>
      <c r="AM100" s="1042">
        <f>0</f>
        <v>0</v>
      </c>
      <c r="AN100" s="1042">
        <f t="shared" si="324"/>
        <v>5900000</v>
      </c>
      <c r="AO100" s="1042">
        <f t="shared" si="325"/>
        <v>0</v>
      </c>
      <c r="AP100" s="1042">
        <f t="shared" si="366"/>
        <v>0</v>
      </c>
      <c r="AQ100" s="1042">
        <f t="shared" si="367"/>
        <v>5900000</v>
      </c>
      <c r="AR100" s="1042">
        <f t="shared" si="368"/>
        <v>0</v>
      </c>
      <c r="AS100" s="1042">
        <f t="shared" si="329"/>
        <v>0</v>
      </c>
      <c r="AT100" s="1042">
        <f t="shared" si="330"/>
        <v>5900000</v>
      </c>
      <c r="AU100" s="1042">
        <f t="shared" si="331"/>
        <v>0</v>
      </c>
      <c r="AV100" s="1042">
        <f t="shared" si="332"/>
        <v>0</v>
      </c>
      <c r="AW100" s="1042">
        <f t="shared" si="333"/>
        <v>5900000</v>
      </c>
      <c r="AX100" s="1042">
        <f t="shared" si="334"/>
        <v>0</v>
      </c>
      <c r="AZ100" s="8">
        <f t="shared" si="335"/>
        <v>0</v>
      </c>
      <c r="BB100" s="57"/>
    </row>
    <row r="101" spans="1:54" ht="14.25" customHeight="1">
      <c r="A101" s="17">
        <f t="shared" si="246"/>
        <v>19</v>
      </c>
      <c r="B101" s="53" t="s">
        <v>838</v>
      </c>
      <c r="C101" s="238">
        <v>43160</v>
      </c>
      <c r="D101" s="55">
        <v>4</v>
      </c>
      <c r="E101" s="6">
        <v>2930000</v>
      </c>
      <c r="F101" s="1041">
        <f t="shared" si="203"/>
        <v>732500</v>
      </c>
      <c r="G101" s="1042"/>
      <c r="H101" s="1042"/>
      <c r="I101" s="1042"/>
      <c r="J101" s="1042"/>
      <c r="K101" s="1042"/>
      <c r="L101" s="1042"/>
      <c r="M101" s="1042"/>
      <c r="N101" s="1042"/>
      <c r="O101" s="1042"/>
      <c r="P101" s="1042"/>
      <c r="Q101" s="1042"/>
      <c r="R101" s="1042"/>
      <c r="S101" s="1053">
        <f t="shared" si="369"/>
        <v>610416.66666666663</v>
      </c>
      <c r="T101" s="1042">
        <f t="shared" si="355"/>
        <v>610416.66666666663</v>
      </c>
      <c r="U101" s="1042">
        <f t="shared" si="356"/>
        <v>2319583.3333333335</v>
      </c>
      <c r="V101" s="1042">
        <f t="shared" si="357"/>
        <v>732500</v>
      </c>
      <c r="W101" s="1042">
        <f t="shared" si="358"/>
        <v>1342916.6666666665</v>
      </c>
      <c r="X101" s="1042">
        <f t="shared" si="359"/>
        <v>1587083.3333333335</v>
      </c>
      <c r="Y101" s="7">
        <v>549375</v>
      </c>
      <c r="Z101" s="7">
        <f t="shared" si="216"/>
        <v>2380625</v>
      </c>
      <c r="AA101" s="1042">
        <f t="shared" si="360"/>
        <v>732500</v>
      </c>
      <c r="AB101" s="1042">
        <f t="shared" si="218"/>
        <v>2075416.6666666665</v>
      </c>
      <c r="AC101" s="1042">
        <f t="shared" si="361"/>
        <v>854583.33333333349</v>
      </c>
      <c r="AD101" s="1042">
        <f t="shared" si="370"/>
        <v>732500</v>
      </c>
      <c r="AE101" s="1042">
        <f t="shared" si="362"/>
        <v>2807916.6666666665</v>
      </c>
      <c r="AF101" s="1042">
        <f t="shared" si="363"/>
        <v>122083.33333333349</v>
      </c>
      <c r="AG101" s="1042">
        <f>(F101/12)*2</f>
        <v>122083.33333333333</v>
      </c>
      <c r="AH101" s="1042">
        <f t="shared" si="364"/>
        <v>2930000</v>
      </c>
      <c r="AI101" s="1042">
        <f t="shared" si="365"/>
        <v>0</v>
      </c>
      <c r="AJ101" s="1042">
        <f t="shared" si="244"/>
        <v>0</v>
      </c>
      <c r="AK101" s="1042">
        <f t="shared" si="322"/>
        <v>2930000</v>
      </c>
      <c r="AL101" s="1042">
        <f t="shared" si="323"/>
        <v>0</v>
      </c>
      <c r="AM101" s="1042">
        <f>0</f>
        <v>0</v>
      </c>
      <c r="AN101" s="1042">
        <f t="shared" si="324"/>
        <v>2930000</v>
      </c>
      <c r="AO101" s="1042">
        <f t="shared" si="325"/>
        <v>0</v>
      </c>
      <c r="AP101" s="1042">
        <f t="shared" si="366"/>
        <v>0</v>
      </c>
      <c r="AQ101" s="1042">
        <f t="shared" si="367"/>
        <v>2930000</v>
      </c>
      <c r="AR101" s="1042">
        <f t="shared" si="368"/>
        <v>0</v>
      </c>
      <c r="AS101" s="1042">
        <f t="shared" si="329"/>
        <v>0</v>
      </c>
      <c r="AT101" s="1042">
        <f t="shared" si="330"/>
        <v>2930000</v>
      </c>
      <c r="AU101" s="1042">
        <f t="shared" si="331"/>
        <v>0</v>
      </c>
      <c r="AV101" s="1042">
        <f t="shared" si="332"/>
        <v>0</v>
      </c>
      <c r="AW101" s="1042">
        <f t="shared" si="333"/>
        <v>2930000</v>
      </c>
      <c r="AX101" s="1042">
        <f t="shared" si="334"/>
        <v>0</v>
      </c>
      <c r="AZ101" s="8">
        <f t="shared" si="335"/>
        <v>0</v>
      </c>
      <c r="BB101" s="57"/>
    </row>
    <row r="102" spans="1:54" ht="14.25" hidden="1" customHeight="1">
      <c r="A102" s="874">
        <f t="shared" si="246"/>
        <v>20</v>
      </c>
      <c r="B102" s="875" t="s">
        <v>837</v>
      </c>
      <c r="C102" s="876">
        <v>43191</v>
      </c>
      <c r="D102" s="877">
        <v>4</v>
      </c>
      <c r="E102" s="878">
        <f>6125000*0</f>
        <v>0</v>
      </c>
      <c r="F102" s="879">
        <f t="shared" si="203"/>
        <v>0</v>
      </c>
      <c r="G102" s="880"/>
      <c r="H102" s="880"/>
      <c r="I102" s="880"/>
      <c r="J102" s="880"/>
      <c r="K102" s="880"/>
      <c r="L102" s="880"/>
      <c r="M102" s="880"/>
      <c r="N102" s="880"/>
      <c r="O102" s="880"/>
      <c r="P102" s="880"/>
      <c r="Q102" s="880"/>
      <c r="R102" s="880"/>
      <c r="S102" s="880">
        <f t="shared" si="369"/>
        <v>0</v>
      </c>
      <c r="T102" s="880">
        <f t="shared" si="355"/>
        <v>0</v>
      </c>
      <c r="U102" s="880">
        <f t="shared" si="356"/>
        <v>0</v>
      </c>
      <c r="V102" s="880">
        <f t="shared" si="357"/>
        <v>0</v>
      </c>
      <c r="W102" s="880">
        <f t="shared" si="358"/>
        <v>0</v>
      </c>
      <c r="X102" s="880">
        <f t="shared" si="359"/>
        <v>0</v>
      </c>
      <c r="Y102" s="880">
        <f>1020833.33333333*0</f>
        <v>0</v>
      </c>
      <c r="Z102" s="880">
        <f t="shared" si="216"/>
        <v>0</v>
      </c>
      <c r="AA102" s="880">
        <f t="shared" si="360"/>
        <v>0</v>
      </c>
      <c r="AB102" s="880">
        <f t="shared" si="218"/>
        <v>0</v>
      </c>
      <c r="AC102" s="880">
        <f t="shared" si="361"/>
        <v>0</v>
      </c>
      <c r="AD102" s="880">
        <f t="shared" si="370"/>
        <v>0</v>
      </c>
      <c r="AE102" s="880">
        <f t="shared" si="362"/>
        <v>0</v>
      </c>
      <c r="AF102" s="880">
        <f t="shared" si="363"/>
        <v>0</v>
      </c>
      <c r="AG102" s="880">
        <f>(F102/12)*3</f>
        <v>0</v>
      </c>
      <c r="AH102" s="880">
        <f t="shared" si="364"/>
        <v>0</v>
      </c>
      <c r="AI102" s="880">
        <f t="shared" si="365"/>
        <v>0</v>
      </c>
      <c r="AJ102" s="880">
        <f t="shared" si="244"/>
        <v>0</v>
      </c>
      <c r="AK102" s="880"/>
      <c r="AL102" s="880"/>
      <c r="AM102" s="880"/>
      <c r="AN102" s="880"/>
      <c r="AO102" s="880"/>
      <c r="AP102" s="880">
        <f t="shared" si="366"/>
        <v>0</v>
      </c>
      <c r="AQ102" s="880">
        <f t="shared" si="367"/>
        <v>0</v>
      </c>
      <c r="AR102" s="880">
        <f t="shared" si="368"/>
        <v>0</v>
      </c>
      <c r="AS102" s="896"/>
      <c r="AT102" s="896"/>
      <c r="AU102" s="896"/>
      <c r="AV102" s="896"/>
      <c r="AW102" s="896"/>
      <c r="AX102" s="896"/>
      <c r="AZ102" s="8">
        <f t="shared" si="253"/>
        <v>0</v>
      </c>
      <c r="BB102" s="57"/>
    </row>
    <row r="103" spans="1:54" ht="14.25" customHeight="1">
      <c r="A103" s="17">
        <f t="shared" si="246"/>
        <v>21</v>
      </c>
      <c r="B103" s="53" t="s">
        <v>826</v>
      </c>
      <c r="C103" s="238">
        <v>43221</v>
      </c>
      <c r="D103" s="55">
        <v>4</v>
      </c>
      <c r="E103" s="6">
        <v>3200000</v>
      </c>
      <c r="F103" s="1041">
        <f t="shared" si="203"/>
        <v>800000</v>
      </c>
      <c r="G103" s="1042"/>
      <c r="H103" s="1042"/>
      <c r="I103" s="1042"/>
      <c r="J103" s="1042"/>
      <c r="K103" s="1042"/>
      <c r="L103" s="1042"/>
      <c r="M103" s="1042"/>
      <c r="N103" s="1042"/>
      <c r="O103" s="1042"/>
      <c r="P103" s="1042"/>
      <c r="Q103" s="1042"/>
      <c r="R103" s="1042"/>
      <c r="S103" s="1053">
        <f t="shared" si="369"/>
        <v>533333.33333333337</v>
      </c>
      <c r="T103" s="1042">
        <f t="shared" si="355"/>
        <v>533333.33333333337</v>
      </c>
      <c r="U103" s="1042">
        <f t="shared" si="356"/>
        <v>2666666.6666666665</v>
      </c>
      <c r="V103" s="1042">
        <f t="shared" si="357"/>
        <v>800000</v>
      </c>
      <c r="W103" s="1042">
        <f t="shared" si="358"/>
        <v>1333333.3333333335</v>
      </c>
      <c r="X103" s="1042">
        <f t="shared" si="359"/>
        <v>1866666.6666666665</v>
      </c>
      <c r="Y103" s="7">
        <v>466666.66666666674</v>
      </c>
      <c r="Z103" s="7">
        <f t="shared" si="216"/>
        <v>2733333.333333333</v>
      </c>
      <c r="AA103" s="1042">
        <f t="shared" si="360"/>
        <v>800000</v>
      </c>
      <c r="AB103" s="1042">
        <f t="shared" si="218"/>
        <v>2133333.3333333335</v>
      </c>
      <c r="AC103" s="1042">
        <f t="shared" si="361"/>
        <v>1066666.6666666665</v>
      </c>
      <c r="AD103" s="1042">
        <f t="shared" si="370"/>
        <v>800000</v>
      </c>
      <c r="AE103" s="1042">
        <f t="shared" si="362"/>
        <v>2933333.3333333335</v>
      </c>
      <c r="AF103" s="1042">
        <f t="shared" si="363"/>
        <v>266666.66666666651</v>
      </c>
      <c r="AG103" s="1042">
        <f>(F103/12)*4</f>
        <v>266666.66666666669</v>
      </c>
      <c r="AH103" s="1042">
        <f t="shared" si="364"/>
        <v>3200000</v>
      </c>
      <c r="AI103" s="1042">
        <f t="shared" si="365"/>
        <v>0</v>
      </c>
      <c r="AJ103" s="1042">
        <f t="shared" si="244"/>
        <v>0</v>
      </c>
      <c r="AK103" s="1042">
        <f t="shared" ref="AK103" si="371">AH103+AJ103</f>
        <v>3200000</v>
      </c>
      <c r="AL103" s="1042">
        <f t="shared" ref="AL103" si="372">E103-AK103</f>
        <v>0</v>
      </c>
      <c r="AM103" s="1042">
        <f>0</f>
        <v>0</v>
      </c>
      <c r="AN103" s="1042">
        <f t="shared" ref="AN103" si="373">AH103+AM103</f>
        <v>3200000</v>
      </c>
      <c r="AO103" s="1042">
        <f t="shared" ref="AO103" si="374">E103-AN103</f>
        <v>0</v>
      </c>
      <c r="AP103" s="1042">
        <f t="shared" si="366"/>
        <v>0</v>
      </c>
      <c r="AQ103" s="1042">
        <f t="shared" si="367"/>
        <v>3200000</v>
      </c>
      <c r="AR103" s="1042">
        <f t="shared" si="368"/>
        <v>0</v>
      </c>
      <c r="AS103" s="1042">
        <f>(F103/12)*0</f>
        <v>0</v>
      </c>
      <c r="AT103" s="1042">
        <f t="shared" ref="AT103" si="375">AQ103+AS103</f>
        <v>3200000</v>
      </c>
      <c r="AU103" s="1042">
        <f t="shared" ref="AU103" si="376">E103-AT103</f>
        <v>0</v>
      </c>
      <c r="AV103" s="1042">
        <f>(F103/12)*0</f>
        <v>0</v>
      </c>
      <c r="AW103" s="1042">
        <f t="shared" ref="AW103" si="377">AQ103+AV103</f>
        <v>3200000</v>
      </c>
      <c r="AX103" s="1042">
        <f t="shared" ref="AX103" si="378">E103-AW103</f>
        <v>0</v>
      </c>
      <c r="AZ103" s="8">
        <f>E103-AW103-AX103</f>
        <v>0</v>
      </c>
      <c r="BB103" s="57"/>
    </row>
    <row r="104" spans="1:54" ht="14.25" hidden="1" customHeight="1">
      <c r="A104" s="874">
        <f t="shared" si="246"/>
        <v>22</v>
      </c>
      <c r="B104" s="875" t="s">
        <v>839</v>
      </c>
      <c r="C104" s="876">
        <v>43313</v>
      </c>
      <c r="D104" s="877">
        <v>4</v>
      </c>
      <c r="E104" s="878">
        <f>7030000*0</f>
        <v>0</v>
      </c>
      <c r="F104" s="879">
        <f t="shared" si="203"/>
        <v>0</v>
      </c>
      <c r="G104" s="880"/>
      <c r="H104" s="880"/>
      <c r="I104" s="880"/>
      <c r="J104" s="880"/>
      <c r="K104" s="880"/>
      <c r="L104" s="880"/>
      <c r="M104" s="880"/>
      <c r="N104" s="880"/>
      <c r="O104" s="880"/>
      <c r="P104" s="880"/>
      <c r="Q104" s="880"/>
      <c r="R104" s="880"/>
      <c r="S104" s="880">
        <f t="shared" si="369"/>
        <v>0</v>
      </c>
      <c r="T104" s="880">
        <f t="shared" si="355"/>
        <v>0</v>
      </c>
      <c r="U104" s="880">
        <f t="shared" si="356"/>
        <v>0</v>
      </c>
      <c r="V104" s="880">
        <f t="shared" si="357"/>
        <v>0</v>
      </c>
      <c r="W104" s="880">
        <f t="shared" si="358"/>
        <v>0</v>
      </c>
      <c r="X104" s="880">
        <f t="shared" si="359"/>
        <v>0</v>
      </c>
      <c r="Y104" s="880">
        <f>585833.333333333*0</f>
        <v>0</v>
      </c>
      <c r="Z104" s="880">
        <f t="shared" si="216"/>
        <v>0</v>
      </c>
      <c r="AA104" s="880">
        <f t="shared" si="360"/>
        <v>0</v>
      </c>
      <c r="AB104" s="880">
        <f t="shared" si="218"/>
        <v>0</v>
      </c>
      <c r="AC104" s="880">
        <f t="shared" si="361"/>
        <v>0</v>
      </c>
      <c r="AD104" s="880">
        <f t="shared" si="370"/>
        <v>0</v>
      </c>
      <c r="AE104" s="880">
        <f t="shared" si="362"/>
        <v>0</v>
      </c>
      <c r="AF104" s="880">
        <f t="shared" si="363"/>
        <v>0</v>
      </c>
      <c r="AG104" s="880">
        <f>(F104/12)*7</f>
        <v>0</v>
      </c>
      <c r="AH104" s="880">
        <f t="shared" si="364"/>
        <v>0</v>
      </c>
      <c r="AI104" s="880">
        <f t="shared" si="365"/>
        <v>0</v>
      </c>
      <c r="AJ104" s="880"/>
      <c r="AK104" s="880"/>
      <c r="AL104" s="880"/>
      <c r="AM104" s="880"/>
      <c r="AN104" s="880"/>
      <c r="AO104" s="880"/>
      <c r="AP104" s="880">
        <f t="shared" si="366"/>
        <v>0</v>
      </c>
      <c r="AQ104" s="880">
        <f t="shared" si="367"/>
        <v>0</v>
      </c>
      <c r="AR104" s="880">
        <f t="shared" si="368"/>
        <v>0</v>
      </c>
      <c r="AS104" s="896"/>
      <c r="AT104" s="896"/>
      <c r="AU104" s="896"/>
      <c r="AV104" s="896"/>
      <c r="AW104" s="896"/>
      <c r="AX104" s="896"/>
      <c r="AZ104" s="8">
        <f t="shared" si="253"/>
        <v>0</v>
      </c>
      <c r="BB104" s="57"/>
    </row>
    <row r="105" spans="1:54" ht="14.25" customHeight="1">
      <c r="A105" s="17">
        <f t="shared" si="246"/>
        <v>23</v>
      </c>
      <c r="B105" s="53" t="s">
        <v>835</v>
      </c>
      <c r="C105" s="238">
        <v>44136</v>
      </c>
      <c r="D105" s="55">
        <v>4</v>
      </c>
      <c r="E105" s="6">
        <v>4000000</v>
      </c>
      <c r="F105" s="1041">
        <f t="shared" si="203"/>
        <v>1000000</v>
      </c>
      <c r="G105" s="1042"/>
      <c r="H105" s="1042"/>
      <c r="I105" s="1042"/>
      <c r="J105" s="1042"/>
      <c r="K105" s="1042"/>
      <c r="L105" s="1042"/>
      <c r="M105" s="1042"/>
      <c r="N105" s="1042"/>
      <c r="O105" s="1042"/>
      <c r="P105" s="1042"/>
      <c r="Q105" s="1042"/>
      <c r="R105" s="1042"/>
      <c r="S105" s="1042"/>
      <c r="T105" s="1042"/>
      <c r="U105" s="1042"/>
      <c r="V105" s="1042"/>
      <c r="W105" s="1042"/>
      <c r="X105" s="1042"/>
      <c r="Y105" s="7"/>
      <c r="Z105" s="7"/>
      <c r="AA105" s="1053">
        <f>(F105/12)*2</f>
        <v>166666.66666666666</v>
      </c>
      <c r="AB105" s="1042">
        <f t="shared" si="218"/>
        <v>166666.66666666666</v>
      </c>
      <c r="AC105" s="1042">
        <f t="shared" si="361"/>
        <v>3833333.3333333335</v>
      </c>
      <c r="AD105" s="1042">
        <f t="shared" si="370"/>
        <v>1000000</v>
      </c>
      <c r="AE105" s="1042">
        <f t="shared" si="362"/>
        <v>1166666.6666666667</v>
      </c>
      <c r="AF105" s="1042">
        <f t="shared" si="363"/>
        <v>2833333.333333333</v>
      </c>
      <c r="AG105" s="1042">
        <f>(F105/12)*10</f>
        <v>833333.33333333326</v>
      </c>
      <c r="AH105" s="1042">
        <f t="shared" si="364"/>
        <v>2000000</v>
      </c>
      <c r="AI105" s="1042">
        <f t="shared" si="365"/>
        <v>2000000</v>
      </c>
      <c r="AJ105" s="1042">
        <f t="shared" ref="AJ105" si="379">(F105/12)*1</f>
        <v>83333.333333333328</v>
      </c>
      <c r="AK105" s="1042">
        <f t="shared" ref="AK105" si="380">AH105+AJ105</f>
        <v>2083333.3333333333</v>
      </c>
      <c r="AL105" s="1042">
        <f t="shared" ref="AL105" si="381">E105-AK105</f>
        <v>1916666.6666666667</v>
      </c>
      <c r="AM105" s="1042">
        <f>(F105/12)*9</f>
        <v>750000</v>
      </c>
      <c r="AN105" s="1042">
        <f t="shared" ref="AN105" si="382">AH105+AM105</f>
        <v>2750000</v>
      </c>
      <c r="AO105" s="1042">
        <f t="shared" ref="AO105" si="383">E105-AN105</f>
        <v>1250000</v>
      </c>
      <c r="AP105" s="1042">
        <f>(F105/12)*12</f>
        <v>1000000</v>
      </c>
      <c r="AQ105" s="1042">
        <f t="shared" si="367"/>
        <v>3000000</v>
      </c>
      <c r="AR105" s="1042">
        <f t="shared" si="368"/>
        <v>1000000</v>
      </c>
      <c r="AS105" s="1042">
        <f>(F105/12)*9</f>
        <v>750000</v>
      </c>
      <c r="AT105" s="1042">
        <f t="shared" ref="AT105" si="384">AQ105+AS105</f>
        <v>3750000</v>
      </c>
      <c r="AU105" s="1042">
        <f t="shared" ref="AU105" si="385">E105-AT105</f>
        <v>250000</v>
      </c>
      <c r="AV105" s="1042">
        <f t="shared" ref="AV105" si="386">(F105/12)*12</f>
        <v>1000000</v>
      </c>
      <c r="AW105" s="1042">
        <f t="shared" ref="AW105" si="387">AQ105+AV105</f>
        <v>4000000</v>
      </c>
      <c r="AX105" s="1042">
        <f t="shared" ref="AX105" si="388">E105-AW105</f>
        <v>0</v>
      </c>
      <c r="AZ105" s="8">
        <f t="shared" ref="AZ105:AZ107" si="389">E105-AW105-AX105</f>
        <v>0</v>
      </c>
      <c r="BB105" s="57"/>
    </row>
    <row r="106" spans="1:54" ht="14.25" customHeight="1">
      <c r="A106" s="17"/>
      <c r="B106" s="53"/>
      <c r="C106" s="238"/>
      <c r="D106" s="55"/>
      <c r="E106" s="6"/>
      <c r="F106" s="1041"/>
      <c r="G106" s="1042"/>
      <c r="H106" s="1042"/>
      <c r="I106" s="1042"/>
      <c r="J106" s="1042"/>
      <c r="K106" s="1042"/>
      <c r="L106" s="1042"/>
      <c r="M106" s="1042"/>
      <c r="N106" s="1042"/>
      <c r="O106" s="1042"/>
      <c r="P106" s="1042"/>
      <c r="Q106" s="1042"/>
      <c r="R106" s="1042"/>
      <c r="S106" s="1042"/>
      <c r="T106" s="1042"/>
      <c r="U106" s="1042"/>
      <c r="V106" s="1042"/>
      <c r="W106" s="1042"/>
      <c r="X106" s="1042"/>
      <c r="Y106" s="7"/>
      <c r="Z106" s="7"/>
      <c r="AA106" s="1042"/>
      <c r="AB106" s="1042"/>
      <c r="AC106" s="1042"/>
      <c r="AD106" s="1042"/>
      <c r="AE106" s="1042"/>
      <c r="AF106" s="1042"/>
      <c r="AG106" s="1042"/>
      <c r="AH106" s="1042"/>
      <c r="AI106" s="1042"/>
      <c r="AJ106" s="1042"/>
      <c r="AK106" s="1042"/>
      <c r="AL106" s="1042"/>
      <c r="AM106" s="1042"/>
      <c r="AN106" s="1042"/>
      <c r="AO106" s="1042"/>
      <c r="AP106" s="1042"/>
      <c r="AQ106" s="1042"/>
      <c r="AR106" s="1042"/>
      <c r="AS106" s="1042"/>
      <c r="AT106" s="1042"/>
      <c r="AU106" s="1042"/>
      <c r="AV106" s="1042"/>
      <c r="AW106" s="1042"/>
      <c r="AX106" s="1042"/>
      <c r="AZ106" s="8">
        <f t="shared" si="389"/>
        <v>0</v>
      </c>
      <c r="BB106" s="57"/>
    </row>
    <row r="107" spans="1:54" s="220" customFormat="1" ht="14.25" customHeight="1">
      <c r="A107" s="190" t="s">
        <v>235</v>
      </c>
      <c r="B107" s="214" t="s">
        <v>842</v>
      </c>
      <c r="C107" s="255"/>
      <c r="D107" s="216"/>
      <c r="E107" s="217"/>
      <c r="F107" s="1045"/>
      <c r="G107" s="1046"/>
      <c r="H107" s="1046"/>
      <c r="I107" s="1046"/>
      <c r="J107" s="1046"/>
      <c r="K107" s="1046"/>
      <c r="L107" s="1046"/>
      <c r="M107" s="1046"/>
      <c r="N107" s="1046"/>
      <c r="O107" s="1046"/>
      <c r="P107" s="1046"/>
      <c r="Q107" s="1046"/>
      <c r="R107" s="1046"/>
      <c r="S107" s="1046"/>
      <c r="T107" s="1046"/>
      <c r="U107" s="1046"/>
      <c r="V107" s="1046"/>
      <c r="W107" s="1046"/>
      <c r="X107" s="1046"/>
      <c r="Y107" s="219"/>
      <c r="Z107" s="219"/>
      <c r="AA107" s="1046"/>
      <c r="AB107" s="1046">
        <f t="shared" si="218"/>
        <v>0</v>
      </c>
      <c r="AC107" s="1046"/>
      <c r="AD107" s="1046"/>
      <c r="AE107" s="1046"/>
      <c r="AF107" s="1046"/>
      <c r="AG107" s="1046"/>
      <c r="AH107" s="1046"/>
      <c r="AI107" s="1046"/>
      <c r="AJ107" s="1042"/>
      <c r="AK107" s="1042"/>
      <c r="AL107" s="1042"/>
      <c r="AM107" s="1042"/>
      <c r="AN107" s="1042"/>
      <c r="AO107" s="1042"/>
      <c r="AP107" s="1046"/>
      <c r="AQ107" s="1046"/>
      <c r="AR107" s="1046"/>
      <c r="AS107" s="1046"/>
      <c r="AT107" s="1046"/>
      <c r="AU107" s="1046"/>
      <c r="AV107" s="1046"/>
      <c r="AW107" s="1046"/>
      <c r="AX107" s="1046"/>
      <c r="AZ107" s="8">
        <f t="shared" si="389"/>
        <v>0</v>
      </c>
      <c r="BB107" s="221"/>
    </row>
    <row r="108" spans="1:54" ht="14.25" hidden="1" customHeight="1">
      <c r="A108" s="874">
        <v>1</v>
      </c>
      <c r="B108" s="875" t="s">
        <v>843</v>
      </c>
      <c r="C108" s="876">
        <v>42005</v>
      </c>
      <c r="D108" s="877">
        <v>4</v>
      </c>
      <c r="E108" s="878">
        <f>257000*0</f>
        <v>0</v>
      </c>
      <c r="F108" s="879">
        <f t="shared" si="203"/>
        <v>0</v>
      </c>
      <c r="G108" s="880"/>
      <c r="H108" s="880"/>
      <c r="I108" s="880"/>
      <c r="J108" s="880">
        <f t="shared" ref="J108:J109" si="390">(F108/12)*(13-IF(C108="","",MONTH(C108)))</f>
        <v>0</v>
      </c>
      <c r="K108" s="880">
        <f t="shared" ref="K108:K109" si="391">J108+H108</f>
        <v>0</v>
      </c>
      <c r="L108" s="880">
        <f t="shared" ref="L108:L109" si="392">E108-K108</f>
        <v>0</v>
      </c>
      <c r="M108" s="880">
        <f t="shared" ref="M108:M109" si="393">(F108/12)*12</f>
        <v>0</v>
      </c>
      <c r="N108" s="880">
        <f t="shared" ref="N108:N109" si="394">K108+M108</f>
        <v>0</v>
      </c>
      <c r="O108" s="880">
        <f t="shared" ref="O108:O109" si="395">E108-N108</f>
        <v>0</v>
      </c>
      <c r="P108" s="880">
        <f t="shared" ref="P108:P109" si="396">(F108/12)*12</f>
        <v>0</v>
      </c>
      <c r="Q108" s="880">
        <f t="shared" ref="Q108:Q109" si="397">N108+P108</f>
        <v>0</v>
      </c>
      <c r="R108" s="880">
        <f t="shared" ref="R108:R109" si="398">E108-Q108</f>
        <v>0</v>
      </c>
      <c r="S108" s="880">
        <f t="shared" ref="S108:S109" si="399">(F108/12)*12</f>
        <v>0</v>
      </c>
      <c r="T108" s="880">
        <f t="shared" ref="T108:T109" si="400">Q108+S108</f>
        <v>0</v>
      </c>
      <c r="U108" s="880">
        <f t="shared" ref="U108:U109" si="401">E108-T108</f>
        <v>0</v>
      </c>
      <c r="V108" s="880">
        <f t="shared" ref="V108:V109" si="402">(F108/12)*0</f>
        <v>0</v>
      </c>
      <c r="W108" s="880">
        <f t="shared" ref="W108:W109" si="403">V108+T108</f>
        <v>0</v>
      </c>
      <c r="X108" s="880">
        <f t="shared" ref="X108:X109" si="404">E108-W108</f>
        <v>0</v>
      </c>
      <c r="Y108" s="880">
        <f>231300*0</f>
        <v>0</v>
      </c>
      <c r="Z108" s="880">
        <f t="shared" si="216"/>
        <v>0</v>
      </c>
      <c r="AA108" s="880">
        <f t="shared" ref="AA108:AA109" si="405">(F108/12)*0</f>
        <v>0</v>
      </c>
      <c r="AB108" s="880">
        <f t="shared" si="218"/>
        <v>0</v>
      </c>
      <c r="AC108" s="880">
        <f t="shared" ref="AC108:AC109" si="406">E108-AB108</f>
        <v>0</v>
      </c>
      <c r="AD108" s="880">
        <f t="shared" ref="AD108:AD109" si="407">(F108/12)*0</f>
        <v>0</v>
      </c>
      <c r="AE108" s="880">
        <f t="shared" ref="AE108:AE109" si="408">AD108+AB108</f>
        <v>0</v>
      </c>
      <c r="AF108" s="880">
        <f t="shared" ref="AF108:AF109" si="409">E108-AE108</f>
        <v>0</v>
      </c>
      <c r="AG108" s="880">
        <f t="shared" ref="AG108:AG109" si="410">(F108/12)*0</f>
        <v>0</v>
      </c>
      <c r="AH108" s="880">
        <f t="shared" ref="AH108:AH109" si="411">AE108+AG108</f>
        <v>0</v>
      </c>
      <c r="AI108" s="880">
        <f t="shared" ref="AI108:AI109" si="412">E108-AH108</f>
        <v>0</v>
      </c>
      <c r="AJ108" s="880"/>
      <c r="AK108" s="880"/>
      <c r="AL108" s="880"/>
      <c r="AM108" s="880"/>
      <c r="AN108" s="880"/>
      <c r="AO108" s="880"/>
      <c r="AP108" s="880">
        <f t="shared" ref="AP108:AP109" si="413">(F108/12)*0</f>
        <v>0</v>
      </c>
      <c r="AQ108" s="880">
        <f t="shared" ref="AQ108:AQ109" si="414">AP108+AH108</f>
        <v>0</v>
      </c>
      <c r="AR108" s="880">
        <f t="shared" ref="AR108:AR109" si="415">E108-AQ108</f>
        <v>0</v>
      </c>
      <c r="AS108" s="896"/>
      <c r="AT108" s="896"/>
      <c r="AU108" s="896"/>
      <c r="AV108" s="896"/>
      <c r="AW108" s="896"/>
      <c r="AX108" s="896"/>
      <c r="AZ108" s="8">
        <f t="shared" si="253"/>
        <v>0</v>
      </c>
      <c r="BB108" s="57"/>
    </row>
    <row r="109" spans="1:54" ht="14.25" hidden="1" customHeight="1">
      <c r="A109" s="874">
        <f>A108+1</f>
        <v>2</v>
      </c>
      <c r="B109" s="875" t="s">
        <v>844</v>
      </c>
      <c r="C109" s="876">
        <v>42005</v>
      </c>
      <c r="D109" s="877">
        <v>4</v>
      </c>
      <c r="E109" s="878">
        <f>3700000*0</f>
        <v>0</v>
      </c>
      <c r="F109" s="879">
        <f t="shared" si="203"/>
        <v>0</v>
      </c>
      <c r="G109" s="880"/>
      <c r="H109" s="880"/>
      <c r="I109" s="880"/>
      <c r="J109" s="880">
        <f t="shared" si="390"/>
        <v>0</v>
      </c>
      <c r="K109" s="880">
        <f t="shared" si="391"/>
        <v>0</v>
      </c>
      <c r="L109" s="880">
        <f t="shared" si="392"/>
        <v>0</v>
      </c>
      <c r="M109" s="880">
        <f t="shared" si="393"/>
        <v>0</v>
      </c>
      <c r="N109" s="880">
        <f t="shared" si="394"/>
        <v>0</v>
      </c>
      <c r="O109" s="880">
        <f t="shared" si="395"/>
        <v>0</v>
      </c>
      <c r="P109" s="880">
        <f t="shared" si="396"/>
        <v>0</v>
      </c>
      <c r="Q109" s="880">
        <f t="shared" si="397"/>
        <v>0</v>
      </c>
      <c r="R109" s="880">
        <f t="shared" si="398"/>
        <v>0</v>
      </c>
      <c r="S109" s="880">
        <f t="shared" si="399"/>
        <v>0</v>
      </c>
      <c r="T109" s="880">
        <f t="shared" si="400"/>
        <v>0</v>
      </c>
      <c r="U109" s="880">
        <f t="shared" si="401"/>
        <v>0</v>
      </c>
      <c r="V109" s="880">
        <f t="shared" si="402"/>
        <v>0</v>
      </c>
      <c r="W109" s="880">
        <f t="shared" si="403"/>
        <v>0</v>
      </c>
      <c r="X109" s="880">
        <f t="shared" si="404"/>
        <v>0</v>
      </c>
      <c r="Y109" s="880">
        <f>2836666.66666667*0</f>
        <v>0</v>
      </c>
      <c r="Z109" s="880">
        <f t="shared" si="216"/>
        <v>0</v>
      </c>
      <c r="AA109" s="880">
        <f t="shared" si="405"/>
        <v>0</v>
      </c>
      <c r="AB109" s="880">
        <f t="shared" si="218"/>
        <v>0</v>
      </c>
      <c r="AC109" s="880">
        <f t="shared" si="406"/>
        <v>0</v>
      </c>
      <c r="AD109" s="880">
        <f t="shared" si="407"/>
        <v>0</v>
      </c>
      <c r="AE109" s="880">
        <f t="shared" si="408"/>
        <v>0</v>
      </c>
      <c r="AF109" s="880">
        <f t="shared" si="409"/>
        <v>0</v>
      </c>
      <c r="AG109" s="880">
        <f t="shared" si="410"/>
        <v>0</v>
      </c>
      <c r="AH109" s="880">
        <f t="shared" si="411"/>
        <v>0</v>
      </c>
      <c r="AI109" s="880">
        <f t="shared" si="412"/>
        <v>0</v>
      </c>
      <c r="AJ109" s="880"/>
      <c r="AK109" s="880"/>
      <c r="AL109" s="880"/>
      <c r="AM109" s="880"/>
      <c r="AN109" s="880"/>
      <c r="AO109" s="880"/>
      <c r="AP109" s="880">
        <f t="shared" si="413"/>
        <v>0</v>
      </c>
      <c r="AQ109" s="880">
        <f t="shared" si="414"/>
        <v>0</v>
      </c>
      <c r="AR109" s="880">
        <f t="shared" si="415"/>
        <v>0</v>
      </c>
      <c r="AS109" s="896"/>
      <c r="AT109" s="896"/>
      <c r="AU109" s="896"/>
      <c r="AV109" s="896"/>
      <c r="AW109" s="896"/>
      <c r="AX109" s="896"/>
      <c r="AZ109" s="8">
        <f t="shared" si="253"/>
        <v>0</v>
      </c>
      <c r="BB109" s="57"/>
    </row>
    <row r="110" spans="1:54" s="220" customFormat="1" ht="14.25" customHeight="1">
      <c r="A110" s="190" t="s">
        <v>237</v>
      </c>
      <c r="B110" s="214" t="s">
        <v>845</v>
      </c>
      <c r="C110" s="255"/>
      <c r="D110" s="216"/>
      <c r="E110" s="217"/>
      <c r="F110" s="1045"/>
      <c r="G110" s="1046"/>
      <c r="H110" s="1046"/>
      <c r="I110" s="1046"/>
      <c r="J110" s="1046"/>
      <c r="K110" s="1046"/>
      <c r="L110" s="1046"/>
      <c r="M110" s="1046"/>
      <c r="N110" s="1046"/>
      <c r="O110" s="1046"/>
      <c r="P110" s="1046"/>
      <c r="Q110" s="1046"/>
      <c r="R110" s="1046"/>
      <c r="S110" s="1046"/>
      <c r="T110" s="1046"/>
      <c r="U110" s="1046"/>
      <c r="V110" s="1046"/>
      <c r="W110" s="1046"/>
      <c r="X110" s="1046"/>
      <c r="Y110" s="219"/>
      <c r="Z110" s="219"/>
      <c r="AA110" s="1046"/>
      <c r="AB110" s="1046">
        <f t="shared" si="218"/>
        <v>0</v>
      </c>
      <c r="AC110" s="1046"/>
      <c r="AD110" s="1046"/>
      <c r="AE110" s="1046"/>
      <c r="AF110" s="1046"/>
      <c r="AG110" s="1046"/>
      <c r="AH110" s="1046"/>
      <c r="AI110" s="1046"/>
      <c r="AJ110" s="1042"/>
      <c r="AK110" s="1042"/>
      <c r="AL110" s="1042"/>
      <c r="AM110" s="1042"/>
      <c r="AN110" s="1042"/>
      <c r="AO110" s="1042"/>
      <c r="AP110" s="1046"/>
      <c r="AQ110" s="1046"/>
      <c r="AR110" s="1046"/>
      <c r="AS110" s="1046"/>
      <c r="AT110" s="1046"/>
      <c r="AU110" s="1046"/>
      <c r="AV110" s="1046"/>
      <c r="AW110" s="1046"/>
      <c r="AX110" s="1046"/>
      <c r="AZ110" s="8">
        <f>E110-AW110-AX110</f>
        <v>0</v>
      </c>
      <c r="BB110" s="221"/>
    </row>
    <row r="111" spans="1:54" ht="14.25" hidden="1" customHeight="1">
      <c r="A111" s="874">
        <v>1</v>
      </c>
      <c r="B111" s="875" t="s">
        <v>411</v>
      </c>
      <c r="C111" s="876">
        <v>43282</v>
      </c>
      <c r="D111" s="877">
        <v>4</v>
      </c>
      <c r="E111" s="878">
        <f>10200000*0</f>
        <v>0</v>
      </c>
      <c r="F111" s="879">
        <f t="shared" si="203"/>
        <v>0</v>
      </c>
      <c r="G111" s="880"/>
      <c r="H111" s="880"/>
      <c r="I111" s="880"/>
      <c r="J111" s="880"/>
      <c r="K111" s="880"/>
      <c r="L111" s="880"/>
      <c r="M111" s="880"/>
      <c r="N111" s="880"/>
      <c r="O111" s="880"/>
      <c r="P111" s="880"/>
      <c r="Q111" s="880"/>
      <c r="R111" s="880"/>
      <c r="S111" s="880">
        <f>(F111/12)*(13-IF(C111="","",MONTH(C111)))</f>
        <v>0</v>
      </c>
      <c r="T111" s="880">
        <f t="shared" ref="T111" si="416">Q111+S111</f>
        <v>0</v>
      </c>
      <c r="U111" s="880">
        <f t="shared" ref="U111" si="417">E111-T111</f>
        <v>0</v>
      </c>
      <c r="V111" s="880">
        <f t="shared" ref="V111" si="418">(F111/12)*12</f>
        <v>0</v>
      </c>
      <c r="W111" s="880">
        <f t="shared" ref="W111" si="419">V111+T111</f>
        <v>0</v>
      </c>
      <c r="X111" s="880">
        <f t="shared" ref="X111" si="420">E111-W111</f>
        <v>0</v>
      </c>
      <c r="Y111" s="880">
        <f>1062500*0</f>
        <v>0</v>
      </c>
      <c r="Z111" s="880">
        <f t="shared" si="216"/>
        <v>0</v>
      </c>
      <c r="AA111" s="880">
        <f t="shared" ref="AA111" si="421">(F111/12)*12</f>
        <v>0</v>
      </c>
      <c r="AB111" s="880">
        <f t="shared" si="218"/>
        <v>0</v>
      </c>
      <c r="AC111" s="880">
        <f t="shared" ref="AC111" si="422">E111-AB111</f>
        <v>0</v>
      </c>
      <c r="AD111" s="880">
        <f t="shared" ref="AD111" si="423">(F111/12)*12</f>
        <v>0</v>
      </c>
      <c r="AE111" s="880">
        <f t="shared" ref="AE111" si="424">AD111+AB111</f>
        <v>0</v>
      </c>
      <c r="AF111" s="880">
        <f t="shared" ref="AF111" si="425">E111-AE111</f>
        <v>0</v>
      </c>
      <c r="AG111" s="880">
        <f>(F111/12)*6</f>
        <v>0</v>
      </c>
      <c r="AH111" s="880">
        <f t="shared" ref="AH111" si="426">AE111+AG111</f>
        <v>0</v>
      </c>
      <c r="AI111" s="880">
        <f t="shared" ref="AI111" si="427">E111-AH111</f>
        <v>0</v>
      </c>
      <c r="AJ111" s="880"/>
      <c r="AK111" s="880"/>
      <c r="AL111" s="880"/>
      <c r="AM111" s="880"/>
      <c r="AN111" s="880"/>
      <c r="AO111" s="880"/>
      <c r="AP111" s="880">
        <f t="shared" ref="AP111" si="428">(F111/12)*0</f>
        <v>0</v>
      </c>
      <c r="AQ111" s="880">
        <f t="shared" ref="AQ111" si="429">AP111+AH111</f>
        <v>0</v>
      </c>
      <c r="AR111" s="880">
        <f t="shared" ref="AR111" si="430">E111-AQ111</f>
        <v>0</v>
      </c>
      <c r="AS111" s="896"/>
      <c r="AT111" s="896"/>
      <c r="AU111" s="896"/>
      <c r="AV111" s="896"/>
      <c r="AW111" s="896"/>
      <c r="AX111" s="896"/>
      <c r="AZ111" s="8">
        <f t="shared" si="253"/>
        <v>0</v>
      </c>
      <c r="BB111" s="57"/>
    </row>
    <row r="112" spans="1:54" s="220" customFormat="1" ht="14.25" customHeight="1">
      <c r="A112" s="190">
        <v>3</v>
      </c>
      <c r="B112" s="214" t="s">
        <v>847</v>
      </c>
      <c r="C112" s="255"/>
      <c r="D112" s="216"/>
      <c r="E112" s="217"/>
      <c r="F112" s="1045"/>
      <c r="G112" s="1046"/>
      <c r="H112" s="1046"/>
      <c r="I112" s="1046"/>
      <c r="J112" s="1046"/>
      <c r="K112" s="1046"/>
      <c r="L112" s="1046"/>
      <c r="M112" s="1046"/>
      <c r="N112" s="1046"/>
      <c r="O112" s="1046"/>
      <c r="P112" s="1046"/>
      <c r="Q112" s="1046"/>
      <c r="R112" s="1046"/>
      <c r="S112" s="1046"/>
      <c r="T112" s="1046"/>
      <c r="U112" s="1046"/>
      <c r="V112" s="1046"/>
      <c r="W112" s="1046"/>
      <c r="X112" s="1046"/>
      <c r="Y112" s="219"/>
      <c r="Z112" s="219"/>
      <c r="AA112" s="1046"/>
      <c r="AB112" s="1046">
        <f t="shared" si="218"/>
        <v>0</v>
      </c>
      <c r="AC112" s="1046"/>
      <c r="AD112" s="1046"/>
      <c r="AE112" s="1046"/>
      <c r="AF112" s="1046"/>
      <c r="AG112" s="1046"/>
      <c r="AH112" s="1046"/>
      <c r="AI112" s="1046"/>
      <c r="AJ112" s="1042"/>
      <c r="AK112" s="1042"/>
      <c r="AL112" s="1042"/>
      <c r="AM112" s="1042"/>
      <c r="AN112" s="1042"/>
      <c r="AO112" s="1042"/>
      <c r="AP112" s="1046"/>
      <c r="AQ112" s="1046"/>
      <c r="AR112" s="1046"/>
      <c r="AS112" s="1046"/>
      <c r="AT112" s="1046"/>
      <c r="AU112" s="1046"/>
      <c r="AV112" s="1046"/>
      <c r="AW112" s="1046"/>
      <c r="AX112" s="1046"/>
      <c r="AZ112" s="8">
        <f t="shared" ref="AZ112:AZ117" si="431">E112-AW112-AX112</f>
        <v>0</v>
      </c>
      <c r="BB112" s="221"/>
    </row>
    <row r="113" spans="1:54" s="220" customFormat="1" ht="14.25" customHeight="1">
      <c r="A113" s="190" t="s">
        <v>848</v>
      </c>
      <c r="B113" s="214" t="s">
        <v>236</v>
      </c>
      <c r="C113" s="255"/>
      <c r="D113" s="216"/>
      <c r="E113" s="217"/>
      <c r="F113" s="1045"/>
      <c r="G113" s="1046"/>
      <c r="H113" s="1046"/>
      <c r="I113" s="1046"/>
      <c r="J113" s="1046"/>
      <c r="K113" s="1046"/>
      <c r="L113" s="1046"/>
      <c r="M113" s="1046"/>
      <c r="N113" s="1046"/>
      <c r="O113" s="1046"/>
      <c r="P113" s="1046"/>
      <c r="Q113" s="1046"/>
      <c r="R113" s="1046"/>
      <c r="S113" s="1046"/>
      <c r="T113" s="1046"/>
      <c r="U113" s="1046"/>
      <c r="V113" s="1046"/>
      <c r="W113" s="1046"/>
      <c r="X113" s="1046"/>
      <c r="Y113" s="219"/>
      <c r="Z113" s="219"/>
      <c r="AA113" s="1046"/>
      <c r="AB113" s="1046">
        <f t="shared" si="218"/>
        <v>0</v>
      </c>
      <c r="AC113" s="1046"/>
      <c r="AD113" s="1046"/>
      <c r="AE113" s="1046"/>
      <c r="AF113" s="1046"/>
      <c r="AG113" s="1046"/>
      <c r="AH113" s="1046"/>
      <c r="AI113" s="1046"/>
      <c r="AJ113" s="1042"/>
      <c r="AK113" s="1042"/>
      <c r="AL113" s="1042"/>
      <c r="AM113" s="1042"/>
      <c r="AN113" s="1042"/>
      <c r="AO113" s="1042"/>
      <c r="AP113" s="1046"/>
      <c r="AQ113" s="1046"/>
      <c r="AR113" s="1046"/>
      <c r="AS113" s="1046"/>
      <c r="AT113" s="1046"/>
      <c r="AU113" s="1046"/>
      <c r="AV113" s="1046"/>
      <c r="AW113" s="1046"/>
      <c r="AX113" s="1046"/>
      <c r="AZ113" s="8">
        <f t="shared" si="431"/>
        <v>0</v>
      </c>
      <c r="BB113" s="221"/>
    </row>
    <row r="114" spans="1:54" ht="14.25" customHeight="1">
      <c r="A114" s="17">
        <v>1</v>
      </c>
      <c r="B114" s="53" t="s">
        <v>849</v>
      </c>
      <c r="C114" s="238">
        <v>41275</v>
      </c>
      <c r="D114" s="55">
        <v>4</v>
      </c>
      <c r="E114" s="6">
        <v>15700000</v>
      </c>
      <c r="F114" s="1041">
        <f t="shared" ref="F114:F115" si="432">E114/D114</f>
        <v>3925000</v>
      </c>
      <c r="G114" s="1053"/>
      <c r="H114" s="1042">
        <f t="shared" ref="H114:H115" si="433">G114</f>
        <v>0</v>
      </c>
      <c r="I114" s="1042">
        <f t="shared" ref="I114:I115" si="434">E114-H114</f>
        <v>15700000</v>
      </c>
      <c r="J114" s="1042">
        <f t="shared" ref="J114:J115" si="435">(F114/12)*0</f>
        <v>0</v>
      </c>
      <c r="K114" s="1042">
        <f t="shared" ref="K114:K115" si="436">J114+H114</f>
        <v>0</v>
      </c>
      <c r="L114" s="1042">
        <f t="shared" ref="L114:L115" si="437">E114-K114</f>
        <v>15700000</v>
      </c>
      <c r="M114" s="1042">
        <f t="shared" ref="M114:M115" si="438">(F114/12)*12</f>
        <v>3925000</v>
      </c>
      <c r="N114" s="1042">
        <f t="shared" ref="N114:N115" si="439">K114+M114</f>
        <v>3925000</v>
      </c>
      <c r="O114" s="1042">
        <f t="shared" ref="O114:O115" si="440">E114-N114</f>
        <v>11775000</v>
      </c>
      <c r="P114" s="1042">
        <f t="shared" ref="P114:P115" si="441">(F114/12)*12</f>
        <v>3925000</v>
      </c>
      <c r="Q114" s="1042">
        <f t="shared" ref="Q114:Q115" si="442">N114+P114</f>
        <v>7850000</v>
      </c>
      <c r="R114" s="1042">
        <f t="shared" ref="R114:R115" si="443">E114-Q114</f>
        <v>7850000</v>
      </c>
      <c r="S114" s="1042">
        <f t="shared" ref="S114:S115" si="444">(F114/12)*12</f>
        <v>3925000</v>
      </c>
      <c r="T114" s="1042">
        <f t="shared" ref="T114:T115" si="445">Q114+S114</f>
        <v>11775000</v>
      </c>
      <c r="U114" s="1042">
        <f t="shared" ref="U114:U115" si="446">E114-T114</f>
        <v>3925000</v>
      </c>
      <c r="V114" s="1042">
        <f t="shared" ref="V114:V115" si="447">(F114/12)*12</f>
        <v>3925000</v>
      </c>
      <c r="W114" s="1042">
        <f t="shared" ref="W114:W115" si="448">V114+T114</f>
        <v>15700000</v>
      </c>
      <c r="X114" s="1042">
        <f t="shared" ref="X114:X115" si="449">E114-W114</f>
        <v>0</v>
      </c>
      <c r="Y114" s="7">
        <v>15700000</v>
      </c>
      <c r="Z114" s="7">
        <f t="shared" ref="Z114:Z115" si="450">E114-Y114</f>
        <v>0</v>
      </c>
      <c r="AA114" s="1042">
        <f t="shared" ref="AA114:AA115" si="451">(F114/12)*0</f>
        <v>0</v>
      </c>
      <c r="AB114" s="1042">
        <f t="shared" si="218"/>
        <v>15700000</v>
      </c>
      <c r="AC114" s="1042">
        <f t="shared" ref="AC114:AC115" si="452">E114-AB114</f>
        <v>0</v>
      </c>
      <c r="AD114" s="1042">
        <f t="shared" ref="AD114:AD115" si="453">(F114/12)*0</f>
        <v>0</v>
      </c>
      <c r="AE114" s="1042">
        <f t="shared" ref="AE114:AE115" si="454">AD114+AB114</f>
        <v>15700000</v>
      </c>
      <c r="AF114" s="1042">
        <f t="shared" ref="AF114:AF115" si="455">E114-AE114</f>
        <v>0</v>
      </c>
      <c r="AG114" s="1042">
        <f t="shared" ref="AG114:AG115" si="456">(F114/12)*0</f>
        <v>0</v>
      </c>
      <c r="AH114" s="1042">
        <f t="shared" ref="AH114:AH115" si="457">AE114+AG114</f>
        <v>15700000</v>
      </c>
      <c r="AI114" s="1042">
        <f t="shared" ref="AI114:AI115" si="458">E114-AH114</f>
        <v>0</v>
      </c>
      <c r="AJ114" s="1042">
        <f>(F114/12)*0</f>
        <v>0</v>
      </c>
      <c r="AK114" s="1042">
        <f t="shared" ref="AK114:AK115" si="459">AH114+AJ114</f>
        <v>15700000</v>
      </c>
      <c r="AL114" s="1042">
        <f t="shared" ref="AL114:AL115" si="460">E114-AK114</f>
        <v>0</v>
      </c>
      <c r="AM114" s="1042">
        <f>0</f>
        <v>0</v>
      </c>
      <c r="AN114" s="1042">
        <f t="shared" ref="AN114:AN115" si="461">AH114+AM114</f>
        <v>15700000</v>
      </c>
      <c r="AO114" s="1042">
        <f t="shared" ref="AO114:AO115" si="462">E114-AN114</f>
        <v>0</v>
      </c>
      <c r="AP114" s="1042">
        <f t="shared" ref="AP114:AP115" si="463">(F114/12)*0</f>
        <v>0</v>
      </c>
      <c r="AQ114" s="1042">
        <f t="shared" ref="AQ114:AQ115" si="464">AP114+AH114</f>
        <v>15700000</v>
      </c>
      <c r="AR114" s="1042">
        <f t="shared" ref="AR114:AR115" si="465">E114-AQ114</f>
        <v>0</v>
      </c>
      <c r="AS114" s="1042">
        <f>(F114/12)*0</f>
        <v>0</v>
      </c>
      <c r="AT114" s="1042">
        <f t="shared" ref="AT114:AT115" si="466">AQ114+AS114</f>
        <v>15700000</v>
      </c>
      <c r="AU114" s="1042">
        <f t="shared" ref="AU114:AU115" si="467">E114-AT114</f>
        <v>0</v>
      </c>
      <c r="AV114" s="1042">
        <f t="shared" ref="AV114:AV115" si="468">(F114/12)*0</f>
        <v>0</v>
      </c>
      <c r="AW114" s="1042">
        <f t="shared" ref="AW114:AW115" si="469">AQ114+AV114</f>
        <v>15700000</v>
      </c>
      <c r="AX114" s="1042">
        <f t="shared" ref="AX114:AX115" si="470">E114-AW114</f>
        <v>0</v>
      </c>
      <c r="AZ114" s="8">
        <f t="shared" si="431"/>
        <v>0</v>
      </c>
      <c r="BB114" s="57"/>
    </row>
    <row r="115" spans="1:54" ht="14.25" customHeight="1">
      <c r="A115" s="17">
        <f>A114+1</f>
        <v>2</v>
      </c>
      <c r="B115" s="53" t="s">
        <v>850</v>
      </c>
      <c r="C115" s="238">
        <v>41640</v>
      </c>
      <c r="D115" s="55">
        <v>4</v>
      </c>
      <c r="E115" s="6">
        <v>6600000</v>
      </c>
      <c r="F115" s="1041">
        <f t="shared" si="432"/>
        <v>1650000</v>
      </c>
      <c r="G115" s="1053"/>
      <c r="H115" s="1042">
        <f t="shared" si="433"/>
        <v>0</v>
      </c>
      <c r="I115" s="1042">
        <f t="shared" si="434"/>
        <v>6600000</v>
      </c>
      <c r="J115" s="1042">
        <f t="shared" si="435"/>
        <v>0</v>
      </c>
      <c r="K115" s="1042">
        <f t="shared" si="436"/>
        <v>0</v>
      </c>
      <c r="L115" s="1042">
        <f t="shared" si="437"/>
        <v>6600000</v>
      </c>
      <c r="M115" s="1042">
        <f t="shared" si="438"/>
        <v>1650000</v>
      </c>
      <c r="N115" s="1042">
        <f t="shared" si="439"/>
        <v>1650000</v>
      </c>
      <c r="O115" s="1042">
        <f t="shared" si="440"/>
        <v>4950000</v>
      </c>
      <c r="P115" s="1042">
        <f t="shared" si="441"/>
        <v>1650000</v>
      </c>
      <c r="Q115" s="1042">
        <f t="shared" si="442"/>
        <v>3300000</v>
      </c>
      <c r="R115" s="1042">
        <f t="shared" si="443"/>
        <v>3300000</v>
      </c>
      <c r="S115" s="1042">
        <f t="shared" si="444"/>
        <v>1650000</v>
      </c>
      <c r="T115" s="1042">
        <f t="shared" si="445"/>
        <v>4950000</v>
      </c>
      <c r="U115" s="1042">
        <f t="shared" si="446"/>
        <v>1650000</v>
      </c>
      <c r="V115" s="1042">
        <f t="shared" si="447"/>
        <v>1650000</v>
      </c>
      <c r="W115" s="1042">
        <f t="shared" si="448"/>
        <v>6600000</v>
      </c>
      <c r="X115" s="1042">
        <f t="shared" si="449"/>
        <v>0</v>
      </c>
      <c r="Y115" s="7">
        <v>6600000</v>
      </c>
      <c r="Z115" s="7">
        <f t="shared" si="450"/>
        <v>0</v>
      </c>
      <c r="AA115" s="1042">
        <f t="shared" si="451"/>
        <v>0</v>
      </c>
      <c r="AB115" s="1042">
        <f t="shared" si="218"/>
        <v>6600000</v>
      </c>
      <c r="AC115" s="1042">
        <f t="shared" si="452"/>
        <v>0</v>
      </c>
      <c r="AD115" s="1042">
        <f t="shared" si="453"/>
        <v>0</v>
      </c>
      <c r="AE115" s="1042">
        <f t="shared" si="454"/>
        <v>6600000</v>
      </c>
      <c r="AF115" s="1042">
        <f t="shared" si="455"/>
        <v>0</v>
      </c>
      <c r="AG115" s="1042">
        <f t="shared" si="456"/>
        <v>0</v>
      </c>
      <c r="AH115" s="1042">
        <f t="shared" si="457"/>
        <v>6600000</v>
      </c>
      <c r="AI115" s="1042">
        <f t="shared" si="458"/>
        <v>0</v>
      </c>
      <c r="AJ115" s="1042">
        <f>(F115/12)*0</f>
        <v>0</v>
      </c>
      <c r="AK115" s="1042">
        <f t="shared" si="459"/>
        <v>6600000</v>
      </c>
      <c r="AL115" s="1042">
        <f t="shared" si="460"/>
        <v>0</v>
      </c>
      <c r="AM115" s="1042">
        <f>0</f>
        <v>0</v>
      </c>
      <c r="AN115" s="1042">
        <f t="shared" si="461"/>
        <v>6600000</v>
      </c>
      <c r="AO115" s="1042">
        <f t="shared" si="462"/>
        <v>0</v>
      </c>
      <c r="AP115" s="1042">
        <f t="shared" si="463"/>
        <v>0</v>
      </c>
      <c r="AQ115" s="1042">
        <f t="shared" si="464"/>
        <v>6600000</v>
      </c>
      <c r="AR115" s="1042">
        <f t="shared" si="465"/>
        <v>0</v>
      </c>
      <c r="AS115" s="1042">
        <f>(F115/12)*0</f>
        <v>0</v>
      </c>
      <c r="AT115" s="1042">
        <f t="shared" si="466"/>
        <v>6600000</v>
      </c>
      <c r="AU115" s="1042">
        <f t="shared" si="467"/>
        <v>0</v>
      </c>
      <c r="AV115" s="1042">
        <f t="shared" si="468"/>
        <v>0</v>
      </c>
      <c r="AW115" s="1042">
        <f t="shared" si="469"/>
        <v>6600000</v>
      </c>
      <c r="AX115" s="1042">
        <f t="shared" si="470"/>
        <v>0</v>
      </c>
      <c r="AZ115" s="8">
        <f t="shared" si="431"/>
        <v>0</v>
      </c>
      <c r="BB115" s="57"/>
    </row>
    <row r="116" spans="1:54" s="220" customFormat="1" ht="14.25" customHeight="1">
      <c r="A116" s="987">
        <v>4</v>
      </c>
      <c r="B116" s="988" t="s">
        <v>852</v>
      </c>
      <c r="C116" s="989"/>
      <c r="D116" s="990"/>
      <c r="E116" s="1064"/>
      <c r="F116" s="1065"/>
      <c r="G116" s="1066"/>
      <c r="H116" s="1066"/>
      <c r="I116" s="1066"/>
      <c r="J116" s="1066"/>
      <c r="K116" s="1066"/>
      <c r="L116" s="1066"/>
      <c r="M116" s="1066"/>
      <c r="N116" s="1066"/>
      <c r="O116" s="1066"/>
      <c r="P116" s="1066"/>
      <c r="Q116" s="1066"/>
      <c r="R116" s="1066"/>
      <c r="S116" s="1066"/>
      <c r="T116" s="1066"/>
      <c r="U116" s="1066"/>
      <c r="V116" s="1066"/>
      <c r="W116" s="1066"/>
      <c r="X116" s="1066"/>
      <c r="Y116" s="991"/>
      <c r="Z116" s="991"/>
      <c r="AA116" s="1066"/>
      <c r="AB116" s="1066">
        <f t="shared" si="218"/>
        <v>0</v>
      </c>
      <c r="AC116" s="1066"/>
      <c r="AD116" s="1066"/>
      <c r="AE116" s="1066"/>
      <c r="AF116" s="1066"/>
      <c r="AG116" s="1066"/>
      <c r="AH116" s="1066"/>
      <c r="AI116" s="1066"/>
      <c r="AJ116" s="1066"/>
      <c r="AK116" s="1066"/>
      <c r="AL116" s="1066"/>
      <c r="AM116" s="1066"/>
      <c r="AN116" s="1066"/>
      <c r="AO116" s="1066"/>
      <c r="AP116" s="1066"/>
      <c r="AQ116" s="1066"/>
      <c r="AR116" s="1066"/>
      <c r="AS116" s="1066"/>
      <c r="AT116" s="1066"/>
      <c r="AU116" s="1066"/>
      <c r="AV116" s="1066"/>
      <c r="AW116" s="1066"/>
      <c r="AX116" s="1066"/>
      <c r="AZ116" s="8">
        <f t="shared" si="431"/>
        <v>0</v>
      </c>
      <c r="BB116" s="229"/>
    </row>
    <row r="117" spans="1:54" s="220" customFormat="1" ht="14.25" customHeight="1">
      <c r="A117" s="987" t="s">
        <v>854</v>
      </c>
      <c r="B117" s="988" t="s">
        <v>853</v>
      </c>
      <c r="C117" s="989"/>
      <c r="D117" s="990"/>
      <c r="E117" s="1064"/>
      <c r="F117" s="1065"/>
      <c r="G117" s="1066"/>
      <c r="H117" s="1066"/>
      <c r="I117" s="1066"/>
      <c r="J117" s="1066"/>
      <c r="K117" s="1066"/>
      <c r="L117" s="1066"/>
      <c r="M117" s="1066"/>
      <c r="N117" s="1066"/>
      <c r="O117" s="1066"/>
      <c r="P117" s="1066"/>
      <c r="Q117" s="1066"/>
      <c r="R117" s="1066"/>
      <c r="S117" s="1066"/>
      <c r="T117" s="1066"/>
      <c r="U117" s="1066"/>
      <c r="V117" s="1066"/>
      <c r="W117" s="1066"/>
      <c r="X117" s="1066"/>
      <c r="Y117" s="991"/>
      <c r="Z117" s="991"/>
      <c r="AA117" s="1066"/>
      <c r="AB117" s="1066">
        <f t="shared" si="218"/>
        <v>0</v>
      </c>
      <c r="AC117" s="1066"/>
      <c r="AD117" s="1066"/>
      <c r="AE117" s="1066"/>
      <c r="AF117" s="1066"/>
      <c r="AG117" s="1066"/>
      <c r="AH117" s="1066"/>
      <c r="AI117" s="1066"/>
      <c r="AJ117" s="1066"/>
      <c r="AK117" s="1066"/>
      <c r="AL117" s="1066"/>
      <c r="AM117" s="1066"/>
      <c r="AN117" s="1066"/>
      <c r="AO117" s="1066"/>
      <c r="AP117" s="1066"/>
      <c r="AQ117" s="1066"/>
      <c r="AR117" s="1066"/>
      <c r="AS117" s="1066"/>
      <c r="AT117" s="1066"/>
      <c r="AU117" s="1066"/>
      <c r="AV117" s="1066"/>
      <c r="AW117" s="1066"/>
      <c r="AX117" s="1066"/>
      <c r="AZ117" s="8">
        <f t="shared" si="431"/>
        <v>0</v>
      </c>
      <c r="BB117" s="229"/>
    </row>
    <row r="118" spans="1:54" s="979" customFormat="1" ht="14.25" hidden="1" customHeight="1">
      <c r="A118" s="972">
        <v>1</v>
      </c>
      <c r="B118" s="992" t="s">
        <v>857</v>
      </c>
      <c r="C118" s="974">
        <v>40179</v>
      </c>
      <c r="D118" s="975">
        <v>4</v>
      </c>
      <c r="E118" s="976">
        <f>12500000*0</f>
        <v>0</v>
      </c>
      <c r="F118" s="977">
        <f t="shared" ref="F118:F143" si="471">E118/D118</f>
        <v>0</v>
      </c>
      <c r="G118" s="978">
        <f>(F118/12)*(13-IF(C118="","",MONTH(C118)))*4</f>
        <v>0</v>
      </c>
      <c r="H118" s="978">
        <f t="shared" ref="H118:H124" si="472">G118</f>
        <v>0</v>
      </c>
      <c r="I118" s="978">
        <f t="shared" ref="I118:I124" si="473">E118-H118</f>
        <v>0</v>
      </c>
      <c r="J118" s="978">
        <f>(F118/12)*0</f>
        <v>0</v>
      </c>
      <c r="K118" s="978">
        <f t="shared" ref="K118:K124" si="474">J118+H118</f>
        <v>0</v>
      </c>
      <c r="L118" s="978">
        <f t="shared" ref="L118:L124" si="475">E118-K118</f>
        <v>0</v>
      </c>
      <c r="M118" s="978">
        <f>(F118/12)*0</f>
        <v>0</v>
      </c>
      <c r="N118" s="978">
        <f t="shared" ref="N118:N125" si="476">K118+M118</f>
        <v>0</v>
      </c>
      <c r="O118" s="978">
        <f t="shared" ref="O118:O125" si="477">E118-N118</f>
        <v>0</v>
      </c>
      <c r="P118" s="978">
        <f>(F118/12)*0</f>
        <v>0</v>
      </c>
      <c r="Q118" s="978">
        <f t="shared" ref="Q118:Q125" si="478">N118+P118</f>
        <v>0</v>
      </c>
      <c r="R118" s="978">
        <f t="shared" ref="R118:R125" si="479">E118-Q118</f>
        <v>0</v>
      </c>
      <c r="S118" s="978">
        <f t="shared" ref="S118:S124" si="480">(F118/12)*0</f>
        <v>0</v>
      </c>
      <c r="T118" s="978">
        <f t="shared" ref="T118:T124" si="481">Q118+S118</f>
        <v>0</v>
      </c>
      <c r="U118" s="978">
        <f t="shared" ref="U118:U124" si="482">E118-T118</f>
        <v>0</v>
      </c>
      <c r="V118" s="978">
        <f t="shared" ref="V118:V124" si="483">(F118/12)*0</f>
        <v>0</v>
      </c>
      <c r="W118" s="978">
        <f t="shared" ref="W118:W124" si="484">V118+T118</f>
        <v>0</v>
      </c>
      <c r="X118" s="978">
        <f t="shared" ref="X118:X124" si="485">E118-W118</f>
        <v>0</v>
      </c>
      <c r="Y118" s="978">
        <f>12500000*0</f>
        <v>0</v>
      </c>
      <c r="Z118" s="978">
        <f t="shared" ref="Z118:Z131" si="486">E118-Y118</f>
        <v>0</v>
      </c>
      <c r="AA118" s="978">
        <f t="shared" ref="AA118:AA124" si="487">(F118/12)*0</f>
        <v>0</v>
      </c>
      <c r="AB118" s="978">
        <f t="shared" si="218"/>
        <v>0</v>
      </c>
      <c r="AC118" s="978">
        <f t="shared" ref="AC118:AC124" si="488">E118-AB118</f>
        <v>0</v>
      </c>
      <c r="AD118" s="978">
        <f t="shared" ref="AD118:AD124" si="489">(F118/12)*0</f>
        <v>0</v>
      </c>
      <c r="AE118" s="978">
        <f t="shared" ref="AE118:AE124" si="490">AD118+AB118</f>
        <v>0</v>
      </c>
      <c r="AF118" s="978">
        <f t="shared" ref="AF118:AF124" si="491">E118-AE118</f>
        <v>0</v>
      </c>
      <c r="AG118" s="978">
        <f t="shared" ref="AG118:AG124" si="492">(F118/12)*0</f>
        <v>0</v>
      </c>
      <c r="AH118" s="978">
        <f t="shared" ref="AH118:AH124" si="493">AE118+AG118</f>
        <v>0</v>
      </c>
      <c r="AI118" s="978">
        <f t="shared" ref="AI118:AI124" si="494">E118-AH118</f>
        <v>0</v>
      </c>
      <c r="AJ118" s="978"/>
      <c r="AK118" s="978"/>
      <c r="AL118" s="978"/>
      <c r="AM118" s="978"/>
      <c r="AN118" s="978"/>
      <c r="AO118" s="978"/>
      <c r="AP118" s="978">
        <f t="shared" ref="AP118:AP124" si="495">(F118/12)*0</f>
        <v>0</v>
      </c>
      <c r="AQ118" s="978">
        <f t="shared" ref="AQ118:AQ124" si="496">AP118+AH118</f>
        <v>0</v>
      </c>
      <c r="AR118" s="978">
        <f t="shared" ref="AR118:AR124" si="497">E118-AQ118</f>
        <v>0</v>
      </c>
      <c r="AS118" s="1166"/>
      <c r="AT118" s="1166"/>
      <c r="AU118" s="1166"/>
      <c r="AV118" s="1166"/>
      <c r="AW118" s="1166"/>
      <c r="AX118" s="1166"/>
      <c r="AZ118" s="980">
        <f t="shared" ref="AZ118:AZ143" si="498">E118-AQ118-AR118</f>
        <v>0</v>
      </c>
      <c r="BB118" s="981"/>
    </row>
    <row r="119" spans="1:54" s="979" customFormat="1" ht="14.25" hidden="1" customHeight="1">
      <c r="A119" s="972">
        <f>A118+1</f>
        <v>2</v>
      </c>
      <c r="B119" s="992" t="s">
        <v>856</v>
      </c>
      <c r="C119" s="974">
        <v>40909</v>
      </c>
      <c r="D119" s="975">
        <v>4</v>
      </c>
      <c r="E119" s="976">
        <f>7200000*0</f>
        <v>0</v>
      </c>
      <c r="F119" s="977">
        <f t="shared" si="471"/>
        <v>0</v>
      </c>
      <c r="G119" s="978">
        <f>(F119/12)*(13-IF(C119="","",MONTH(C119)))*3</f>
        <v>0</v>
      </c>
      <c r="H119" s="978">
        <f t="shared" si="472"/>
        <v>0</v>
      </c>
      <c r="I119" s="978">
        <f t="shared" si="473"/>
        <v>0</v>
      </c>
      <c r="J119" s="978">
        <f t="shared" ref="J119:J124" si="499">(F119/12)*12</f>
        <v>0</v>
      </c>
      <c r="K119" s="978">
        <f t="shared" si="474"/>
        <v>0</v>
      </c>
      <c r="L119" s="978">
        <f t="shared" si="475"/>
        <v>0</v>
      </c>
      <c r="M119" s="978">
        <f>(F119/12)*0</f>
        <v>0</v>
      </c>
      <c r="N119" s="978">
        <f t="shared" si="476"/>
        <v>0</v>
      </c>
      <c r="O119" s="978">
        <f t="shared" si="477"/>
        <v>0</v>
      </c>
      <c r="P119" s="978">
        <f>(F119/12)*0</f>
        <v>0</v>
      </c>
      <c r="Q119" s="978">
        <f t="shared" si="478"/>
        <v>0</v>
      </c>
      <c r="R119" s="978">
        <f t="shared" si="479"/>
        <v>0</v>
      </c>
      <c r="S119" s="978">
        <f t="shared" si="480"/>
        <v>0</v>
      </c>
      <c r="T119" s="978">
        <f t="shared" si="481"/>
        <v>0</v>
      </c>
      <c r="U119" s="978">
        <f t="shared" si="482"/>
        <v>0</v>
      </c>
      <c r="V119" s="978">
        <f t="shared" si="483"/>
        <v>0</v>
      </c>
      <c r="W119" s="978">
        <f t="shared" si="484"/>
        <v>0</v>
      </c>
      <c r="X119" s="978">
        <f t="shared" si="485"/>
        <v>0</v>
      </c>
      <c r="Y119" s="978">
        <f>7200000*0</f>
        <v>0</v>
      </c>
      <c r="Z119" s="978">
        <f t="shared" si="486"/>
        <v>0</v>
      </c>
      <c r="AA119" s="978">
        <f t="shared" si="487"/>
        <v>0</v>
      </c>
      <c r="AB119" s="978">
        <f t="shared" si="218"/>
        <v>0</v>
      </c>
      <c r="AC119" s="978">
        <f t="shared" si="488"/>
        <v>0</v>
      </c>
      <c r="AD119" s="978">
        <f t="shared" si="489"/>
        <v>0</v>
      </c>
      <c r="AE119" s="978">
        <f t="shared" si="490"/>
        <v>0</v>
      </c>
      <c r="AF119" s="978">
        <f t="shared" si="491"/>
        <v>0</v>
      </c>
      <c r="AG119" s="978">
        <f t="shared" si="492"/>
        <v>0</v>
      </c>
      <c r="AH119" s="978">
        <f t="shared" si="493"/>
        <v>0</v>
      </c>
      <c r="AI119" s="978">
        <f t="shared" si="494"/>
        <v>0</v>
      </c>
      <c r="AJ119" s="978"/>
      <c r="AK119" s="978"/>
      <c r="AL119" s="978"/>
      <c r="AM119" s="978"/>
      <c r="AN119" s="978"/>
      <c r="AO119" s="978"/>
      <c r="AP119" s="978">
        <f t="shared" si="495"/>
        <v>0</v>
      </c>
      <c r="AQ119" s="978">
        <f t="shared" si="496"/>
        <v>0</v>
      </c>
      <c r="AR119" s="978">
        <f t="shared" si="497"/>
        <v>0</v>
      </c>
      <c r="AS119" s="1166"/>
      <c r="AT119" s="1166"/>
      <c r="AU119" s="1166"/>
      <c r="AV119" s="1166"/>
      <c r="AW119" s="1166"/>
      <c r="AX119" s="1166"/>
      <c r="AZ119" s="980">
        <f t="shared" si="498"/>
        <v>0</v>
      </c>
      <c r="BB119" s="981"/>
    </row>
    <row r="120" spans="1:54" s="979" customFormat="1" ht="14.25" hidden="1" customHeight="1">
      <c r="A120" s="972">
        <f t="shared" ref="A120:A132" si="500">A119+1</f>
        <v>3</v>
      </c>
      <c r="B120" s="992" t="s">
        <v>858</v>
      </c>
      <c r="C120" s="974">
        <v>41275</v>
      </c>
      <c r="D120" s="975">
        <v>4</v>
      </c>
      <c r="E120" s="976">
        <f>5100000*0</f>
        <v>0</v>
      </c>
      <c r="F120" s="977">
        <f t="shared" si="471"/>
        <v>0</v>
      </c>
      <c r="G120" s="978">
        <f>(F120/12)*(13-IF(C120="","",MONTH(C120)))*2</f>
        <v>0</v>
      </c>
      <c r="H120" s="978">
        <f t="shared" si="472"/>
        <v>0</v>
      </c>
      <c r="I120" s="978">
        <f t="shared" si="473"/>
        <v>0</v>
      </c>
      <c r="J120" s="978">
        <f t="shared" si="499"/>
        <v>0</v>
      </c>
      <c r="K120" s="978">
        <f t="shared" si="474"/>
        <v>0</v>
      </c>
      <c r="L120" s="978">
        <f t="shared" si="475"/>
        <v>0</v>
      </c>
      <c r="M120" s="978">
        <f t="shared" ref="M120:M125" si="501">(F120/12)*12</f>
        <v>0</v>
      </c>
      <c r="N120" s="978">
        <f t="shared" si="476"/>
        <v>0</v>
      </c>
      <c r="O120" s="978">
        <f t="shared" si="477"/>
        <v>0</v>
      </c>
      <c r="P120" s="978">
        <f>(F120/12)*0</f>
        <v>0</v>
      </c>
      <c r="Q120" s="978">
        <f t="shared" si="478"/>
        <v>0</v>
      </c>
      <c r="R120" s="978">
        <f t="shared" si="479"/>
        <v>0</v>
      </c>
      <c r="S120" s="978">
        <f t="shared" si="480"/>
        <v>0</v>
      </c>
      <c r="T120" s="978">
        <f t="shared" si="481"/>
        <v>0</v>
      </c>
      <c r="U120" s="978">
        <f t="shared" si="482"/>
        <v>0</v>
      </c>
      <c r="V120" s="978">
        <f t="shared" si="483"/>
        <v>0</v>
      </c>
      <c r="W120" s="978">
        <f t="shared" si="484"/>
        <v>0</v>
      </c>
      <c r="X120" s="978">
        <f t="shared" si="485"/>
        <v>0</v>
      </c>
      <c r="Y120" s="978">
        <f>5100000*0</f>
        <v>0</v>
      </c>
      <c r="Z120" s="978">
        <f t="shared" si="486"/>
        <v>0</v>
      </c>
      <c r="AA120" s="978">
        <f t="shared" si="487"/>
        <v>0</v>
      </c>
      <c r="AB120" s="978">
        <f t="shared" si="218"/>
        <v>0</v>
      </c>
      <c r="AC120" s="978">
        <f t="shared" si="488"/>
        <v>0</v>
      </c>
      <c r="AD120" s="978">
        <f t="shared" si="489"/>
        <v>0</v>
      </c>
      <c r="AE120" s="978">
        <f t="shared" si="490"/>
        <v>0</v>
      </c>
      <c r="AF120" s="978">
        <f t="shared" si="491"/>
        <v>0</v>
      </c>
      <c r="AG120" s="978">
        <f t="shared" si="492"/>
        <v>0</v>
      </c>
      <c r="AH120" s="978">
        <f t="shared" si="493"/>
        <v>0</v>
      </c>
      <c r="AI120" s="978">
        <f t="shared" si="494"/>
        <v>0</v>
      </c>
      <c r="AJ120" s="978"/>
      <c r="AK120" s="978"/>
      <c r="AL120" s="978"/>
      <c r="AM120" s="978"/>
      <c r="AN120" s="978"/>
      <c r="AO120" s="978"/>
      <c r="AP120" s="978">
        <f t="shared" si="495"/>
        <v>0</v>
      </c>
      <c r="AQ120" s="978">
        <f t="shared" si="496"/>
        <v>0</v>
      </c>
      <c r="AR120" s="978">
        <f t="shared" si="497"/>
        <v>0</v>
      </c>
      <c r="AS120" s="1166"/>
      <c r="AT120" s="1166"/>
      <c r="AU120" s="1166"/>
      <c r="AV120" s="1166"/>
      <c r="AW120" s="1166"/>
      <c r="AX120" s="1166"/>
      <c r="AZ120" s="980">
        <f t="shared" si="498"/>
        <v>0</v>
      </c>
      <c r="BB120" s="981"/>
    </row>
    <row r="121" spans="1:54" s="979" customFormat="1" ht="14.25" hidden="1" customHeight="1">
      <c r="A121" s="972">
        <f t="shared" si="500"/>
        <v>4</v>
      </c>
      <c r="B121" s="992" t="s">
        <v>861</v>
      </c>
      <c r="C121" s="974">
        <v>41275</v>
      </c>
      <c r="D121" s="975">
        <v>4</v>
      </c>
      <c r="E121" s="976">
        <f>5000000*0</f>
        <v>0</v>
      </c>
      <c r="F121" s="977">
        <f t="shared" si="471"/>
        <v>0</v>
      </c>
      <c r="G121" s="978">
        <f>(F121/12)*(13-IF(C121="","",MONTH(C121)))*2</f>
        <v>0</v>
      </c>
      <c r="H121" s="978">
        <f t="shared" si="472"/>
        <v>0</v>
      </c>
      <c r="I121" s="978">
        <f t="shared" si="473"/>
        <v>0</v>
      </c>
      <c r="J121" s="978">
        <f t="shared" si="499"/>
        <v>0</v>
      </c>
      <c r="K121" s="978">
        <f t="shared" si="474"/>
        <v>0</v>
      </c>
      <c r="L121" s="978">
        <f t="shared" si="475"/>
        <v>0</v>
      </c>
      <c r="M121" s="978">
        <f t="shared" si="501"/>
        <v>0</v>
      </c>
      <c r="N121" s="978">
        <f t="shared" si="476"/>
        <v>0</v>
      </c>
      <c r="O121" s="978">
        <f t="shared" si="477"/>
        <v>0</v>
      </c>
      <c r="P121" s="978">
        <f>(F121/12)*0</f>
        <v>0</v>
      </c>
      <c r="Q121" s="978">
        <f t="shared" si="478"/>
        <v>0</v>
      </c>
      <c r="R121" s="978">
        <f t="shared" si="479"/>
        <v>0</v>
      </c>
      <c r="S121" s="978">
        <f t="shared" si="480"/>
        <v>0</v>
      </c>
      <c r="T121" s="978">
        <f t="shared" si="481"/>
        <v>0</v>
      </c>
      <c r="U121" s="978">
        <f t="shared" si="482"/>
        <v>0</v>
      </c>
      <c r="V121" s="978">
        <f t="shared" si="483"/>
        <v>0</v>
      </c>
      <c r="W121" s="978">
        <f t="shared" si="484"/>
        <v>0</v>
      </c>
      <c r="X121" s="978">
        <f t="shared" si="485"/>
        <v>0</v>
      </c>
      <c r="Y121" s="978">
        <f>5000000*0</f>
        <v>0</v>
      </c>
      <c r="Z121" s="978">
        <f t="shared" si="486"/>
        <v>0</v>
      </c>
      <c r="AA121" s="978">
        <f t="shared" si="487"/>
        <v>0</v>
      </c>
      <c r="AB121" s="978">
        <f t="shared" si="218"/>
        <v>0</v>
      </c>
      <c r="AC121" s="978">
        <f t="shared" si="488"/>
        <v>0</v>
      </c>
      <c r="AD121" s="978">
        <f t="shared" si="489"/>
        <v>0</v>
      </c>
      <c r="AE121" s="978">
        <f t="shared" si="490"/>
        <v>0</v>
      </c>
      <c r="AF121" s="978">
        <f t="shared" si="491"/>
        <v>0</v>
      </c>
      <c r="AG121" s="978">
        <f t="shared" si="492"/>
        <v>0</v>
      </c>
      <c r="AH121" s="978">
        <f t="shared" si="493"/>
        <v>0</v>
      </c>
      <c r="AI121" s="978">
        <f t="shared" si="494"/>
        <v>0</v>
      </c>
      <c r="AJ121" s="978"/>
      <c r="AK121" s="978"/>
      <c r="AL121" s="978"/>
      <c r="AM121" s="978"/>
      <c r="AN121" s="978"/>
      <c r="AO121" s="978"/>
      <c r="AP121" s="978">
        <f t="shared" si="495"/>
        <v>0</v>
      </c>
      <c r="AQ121" s="978">
        <f t="shared" si="496"/>
        <v>0</v>
      </c>
      <c r="AR121" s="978">
        <f t="shared" si="497"/>
        <v>0</v>
      </c>
      <c r="AS121" s="1166"/>
      <c r="AT121" s="1166"/>
      <c r="AU121" s="1166"/>
      <c r="AV121" s="1166"/>
      <c r="AW121" s="1166"/>
      <c r="AX121" s="1166"/>
      <c r="AZ121" s="980">
        <f t="shared" si="498"/>
        <v>0</v>
      </c>
      <c r="BB121" s="981"/>
    </row>
    <row r="122" spans="1:54" s="979" customFormat="1" ht="14.25" hidden="1" customHeight="1">
      <c r="A122" s="972">
        <f t="shared" si="500"/>
        <v>5</v>
      </c>
      <c r="B122" s="992" t="s">
        <v>855</v>
      </c>
      <c r="C122" s="974">
        <v>41640</v>
      </c>
      <c r="D122" s="975">
        <v>4</v>
      </c>
      <c r="E122" s="976">
        <f>8000000*0</f>
        <v>0</v>
      </c>
      <c r="F122" s="977">
        <f t="shared" si="471"/>
        <v>0</v>
      </c>
      <c r="G122" s="978">
        <f>(F122/12)*(13-IF(C122="","",MONTH(C122)))*1</f>
        <v>0</v>
      </c>
      <c r="H122" s="978">
        <f t="shared" si="472"/>
        <v>0</v>
      </c>
      <c r="I122" s="978">
        <f t="shared" si="473"/>
        <v>0</v>
      </c>
      <c r="J122" s="978">
        <f t="shared" si="499"/>
        <v>0</v>
      </c>
      <c r="K122" s="978">
        <f t="shared" si="474"/>
        <v>0</v>
      </c>
      <c r="L122" s="978">
        <f t="shared" si="475"/>
        <v>0</v>
      </c>
      <c r="M122" s="978">
        <f t="shared" si="501"/>
        <v>0</v>
      </c>
      <c r="N122" s="978">
        <f t="shared" si="476"/>
        <v>0</v>
      </c>
      <c r="O122" s="978">
        <f t="shared" si="477"/>
        <v>0</v>
      </c>
      <c r="P122" s="978">
        <f t="shared" ref="P122:P125" si="502">(F122/12)*12</f>
        <v>0</v>
      </c>
      <c r="Q122" s="978">
        <f t="shared" si="478"/>
        <v>0</v>
      </c>
      <c r="R122" s="978">
        <f t="shared" si="479"/>
        <v>0</v>
      </c>
      <c r="S122" s="978">
        <f t="shared" si="480"/>
        <v>0</v>
      </c>
      <c r="T122" s="978">
        <f t="shared" si="481"/>
        <v>0</v>
      </c>
      <c r="U122" s="978">
        <f t="shared" si="482"/>
        <v>0</v>
      </c>
      <c r="V122" s="978">
        <f t="shared" si="483"/>
        <v>0</v>
      </c>
      <c r="W122" s="978">
        <f t="shared" si="484"/>
        <v>0</v>
      </c>
      <c r="X122" s="978">
        <f t="shared" si="485"/>
        <v>0</v>
      </c>
      <c r="Y122" s="978">
        <f>8000000*0</f>
        <v>0</v>
      </c>
      <c r="Z122" s="978">
        <f t="shared" si="486"/>
        <v>0</v>
      </c>
      <c r="AA122" s="978">
        <f t="shared" si="487"/>
        <v>0</v>
      </c>
      <c r="AB122" s="978">
        <f t="shared" si="218"/>
        <v>0</v>
      </c>
      <c r="AC122" s="978">
        <f t="shared" si="488"/>
        <v>0</v>
      </c>
      <c r="AD122" s="978">
        <f t="shared" si="489"/>
        <v>0</v>
      </c>
      <c r="AE122" s="978">
        <f t="shared" si="490"/>
        <v>0</v>
      </c>
      <c r="AF122" s="978">
        <f t="shared" si="491"/>
        <v>0</v>
      </c>
      <c r="AG122" s="978">
        <f t="shared" si="492"/>
        <v>0</v>
      </c>
      <c r="AH122" s="978">
        <f t="shared" si="493"/>
        <v>0</v>
      </c>
      <c r="AI122" s="978">
        <f t="shared" si="494"/>
        <v>0</v>
      </c>
      <c r="AJ122" s="978"/>
      <c r="AK122" s="978"/>
      <c r="AL122" s="978"/>
      <c r="AM122" s="978"/>
      <c r="AN122" s="978"/>
      <c r="AO122" s="978"/>
      <c r="AP122" s="978">
        <f t="shared" si="495"/>
        <v>0</v>
      </c>
      <c r="AQ122" s="978">
        <f t="shared" si="496"/>
        <v>0</v>
      </c>
      <c r="AR122" s="978">
        <f t="shared" si="497"/>
        <v>0</v>
      </c>
      <c r="AS122" s="1166"/>
      <c r="AT122" s="1166"/>
      <c r="AU122" s="1166"/>
      <c r="AV122" s="1166"/>
      <c r="AW122" s="1166"/>
      <c r="AX122" s="1166"/>
      <c r="AZ122" s="980">
        <f t="shared" si="498"/>
        <v>0</v>
      </c>
      <c r="BB122" s="981"/>
    </row>
    <row r="123" spans="1:54" s="979" customFormat="1" ht="14.25" hidden="1" customHeight="1">
      <c r="A123" s="972">
        <f t="shared" si="500"/>
        <v>6</v>
      </c>
      <c r="B123" s="992" t="s">
        <v>859</v>
      </c>
      <c r="C123" s="974">
        <v>41640</v>
      </c>
      <c r="D123" s="975">
        <v>4</v>
      </c>
      <c r="E123" s="976">
        <f>4300000*0</f>
        <v>0</v>
      </c>
      <c r="F123" s="977">
        <f t="shared" si="471"/>
        <v>0</v>
      </c>
      <c r="G123" s="978">
        <f>(F123/12)*(13-IF(C123="","",MONTH(C123)))*1</f>
        <v>0</v>
      </c>
      <c r="H123" s="978">
        <f t="shared" si="472"/>
        <v>0</v>
      </c>
      <c r="I123" s="978">
        <f t="shared" si="473"/>
        <v>0</v>
      </c>
      <c r="J123" s="978">
        <f t="shared" si="499"/>
        <v>0</v>
      </c>
      <c r="K123" s="978">
        <f t="shared" si="474"/>
        <v>0</v>
      </c>
      <c r="L123" s="978">
        <f t="shared" si="475"/>
        <v>0</v>
      </c>
      <c r="M123" s="978">
        <f t="shared" si="501"/>
        <v>0</v>
      </c>
      <c r="N123" s="978">
        <f t="shared" si="476"/>
        <v>0</v>
      </c>
      <c r="O123" s="978">
        <f t="shared" si="477"/>
        <v>0</v>
      </c>
      <c r="P123" s="978">
        <f t="shared" si="502"/>
        <v>0</v>
      </c>
      <c r="Q123" s="978">
        <f t="shared" si="478"/>
        <v>0</v>
      </c>
      <c r="R123" s="978">
        <f t="shared" si="479"/>
        <v>0</v>
      </c>
      <c r="S123" s="978">
        <f t="shared" si="480"/>
        <v>0</v>
      </c>
      <c r="T123" s="978">
        <f t="shared" si="481"/>
        <v>0</v>
      </c>
      <c r="U123" s="978">
        <f t="shared" si="482"/>
        <v>0</v>
      </c>
      <c r="V123" s="978">
        <f t="shared" si="483"/>
        <v>0</v>
      </c>
      <c r="W123" s="978">
        <f t="shared" si="484"/>
        <v>0</v>
      </c>
      <c r="X123" s="978">
        <f t="shared" si="485"/>
        <v>0</v>
      </c>
      <c r="Y123" s="978">
        <f>4300000*0</f>
        <v>0</v>
      </c>
      <c r="Z123" s="978">
        <f t="shared" si="486"/>
        <v>0</v>
      </c>
      <c r="AA123" s="978">
        <f t="shared" si="487"/>
        <v>0</v>
      </c>
      <c r="AB123" s="978">
        <f t="shared" si="218"/>
        <v>0</v>
      </c>
      <c r="AC123" s="978">
        <f t="shared" si="488"/>
        <v>0</v>
      </c>
      <c r="AD123" s="978">
        <f t="shared" si="489"/>
        <v>0</v>
      </c>
      <c r="AE123" s="978">
        <f t="shared" si="490"/>
        <v>0</v>
      </c>
      <c r="AF123" s="978">
        <f t="shared" si="491"/>
        <v>0</v>
      </c>
      <c r="AG123" s="978">
        <f t="shared" si="492"/>
        <v>0</v>
      </c>
      <c r="AH123" s="978">
        <f t="shared" si="493"/>
        <v>0</v>
      </c>
      <c r="AI123" s="978">
        <f t="shared" si="494"/>
        <v>0</v>
      </c>
      <c r="AJ123" s="978"/>
      <c r="AK123" s="978"/>
      <c r="AL123" s="978"/>
      <c r="AM123" s="978"/>
      <c r="AN123" s="978"/>
      <c r="AO123" s="978"/>
      <c r="AP123" s="978">
        <f t="shared" si="495"/>
        <v>0</v>
      </c>
      <c r="AQ123" s="978">
        <f t="shared" si="496"/>
        <v>0</v>
      </c>
      <c r="AR123" s="978">
        <f t="shared" si="497"/>
        <v>0</v>
      </c>
      <c r="AS123" s="1166"/>
      <c r="AT123" s="1166"/>
      <c r="AU123" s="1166"/>
      <c r="AV123" s="1166"/>
      <c r="AW123" s="1166"/>
      <c r="AX123" s="1166"/>
      <c r="AZ123" s="980">
        <f t="shared" si="498"/>
        <v>0</v>
      </c>
      <c r="BB123" s="981"/>
    </row>
    <row r="124" spans="1:54" s="979" customFormat="1" ht="14.25" hidden="1" customHeight="1">
      <c r="A124" s="972">
        <f t="shared" si="500"/>
        <v>7</v>
      </c>
      <c r="B124" s="992" t="s">
        <v>860</v>
      </c>
      <c r="C124" s="974">
        <v>41640</v>
      </c>
      <c r="D124" s="975">
        <v>4</v>
      </c>
      <c r="E124" s="976">
        <f>8200000*0</f>
        <v>0</v>
      </c>
      <c r="F124" s="977">
        <f t="shared" si="471"/>
        <v>0</v>
      </c>
      <c r="G124" s="978">
        <f>(F124/12)*(13-IF(C124="","",MONTH(C124)))*1</f>
        <v>0</v>
      </c>
      <c r="H124" s="978">
        <f t="shared" si="472"/>
        <v>0</v>
      </c>
      <c r="I124" s="978">
        <f t="shared" si="473"/>
        <v>0</v>
      </c>
      <c r="J124" s="978">
        <f t="shared" si="499"/>
        <v>0</v>
      </c>
      <c r="K124" s="978">
        <f t="shared" si="474"/>
        <v>0</v>
      </c>
      <c r="L124" s="978">
        <f t="shared" si="475"/>
        <v>0</v>
      </c>
      <c r="M124" s="978">
        <f t="shared" si="501"/>
        <v>0</v>
      </c>
      <c r="N124" s="978">
        <f t="shared" si="476"/>
        <v>0</v>
      </c>
      <c r="O124" s="978">
        <f t="shared" si="477"/>
        <v>0</v>
      </c>
      <c r="P124" s="978">
        <f t="shared" si="502"/>
        <v>0</v>
      </c>
      <c r="Q124" s="978">
        <f t="shared" si="478"/>
        <v>0</v>
      </c>
      <c r="R124" s="978">
        <f t="shared" si="479"/>
        <v>0</v>
      </c>
      <c r="S124" s="978">
        <f t="shared" si="480"/>
        <v>0</v>
      </c>
      <c r="T124" s="978">
        <f t="shared" si="481"/>
        <v>0</v>
      </c>
      <c r="U124" s="978">
        <f t="shared" si="482"/>
        <v>0</v>
      </c>
      <c r="V124" s="978">
        <f t="shared" si="483"/>
        <v>0</v>
      </c>
      <c r="W124" s="978">
        <f t="shared" si="484"/>
        <v>0</v>
      </c>
      <c r="X124" s="978">
        <f t="shared" si="485"/>
        <v>0</v>
      </c>
      <c r="Y124" s="978">
        <f>8200000*0</f>
        <v>0</v>
      </c>
      <c r="Z124" s="978">
        <f t="shared" si="486"/>
        <v>0</v>
      </c>
      <c r="AA124" s="978">
        <f t="shared" si="487"/>
        <v>0</v>
      </c>
      <c r="AB124" s="978">
        <f t="shared" si="218"/>
        <v>0</v>
      </c>
      <c r="AC124" s="978">
        <f t="shared" si="488"/>
        <v>0</v>
      </c>
      <c r="AD124" s="978">
        <f t="shared" si="489"/>
        <v>0</v>
      </c>
      <c r="AE124" s="978">
        <f t="shared" si="490"/>
        <v>0</v>
      </c>
      <c r="AF124" s="978">
        <f t="shared" si="491"/>
        <v>0</v>
      </c>
      <c r="AG124" s="978">
        <f t="shared" si="492"/>
        <v>0</v>
      </c>
      <c r="AH124" s="978">
        <f t="shared" si="493"/>
        <v>0</v>
      </c>
      <c r="AI124" s="978">
        <f t="shared" si="494"/>
        <v>0</v>
      </c>
      <c r="AJ124" s="978"/>
      <c r="AK124" s="978"/>
      <c r="AL124" s="978"/>
      <c r="AM124" s="978"/>
      <c r="AN124" s="978"/>
      <c r="AO124" s="978"/>
      <c r="AP124" s="978">
        <f t="shared" si="495"/>
        <v>0</v>
      </c>
      <c r="AQ124" s="978">
        <f t="shared" si="496"/>
        <v>0</v>
      </c>
      <c r="AR124" s="978">
        <f t="shared" si="497"/>
        <v>0</v>
      </c>
      <c r="AS124" s="1166"/>
      <c r="AT124" s="1166"/>
      <c r="AU124" s="1166"/>
      <c r="AV124" s="1166"/>
      <c r="AW124" s="1166"/>
      <c r="AX124" s="1166"/>
      <c r="AZ124" s="980">
        <f t="shared" si="498"/>
        <v>0</v>
      </c>
      <c r="BB124" s="981"/>
    </row>
    <row r="125" spans="1:54" s="979" customFormat="1" ht="14.25" hidden="1" customHeight="1">
      <c r="A125" s="972">
        <f t="shared" si="500"/>
        <v>8</v>
      </c>
      <c r="B125" s="992" t="s">
        <v>862</v>
      </c>
      <c r="C125" s="974">
        <v>42005</v>
      </c>
      <c r="D125" s="975">
        <v>4</v>
      </c>
      <c r="E125" s="976">
        <f>5937500*0</f>
        <v>0</v>
      </c>
      <c r="F125" s="977">
        <f t="shared" si="471"/>
        <v>0</v>
      </c>
      <c r="G125" s="978"/>
      <c r="H125" s="978"/>
      <c r="I125" s="978"/>
      <c r="J125" s="978">
        <f t="shared" ref="J125" si="503">(F125/12)*(13-IF(C125="","",MONTH(C125)))</f>
        <v>0</v>
      </c>
      <c r="K125" s="978">
        <f t="shared" ref="K125" si="504">J125+H125</f>
        <v>0</v>
      </c>
      <c r="L125" s="978">
        <f t="shared" ref="L125" si="505">E125-K125</f>
        <v>0</v>
      </c>
      <c r="M125" s="978">
        <f t="shared" si="501"/>
        <v>0</v>
      </c>
      <c r="N125" s="978">
        <f t="shared" si="476"/>
        <v>0</v>
      </c>
      <c r="O125" s="978">
        <f t="shared" si="477"/>
        <v>0</v>
      </c>
      <c r="P125" s="978">
        <f t="shared" si="502"/>
        <v>0</v>
      </c>
      <c r="Q125" s="978">
        <f t="shared" si="478"/>
        <v>0</v>
      </c>
      <c r="R125" s="978">
        <f t="shared" si="479"/>
        <v>0</v>
      </c>
      <c r="S125" s="978">
        <f>(F125/12)*12</f>
        <v>0</v>
      </c>
      <c r="T125" s="978">
        <f t="shared" ref="T125:T129" si="506">Q125+S125</f>
        <v>0</v>
      </c>
      <c r="U125" s="978">
        <f t="shared" ref="U125:U129" si="507">E125-T125</f>
        <v>0</v>
      </c>
      <c r="V125" s="978">
        <f>(F125/12)*0</f>
        <v>0</v>
      </c>
      <c r="W125" s="978">
        <f>V125+T125</f>
        <v>0</v>
      </c>
      <c r="X125" s="978">
        <f t="shared" ref="X125:X131" si="508">E125-W125</f>
        <v>0</v>
      </c>
      <c r="Y125" s="978">
        <f>5937500*0</f>
        <v>0</v>
      </c>
      <c r="Z125" s="978">
        <f t="shared" si="486"/>
        <v>0</v>
      </c>
      <c r="AA125" s="978">
        <f>(F125/12)*0</f>
        <v>0</v>
      </c>
      <c r="AB125" s="978">
        <f t="shared" si="218"/>
        <v>0</v>
      </c>
      <c r="AC125" s="978">
        <f t="shared" ref="AC125:AC131" si="509">E125-AB125</f>
        <v>0</v>
      </c>
      <c r="AD125" s="978">
        <f t="shared" ref="AD125:AD131" si="510">(F125/12)*0</f>
        <v>0</v>
      </c>
      <c r="AE125" s="978">
        <f t="shared" ref="AE125:AE131" si="511">AD125+AB125</f>
        <v>0</v>
      </c>
      <c r="AF125" s="978">
        <f t="shared" ref="AF125:AF131" si="512">E125-AE125</f>
        <v>0</v>
      </c>
      <c r="AG125" s="978">
        <f t="shared" ref="AG125:AG131" si="513">(F125/12)*0</f>
        <v>0</v>
      </c>
      <c r="AH125" s="978">
        <f t="shared" ref="AH125:AH131" si="514">AE125+AG125</f>
        <v>0</v>
      </c>
      <c r="AI125" s="978">
        <f t="shared" ref="AI125:AI131" si="515">E125-AH125</f>
        <v>0</v>
      </c>
      <c r="AJ125" s="978"/>
      <c r="AK125" s="978"/>
      <c r="AL125" s="978"/>
      <c r="AM125" s="978"/>
      <c r="AN125" s="978"/>
      <c r="AO125" s="978"/>
      <c r="AP125" s="978">
        <f t="shared" ref="AP125:AP131" si="516">(F125/12)*0</f>
        <v>0</v>
      </c>
      <c r="AQ125" s="978">
        <f t="shared" ref="AQ125:AQ131" si="517">AP125+AH125</f>
        <v>0</v>
      </c>
      <c r="AR125" s="978">
        <f t="shared" ref="AR125:AR131" si="518">E125-AQ125</f>
        <v>0</v>
      </c>
      <c r="AS125" s="1166"/>
      <c r="AT125" s="1166"/>
      <c r="AU125" s="1166"/>
      <c r="AV125" s="1166"/>
      <c r="AW125" s="1166"/>
      <c r="AX125" s="1166"/>
      <c r="AZ125" s="980">
        <f t="shared" si="498"/>
        <v>0</v>
      </c>
      <c r="BB125" s="981"/>
    </row>
    <row r="126" spans="1:54" s="979" customFormat="1" ht="14.25" hidden="1" customHeight="1">
      <c r="A126" s="972">
        <f t="shared" si="500"/>
        <v>9</v>
      </c>
      <c r="B126" s="992" t="s">
        <v>863</v>
      </c>
      <c r="C126" s="974">
        <v>43101</v>
      </c>
      <c r="D126" s="975">
        <v>4</v>
      </c>
      <c r="E126" s="976">
        <f>2930000*0</f>
        <v>0</v>
      </c>
      <c r="F126" s="977">
        <f t="shared" si="471"/>
        <v>0</v>
      </c>
      <c r="G126" s="978"/>
      <c r="H126" s="978"/>
      <c r="I126" s="978"/>
      <c r="J126" s="978"/>
      <c r="K126" s="978"/>
      <c r="L126" s="978"/>
      <c r="M126" s="978"/>
      <c r="N126" s="978"/>
      <c r="O126" s="978"/>
      <c r="P126" s="978"/>
      <c r="Q126" s="978"/>
      <c r="R126" s="978"/>
      <c r="S126" s="978">
        <f t="shared" ref="S126:S129" si="519">(F126/12)*(13-IF(C126="","",MONTH(C126)))</f>
        <v>0</v>
      </c>
      <c r="T126" s="978">
        <f t="shared" si="506"/>
        <v>0</v>
      </c>
      <c r="U126" s="978">
        <f t="shared" si="507"/>
        <v>0</v>
      </c>
      <c r="V126" s="978">
        <f t="shared" ref="V126:V129" si="520">(F126/12)*12</f>
        <v>0</v>
      </c>
      <c r="W126" s="978">
        <f t="shared" ref="W126:W131" si="521">V126+T126</f>
        <v>0</v>
      </c>
      <c r="X126" s="978">
        <f t="shared" si="508"/>
        <v>0</v>
      </c>
      <c r="Y126" s="978">
        <f>2930000*0</f>
        <v>0</v>
      </c>
      <c r="Z126" s="978">
        <f t="shared" si="486"/>
        <v>0</v>
      </c>
      <c r="AA126" s="978">
        <f t="shared" ref="AA126:AA131" si="522">(F126/12)*0</f>
        <v>0</v>
      </c>
      <c r="AB126" s="978">
        <f t="shared" si="218"/>
        <v>0</v>
      </c>
      <c r="AC126" s="978">
        <f t="shared" si="509"/>
        <v>0</v>
      </c>
      <c r="AD126" s="978">
        <f t="shared" si="510"/>
        <v>0</v>
      </c>
      <c r="AE126" s="978">
        <f t="shared" si="511"/>
        <v>0</v>
      </c>
      <c r="AF126" s="978">
        <f t="shared" si="512"/>
        <v>0</v>
      </c>
      <c r="AG126" s="978">
        <f t="shared" si="513"/>
        <v>0</v>
      </c>
      <c r="AH126" s="978">
        <f t="shared" si="514"/>
        <v>0</v>
      </c>
      <c r="AI126" s="978">
        <f t="shared" si="515"/>
        <v>0</v>
      </c>
      <c r="AJ126" s="978"/>
      <c r="AK126" s="978"/>
      <c r="AL126" s="978"/>
      <c r="AM126" s="978"/>
      <c r="AN126" s="978"/>
      <c r="AO126" s="978"/>
      <c r="AP126" s="978">
        <f t="shared" si="516"/>
        <v>0</v>
      </c>
      <c r="AQ126" s="978">
        <f t="shared" si="517"/>
        <v>0</v>
      </c>
      <c r="AR126" s="978">
        <f t="shared" si="518"/>
        <v>0</v>
      </c>
      <c r="AS126" s="1166"/>
      <c r="AT126" s="1166"/>
      <c r="AU126" s="1166"/>
      <c r="AV126" s="1166"/>
      <c r="AW126" s="1166"/>
      <c r="AX126" s="1166"/>
      <c r="AZ126" s="980">
        <f t="shared" si="498"/>
        <v>0</v>
      </c>
      <c r="BB126" s="981"/>
    </row>
    <row r="127" spans="1:54" s="979" customFormat="1" ht="14.25" hidden="1" customHeight="1">
      <c r="A127" s="972">
        <f t="shared" si="500"/>
        <v>10</v>
      </c>
      <c r="B127" s="992" t="s">
        <v>864</v>
      </c>
      <c r="C127" s="974">
        <v>43101</v>
      </c>
      <c r="D127" s="975">
        <v>4</v>
      </c>
      <c r="E127" s="976">
        <f>4785000*0</f>
        <v>0</v>
      </c>
      <c r="F127" s="977">
        <f t="shared" si="471"/>
        <v>0</v>
      </c>
      <c r="G127" s="978"/>
      <c r="H127" s="978"/>
      <c r="I127" s="978"/>
      <c r="J127" s="978"/>
      <c r="K127" s="978"/>
      <c r="L127" s="978"/>
      <c r="M127" s="978"/>
      <c r="N127" s="978"/>
      <c r="O127" s="978"/>
      <c r="P127" s="978"/>
      <c r="Q127" s="978"/>
      <c r="R127" s="978"/>
      <c r="S127" s="978">
        <f t="shared" si="519"/>
        <v>0</v>
      </c>
      <c r="T127" s="978">
        <f t="shared" si="506"/>
        <v>0</v>
      </c>
      <c r="U127" s="978">
        <f t="shared" si="507"/>
        <v>0</v>
      </c>
      <c r="V127" s="978">
        <f t="shared" si="520"/>
        <v>0</v>
      </c>
      <c r="W127" s="978">
        <f t="shared" si="521"/>
        <v>0</v>
      </c>
      <c r="X127" s="978">
        <f t="shared" si="508"/>
        <v>0</v>
      </c>
      <c r="Y127" s="978">
        <f>4785000*0</f>
        <v>0</v>
      </c>
      <c r="Z127" s="978">
        <f t="shared" si="486"/>
        <v>0</v>
      </c>
      <c r="AA127" s="978">
        <f t="shared" si="522"/>
        <v>0</v>
      </c>
      <c r="AB127" s="978">
        <f t="shared" si="218"/>
        <v>0</v>
      </c>
      <c r="AC127" s="978">
        <f t="shared" si="509"/>
        <v>0</v>
      </c>
      <c r="AD127" s="978">
        <f t="shared" si="510"/>
        <v>0</v>
      </c>
      <c r="AE127" s="978">
        <f t="shared" si="511"/>
        <v>0</v>
      </c>
      <c r="AF127" s="978">
        <f t="shared" si="512"/>
        <v>0</v>
      </c>
      <c r="AG127" s="978">
        <f t="shared" si="513"/>
        <v>0</v>
      </c>
      <c r="AH127" s="978">
        <f t="shared" si="514"/>
        <v>0</v>
      </c>
      <c r="AI127" s="978">
        <f t="shared" si="515"/>
        <v>0</v>
      </c>
      <c r="AJ127" s="978"/>
      <c r="AK127" s="978"/>
      <c r="AL127" s="978"/>
      <c r="AM127" s="978"/>
      <c r="AN127" s="978"/>
      <c r="AO127" s="978"/>
      <c r="AP127" s="978">
        <f t="shared" si="516"/>
        <v>0</v>
      </c>
      <c r="AQ127" s="978">
        <f t="shared" si="517"/>
        <v>0</v>
      </c>
      <c r="AR127" s="978">
        <f t="shared" si="518"/>
        <v>0</v>
      </c>
      <c r="AS127" s="1166"/>
      <c r="AT127" s="1166"/>
      <c r="AU127" s="1166"/>
      <c r="AV127" s="1166"/>
      <c r="AW127" s="1166"/>
      <c r="AX127" s="1166"/>
      <c r="AZ127" s="980">
        <f t="shared" si="498"/>
        <v>0</v>
      </c>
      <c r="BB127" s="981"/>
    </row>
    <row r="128" spans="1:54" s="979" customFormat="1" ht="14.25" hidden="1" customHeight="1">
      <c r="A128" s="972">
        <f t="shared" si="500"/>
        <v>11</v>
      </c>
      <c r="B128" s="992" t="s">
        <v>865</v>
      </c>
      <c r="C128" s="974">
        <v>43101</v>
      </c>
      <c r="D128" s="975">
        <v>4</v>
      </c>
      <c r="E128" s="976">
        <f>3000000*0</f>
        <v>0</v>
      </c>
      <c r="F128" s="977">
        <f t="shared" si="471"/>
        <v>0</v>
      </c>
      <c r="G128" s="978"/>
      <c r="H128" s="978"/>
      <c r="I128" s="978"/>
      <c r="J128" s="978"/>
      <c r="K128" s="978"/>
      <c r="L128" s="978"/>
      <c r="M128" s="978"/>
      <c r="N128" s="978"/>
      <c r="O128" s="978"/>
      <c r="P128" s="978"/>
      <c r="Q128" s="978"/>
      <c r="R128" s="978"/>
      <c r="S128" s="978">
        <f t="shared" si="519"/>
        <v>0</v>
      </c>
      <c r="T128" s="978">
        <f t="shared" si="506"/>
        <v>0</v>
      </c>
      <c r="U128" s="978">
        <f t="shared" si="507"/>
        <v>0</v>
      </c>
      <c r="V128" s="978">
        <f t="shared" si="520"/>
        <v>0</v>
      </c>
      <c r="W128" s="978">
        <f t="shared" si="521"/>
        <v>0</v>
      </c>
      <c r="X128" s="978">
        <f t="shared" si="508"/>
        <v>0</v>
      </c>
      <c r="Y128" s="978">
        <f>3000000*0</f>
        <v>0</v>
      </c>
      <c r="Z128" s="978">
        <f t="shared" si="486"/>
        <v>0</v>
      </c>
      <c r="AA128" s="978">
        <f t="shared" si="522"/>
        <v>0</v>
      </c>
      <c r="AB128" s="978">
        <f t="shared" si="218"/>
        <v>0</v>
      </c>
      <c r="AC128" s="978">
        <f t="shared" si="509"/>
        <v>0</v>
      </c>
      <c r="AD128" s="978">
        <f t="shared" si="510"/>
        <v>0</v>
      </c>
      <c r="AE128" s="978">
        <f t="shared" si="511"/>
        <v>0</v>
      </c>
      <c r="AF128" s="978">
        <f t="shared" si="512"/>
        <v>0</v>
      </c>
      <c r="AG128" s="978">
        <f t="shared" si="513"/>
        <v>0</v>
      </c>
      <c r="AH128" s="978">
        <f t="shared" si="514"/>
        <v>0</v>
      </c>
      <c r="AI128" s="978">
        <f t="shared" si="515"/>
        <v>0</v>
      </c>
      <c r="AJ128" s="978"/>
      <c r="AK128" s="978"/>
      <c r="AL128" s="978"/>
      <c r="AM128" s="978"/>
      <c r="AN128" s="978"/>
      <c r="AO128" s="978"/>
      <c r="AP128" s="978">
        <f t="shared" si="516"/>
        <v>0</v>
      </c>
      <c r="AQ128" s="978">
        <f t="shared" si="517"/>
        <v>0</v>
      </c>
      <c r="AR128" s="978">
        <f t="shared" si="518"/>
        <v>0</v>
      </c>
      <c r="AS128" s="1166"/>
      <c r="AT128" s="1166"/>
      <c r="AU128" s="1166"/>
      <c r="AV128" s="1166"/>
      <c r="AW128" s="1166"/>
      <c r="AX128" s="1166"/>
      <c r="AZ128" s="980">
        <f t="shared" si="498"/>
        <v>0</v>
      </c>
      <c r="BB128" s="981"/>
    </row>
    <row r="129" spans="1:54" s="979" customFormat="1" ht="14.25" hidden="1" customHeight="1">
      <c r="A129" s="972">
        <f t="shared" si="500"/>
        <v>12</v>
      </c>
      <c r="B129" s="992" t="s">
        <v>866</v>
      </c>
      <c r="C129" s="974">
        <v>43101</v>
      </c>
      <c r="D129" s="975">
        <v>4</v>
      </c>
      <c r="E129" s="976">
        <f>5890000*0</f>
        <v>0</v>
      </c>
      <c r="F129" s="977">
        <f t="shared" si="471"/>
        <v>0</v>
      </c>
      <c r="G129" s="978"/>
      <c r="H129" s="978"/>
      <c r="I129" s="978"/>
      <c r="J129" s="978"/>
      <c r="K129" s="978"/>
      <c r="L129" s="978"/>
      <c r="M129" s="978"/>
      <c r="N129" s="978"/>
      <c r="O129" s="978"/>
      <c r="P129" s="978"/>
      <c r="Q129" s="978"/>
      <c r="R129" s="978"/>
      <c r="S129" s="978">
        <f t="shared" si="519"/>
        <v>0</v>
      </c>
      <c r="T129" s="978">
        <f t="shared" si="506"/>
        <v>0</v>
      </c>
      <c r="U129" s="978">
        <f t="shared" si="507"/>
        <v>0</v>
      </c>
      <c r="V129" s="978">
        <f t="shared" si="520"/>
        <v>0</v>
      </c>
      <c r="W129" s="978">
        <f t="shared" si="521"/>
        <v>0</v>
      </c>
      <c r="X129" s="978">
        <f t="shared" si="508"/>
        <v>0</v>
      </c>
      <c r="Y129" s="978">
        <f>5890000*0</f>
        <v>0</v>
      </c>
      <c r="Z129" s="978">
        <f t="shared" si="486"/>
        <v>0</v>
      </c>
      <c r="AA129" s="978">
        <f t="shared" si="522"/>
        <v>0</v>
      </c>
      <c r="AB129" s="978">
        <f t="shared" si="218"/>
        <v>0</v>
      </c>
      <c r="AC129" s="978">
        <f t="shared" si="509"/>
        <v>0</v>
      </c>
      <c r="AD129" s="978">
        <f t="shared" si="510"/>
        <v>0</v>
      </c>
      <c r="AE129" s="978">
        <f t="shared" si="511"/>
        <v>0</v>
      </c>
      <c r="AF129" s="978">
        <f t="shared" si="512"/>
        <v>0</v>
      </c>
      <c r="AG129" s="978">
        <f t="shared" si="513"/>
        <v>0</v>
      </c>
      <c r="AH129" s="978">
        <f t="shared" si="514"/>
        <v>0</v>
      </c>
      <c r="AI129" s="978">
        <f t="shared" si="515"/>
        <v>0</v>
      </c>
      <c r="AJ129" s="978"/>
      <c r="AK129" s="978"/>
      <c r="AL129" s="978"/>
      <c r="AM129" s="978"/>
      <c r="AN129" s="978"/>
      <c r="AO129" s="978"/>
      <c r="AP129" s="978">
        <f t="shared" si="516"/>
        <v>0</v>
      </c>
      <c r="AQ129" s="978">
        <f t="shared" si="517"/>
        <v>0</v>
      </c>
      <c r="AR129" s="978">
        <f t="shared" si="518"/>
        <v>0</v>
      </c>
      <c r="AS129" s="1166"/>
      <c r="AT129" s="1166"/>
      <c r="AU129" s="1166"/>
      <c r="AV129" s="1166"/>
      <c r="AW129" s="1166"/>
      <c r="AX129" s="1166"/>
      <c r="AZ129" s="980">
        <f t="shared" si="498"/>
        <v>0</v>
      </c>
      <c r="BB129" s="981"/>
    </row>
    <row r="130" spans="1:54" s="979" customFormat="1" ht="14.25" hidden="1" customHeight="1">
      <c r="A130" s="972">
        <f t="shared" si="500"/>
        <v>13</v>
      </c>
      <c r="B130" s="992" t="s">
        <v>867</v>
      </c>
      <c r="C130" s="974">
        <v>43776</v>
      </c>
      <c r="D130" s="975">
        <v>4</v>
      </c>
      <c r="E130" s="976">
        <f>3300000*0</f>
        <v>0</v>
      </c>
      <c r="F130" s="977">
        <f t="shared" si="471"/>
        <v>0</v>
      </c>
      <c r="G130" s="978"/>
      <c r="H130" s="978"/>
      <c r="I130" s="978"/>
      <c r="J130" s="978"/>
      <c r="K130" s="978"/>
      <c r="L130" s="978"/>
      <c r="M130" s="978"/>
      <c r="N130" s="978"/>
      <c r="O130" s="978"/>
      <c r="P130" s="978"/>
      <c r="Q130" s="978"/>
      <c r="R130" s="978"/>
      <c r="S130" s="978"/>
      <c r="T130" s="978"/>
      <c r="U130" s="978"/>
      <c r="V130" s="978">
        <f t="shared" ref="V130:V131" si="523">(F130/12)*(13-IF(C130="","",MONTH(C130)))</f>
        <v>0</v>
      </c>
      <c r="W130" s="978">
        <f t="shared" si="521"/>
        <v>0</v>
      </c>
      <c r="X130" s="978">
        <f t="shared" si="508"/>
        <v>0</v>
      </c>
      <c r="Y130" s="978">
        <f>3300000*0</f>
        <v>0</v>
      </c>
      <c r="Z130" s="978">
        <f t="shared" si="486"/>
        <v>0</v>
      </c>
      <c r="AA130" s="978">
        <f t="shared" si="522"/>
        <v>0</v>
      </c>
      <c r="AB130" s="978">
        <f t="shared" si="218"/>
        <v>0</v>
      </c>
      <c r="AC130" s="978">
        <f t="shared" si="509"/>
        <v>0</v>
      </c>
      <c r="AD130" s="978">
        <f t="shared" si="510"/>
        <v>0</v>
      </c>
      <c r="AE130" s="978">
        <f t="shared" si="511"/>
        <v>0</v>
      </c>
      <c r="AF130" s="978">
        <f t="shared" si="512"/>
        <v>0</v>
      </c>
      <c r="AG130" s="978">
        <f t="shared" si="513"/>
        <v>0</v>
      </c>
      <c r="AH130" s="978">
        <f t="shared" si="514"/>
        <v>0</v>
      </c>
      <c r="AI130" s="978">
        <f t="shared" si="515"/>
        <v>0</v>
      </c>
      <c r="AJ130" s="978"/>
      <c r="AK130" s="978"/>
      <c r="AL130" s="978"/>
      <c r="AM130" s="978"/>
      <c r="AN130" s="978"/>
      <c r="AO130" s="978"/>
      <c r="AP130" s="978">
        <f t="shared" si="516"/>
        <v>0</v>
      </c>
      <c r="AQ130" s="978">
        <f t="shared" si="517"/>
        <v>0</v>
      </c>
      <c r="AR130" s="978">
        <f t="shared" si="518"/>
        <v>0</v>
      </c>
      <c r="AS130" s="1166"/>
      <c r="AT130" s="1166"/>
      <c r="AU130" s="1166"/>
      <c r="AV130" s="1166"/>
      <c r="AW130" s="1166"/>
      <c r="AX130" s="1166"/>
      <c r="AZ130" s="980">
        <f t="shared" si="498"/>
        <v>0</v>
      </c>
      <c r="BB130" s="981"/>
    </row>
    <row r="131" spans="1:54" s="979" customFormat="1" ht="14.25" hidden="1" customHeight="1">
      <c r="A131" s="972">
        <f t="shared" si="500"/>
        <v>14</v>
      </c>
      <c r="B131" s="992" t="s">
        <v>868</v>
      </c>
      <c r="C131" s="974">
        <v>43787</v>
      </c>
      <c r="D131" s="975">
        <v>4</v>
      </c>
      <c r="E131" s="976">
        <f>1288952*0</f>
        <v>0</v>
      </c>
      <c r="F131" s="977">
        <f t="shared" si="471"/>
        <v>0</v>
      </c>
      <c r="G131" s="978"/>
      <c r="H131" s="978"/>
      <c r="I131" s="978"/>
      <c r="J131" s="978"/>
      <c r="K131" s="978"/>
      <c r="L131" s="978"/>
      <c r="M131" s="978"/>
      <c r="N131" s="978"/>
      <c r="O131" s="978"/>
      <c r="P131" s="978"/>
      <c r="Q131" s="978"/>
      <c r="R131" s="978"/>
      <c r="S131" s="978"/>
      <c r="T131" s="978"/>
      <c r="U131" s="978"/>
      <c r="V131" s="978">
        <f t="shared" si="523"/>
        <v>0</v>
      </c>
      <c r="W131" s="978">
        <f t="shared" si="521"/>
        <v>0</v>
      </c>
      <c r="X131" s="978">
        <f t="shared" si="508"/>
        <v>0</v>
      </c>
      <c r="Y131" s="978">
        <f>1288952*0</f>
        <v>0</v>
      </c>
      <c r="Z131" s="978">
        <f t="shared" si="486"/>
        <v>0</v>
      </c>
      <c r="AA131" s="978">
        <f t="shared" si="522"/>
        <v>0</v>
      </c>
      <c r="AB131" s="978">
        <f t="shared" si="218"/>
        <v>0</v>
      </c>
      <c r="AC131" s="978">
        <f t="shared" si="509"/>
        <v>0</v>
      </c>
      <c r="AD131" s="978">
        <f t="shared" si="510"/>
        <v>0</v>
      </c>
      <c r="AE131" s="978">
        <f t="shared" si="511"/>
        <v>0</v>
      </c>
      <c r="AF131" s="978">
        <f t="shared" si="512"/>
        <v>0</v>
      </c>
      <c r="AG131" s="978">
        <f t="shared" si="513"/>
        <v>0</v>
      </c>
      <c r="AH131" s="978">
        <f t="shared" si="514"/>
        <v>0</v>
      </c>
      <c r="AI131" s="978">
        <f t="shared" si="515"/>
        <v>0</v>
      </c>
      <c r="AJ131" s="978"/>
      <c r="AK131" s="978"/>
      <c r="AL131" s="978"/>
      <c r="AM131" s="978"/>
      <c r="AN131" s="978"/>
      <c r="AO131" s="978"/>
      <c r="AP131" s="978">
        <f t="shared" si="516"/>
        <v>0</v>
      </c>
      <c r="AQ131" s="978">
        <f t="shared" si="517"/>
        <v>0</v>
      </c>
      <c r="AR131" s="978">
        <f t="shared" si="518"/>
        <v>0</v>
      </c>
      <c r="AS131" s="1166"/>
      <c r="AT131" s="1166"/>
      <c r="AU131" s="1166"/>
      <c r="AV131" s="1166"/>
      <c r="AW131" s="1166"/>
      <c r="AX131" s="1166"/>
      <c r="AZ131" s="980">
        <f t="shared" si="498"/>
        <v>0</v>
      </c>
      <c r="BB131" s="981"/>
    </row>
    <row r="132" spans="1:54" s="979" customFormat="1" ht="14.25" hidden="1" customHeight="1">
      <c r="A132" s="972">
        <f t="shared" si="500"/>
        <v>15</v>
      </c>
      <c r="B132" s="992" t="s">
        <v>869</v>
      </c>
      <c r="C132" s="974">
        <v>44197</v>
      </c>
      <c r="D132" s="975">
        <v>4</v>
      </c>
      <c r="E132" s="976">
        <f>1050000*0</f>
        <v>0</v>
      </c>
      <c r="F132" s="977">
        <f t="shared" si="471"/>
        <v>0</v>
      </c>
      <c r="G132" s="978"/>
      <c r="H132" s="978"/>
      <c r="I132" s="978"/>
      <c r="J132" s="978"/>
      <c r="K132" s="978"/>
      <c r="L132" s="978"/>
      <c r="M132" s="978"/>
      <c r="N132" s="978"/>
      <c r="O132" s="978"/>
      <c r="P132" s="978"/>
      <c r="Q132" s="978"/>
      <c r="R132" s="978"/>
      <c r="S132" s="978"/>
      <c r="T132" s="978"/>
      <c r="U132" s="978"/>
      <c r="V132" s="978"/>
      <c r="W132" s="978"/>
      <c r="X132" s="978"/>
      <c r="Y132" s="978"/>
      <c r="Z132" s="978"/>
      <c r="AA132" s="978"/>
      <c r="AB132" s="978">
        <f t="shared" si="218"/>
        <v>0</v>
      </c>
      <c r="AC132" s="978"/>
      <c r="AD132" s="978">
        <f>(F132/12)*(13-IF(C132="","",MONTH(C132)))</f>
        <v>0</v>
      </c>
      <c r="AE132" s="978">
        <f t="shared" ref="AE132" si="524">AD132+AB132</f>
        <v>0</v>
      </c>
      <c r="AF132" s="978">
        <f t="shared" ref="AF132" si="525">E132-AE132</f>
        <v>0</v>
      </c>
      <c r="AG132" s="978">
        <f>(F132/12)*12</f>
        <v>0</v>
      </c>
      <c r="AH132" s="978">
        <f t="shared" ref="AH132" si="526">AE132+AG132</f>
        <v>0</v>
      </c>
      <c r="AI132" s="978">
        <f t="shared" ref="AI132" si="527">E132-AH132</f>
        <v>0</v>
      </c>
      <c r="AJ132" s="978"/>
      <c r="AK132" s="978"/>
      <c r="AL132" s="978"/>
      <c r="AM132" s="978"/>
      <c r="AN132" s="978"/>
      <c r="AO132" s="978"/>
      <c r="AP132" s="978">
        <f>(F132/12)*7</f>
        <v>0</v>
      </c>
      <c r="AQ132" s="978">
        <f t="shared" ref="AQ132" si="528">AP132+AH132</f>
        <v>0</v>
      </c>
      <c r="AR132" s="978">
        <f t="shared" ref="AR132" si="529">E132-AQ132</f>
        <v>0</v>
      </c>
      <c r="AS132" s="1166"/>
      <c r="AT132" s="1166"/>
      <c r="AU132" s="1166"/>
      <c r="AV132" s="1166"/>
      <c r="AW132" s="1166"/>
      <c r="AX132" s="1166"/>
      <c r="AZ132" s="980">
        <f t="shared" si="498"/>
        <v>0</v>
      </c>
      <c r="BB132" s="981"/>
    </row>
    <row r="133" spans="1:54" s="220" customFormat="1" ht="14.25" customHeight="1">
      <c r="A133" s="987" t="s">
        <v>871</v>
      </c>
      <c r="B133" s="988" t="s">
        <v>870</v>
      </c>
      <c r="C133" s="993"/>
      <c r="D133" s="990"/>
      <c r="E133" s="1064"/>
      <c r="F133" s="1065"/>
      <c r="G133" s="1066"/>
      <c r="H133" s="1066"/>
      <c r="I133" s="1066"/>
      <c r="J133" s="1066"/>
      <c r="K133" s="1066"/>
      <c r="L133" s="1066"/>
      <c r="M133" s="1066"/>
      <c r="N133" s="1066"/>
      <c r="O133" s="1066"/>
      <c r="P133" s="1066"/>
      <c r="Q133" s="1066"/>
      <c r="R133" s="1066"/>
      <c r="S133" s="1066"/>
      <c r="T133" s="1066"/>
      <c r="U133" s="1066"/>
      <c r="V133" s="1066"/>
      <c r="W133" s="1066"/>
      <c r="X133" s="1066"/>
      <c r="Y133" s="991"/>
      <c r="Z133" s="991"/>
      <c r="AA133" s="1066"/>
      <c r="AB133" s="1066">
        <f t="shared" si="218"/>
        <v>0</v>
      </c>
      <c r="AC133" s="1066"/>
      <c r="AD133" s="1066"/>
      <c r="AE133" s="1066"/>
      <c r="AF133" s="1066"/>
      <c r="AG133" s="1066"/>
      <c r="AH133" s="1066"/>
      <c r="AI133" s="1066"/>
      <c r="AJ133" s="1066"/>
      <c r="AK133" s="1066"/>
      <c r="AL133" s="1066"/>
      <c r="AM133" s="1066"/>
      <c r="AN133" s="1066"/>
      <c r="AO133" s="1066"/>
      <c r="AP133" s="1066"/>
      <c r="AQ133" s="1066"/>
      <c r="AR133" s="1066"/>
      <c r="AS133" s="1066"/>
      <c r="AT133" s="1066"/>
      <c r="AU133" s="1066"/>
      <c r="AV133" s="1066"/>
      <c r="AW133" s="1066"/>
      <c r="AX133" s="1066"/>
      <c r="AZ133" s="8">
        <f t="shared" ref="AZ133" si="530">E133-AW133-AX133</f>
        <v>0</v>
      </c>
      <c r="BB133" s="229"/>
    </row>
    <row r="134" spans="1:54" s="979" customFormat="1" ht="14.25" hidden="1" customHeight="1">
      <c r="A134" s="972">
        <v>1</v>
      </c>
      <c r="B134" s="992" t="s">
        <v>872</v>
      </c>
      <c r="C134" s="974">
        <v>40179</v>
      </c>
      <c r="D134" s="975">
        <v>4</v>
      </c>
      <c r="E134" s="976">
        <f>50500000*0</f>
        <v>0</v>
      </c>
      <c r="F134" s="977">
        <f t="shared" si="471"/>
        <v>0</v>
      </c>
      <c r="G134" s="978">
        <f>(F134/12)*(13-IF(C134="","",MONTH(C134)))*4</f>
        <v>0</v>
      </c>
      <c r="H134" s="978">
        <f t="shared" ref="H134:H138" si="531">G134</f>
        <v>0</v>
      </c>
      <c r="I134" s="978">
        <f t="shared" ref="I134:I138" si="532">E134-H134</f>
        <v>0</v>
      </c>
      <c r="J134" s="978">
        <f>(F134/12)*0</f>
        <v>0</v>
      </c>
      <c r="K134" s="978">
        <f t="shared" ref="K134:K138" si="533">J134+H134</f>
        <v>0</v>
      </c>
      <c r="L134" s="978">
        <f t="shared" ref="L134:L138" si="534">E134-K134</f>
        <v>0</v>
      </c>
      <c r="M134" s="978">
        <f>(F134/12)*0</f>
        <v>0</v>
      </c>
      <c r="N134" s="978">
        <f t="shared" ref="N134:N139" si="535">K134+M134</f>
        <v>0</v>
      </c>
      <c r="O134" s="978">
        <f t="shared" ref="O134:O139" si="536">E134-N134</f>
        <v>0</v>
      </c>
      <c r="P134" s="978">
        <f>(F134/12)*0</f>
        <v>0</v>
      </c>
      <c r="Q134" s="978">
        <f t="shared" ref="Q134:Q139" si="537">N134+P134</f>
        <v>0</v>
      </c>
      <c r="R134" s="978">
        <f t="shared" ref="R134:R139" si="538">E134-Q134</f>
        <v>0</v>
      </c>
      <c r="S134" s="978">
        <f t="shared" ref="S134:S138" si="539">(F134/12)*0</f>
        <v>0</v>
      </c>
      <c r="T134" s="978">
        <f t="shared" ref="T134:T138" si="540">Q134+S134</f>
        <v>0</v>
      </c>
      <c r="U134" s="978">
        <f t="shared" ref="U134:U138" si="541">E134-T134</f>
        <v>0</v>
      </c>
      <c r="V134" s="978">
        <f t="shared" ref="V134:V138" si="542">(F134/12)*0</f>
        <v>0</v>
      </c>
      <c r="W134" s="978">
        <f t="shared" ref="W134:W138" si="543">V134+T134</f>
        <v>0</v>
      </c>
      <c r="X134" s="978">
        <f t="shared" ref="X134:X138" si="544">E134-W134</f>
        <v>0</v>
      </c>
      <c r="Y134" s="978">
        <f>50500000*0</f>
        <v>0</v>
      </c>
      <c r="Z134" s="978">
        <f t="shared" ref="Z134:Z142" si="545">E134-Y134</f>
        <v>0</v>
      </c>
      <c r="AA134" s="978">
        <f t="shared" ref="AA134:AA138" si="546">(F134/12)*0</f>
        <v>0</v>
      </c>
      <c r="AB134" s="978">
        <f t="shared" si="218"/>
        <v>0</v>
      </c>
      <c r="AC134" s="978">
        <f t="shared" ref="AC134:AC138" si="547">E134-AB134</f>
        <v>0</v>
      </c>
      <c r="AD134" s="978">
        <f t="shared" ref="AD134:AD138" si="548">(F134/12)*0</f>
        <v>0</v>
      </c>
      <c r="AE134" s="978">
        <f t="shared" ref="AE134:AE138" si="549">AD134+AB134</f>
        <v>0</v>
      </c>
      <c r="AF134" s="978">
        <f t="shared" ref="AF134:AF138" si="550">E134-AE134</f>
        <v>0</v>
      </c>
      <c r="AG134" s="978">
        <f t="shared" ref="AG134:AG138" si="551">(F134/12)*0</f>
        <v>0</v>
      </c>
      <c r="AH134" s="978">
        <f t="shared" ref="AH134:AH138" si="552">AE134+AG134</f>
        <v>0</v>
      </c>
      <c r="AI134" s="978">
        <f t="shared" ref="AI134:AI138" si="553">E134-AH134</f>
        <v>0</v>
      </c>
      <c r="AJ134" s="978"/>
      <c r="AK134" s="978"/>
      <c r="AL134" s="978"/>
      <c r="AM134" s="978"/>
      <c r="AN134" s="978"/>
      <c r="AO134" s="978"/>
      <c r="AP134" s="978">
        <f t="shared" ref="AP134:AP138" si="554">(F134/12)*0</f>
        <v>0</v>
      </c>
      <c r="AQ134" s="978">
        <f t="shared" ref="AQ134:AQ138" si="555">AP134+AH134</f>
        <v>0</v>
      </c>
      <c r="AR134" s="978">
        <f t="shared" ref="AR134:AR138" si="556">E134-AQ134</f>
        <v>0</v>
      </c>
      <c r="AS134" s="1166"/>
      <c r="AT134" s="1166"/>
      <c r="AU134" s="1166"/>
      <c r="AV134" s="1166"/>
      <c r="AW134" s="1166"/>
      <c r="AX134" s="1166"/>
      <c r="AZ134" s="980">
        <f t="shared" si="498"/>
        <v>0</v>
      </c>
      <c r="BB134" s="981"/>
    </row>
    <row r="135" spans="1:54" s="979" customFormat="1" ht="14.25" hidden="1" customHeight="1">
      <c r="A135" s="972">
        <f>A134+1</f>
        <v>2</v>
      </c>
      <c r="B135" s="992" t="s">
        <v>873</v>
      </c>
      <c r="C135" s="974">
        <v>40544</v>
      </c>
      <c r="D135" s="975">
        <v>4</v>
      </c>
      <c r="E135" s="976">
        <f>26000000*0</f>
        <v>0</v>
      </c>
      <c r="F135" s="977">
        <f t="shared" si="471"/>
        <v>0</v>
      </c>
      <c r="G135" s="978">
        <f>(F135/12)*(13-IF(C135="","",MONTH(C135)))*4</f>
        <v>0</v>
      </c>
      <c r="H135" s="978">
        <f t="shared" si="531"/>
        <v>0</v>
      </c>
      <c r="I135" s="978">
        <f t="shared" si="532"/>
        <v>0</v>
      </c>
      <c r="J135" s="978">
        <f>(F135/12)*0</f>
        <v>0</v>
      </c>
      <c r="K135" s="978">
        <f t="shared" si="533"/>
        <v>0</v>
      </c>
      <c r="L135" s="978">
        <f t="shared" si="534"/>
        <v>0</v>
      </c>
      <c r="M135" s="978">
        <f>(F135/12)*0</f>
        <v>0</v>
      </c>
      <c r="N135" s="978">
        <f t="shared" si="535"/>
        <v>0</v>
      </c>
      <c r="O135" s="978">
        <f t="shared" si="536"/>
        <v>0</v>
      </c>
      <c r="P135" s="978">
        <f>(F135/12)*0</f>
        <v>0</v>
      </c>
      <c r="Q135" s="978">
        <f t="shared" si="537"/>
        <v>0</v>
      </c>
      <c r="R135" s="978">
        <f t="shared" si="538"/>
        <v>0</v>
      </c>
      <c r="S135" s="978">
        <f t="shared" si="539"/>
        <v>0</v>
      </c>
      <c r="T135" s="978">
        <f t="shared" si="540"/>
        <v>0</v>
      </c>
      <c r="U135" s="978">
        <f t="shared" si="541"/>
        <v>0</v>
      </c>
      <c r="V135" s="978">
        <f t="shared" si="542"/>
        <v>0</v>
      </c>
      <c r="W135" s="978">
        <f t="shared" si="543"/>
        <v>0</v>
      </c>
      <c r="X135" s="978">
        <f t="shared" si="544"/>
        <v>0</v>
      </c>
      <c r="Y135" s="978">
        <f>26000000*0</f>
        <v>0</v>
      </c>
      <c r="Z135" s="978">
        <f t="shared" si="545"/>
        <v>0</v>
      </c>
      <c r="AA135" s="978">
        <f t="shared" si="546"/>
        <v>0</v>
      </c>
      <c r="AB135" s="978">
        <f t="shared" si="218"/>
        <v>0</v>
      </c>
      <c r="AC135" s="978">
        <f t="shared" si="547"/>
        <v>0</v>
      </c>
      <c r="AD135" s="978">
        <f t="shared" si="548"/>
        <v>0</v>
      </c>
      <c r="AE135" s="978">
        <f t="shared" si="549"/>
        <v>0</v>
      </c>
      <c r="AF135" s="978">
        <f t="shared" si="550"/>
        <v>0</v>
      </c>
      <c r="AG135" s="978">
        <f t="shared" si="551"/>
        <v>0</v>
      </c>
      <c r="AH135" s="978">
        <f t="shared" si="552"/>
        <v>0</v>
      </c>
      <c r="AI135" s="978">
        <f t="shared" si="553"/>
        <v>0</v>
      </c>
      <c r="AJ135" s="978"/>
      <c r="AK135" s="978"/>
      <c r="AL135" s="978"/>
      <c r="AM135" s="978"/>
      <c r="AN135" s="978"/>
      <c r="AO135" s="978"/>
      <c r="AP135" s="978">
        <f t="shared" si="554"/>
        <v>0</v>
      </c>
      <c r="AQ135" s="978">
        <f t="shared" si="555"/>
        <v>0</v>
      </c>
      <c r="AR135" s="978">
        <f t="shared" si="556"/>
        <v>0</v>
      </c>
      <c r="AS135" s="1166"/>
      <c r="AT135" s="1166"/>
      <c r="AU135" s="1166"/>
      <c r="AV135" s="1166"/>
      <c r="AW135" s="1166"/>
      <c r="AX135" s="1166"/>
      <c r="AZ135" s="980">
        <f t="shared" si="498"/>
        <v>0</v>
      </c>
      <c r="BB135" s="981"/>
    </row>
    <row r="136" spans="1:54" s="979" customFormat="1" ht="14.25" hidden="1" customHeight="1">
      <c r="A136" s="972">
        <f t="shared" ref="A136:A143" si="557">A135+1</f>
        <v>3</v>
      </c>
      <c r="B136" s="992" t="s">
        <v>874</v>
      </c>
      <c r="C136" s="974">
        <v>41640</v>
      </c>
      <c r="D136" s="975">
        <v>4</v>
      </c>
      <c r="E136" s="976">
        <f>18000000*0</f>
        <v>0</v>
      </c>
      <c r="F136" s="977">
        <f t="shared" si="471"/>
        <v>0</v>
      </c>
      <c r="G136" s="978">
        <f>(F136/12)*(13-IF(C136="","",MONTH(C136)))*1</f>
        <v>0</v>
      </c>
      <c r="H136" s="978">
        <f t="shared" si="531"/>
        <v>0</v>
      </c>
      <c r="I136" s="978">
        <f t="shared" si="532"/>
        <v>0</v>
      </c>
      <c r="J136" s="978">
        <f t="shared" ref="J136:J138" si="558">(F136/12)*12</f>
        <v>0</v>
      </c>
      <c r="K136" s="978">
        <f t="shared" si="533"/>
        <v>0</v>
      </c>
      <c r="L136" s="978">
        <f t="shared" si="534"/>
        <v>0</v>
      </c>
      <c r="M136" s="978">
        <f t="shared" ref="M136:M139" si="559">(F136/12)*12</f>
        <v>0</v>
      </c>
      <c r="N136" s="978">
        <f t="shared" si="535"/>
        <v>0</v>
      </c>
      <c r="O136" s="978">
        <f t="shared" si="536"/>
        <v>0</v>
      </c>
      <c r="P136" s="978">
        <f t="shared" ref="P136:P139" si="560">(F136/12)*12</f>
        <v>0</v>
      </c>
      <c r="Q136" s="978">
        <f t="shared" si="537"/>
        <v>0</v>
      </c>
      <c r="R136" s="978">
        <f t="shared" si="538"/>
        <v>0</v>
      </c>
      <c r="S136" s="978">
        <f t="shared" si="539"/>
        <v>0</v>
      </c>
      <c r="T136" s="978">
        <f t="shared" si="540"/>
        <v>0</v>
      </c>
      <c r="U136" s="978">
        <f t="shared" si="541"/>
        <v>0</v>
      </c>
      <c r="V136" s="978">
        <f t="shared" si="542"/>
        <v>0</v>
      </c>
      <c r="W136" s="978">
        <f t="shared" si="543"/>
        <v>0</v>
      </c>
      <c r="X136" s="978">
        <f t="shared" si="544"/>
        <v>0</v>
      </c>
      <c r="Y136" s="978">
        <f>18000000*0</f>
        <v>0</v>
      </c>
      <c r="Z136" s="978">
        <f t="shared" si="545"/>
        <v>0</v>
      </c>
      <c r="AA136" s="978">
        <f t="shared" si="546"/>
        <v>0</v>
      </c>
      <c r="AB136" s="978">
        <f t="shared" si="218"/>
        <v>0</v>
      </c>
      <c r="AC136" s="978">
        <f t="shared" si="547"/>
        <v>0</v>
      </c>
      <c r="AD136" s="978">
        <f t="shared" si="548"/>
        <v>0</v>
      </c>
      <c r="AE136" s="978">
        <f t="shared" si="549"/>
        <v>0</v>
      </c>
      <c r="AF136" s="978">
        <f t="shared" si="550"/>
        <v>0</v>
      </c>
      <c r="AG136" s="978">
        <f t="shared" si="551"/>
        <v>0</v>
      </c>
      <c r="AH136" s="978">
        <f t="shared" si="552"/>
        <v>0</v>
      </c>
      <c r="AI136" s="978">
        <f t="shared" si="553"/>
        <v>0</v>
      </c>
      <c r="AJ136" s="978"/>
      <c r="AK136" s="978"/>
      <c r="AL136" s="978"/>
      <c r="AM136" s="978"/>
      <c r="AN136" s="978"/>
      <c r="AO136" s="978"/>
      <c r="AP136" s="978">
        <f t="shared" si="554"/>
        <v>0</v>
      </c>
      <c r="AQ136" s="978">
        <f t="shared" si="555"/>
        <v>0</v>
      </c>
      <c r="AR136" s="978">
        <f t="shared" si="556"/>
        <v>0</v>
      </c>
      <c r="AS136" s="1166"/>
      <c r="AT136" s="1166"/>
      <c r="AU136" s="1166"/>
      <c r="AV136" s="1166"/>
      <c r="AW136" s="1166"/>
      <c r="AX136" s="1166"/>
      <c r="AZ136" s="980">
        <f t="shared" si="498"/>
        <v>0</v>
      </c>
      <c r="BB136" s="981"/>
    </row>
    <row r="137" spans="1:54" s="979" customFormat="1" ht="14.25" hidden="1" customHeight="1">
      <c r="A137" s="972">
        <f t="shared" si="557"/>
        <v>4</v>
      </c>
      <c r="B137" s="992" t="s">
        <v>875</v>
      </c>
      <c r="C137" s="974">
        <v>41640</v>
      </c>
      <c r="D137" s="975">
        <v>4</v>
      </c>
      <c r="E137" s="976">
        <f>11300000*0</f>
        <v>0</v>
      </c>
      <c r="F137" s="977">
        <f t="shared" si="471"/>
        <v>0</v>
      </c>
      <c r="G137" s="978">
        <f>(F137/12)*(13-IF(C137="","",MONTH(C137)))*1</f>
        <v>0</v>
      </c>
      <c r="H137" s="978">
        <f t="shared" si="531"/>
        <v>0</v>
      </c>
      <c r="I137" s="978">
        <f t="shared" si="532"/>
        <v>0</v>
      </c>
      <c r="J137" s="978">
        <f t="shared" si="558"/>
        <v>0</v>
      </c>
      <c r="K137" s="978">
        <f t="shared" si="533"/>
        <v>0</v>
      </c>
      <c r="L137" s="978">
        <f t="shared" si="534"/>
        <v>0</v>
      </c>
      <c r="M137" s="978">
        <f t="shared" si="559"/>
        <v>0</v>
      </c>
      <c r="N137" s="978">
        <f t="shared" si="535"/>
        <v>0</v>
      </c>
      <c r="O137" s="978">
        <f t="shared" si="536"/>
        <v>0</v>
      </c>
      <c r="P137" s="978">
        <f t="shared" si="560"/>
        <v>0</v>
      </c>
      <c r="Q137" s="978">
        <f t="shared" si="537"/>
        <v>0</v>
      </c>
      <c r="R137" s="978">
        <f t="shared" si="538"/>
        <v>0</v>
      </c>
      <c r="S137" s="978">
        <f t="shared" si="539"/>
        <v>0</v>
      </c>
      <c r="T137" s="978">
        <f t="shared" si="540"/>
        <v>0</v>
      </c>
      <c r="U137" s="978">
        <f t="shared" si="541"/>
        <v>0</v>
      </c>
      <c r="V137" s="978">
        <f t="shared" si="542"/>
        <v>0</v>
      </c>
      <c r="W137" s="978">
        <f t="shared" si="543"/>
        <v>0</v>
      </c>
      <c r="X137" s="978">
        <f t="shared" si="544"/>
        <v>0</v>
      </c>
      <c r="Y137" s="978">
        <f>11300000*0</f>
        <v>0</v>
      </c>
      <c r="Z137" s="978">
        <f t="shared" si="545"/>
        <v>0</v>
      </c>
      <c r="AA137" s="978">
        <f t="shared" si="546"/>
        <v>0</v>
      </c>
      <c r="AB137" s="978">
        <f t="shared" si="218"/>
        <v>0</v>
      </c>
      <c r="AC137" s="978">
        <f t="shared" si="547"/>
        <v>0</v>
      </c>
      <c r="AD137" s="978">
        <f t="shared" si="548"/>
        <v>0</v>
      </c>
      <c r="AE137" s="978">
        <f t="shared" si="549"/>
        <v>0</v>
      </c>
      <c r="AF137" s="978">
        <f t="shared" si="550"/>
        <v>0</v>
      </c>
      <c r="AG137" s="978">
        <f t="shared" si="551"/>
        <v>0</v>
      </c>
      <c r="AH137" s="978">
        <f t="shared" si="552"/>
        <v>0</v>
      </c>
      <c r="AI137" s="978">
        <f t="shared" si="553"/>
        <v>0</v>
      </c>
      <c r="AJ137" s="978"/>
      <c r="AK137" s="978"/>
      <c r="AL137" s="978"/>
      <c r="AM137" s="978"/>
      <c r="AN137" s="978"/>
      <c r="AO137" s="978"/>
      <c r="AP137" s="978">
        <f t="shared" si="554"/>
        <v>0</v>
      </c>
      <c r="AQ137" s="978">
        <f t="shared" si="555"/>
        <v>0</v>
      </c>
      <c r="AR137" s="978">
        <f t="shared" si="556"/>
        <v>0</v>
      </c>
      <c r="AS137" s="1166"/>
      <c r="AT137" s="1166"/>
      <c r="AU137" s="1166"/>
      <c r="AV137" s="1166"/>
      <c r="AW137" s="1166"/>
      <c r="AX137" s="1166"/>
      <c r="AZ137" s="980">
        <f t="shared" si="498"/>
        <v>0</v>
      </c>
      <c r="BB137" s="981"/>
    </row>
    <row r="138" spans="1:54" s="979" customFormat="1" ht="14.25" hidden="1" customHeight="1">
      <c r="A138" s="972">
        <f t="shared" si="557"/>
        <v>5</v>
      </c>
      <c r="B138" s="992" t="s">
        <v>876</v>
      </c>
      <c r="C138" s="974">
        <v>41640</v>
      </c>
      <c r="D138" s="975">
        <v>4</v>
      </c>
      <c r="E138" s="976">
        <f>10800000*0</f>
        <v>0</v>
      </c>
      <c r="F138" s="977">
        <f t="shared" si="471"/>
        <v>0</v>
      </c>
      <c r="G138" s="978">
        <f>(F138/12)*(13-IF(C138="","",MONTH(C138)))*1</f>
        <v>0</v>
      </c>
      <c r="H138" s="978">
        <f t="shared" si="531"/>
        <v>0</v>
      </c>
      <c r="I138" s="978">
        <f t="shared" si="532"/>
        <v>0</v>
      </c>
      <c r="J138" s="978">
        <f t="shared" si="558"/>
        <v>0</v>
      </c>
      <c r="K138" s="978">
        <f t="shared" si="533"/>
        <v>0</v>
      </c>
      <c r="L138" s="978">
        <f t="shared" si="534"/>
        <v>0</v>
      </c>
      <c r="M138" s="978">
        <f t="shared" si="559"/>
        <v>0</v>
      </c>
      <c r="N138" s="978">
        <f t="shared" si="535"/>
        <v>0</v>
      </c>
      <c r="O138" s="978">
        <f t="shared" si="536"/>
        <v>0</v>
      </c>
      <c r="P138" s="978">
        <f t="shared" si="560"/>
        <v>0</v>
      </c>
      <c r="Q138" s="978">
        <f t="shared" si="537"/>
        <v>0</v>
      </c>
      <c r="R138" s="978">
        <f t="shared" si="538"/>
        <v>0</v>
      </c>
      <c r="S138" s="978">
        <f t="shared" si="539"/>
        <v>0</v>
      </c>
      <c r="T138" s="978">
        <f t="shared" si="540"/>
        <v>0</v>
      </c>
      <c r="U138" s="978">
        <f t="shared" si="541"/>
        <v>0</v>
      </c>
      <c r="V138" s="978">
        <f t="shared" si="542"/>
        <v>0</v>
      </c>
      <c r="W138" s="978">
        <f t="shared" si="543"/>
        <v>0</v>
      </c>
      <c r="X138" s="978">
        <f t="shared" si="544"/>
        <v>0</v>
      </c>
      <c r="Y138" s="978">
        <f>10800000*0</f>
        <v>0</v>
      </c>
      <c r="Z138" s="978">
        <f t="shared" si="545"/>
        <v>0</v>
      </c>
      <c r="AA138" s="978">
        <f t="shared" si="546"/>
        <v>0</v>
      </c>
      <c r="AB138" s="978">
        <f t="shared" si="218"/>
        <v>0</v>
      </c>
      <c r="AC138" s="978">
        <f t="shared" si="547"/>
        <v>0</v>
      </c>
      <c r="AD138" s="978">
        <f t="shared" si="548"/>
        <v>0</v>
      </c>
      <c r="AE138" s="978">
        <f t="shared" si="549"/>
        <v>0</v>
      </c>
      <c r="AF138" s="978">
        <f t="shared" si="550"/>
        <v>0</v>
      </c>
      <c r="AG138" s="978">
        <f t="shared" si="551"/>
        <v>0</v>
      </c>
      <c r="AH138" s="978">
        <f t="shared" si="552"/>
        <v>0</v>
      </c>
      <c r="AI138" s="978">
        <f t="shared" si="553"/>
        <v>0</v>
      </c>
      <c r="AJ138" s="978"/>
      <c r="AK138" s="978"/>
      <c r="AL138" s="978"/>
      <c r="AM138" s="978"/>
      <c r="AN138" s="978"/>
      <c r="AO138" s="978"/>
      <c r="AP138" s="978">
        <f t="shared" si="554"/>
        <v>0</v>
      </c>
      <c r="AQ138" s="978">
        <f t="shared" si="555"/>
        <v>0</v>
      </c>
      <c r="AR138" s="978">
        <f t="shared" si="556"/>
        <v>0</v>
      </c>
      <c r="AS138" s="1166"/>
      <c r="AT138" s="1166"/>
      <c r="AU138" s="1166"/>
      <c r="AV138" s="1166"/>
      <c r="AW138" s="1166"/>
      <c r="AX138" s="1166"/>
      <c r="AZ138" s="980">
        <f t="shared" si="498"/>
        <v>0</v>
      </c>
      <c r="BB138" s="981"/>
    </row>
    <row r="139" spans="1:54" s="979" customFormat="1" ht="14.25" hidden="1" customHeight="1">
      <c r="A139" s="972">
        <f t="shared" si="557"/>
        <v>6</v>
      </c>
      <c r="B139" s="992" t="s">
        <v>877</v>
      </c>
      <c r="C139" s="974">
        <v>42005</v>
      </c>
      <c r="D139" s="975">
        <v>4</v>
      </c>
      <c r="E139" s="976">
        <f>12550000*0</f>
        <v>0</v>
      </c>
      <c r="F139" s="977">
        <f t="shared" si="471"/>
        <v>0</v>
      </c>
      <c r="G139" s="978"/>
      <c r="H139" s="978"/>
      <c r="I139" s="978"/>
      <c r="J139" s="978">
        <f t="shared" ref="J139" si="561">(F139/12)*(13-IF(C139="","",MONTH(C139)))</f>
        <v>0</v>
      </c>
      <c r="K139" s="978">
        <f t="shared" ref="K139" si="562">J139+H139</f>
        <v>0</v>
      </c>
      <c r="L139" s="978">
        <f t="shared" ref="L139" si="563">E139-K139</f>
        <v>0</v>
      </c>
      <c r="M139" s="978">
        <f t="shared" si="559"/>
        <v>0</v>
      </c>
      <c r="N139" s="978">
        <f t="shared" si="535"/>
        <v>0</v>
      </c>
      <c r="O139" s="978">
        <f t="shared" si="536"/>
        <v>0</v>
      </c>
      <c r="P139" s="978">
        <f t="shared" si="560"/>
        <v>0</v>
      </c>
      <c r="Q139" s="978">
        <f t="shared" si="537"/>
        <v>0</v>
      </c>
      <c r="R139" s="978">
        <f t="shared" si="538"/>
        <v>0</v>
      </c>
      <c r="S139" s="978">
        <f>(F139/12)*12</f>
        <v>0</v>
      </c>
      <c r="T139" s="978">
        <f t="shared" ref="T139" si="564">Q139+S139</f>
        <v>0</v>
      </c>
      <c r="U139" s="978">
        <f t="shared" ref="U139" si="565">E139-T139</f>
        <v>0</v>
      </c>
      <c r="V139" s="978">
        <f>(F139/12)*0</f>
        <v>0</v>
      </c>
      <c r="W139" s="978">
        <f>V139+T139</f>
        <v>0</v>
      </c>
      <c r="X139" s="978">
        <f t="shared" ref="X139" si="566">E139-W139</f>
        <v>0</v>
      </c>
      <c r="Y139" s="978">
        <f>12550000*0</f>
        <v>0</v>
      </c>
      <c r="Z139" s="978">
        <f t="shared" si="545"/>
        <v>0</v>
      </c>
      <c r="AA139" s="978">
        <f>(F139/12)*0</f>
        <v>0</v>
      </c>
      <c r="AB139" s="978">
        <f t="shared" si="218"/>
        <v>0</v>
      </c>
      <c r="AC139" s="978">
        <f t="shared" ref="AC139" si="567">E139-AB139</f>
        <v>0</v>
      </c>
      <c r="AD139" s="978">
        <f t="shared" ref="AD139" si="568">(F139/12)*0</f>
        <v>0</v>
      </c>
      <c r="AE139" s="978">
        <f t="shared" ref="AE139" si="569">AD139+AB139</f>
        <v>0</v>
      </c>
      <c r="AF139" s="978">
        <f t="shared" ref="AF139" si="570">E139-AE139</f>
        <v>0</v>
      </c>
      <c r="AG139" s="978">
        <f t="shared" ref="AG139" si="571">(F139/12)*0</f>
        <v>0</v>
      </c>
      <c r="AH139" s="978">
        <f t="shared" ref="AH139" si="572">AE139+AG139</f>
        <v>0</v>
      </c>
      <c r="AI139" s="978">
        <f t="shared" ref="AI139" si="573">E139-AH139</f>
        <v>0</v>
      </c>
      <c r="AJ139" s="978"/>
      <c r="AK139" s="978"/>
      <c r="AL139" s="978"/>
      <c r="AM139" s="978"/>
      <c r="AN139" s="978"/>
      <c r="AO139" s="978"/>
      <c r="AP139" s="978">
        <f t="shared" ref="AP139" si="574">(F139/12)*0</f>
        <v>0</v>
      </c>
      <c r="AQ139" s="978">
        <f t="shared" ref="AQ139" si="575">AP139+AH139</f>
        <v>0</v>
      </c>
      <c r="AR139" s="978">
        <f t="shared" ref="AR139" si="576">E139-AQ139</f>
        <v>0</v>
      </c>
      <c r="AS139" s="1166"/>
      <c r="AT139" s="1166"/>
      <c r="AU139" s="1166"/>
      <c r="AV139" s="1166"/>
      <c r="AW139" s="1166"/>
      <c r="AX139" s="1166"/>
      <c r="AZ139" s="980">
        <f t="shared" si="498"/>
        <v>0</v>
      </c>
      <c r="BB139" s="981"/>
    </row>
    <row r="140" spans="1:54" s="979" customFormat="1" ht="14.25" hidden="1" customHeight="1">
      <c r="A140" s="972">
        <f t="shared" si="557"/>
        <v>7</v>
      </c>
      <c r="B140" s="992" t="s">
        <v>878</v>
      </c>
      <c r="C140" s="974">
        <v>42736</v>
      </c>
      <c r="D140" s="975">
        <v>4</v>
      </c>
      <c r="E140" s="976">
        <f>16272728*0</f>
        <v>0</v>
      </c>
      <c r="F140" s="977">
        <f t="shared" si="471"/>
        <v>0</v>
      </c>
      <c r="G140" s="978"/>
      <c r="H140" s="978"/>
      <c r="I140" s="978"/>
      <c r="J140" s="978"/>
      <c r="K140" s="978"/>
      <c r="L140" s="978"/>
      <c r="M140" s="978"/>
      <c r="N140" s="978"/>
      <c r="O140" s="978"/>
      <c r="P140" s="978">
        <f>(F140/12)*(13-IF(C140="","",MONTH(C140)))</f>
        <v>0</v>
      </c>
      <c r="Q140" s="978">
        <f t="shared" ref="Q140" si="577">N140+P140</f>
        <v>0</v>
      </c>
      <c r="R140" s="978">
        <f t="shared" ref="R140" si="578">E140-Q140</f>
        <v>0</v>
      </c>
      <c r="S140" s="978">
        <f>(F140/12)*12</f>
        <v>0</v>
      </c>
      <c r="T140" s="978">
        <f t="shared" ref="T140:T142" si="579">Q140+S140</f>
        <v>0</v>
      </c>
      <c r="U140" s="978">
        <f t="shared" ref="U140:U142" si="580">E140-T140</f>
        <v>0</v>
      </c>
      <c r="V140" s="978">
        <f>(F140/12)*12</f>
        <v>0</v>
      </c>
      <c r="W140" s="978">
        <f>V140+T140</f>
        <v>0</v>
      </c>
      <c r="X140" s="978">
        <f t="shared" ref="X140:X142" si="581">E140-W140</f>
        <v>0</v>
      </c>
      <c r="Y140" s="978">
        <f>6780303.33333333*0</f>
        <v>0</v>
      </c>
      <c r="Z140" s="978">
        <f t="shared" si="545"/>
        <v>0</v>
      </c>
      <c r="AA140" s="978">
        <f>(F140/12)*12</f>
        <v>0</v>
      </c>
      <c r="AB140" s="978">
        <f t="shared" si="218"/>
        <v>0</v>
      </c>
      <c r="AC140" s="978">
        <f t="shared" ref="AC140:AC142" si="582">E140-AB140</f>
        <v>0</v>
      </c>
      <c r="AD140" s="978">
        <f t="shared" ref="AD140" si="583">(F140/12)*0</f>
        <v>0</v>
      </c>
      <c r="AE140" s="978">
        <f t="shared" ref="AE140:AE142" si="584">AD140+AB140</f>
        <v>0</v>
      </c>
      <c r="AF140" s="978">
        <f t="shared" ref="AF140:AF142" si="585">E140-AE140</f>
        <v>0</v>
      </c>
      <c r="AG140" s="978">
        <f t="shared" ref="AG140:AG142" si="586">(F140/12)*0</f>
        <v>0</v>
      </c>
      <c r="AH140" s="978">
        <f t="shared" ref="AH140:AH142" si="587">AE140+AG140</f>
        <v>0</v>
      </c>
      <c r="AI140" s="978">
        <f t="shared" ref="AI140:AI142" si="588">E140-AH140</f>
        <v>0</v>
      </c>
      <c r="AJ140" s="978"/>
      <c r="AK140" s="978"/>
      <c r="AL140" s="978"/>
      <c r="AM140" s="978"/>
      <c r="AN140" s="978"/>
      <c r="AO140" s="978"/>
      <c r="AP140" s="978">
        <f t="shared" ref="AP140:AP142" si="589">(F140/12)*0</f>
        <v>0</v>
      </c>
      <c r="AQ140" s="978">
        <f t="shared" ref="AQ140:AQ142" si="590">AP140+AH140</f>
        <v>0</v>
      </c>
      <c r="AR140" s="978">
        <f t="shared" ref="AR140:AR142" si="591">E140-AQ140</f>
        <v>0</v>
      </c>
      <c r="AS140" s="1166"/>
      <c r="AT140" s="1166"/>
      <c r="AU140" s="1166"/>
      <c r="AV140" s="1166"/>
      <c r="AW140" s="1166"/>
      <c r="AX140" s="1166"/>
      <c r="AZ140" s="980">
        <f t="shared" si="498"/>
        <v>0</v>
      </c>
      <c r="BB140" s="981"/>
    </row>
    <row r="141" spans="1:54" s="979" customFormat="1" ht="14.25" hidden="1" customHeight="1">
      <c r="A141" s="972">
        <f t="shared" si="557"/>
        <v>8</v>
      </c>
      <c r="B141" s="992" t="s">
        <v>879</v>
      </c>
      <c r="C141" s="974">
        <v>43101</v>
      </c>
      <c r="D141" s="975">
        <v>4</v>
      </c>
      <c r="E141" s="976">
        <f>8647375*0</f>
        <v>0</v>
      </c>
      <c r="F141" s="977">
        <f t="shared" si="471"/>
        <v>0</v>
      </c>
      <c r="G141" s="978"/>
      <c r="H141" s="978"/>
      <c r="I141" s="978"/>
      <c r="J141" s="978"/>
      <c r="K141" s="978"/>
      <c r="L141" s="978"/>
      <c r="M141" s="978"/>
      <c r="N141" s="978"/>
      <c r="O141" s="978"/>
      <c r="P141" s="978"/>
      <c r="Q141" s="978"/>
      <c r="R141" s="978"/>
      <c r="S141" s="978">
        <f t="shared" ref="S141:S142" si="592">(F141/12)*(13-IF(C141="","",MONTH(C141)))</f>
        <v>0</v>
      </c>
      <c r="T141" s="978">
        <f t="shared" si="579"/>
        <v>0</v>
      </c>
      <c r="U141" s="978">
        <f t="shared" si="580"/>
        <v>0</v>
      </c>
      <c r="V141" s="978">
        <f t="shared" ref="V141:V142" si="593">(F141/12)*12</f>
        <v>0</v>
      </c>
      <c r="W141" s="978">
        <f t="shared" ref="W141:W142" si="594">V141+T141</f>
        <v>0</v>
      </c>
      <c r="X141" s="978">
        <f t="shared" si="581"/>
        <v>0</v>
      </c>
      <c r="Y141" s="978">
        <f>3242765.625*0</f>
        <v>0</v>
      </c>
      <c r="Z141" s="978">
        <f t="shared" si="545"/>
        <v>0</v>
      </c>
      <c r="AA141" s="978">
        <f t="shared" ref="AA141:AA142" si="595">(F141/12)*12</f>
        <v>0</v>
      </c>
      <c r="AB141" s="978">
        <f t="shared" si="218"/>
        <v>0</v>
      </c>
      <c r="AC141" s="978">
        <f t="shared" si="582"/>
        <v>0</v>
      </c>
      <c r="AD141" s="978">
        <f t="shared" ref="AD141:AD142" si="596">(F141/12)*12</f>
        <v>0</v>
      </c>
      <c r="AE141" s="978">
        <f t="shared" si="584"/>
        <v>0</v>
      </c>
      <c r="AF141" s="978">
        <f t="shared" si="585"/>
        <v>0</v>
      </c>
      <c r="AG141" s="978">
        <f t="shared" si="586"/>
        <v>0</v>
      </c>
      <c r="AH141" s="978">
        <f t="shared" si="587"/>
        <v>0</v>
      </c>
      <c r="AI141" s="978">
        <f t="shared" si="588"/>
        <v>0</v>
      </c>
      <c r="AJ141" s="978"/>
      <c r="AK141" s="978"/>
      <c r="AL141" s="978"/>
      <c r="AM141" s="978"/>
      <c r="AN141" s="978"/>
      <c r="AO141" s="978"/>
      <c r="AP141" s="978">
        <f t="shared" si="589"/>
        <v>0</v>
      </c>
      <c r="AQ141" s="978">
        <f t="shared" si="590"/>
        <v>0</v>
      </c>
      <c r="AR141" s="978">
        <f t="shared" si="591"/>
        <v>0</v>
      </c>
      <c r="AS141" s="1166"/>
      <c r="AT141" s="1166"/>
      <c r="AU141" s="1166"/>
      <c r="AV141" s="1166"/>
      <c r="AW141" s="1166"/>
      <c r="AX141" s="1166"/>
      <c r="AZ141" s="980">
        <f t="shared" si="498"/>
        <v>0</v>
      </c>
      <c r="BB141" s="981"/>
    </row>
    <row r="142" spans="1:54" s="979" customFormat="1" ht="14.25" hidden="1" customHeight="1">
      <c r="A142" s="972">
        <f t="shared" si="557"/>
        <v>9</v>
      </c>
      <c r="B142" s="992" t="s">
        <v>880</v>
      </c>
      <c r="C142" s="974">
        <v>43101</v>
      </c>
      <c r="D142" s="975">
        <v>4</v>
      </c>
      <c r="E142" s="976">
        <f>10200000*0</f>
        <v>0</v>
      </c>
      <c r="F142" s="977">
        <f t="shared" si="471"/>
        <v>0</v>
      </c>
      <c r="G142" s="978"/>
      <c r="H142" s="978"/>
      <c r="I142" s="978"/>
      <c r="J142" s="978"/>
      <c r="K142" s="978"/>
      <c r="L142" s="978"/>
      <c r="M142" s="978"/>
      <c r="N142" s="978"/>
      <c r="O142" s="978"/>
      <c r="P142" s="978"/>
      <c r="Q142" s="978"/>
      <c r="R142" s="978"/>
      <c r="S142" s="978">
        <f t="shared" si="592"/>
        <v>0</v>
      </c>
      <c r="T142" s="978">
        <f t="shared" si="579"/>
        <v>0</v>
      </c>
      <c r="U142" s="978">
        <f t="shared" si="580"/>
        <v>0</v>
      </c>
      <c r="V142" s="978">
        <f t="shared" si="593"/>
        <v>0</v>
      </c>
      <c r="W142" s="978">
        <f t="shared" si="594"/>
        <v>0</v>
      </c>
      <c r="X142" s="978">
        <f t="shared" si="581"/>
        <v>0</v>
      </c>
      <c r="Y142" s="978">
        <f>3612500*0</f>
        <v>0</v>
      </c>
      <c r="Z142" s="978">
        <f t="shared" si="545"/>
        <v>0</v>
      </c>
      <c r="AA142" s="978">
        <f t="shared" si="595"/>
        <v>0</v>
      </c>
      <c r="AB142" s="978">
        <f t="shared" si="218"/>
        <v>0</v>
      </c>
      <c r="AC142" s="978">
        <f t="shared" si="582"/>
        <v>0</v>
      </c>
      <c r="AD142" s="978">
        <f t="shared" si="596"/>
        <v>0</v>
      </c>
      <c r="AE142" s="978">
        <f t="shared" si="584"/>
        <v>0</v>
      </c>
      <c r="AF142" s="978">
        <f t="shared" si="585"/>
        <v>0</v>
      </c>
      <c r="AG142" s="978">
        <f t="shared" si="586"/>
        <v>0</v>
      </c>
      <c r="AH142" s="978">
        <f t="shared" si="587"/>
        <v>0</v>
      </c>
      <c r="AI142" s="978">
        <f t="shared" si="588"/>
        <v>0</v>
      </c>
      <c r="AJ142" s="978"/>
      <c r="AK142" s="978"/>
      <c r="AL142" s="978"/>
      <c r="AM142" s="978"/>
      <c r="AN142" s="978"/>
      <c r="AO142" s="978"/>
      <c r="AP142" s="978">
        <f t="shared" si="589"/>
        <v>0</v>
      </c>
      <c r="AQ142" s="978">
        <f t="shared" si="590"/>
        <v>0</v>
      </c>
      <c r="AR142" s="978">
        <f t="shared" si="591"/>
        <v>0</v>
      </c>
      <c r="AS142" s="1166"/>
      <c r="AT142" s="1166"/>
      <c r="AU142" s="1166"/>
      <c r="AV142" s="1166"/>
      <c r="AW142" s="1166"/>
      <c r="AX142" s="1166"/>
      <c r="AZ142" s="980">
        <f t="shared" si="498"/>
        <v>0</v>
      </c>
      <c r="BB142" s="981"/>
    </row>
    <row r="143" spans="1:54" s="979" customFormat="1" ht="14.25" hidden="1" customHeight="1">
      <c r="A143" s="972">
        <f t="shared" si="557"/>
        <v>10</v>
      </c>
      <c r="B143" s="992" t="s">
        <v>881</v>
      </c>
      <c r="C143" s="974">
        <v>44562</v>
      </c>
      <c r="D143" s="975">
        <v>4</v>
      </c>
      <c r="E143" s="976">
        <f>3000000*0</f>
        <v>0</v>
      </c>
      <c r="F143" s="977">
        <f t="shared" si="471"/>
        <v>0</v>
      </c>
      <c r="G143" s="978"/>
      <c r="H143" s="978"/>
      <c r="I143" s="978"/>
      <c r="J143" s="978"/>
      <c r="K143" s="978"/>
      <c r="L143" s="978"/>
      <c r="M143" s="978"/>
      <c r="N143" s="978"/>
      <c r="O143" s="978"/>
      <c r="P143" s="978"/>
      <c r="Q143" s="978"/>
      <c r="R143" s="978"/>
      <c r="S143" s="978"/>
      <c r="T143" s="978"/>
      <c r="U143" s="978"/>
      <c r="V143" s="978"/>
      <c r="W143" s="978"/>
      <c r="X143" s="978"/>
      <c r="Y143" s="978"/>
      <c r="Z143" s="978"/>
      <c r="AA143" s="978"/>
      <c r="AB143" s="978"/>
      <c r="AC143" s="978"/>
      <c r="AD143" s="978"/>
      <c r="AE143" s="978"/>
      <c r="AF143" s="978"/>
      <c r="AG143" s="978">
        <f t="shared" ref="AG143" si="597">(F143/12)*(13-IF(C143="","",MONTH(C143)))</f>
        <v>0</v>
      </c>
      <c r="AH143" s="978">
        <f t="shared" ref="AH143" si="598">AE143+AG143</f>
        <v>0</v>
      </c>
      <c r="AI143" s="978">
        <f t="shared" ref="AI143" si="599">E143-AH143</f>
        <v>0</v>
      </c>
      <c r="AJ143" s="978"/>
      <c r="AK143" s="978"/>
      <c r="AL143" s="978"/>
      <c r="AM143" s="978"/>
      <c r="AN143" s="978"/>
      <c r="AO143" s="978"/>
      <c r="AP143" s="978">
        <f>(F143/12)*7</f>
        <v>0</v>
      </c>
      <c r="AQ143" s="978">
        <f t="shared" ref="AQ143" si="600">AP143+AH143</f>
        <v>0</v>
      </c>
      <c r="AR143" s="978">
        <f t="shared" ref="AR143" si="601">E143-AQ143</f>
        <v>0</v>
      </c>
      <c r="AS143" s="1166"/>
      <c r="AT143" s="1166"/>
      <c r="AU143" s="1166"/>
      <c r="AV143" s="1166"/>
      <c r="AW143" s="1166"/>
      <c r="AX143" s="1166"/>
      <c r="AZ143" s="980">
        <f t="shared" si="498"/>
        <v>0</v>
      </c>
      <c r="BB143" s="981"/>
    </row>
    <row r="144" spans="1:54" ht="14.25" customHeight="1">
      <c r="A144" s="972"/>
      <c r="B144" s="992"/>
      <c r="C144" s="994"/>
      <c r="D144" s="975"/>
      <c r="E144" s="976"/>
      <c r="F144" s="1067"/>
      <c r="G144" s="1068"/>
      <c r="H144" s="1068"/>
      <c r="I144" s="1068"/>
      <c r="J144" s="1068"/>
      <c r="K144" s="1068"/>
      <c r="L144" s="1068"/>
      <c r="M144" s="1068"/>
      <c r="N144" s="1068"/>
      <c r="O144" s="1068"/>
      <c r="P144" s="1068"/>
      <c r="Q144" s="1068"/>
      <c r="R144" s="1068"/>
      <c r="S144" s="1068"/>
      <c r="T144" s="1068"/>
      <c r="U144" s="1068"/>
      <c r="V144" s="1068"/>
      <c r="W144" s="1068"/>
      <c r="X144" s="1068"/>
      <c r="Y144" s="978"/>
      <c r="Z144" s="978"/>
      <c r="AA144" s="1068"/>
      <c r="AB144" s="1068"/>
      <c r="AC144" s="1068"/>
      <c r="AD144" s="1068"/>
      <c r="AE144" s="1068"/>
      <c r="AF144" s="1068"/>
      <c r="AG144" s="1068"/>
      <c r="AH144" s="1068"/>
      <c r="AI144" s="1068"/>
      <c r="AJ144" s="1068"/>
      <c r="AK144" s="1068"/>
      <c r="AL144" s="1068"/>
      <c r="AM144" s="1068"/>
      <c r="AN144" s="1068"/>
      <c r="AO144" s="1068"/>
      <c r="AP144" s="1068"/>
      <c r="AQ144" s="1068"/>
      <c r="AR144" s="1068"/>
      <c r="AS144" s="1068"/>
      <c r="AT144" s="1068"/>
      <c r="AU144" s="1068"/>
      <c r="AV144" s="1068"/>
      <c r="AW144" s="1068"/>
      <c r="AX144" s="1068"/>
      <c r="AZ144" s="8">
        <f t="shared" ref="AZ144" si="602">E144-AW144-AX144</f>
        <v>0</v>
      </c>
      <c r="BB144" s="187"/>
    </row>
    <row r="145" spans="1:54" ht="14.25" customHeight="1">
      <c r="A145" s="185"/>
      <c r="B145" s="1010"/>
      <c r="C145" s="1011"/>
      <c r="D145" s="183"/>
      <c r="E145" s="184"/>
      <c r="F145" s="1050"/>
      <c r="G145" s="1051"/>
      <c r="H145" s="1051"/>
      <c r="I145" s="1051"/>
      <c r="J145" s="1051"/>
      <c r="K145" s="1051"/>
      <c r="L145" s="1051"/>
      <c r="M145" s="1051"/>
      <c r="N145" s="1051"/>
      <c r="O145" s="1051"/>
      <c r="P145" s="1051"/>
      <c r="Q145" s="1051"/>
      <c r="R145" s="1051"/>
      <c r="S145" s="1051"/>
      <c r="T145" s="1051"/>
      <c r="U145" s="1051"/>
      <c r="V145" s="1051"/>
      <c r="W145" s="1051"/>
      <c r="X145" s="1051"/>
      <c r="Y145" s="182"/>
      <c r="Z145" s="182"/>
      <c r="AA145" s="1051"/>
      <c r="AB145" s="1051"/>
      <c r="AC145" s="1051"/>
      <c r="AD145" s="1051"/>
      <c r="AE145" s="1051"/>
      <c r="AF145" s="1051"/>
      <c r="AG145" s="1051"/>
      <c r="AH145" s="1051"/>
      <c r="AI145" s="1051"/>
      <c r="AJ145" s="1051"/>
      <c r="AK145" s="1051"/>
      <c r="AL145" s="1051"/>
      <c r="AM145" s="1051"/>
      <c r="AN145" s="1051"/>
      <c r="AO145" s="1051"/>
      <c r="AP145" s="1051"/>
      <c r="AQ145" s="1051"/>
      <c r="AR145" s="1051"/>
      <c r="AS145" s="1051"/>
      <c r="AT145" s="1051"/>
      <c r="AU145" s="1051"/>
      <c r="AV145" s="1051"/>
      <c r="AW145" s="1051"/>
      <c r="AX145" s="1051"/>
      <c r="AZ145" s="19"/>
      <c r="BB145" s="187"/>
    </row>
    <row r="146" spans="1:54" ht="14.25" customHeight="1">
      <c r="A146" s="1005"/>
      <c r="B146" s="1012" t="s">
        <v>1162</v>
      </c>
      <c r="C146" s="1013"/>
      <c r="D146" s="1006"/>
      <c r="E146" s="1007">
        <f t="shared" ref="E146:AR146" si="603">SUM(E8:E57)+SUM(E83:E105)+SUM(E108:E111)</f>
        <v>340253500</v>
      </c>
      <c r="F146" s="1007">
        <f t="shared" si="603"/>
        <v>85063375</v>
      </c>
      <c r="G146" s="1007">
        <f t="shared" si="603"/>
        <v>0</v>
      </c>
      <c r="H146" s="1007">
        <f t="shared" si="603"/>
        <v>0</v>
      </c>
      <c r="I146" s="1007">
        <f t="shared" si="603"/>
        <v>22700000</v>
      </c>
      <c r="J146" s="1007">
        <f t="shared" si="603"/>
        <v>13075750</v>
      </c>
      <c r="K146" s="1007">
        <f t="shared" si="603"/>
        <v>13075750</v>
      </c>
      <c r="L146" s="1007">
        <f t="shared" si="603"/>
        <v>61927250</v>
      </c>
      <c r="M146" s="1007">
        <f t="shared" si="603"/>
        <v>20938250</v>
      </c>
      <c r="N146" s="1007">
        <f t="shared" si="603"/>
        <v>34014000</v>
      </c>
      <c r="O146" s="1007">
        <f t="shared" si="603"/>
        <v>49739000</v>
      </c>
      <c r="P146" s="1007">
        <f t="shared" si="603"/>
        <v>31056625</v>
      </c>
      <c r="Q146" s="1007">
        <f t="shared" si="603"/>
        <v>65070625</v>
      </c>
      <c r="R146" s="1007">
        <f t="shared" si="603"/>
        <v>59155875</v>
      </c>
      <c r="S146" s="1007">
        <f t="shared" si="603"/>
        <v>34658708.333333336</v>
      </c>
      <c r="T146" s="1007">
        <f t="shared" si="603"/>
        <v>99729333.333333328</v>
      </c>
      <c r="U146" s="1007">
        <f t="shared" si="603"/>
        <v>42427166.666666664</v>
      </c>
      <c r="V146" s="1007">
        <f t="shared" si="603"/>
        <v>35555354.166666672</v>
      </c>
      <c r="W146" s="1007">
        <f t="shared" si="603"/>
        <v>135284687.50000003</v>
      </c>
      <c r="X146" s="1007">
        <f t="shared" si="603"/>
        <v>149156812.5</v>
      </c>
      <c r="Y146" s="1007">
        <f t="shared" si="603"/>
        <v>105321854.16666669</v>
      </c>
      <c r="Z146" s="1007">
        <f t="shared" si="603"/>
        <v>177669645.83333334</v>
      </c>
      <c r="AA146" s="1007">
        <f t="shared" si="603"/>
        <v>51186083.333333328</v>
      </c>
      <c r="AB146" s="1007">
        <f t="shared" si="603"/>
        <v>186470770.83333334</v>
      </c>
      <c r="AC146" s="1007">
        <f t="shared" si="603"/>
        <v>109610729.16666667</v>
      </c>
      <c r="AD146" s="1007">
        <f t="shared" si="603"/>
        <v>43549500</v>
      </c>
      <c r="AE146" s="1007">
        <f t="shared" si="603"/>
        <v>230020270.83333334</v>
      </c>
      <c r="AF146" s="1007">
        <f t="shared" si="603"/>
        <v>69863229.166666657</v>
      </c>
      <c r="AG146" s="1007">
        <f t="shared" si="603"/>
        <v>43619562.5</v>
      </c>
      <c r="AH146" s="1007">
        <f t="shared" si="603"/>
        <v>273639833.33333337</v>
      </c>
      <c r="AI146" s="1007">
        <f t="shared" si="603"/>
        <v>66613666.666666664</v>
      </c>
      <c r="AJ146" s="1162">
        <f t="shared" ref="AJ146:AL146" si="604">SUM(AJ8:AJ57)+SUM(AJ83:AJ105)+SUM(AJ108:AJ111)</f>
        <v>4127020.8333333349</v>
      </c>
      <c r="AK146" s="1162">
        <f t="shared" si="604"/>
        <v>277766854.16666669</v>
      </c>
      <c r="AL146" s="1162">
        <f t="shared" si="604"/>
        <v>62486645.833333328</v>
      </c>
      <c r="AM146" s="1186">
        <f t="shared" ref="AM146:AO146" si="605">SUM(AM8:AM57)+SUM(AM83:AM105)+SUM(AM108:AM111)</f>
        <v>32489020.833333336</v>
      </c>
      <c r="AN146" s="1186">
        <f t="shared" si="605"/>
        <v>306128854.16666669</v>
      </c>
      <c r="AO146" s="1186">
        <f t="shared" si="605"/>
        <v>34124645.833333328</v>
      </c>
      <c r="AP146" s="1007">
        <f>SUM(AP8:AP57)+SUM(AP83:AP105)+SUM(AP108:AP111)</f>
        <v>36432270.833333343</v>
      </c>
      <c r="AQ146" s="1007">
        <f>SUM(AQ8:AQ57)+SUM(AQ83:AQ105)+SUM(AQ108:AQ111)</f>
        <v>310072104.16666663</v>
      </c>
      <c r="AR146" s="1007">
        <f t="shared" si="603"/>
        <v>30181395.833333332</v>
      </c>
      <c r="AS146" s="1162">
        <f t="shared" ref="AS146:AU146" si="606">SUM(AS8:AS57)+SUM(AS83:AS105)+SUM(AS108:AS111)</f>
        <v>10057770.833333334</v>
      </c>
      <c r="AT146" s="1162">
        <f t="shared" si="606"/>
        <v>320129875</v>
      </c>
      <c r="AU146" s="1162">
        <f t="shared" si="606"/>
        <v>20123625</v>
      </c>
      <c r="AV146" s="1007">
        <f t="shared" ref="AV146:AX146" si="607">SUM(AV8:AV57)+SUM(AV83:AV105)+SUM(AV108:AV111)</f>
        <v>13105708.333333334</v>
      </c>
      <c r="AW146" s="1007">
        <f t="shared" si="607"/>
        <v>323177812.5</v>
      </c>
      <c r="AX146" s="1007">
        <f t="shared" si="607"/>
        <v>17075687.5</v>
      </c>
      <c r="AZ146" s="19"/>
      <c r="BB146" s="187"/>
    </row>
    <row r="147" spans="1:54" ht="14.25" customHeight="1">
      <c r="A147" s="1005"/>
      <c r="B147" s="1012" t="s">
        <v>1163</v>
      </c>
      <c r="C147" s="1013"/>
      <c r="D147" s="1006"/>
      <c r="E147" s="1007">
        <f t="shared" ref="E147:AR147" si="608">SUM(E60:E78)+SUM(E114:E115)</f>
        <v>933901296</v>
      </c>
      <c r="F147" s="1007">
        <f t="shared" si="608"/>
        <v>233475324</v>
      </c>
      <c r="G147" s="1007">
        <f t="shared" si="608"/>
        <v>0</v>
      </c>
      <c r="H147" s="1007">
        <f t="shared" si="608"/>
        <v>0</v>
      </c>
      <c r="I147" s="1007">
        <f t="shared" si="608"/>
        <v>22300000</v>
      </c>
      <c r="J147" s="1007">
        <f t="shared" si="608"/>
        <v>4448125</v>
      </c>
      <c r="K147" s="1007">
        <f t="shared" si="608"/>
        <v>4448125</v>
      </c>
      <c r="L147" s="1007">
        <f t="shared" si="608"/>
        <v>35644375</v>
      </c>
      <c r="M147" s="1007">
        <f t="shared" si="608"/>
        <v>96535511.25</v>
      </c>
      <c r="N147" s="1007">
        <f t="shared" si="608"/>
        <v>100983636.25</v>
      </c>
      <c r="O147" s="1007">
        <f t="shared" si="608"/>
        <v>285158408.75</v>
      </c>
      <c r="P147" s="1007">
        <f t="shared" si="608"/>
        <v>190599261.25</v>
      </c>
      <c r="Q147" s="1007">
        <f t="shared" si="608"/>
        <v>291582897.5</v>
      </c>
      <c r="R147" s="1007">
        <f t="shared" si="608"/>
        <v>470814147.5</v>
      </c>
      <c r="S147" s="1007">
        <f t="shared" si="608"/>
        <v>190599261.25</v>
      </c>
      <c r="T147" s="1007">
        <f t="shared" si="608"/>
        <v>482182158.75</v>
      </c>
      <c r="U147" s="1007">
        <f t="shared" si="608"/>
        <v>280214886.25</v>
      </c>
      <c r="V147" s="1007">
        <f t="shared" si="608"/>
        <v>208639375.95833334</v>
      </c>
      <c r="W147" s="1007">
        <f t="shared" si="608"/>
        <v>690821534.70833337</v>
      </c>
      <c r="X147" s="1007">
        <f t="shared" si="608"/>
        <v>222094761.29166666</v>
      </c>
      <c r="Y147" s="1007">
        <f t="shared" si="608"/>
        <v>608043529.47916663</v>
      </c>
      <c r="Z147" s="1007">
        <f t="shared" si="608"/>
        <v>304872766.52083337</v>
      </c>
      <c r="AA147" s="1007">
        <f t="shared" si="608"/>
        <v>131693562.75</v>
      </c>
      <c r="AB147" s="1007">
        <f t="shared" si="608"/>
        <v>822515097.45833337</v>
      </c>
      <c r="AC147" s="1007">
        <f t="shared" si="608"/>
        <v>90401198.541666672</v>
      </c>
      <c r="AD147" s="1007">
        <f t="shared" si="608"/>
        <v>37629812.75</v>
      </c>
      <c r="AE147" s="1007">
        <f t="shared" si="608"/>
        <v>860144910.20833337</v>
      </c>
      <c r="AF147" s="1007">
        <f t="shared" si="608"/>
        <v>52771385.791666664</v>
      </c>
      <c r="AG147" s="1007">
        <f t="shared" si="608"/>
        <v>40907937.75</v>
      </c>
      <c r="AH147" s="1007">
        <f t="shared" si="608"/>
        <v>901052847.95833337</v>
      </c>
      <c r="AI147" s="1007">
        <f t="shared" si="608"/>
        <v>32848448.041666668</v>
      </c>
      <c r="AJ147" s="1162">
        <f t="shared" ref="AJ147:AL147" si="609">SUM(AJ60:AJ78)+SUM(AJ114:AJ115)</f>
        <v>2896546.8958333335</v>
      </c>
      <c r="AK147" s="1162">
        <f t="shared" si="609"/>
        <v>903949394.85416663</v>
      </c>
      <c r="AL147" s="1162">
        <f t="shared" si="609"/>
        <v>29951901.145833332</v>
      </c>
      <c r="AM147" s="1186">
        <f t="shared" ref="AM147:AO147" si="610">SUM(AM60:AM78)+SUM(AM114:AM115)</f>
        <v>18922093.875</v>
      </c>
      <c r="AN147" s="1186">
        <f t="shared" si="610"/>
        <v>919974941.83333337</v>
      </c>
      <c r="AO147" s="1186">
        <f t="shared" si="610"/>
        <v>13926354.166666668</v>
      </c>
      <c r="AP147" s="1007">
        <f>SUM(AP60:AP79)+SUM(AP114:AP115)</f>
        <v>27666573.041666664</v>
      </c>
      <c r="AQ147" s="1007">
        <f>SUM(AQ60:AQ79)+SUM(AQ114:AQ115)</f>
        <v>928719421</v>
      </c>
      <c r="AR147" s="1007">
        <f t="shared" si="608"/>
        <v>12460625.000000002</v>
      </c>
      <c r="AS147" s="1162">
        <f t="shared" ref="AS147:AU147" si="611">SUM(AS60:AS79)+SUM(AS114:AS115)</f>
        <v>8180625</v>
      </c>
      <c r="AT147" s="1162">
        <f t="shared" si="611"/>
        <v>936900046</v>
      </c>
      <c r="AU147" s="1162">
        <f t="shared" si="611"/>
        <v>26116250</v>
      </c>
      <c r="AV147" s="1007">
        <f t="shared" ref="AV147:AX147" si="612">SUM(AV60:AV78)+SUM(AV114:AV115)</f>
        <v>5246250</v>
      </c>
      <c r="AW147" s="1007">
        <f t="shared" si="612"/>
        <v>926686921</v>
      </c>
      <c r="AX147" s="1007">
        <f t="shared" si="612"/>
        <v>7214375.0000000009</v>
      </c>
      <c r="AZ147" s="8">
        <f t="shared" ref="AZ147" si="613">E147-AW147-AX147</f>
        <v>0</v>
      </c>
      <c r="BB147" s="187"/>
    </row>
    <row r="148" spans="1:54" ht="14.25" customHeight="1">
      <c r="E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4"/>
      <c r="Z148" s="14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</row>
    <row r="149" spans="1:54" ht="14.25" customHeight="1">
      <c r="A149" s="10"/>
      <c r="B149" s="970" t="s">
        <v>1161</v>
      </c>
      <c r="C149" s="9"/>
      <c r="D149" s="10"/>
      <c r="E149" s="11">
        <f t="shared" ref="E149:AR149" si="614">SUM(E5:E144)</f>
        <v>1303269796</v>
      </c>
      <c r="F149" s="11">
        <f t="shared" si="614"/>
        <v>325817449</v>
      </c>
      <c r="G149" s="11">
        <f t="shared" si="614"/>
        <v>0</v>
      </c>
      <c r="H149" s="11">
        <f t="shared" si="614"/>
        <v>0</v>
      </c>
      <c r="I149" s="11">
        <f t="shared" si="614"/>
        <v>45000000</v>
      </c>
      <c r="J149" s="11">
        <f t="shared" si="614"/>
        <v>17523875</v>
      </c>
      <c r="K149" s="11">
        <f t="shared" si="614"/>
        <v>17523875</v>
      </c>
      <c r="L149" s="11">
        <f t="shared" si="614"/>
        <v>97571625</v>
      </c>
      <c r="M149" s="11">
        <f t="shared" si="614"/>
        <v>117473761.25</v>
      </c>
      <c r="N149" s="11">
        <f t="shared" si="614"/>
        <v>134997636.25</v>
      </c>
      <c r="O149" s="11">
        <f t="shared" si="614"/>
        <v>334897408.75</v>
      </c>
      <c r="P149" s="11">
        <f t="shared" si="614"/>
        <v>221655886.25</v>
      </c>
      <c r="Q149" s="11">
        <f t="shared" si="614"/>
        <v>356653522.5</v>
      </c>
      <c r="R149" s="11">
        <f t="shared" si="614"/>
        <v>529970022.5</v>
      </c>
      <c r="S149" s="11">
        <f t="shared" si="614"/>
        <v>225257969.58333331</v>
      </c>
      <c r="T149" s="11">
        <f t="shared" si="614"/>
        <v>581911492.08333325</v>
      </c>
      <c r="U149" s="11">
        <f t="shared" si="614"/>
        <v>322642052.91666663</v>
      </c>
      <c r="V149" s="11">
        <f t="shared" si="614"/>
        <v>244194730.12500003</v>
      </c>
      <c r="W149" s="11">
        <f t="shared" si="614"/>
        <v>826106222.20833337</v>
      </c>
      <c r="X149" s="11">
        <f t="shared" si="614"/>
        <v>371251573.79166669</v>
      </c>
      <c r="Y149" s="11">
        <f t="shared" si="614"/>
        <v>713365383.64583337</v>
      </c>
      <c r="Z149" s="11">
        <f t="shared" si="614"/>
        <v>482542412.35416669</v>
      </c>
      <c r="AA149" s="11">
        <f t="shared" si="614"/>
        <v>182879646.08333331</v>
      </c>
      <c r="AB149" s="11">
        <f t="shared" si="614"/>
        <v>1008985868.2916665</v>
      </c>
      <c r="AC149" s="11">
        <f t="shared" si="614"/>
        <v>200011927.70833337</v>
      </c>
      <c r="AD149" s="11">
        <f t="shared" si="614"/>
        <v>81179312.75</v>
      </c>
      <c r="AE149" s="11">
        <f t="shared" si="614"/>
        <v>1090165181.0416665</v>
      </c>
      <c r="AF149" s="11">
        <f t="shared" si="614"/>
        <v>122634614.95833331</v>
      </c>
      <c r="AG149" s="11">
        <f t="shared" si="614"/>
        <v>84527500.249999985</v>
      </c>
      <c r="AH149" s="11">
        <f t="shared" si="614"/>
        <v>1174692681.2916667</v>
      </c>
      <c r="AI149" s="11">
        <f>SUM(AI5:AI144)</f>
        <v>99462114.708333328</v>
      </c>
      <c r="AJ149" s="1161">
        <f t="shared" ref="AJ149:AL149" si="615">SUM(AJ5:AJ144)</f>
        <v>7023567.7291666679</v>
      </c>
      <c r="AK149" s="1161">
        <f t="shared" si="615"/>
        <v>1181716249.0208333</v>
      </c>
      <c r="AL149" s="1161">
        <f t="shared" si="615"/>
        <v>92438546.979166657</v>
      </c>
      <c r="AM149" s="1188">
        <f t="shared" ref="AM149:AO149" si="616">SUM(AM5:AM144)</f>
        <v>56870177.208333336</v>
      </c>
      <c r="AN149" s="1188">
        <f t="shared" si="616"/>
        <v>1231562858.5</v>
      </c>
      <c r="AO149" s="1188">
        <f t="shared" si="616"/>
        <v>71706937.5</v>
      </c>
      <c r="AP149" s="11">
        <f t="shared" si="614"/>
        <v>64098843.875000007</v>
      </c>
      <c r="AQ149" s="11">
        <f>SUM(AQ5:AQ144)</f>
        <v>1238791525.1666665</v>
      </c>
      <c r="AR149" s="11">
        <f t="shared" si="614"/>
        <v>64478270.833333328</v>
      </c>
      <c r="AS149" s="1161">
        <f t="shared" ref="AS149:AU149" si="617">SUM(AS5:AS144)</f>
        <v>18238395.833333336</v>
      </c>
      <c r="AT149" s="1161">
        <f t="shared" si="617"/>
        <v>1257029921</v>
      </c>
      <c r="AU149" s="1161">
        <f t="shared" si="617"/>
        <v>46239875</v>
      </c>
      <c r="AV149" s="11">
        <f t="shared" ref="AV149:AX149" si="618">SUM(AV5:AV144)</f>
        <v>23811020.833333336</v>
      </c>
      <c r="AW149" s="11">
        <f t="shared" si="618"/>
        <v>1262602546</v>
      </c>
      <c r="AX149" s="11">
        <f t="shared" si="618"/>
        <v>40667250</v>
      </c>
      <c r="AZ149" s="8">
        <f t="shared" ref="AZ149" si="619">E149-AW149-AX149</f>
        <v>0</v>
      </c>
    </row>
    <row r="150" spans="1:54" ht="14.25" customHeight="1">
      <c r="D150" s="923" t="s">
        <v>1134</v>
      </c>
      <c r="E150" s="13">
        <f>E149-(AT!K859+AT!L859)</f>
        <v>-290491555.45000005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4" ht="14.25" customHeight="1">
      <c r="B151" s="47"/>
      <c r="C151" s="47"/>
      <c r="D151" s="48"/>
      <c r="E151" s="49"/>
      <c r="F151" s="50" t="s">
        <v>29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4" ht="14.25" customHeight="1">
      <c r="B152" s="51" t="s">
        <v>30</v>
      </c>
      <c r="C152" s="47"/>
      <c r="D152" s="48"/>
      <c r="E152" s="49">
        <v>0</v>
      </c>
      <c r="F152" s="50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4" ht="14.25" customHeight="1">
      <c r="B153" s="51" t="s">
        <v>147</v>
      </c>
      <c r="C153" s="47"/>
      <c r="D153" s="48"/>
      <c r="E153" s="49">
        <f>SUM(E83:E87)+SUM(E114:E115)+SUM(E118:E124)+SUM(E134:E138)</f>
        <v>45000000</v>
      </c>
      <c r="F153" s="52">
        <f t="shared" ref="F153:F161" si="620">E153-E152</f>
        <v>45000000</v>
      </c>
      <c r="H153" s="58"/>
      <c r="W153" s="15"/>
      <c r="AB153" s="15"/>
      <c r="AD153" s="18"/>
      <c r="AE153" s="15"/>
    </row>
    <row r="154" spans="1:54" ht="14.25" customHeight="1">
      <c r="B154" s="51" t="s">
        <v>148</v>
      </c>
      <c r="C154" s="47"/>
      <c r="D154" s="48"/>
      <c r="E154" s="49">
        <f>E153+SUM(E8:E26)+SUM(E60:E65)+SUM(E88:E93)+E108+E109+E125+E139</f>
        <v>115095500</v>
      </c>
      <c r="F154" s="52">
        <f t="shared" si="620"/>
        <v>70095500</v>
      </c>
      <c r="W154" s="15"/>
      <c r="AB154" s="15"/>
      <c r="AD154" s="18"/>
      <c r="AE154" s="15"/>
    </row>
    <row r="155" spans="1:54" ht="14.25" customHeight="1">
      <c r="B155" s="51" t="s">
        <v>149</v>
      </c>
      <c r="C155" s="47"/>
      <c r="D155" s="48"/>
      <c r="E155" s="49">
        <f>E154+SUM(E66:E68)+SUM(E94:E96)</f>
        <v>469895045</v>
      </c>
      <c r="F155" s="52">
        <f t="shared" si="620"/>
        <v>354799545</v>
      </c>
      <c r="W155" s="15"/>
      <c r="AB155" s="15"/>
      <c r="AD155" s="18"/>
      <c r="AE155" s="15"/>
    </row>
    <row r="156" spans="1:54" ht="14.25" customHeight="1">
      <c r="B156" s="51" t="s">
        <v>150</v>
      </c>
      <c r="C156" s="47"/>
      <c r="D156" s="48"/>
      <c r="E156" s="49">
        <f>E155+SUM(E69:E73)+SUM(E97:E98)+E140</f>
        <v>886623545</v>
      </c>
      <c r="F156" s="52">
        <f t="shared" si="620"/>
        <v>416728500</v>
      </c>
      <c r="W156" s="15"/>
      <c r="AB156" s="15"/>
      <c r="AD156" s="18"/>
      <c r="AE156" s="15"/>
    </row>
    <row r="157" spans="1:54" ht="14.25" customHeight="1">
      <c r="B157" s="51" t="s">
        <v>151</v>
      </c>
      <c r="C157" s="47"/>
      <c r="D157" s="48"/>
      <c r="E157" s="49">
        <f>E156+SUM(E99:E104)+E111+SUM(E126:E129)+SUM(E141:E142)</f>
        <v>904553545</v>
      </c>
      <c r="F157" s="52">
        <f t="shared" si="620"/>
        <v>17930000</v>
      </c>
      <c r="W157" s="15"/>
      <c r="AB157" s="15"/>
      <c r="AE157" s="15"/>
    </row>
    <row r="158" spans="1:54" ht="14.25" customHeight="1">
      <c r="B158" s="51" t="s">
        <v>152</v>
      </c>
      <c r="C158" s="47"/>
      <c r="D158" s="48"/>
      <c r="E158" s="49">
        <f>E157+SUM(E27:E34)+SUM(E74:E76)+SUM(E130:E131)</f>
        <v>1197357796</v>
      </c>
      <c r="F158" s="52">
        <f t="shared" si="620"/>
        <v>292804251</v>
      </c>
      <c r="W158" s="16"/>
      <c r="AB158" s="16"/>
      <c r="AE158" s="16"/>
    </row>
    <row r="159" spans="1:54" ht="14.25" customHeight="1">
      <c r="B159" s="51" t="s">
        <v>153</v>
      </c>
      <c r="C159" s="47"/>
      <c r="D159" s="48"/>
      <c r="E159" s="49">
        <f>E158+SUM(E35:E41)+E105</f>
        <v>1208997796</v>
      </c>
      <c r="F159" s="52">
        <f t="shared" si="620"/>
        <v>11640000</v>
      </c>
    </row>
    <row r="160" spans="1:54" ht="14.25" customHeight="1">
      <c r="B160" s="51" t="s">
        <v>154</v>
      </c>
      <c r="C160" s="47"/>
      <c r="D160" s="48"/>
      <c r="E160" s="49">
        <f>E159+E42+E43+E132</f>
        <v>1212799796</v>
      </c>
      <c r="F160" s="52">
        <f>E160-E159</f>
        <v>3802000</v>
      </c>
    </row>
    <row r="161" spans="2:6" ht="14.25" customHeight="1">
      <c r="B161" s="51" t="s">
        <v>155</v>
      </c>
      <c r="C161" s="47"/>
      <c r="D161" s="48"/>
      <c r="E161" s="49">
        <f>E160+SUM(E44:E57)+SUM(E77:E78)+E143</f>
        <v>1274154796</v>
      </c>
      <c r="F161" s="52">
        <f t="shared" si="620"/>
        <v>61355000</v>
      </c>
    </row>
    <row r="162" spans="2:6" ht="14.25" customHeight="1">
      <c r="B162" s="51" t="s">
        <v>1227</v>
      </c>
      <c r="C162" s="47"/>
      <c r="D162" s="48"/>
      <c r="E162" s="49">
        <f>E161+E79</f>
        <v>1303269796</v>
      </c>
      <c r="F162" s="52">
        <f>E162-E161</f>
        <v>29115000</v>
      </c>
    </row>
    <row r="163" spans="2:6" ht="14.25" customHeight="1">
      <c r="B163" s="51" t="s">
        <v>1314</v>
      </c>
      <c r="C163" s="47"/>
      <c r="D163" s="48"/>
      <c r="E163" s="49">
        <f>E162+E80</f>
        <v>1303269796</v>
      </c>
      <c r="F163" s="52">
        <f>E163-E162</f>
        <v>0</v>
      </c>
    </row>
  </sheetData>
  <autoFilter ref="A3:AZ143" xr:uid="{47DBF071-4DC3-4C78-9FEC-ADC92480BB0D}">
    <filterColumn colId="4">
      <filters blank="1">
        <filter val="1.000.000"/>
        <filter val="1.050.000"/>
        <filter val="1.120.000"/>
        <filter val="1.150.000"/>
        <filter val="1.250.000"/>
        <filter val="1.300.000"/>
        <filter val="1.450.000"/>
        <filter val="1.650.000"/>
        <filter val="1.785.000"/>
        <filter val="1.800.000"/>
        <filter val="1.900.000"/>
        <filter val="1.925.000"/>
        <filter val="11.300.000"/>
        <filter val="11.700.000"/>
        <filter val="11.990.000"/>
        <filter val="111.700.000"/>
        <filter val="112.000.000"/>
        <filter val="114.349.251"/>
        <filter val="15.105.000"/>
        <filter val="15.700.000"/>
        <filter val="17.500.000"/>
        <filter val="17.750.000"/>
        <filter val="175.000"/>
        <filter val="180.000"/>
        <filter val="2.000.000"/>
        <filter val="2.050.000"/>
        <filter val="2.200.000"/>
        <filter val="2.260.000"/>
        <filter val="2.350.000"/>
        <filter val="2.395.000"/>
        <filter val="2.500.000"/>
        <filter val="2.517.500"/>
        <filter val="2.600.000"/>
        <filter val="2.625.000"/>
        <filter val="2.652.000"/>
        <filter val="2.760.000"/>
        <filter val="2.930.000"/>
        <filter val="2.970.000"/>
        <filter val="2.985.000"/>
        <filter val="210.000.000"/>
        <filter val="24.049.545"/>
        <filter val="250.000"/>
        <filter val="275.000"/>
        <filter val="29.115.000"/>
        <filter val="3.200.000"/>
        <filter val="3.350.000"/>
        <filter val="3.485.000"/>
        <filter val="3.680.000"/>
        <filter val="3.700.000"/>
        <filter val="3.990.000"/>
        <filter val="30.000.000"/>
        <filter val="301.700.000"/>
        <filter val="32.470.000"/>
        <filter val="34.963.500"/>
        <filter val="4.000.000"/>
        <filter val="4.300.000"/>
        <filter val="4.700.000"/>
        <filter val="4.960.000"/>
        <filter val="5.100.000"/>
        <filter val="5.400.000"/>
        <filter val="5.510.000"/>
        <filter val="5.600.000"/>
        <filter val="5.700.000"/>
        <filter val="5.733.000"/>
        <filter val="5.750.000"/>
        <filter val="5.850.000"/>
        <filter val="5.900.000"/>
        <filter val="500.000"/>
        <filter val="525.000"/>
        <filter val="530.000"/>
        <filter val="560.000"/>
        <filter val="565.000"/>
        <filter val="595.000"/>
        <filter val="6.300.000"/>
        <filter val="6.600.000"/>
        <filter val="600.000"/>
        <filter val="650.000"/>
        <filter val="7.095.000"/>
        <filter val="820.000"/>
        <filter val="9.450.000"/>
        <filter val="900.000"/>
        <filter val="945.000"/>
        <filter val="980.000"/>
        <filter val="Perolehan"/>
      </filters>
    </filterColumn>
  </autoFilter>
  <sortState xmlns:xlrd2="http://schemas.microsoft.com/office/spreadsheetml/2017/richdata2" ref="B5:E162">
    <sortCondition ref="C5:C162"/>
  </sortState>
  <mergeCells count="16">
    <mergeCell ref="AV3:AV4"/>
    <mergeCell ref="AS3:AS4"/>
    <mergeCell ref="P3:P4"/>
    <mergeCell ref="A3:A4"/>
    <mergeCell ref="B3:B4"/>
    <mergeCell ref="G3:G4"/>
    <mergeCell ref="J3:J4"/>
    <mergeCell ref="M3:M4"/>
    <mergeCell ref="AP3:AP4"/>
    <mergeCell ref="AG3:AG4"/>
    <mergeCell ref="S3:S4"/>
    <mergeCell ref="V3:V4"/>
    <mergeCell ref="AA3:AA4"/>
    <mergeCell ref="AD3:AD4"/>
    <mergeCell ref="AJ3:AJ4"/>
    <mergeCell ref="AM3:AM4"/>
  </mergeCells>
  <pageMargins left="0.7" right="0.7" top="0.75" bottom="0.75" header="0.3" footer="0.3"/>
  <pageSetup paperSize="9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AB71-8AE9-454B-89E9-80E9FCE12F9F}">
  <sheetPr filterMode="1">
    <tabColor theme="5" tint="0.39997558519241921"/>
  </sheetPr>
  <dimension ref="A1:BC64"/>
  <sheetViews>
    <sheetView showGridLines="0" zoomScale="93" zoomScaleNormal="93" workbookViewId="0">
      <pane xSplit="26" ySplit="2" topLeftCell="AW3" activePane="bottomRight" state="frozen"/>
      <selection pane="topRight" activeCell="AA1" sqref="AA1"/>
      <selection pane="bottomLeft" activeCell="A3" sqref="A3"/>
      <selection pane="bottomRight" activeCell="AX1" sqref="AX1"/>
    </sheetView>
  </sheetViews>
  <sheetFormatPr defaultColWidth="9.1796875" defaultRowHeight="14.25" customHeight="1" outlineLevelCol="1"/>
  <cols>
    <col min="1" max="1" width="2.81640625" style="12" bestFit="1" customWidth="1"/>
    <col min="2" max="2" width="30.54296875" style="3" bestFit="1" customWidth="1"/>
    <col min="3" max="3" width="8.54296875" style="3" customWidth="1"/>
    <col min="4" max="4" width="9.26953125" style="12" bestFit="1" customWidth="1"/>
    <col min="5" max="5" width="15" style="3" bestFit="1" customWidth="1"/>
    <col min="6" max="6" width="16.453125" style="14" customWidth="1"/>
    <col min="7" max="7" width="17.453125" style="3" hidden="1" customWidth="1" outlineLevel="1"/>
    <col min="8" max="8" width="14.453125" style="3" hidden="1" customWidth="1" outlineLevel="1"/>
    <col min="9" max="9" width="12.7265625" style="3" hidden="1" customWidth="1" outlineLevel="1"/>
    <col min="10" max="10" width="17.453125" style="3" hidden="1" customWidth="1" outlineLevel="1"/>
    <col min="11" max="11" width="14.453125" style="3" hidden="1" customWidth="1" outlineLevel="1"/>
    <col min="12" max="12" width="12.7265625" style="3" hidden="1" customWidth="1" outlineLevel="1"/>
    <col min="13" max="13" width="17.453125" style="3" hidden="1" customWidth="1" outlineLevel="1"/>
    <col min="14" max="14" width="14.453125" style="3" hidden="1" customWidth="1" outlineLevel="1"/>
    <col min="15" max="15" width="12.7265625" style="3" hidden="1" customWidth="1" outlineLevel="1"/>
    <col min="16" max="16" width="17.453125" style="3" hidden="1" customWidth="1" outlineLevel="1"/>
    <col min="17" max="17" width="14.453125" style="3" hidden="1" customWidth="1" outlineLevel="1"/>
    <col min="18" max="18" width="12.7265625" style="3" hidden="1" customWidth="1" outlineLevel="1"/>
    <col min="19" max="19" width="17.453125" style="3" hidden="1" customWidth="1" outlineLevel="1"/>
    <col min="20" max="20" width="14.453125" style="3" hidden="1" customWidth="1" outlineLevel="1"/>
    <col min="21" max="21" width="12.7265625" style="3" hidden="1" customWidth="1" outlineLevel="1"/>
    <col min="22" max="22" width="17.453125" style="3" hidden="1" customWidth="1" outlineLevel="1"/>
    <col min="23" max="23" width="14.453125" style="3" hidden="1" customWidth="1" outlineLevel="1"/>
    <col min="24" max="24" width="12.7265625" style="3" hidden="1" customWidth="1" outlineLevel="1"/>
    <col min="25" max="25" width="12.7265625" style="3" hidden="1" customWidth="1" collapsed="1"/>
    <col min="26" max="26" width="12.7265625" style="3" hidden="1" customWidth="1"/>
    <col min="27" max="27" width="17.453125" style="3" bestFit="1" customWidth="1"/>
    <col min="28" max="28" width="14.453125" style="3" bestFit="1" customWidth="1"/>
    <col min="29" max="29" width="12.7265625" style="3" bestFit="1" customWidth="1"/>
    <col min="30" max="30" width="17.453125" style="3" bestFit="1" customWidth="1"/>
    <col min="31" max="31" width="14.453125" style="3" bestFit="1" customWidth="1"/>
    <col min="32" max="32" width="12.7265625" style="3" bestFit="1" customWidth="1"/>
    <col min="33" max="33" width="9.90625" style="3" bestFit="1" customWidth="1"/>
    <col min="34" max="34" width="12.6328125" style="3" bestFit="1" customWidth="1"/>
    <col min="35" max="35" width="10.6328125" style="3" bestFit="1" customWidth="1"/>
    <col min="36" max="41" width="10.6328125" style="3" hidden="1" customWidth="1"/>
    <col min="42" max="42" width="10.6328125" style="3" customWidth="1"/>
    <col min="43" max="43" width="12.90625" style="3" bestFit="1" customWidth="1"/>
    <col min="44" max="44" width="12.7265625" style="3" bestFit="1" customWidth="1"/>
    <col min="45" max="47" width="12.7265625" style="3" hidden="1" customWidth="1"/>
    <col min="48" max="50" width="12.7265625" style="3" customWidth="1"/>
    <col min="51" max="51" width="9.1796875" style="3"/>
    <col min="52" max="52" width="9.90625" style="3" bestFit="1" customWidth="1"/>
    <col min="53" max="53" width="9.1796875" style="3"/>
    <col min="54" max="54" width="11.453125" style="3" bestFit="1" customWidth="1"/>
    <col min="55" max="55" width="9.90625" style="3" bestFit="1" customWidth="1"/>
    <col min="56" max="56" width="9.1796875" style="3"/>
    <col min="57" max="57" width="9.90625" style="3" bestFit="1" customWidth="1"/>
    <col min="58" max="16384" width="9.1796875" style="3"/>
  </cols>
  <sheetData>
    <row r="1" spans="1:55" ht="14.25" customHeight="1">
      <c r="A1" s="1320" t="s">
        <v>17</v>
      </c>
      <c r="B1" s="131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18" t="s">
        <v>133</v>
      </c>
      <c r="H1" s="1" t="s">
        <v>6</v>
      </c>
      <c r="I1" s="1" t="s">
        <v>7</v>
      </c>
      <c r="J1" s="1318" t="s">
        <v>127</v>
      </c>
      <c r="K1" s="1" t="s">
        <v>6</v>
      </c>
      <c r="L1" s="1" t="s">
        <v>7</v>
      </c>
      <c r="M1" s="1318" t="s">
        <v>130</v>
      </c>
      <c r="N1" s="1" t="s">
        <v>6</v>
      </c>
      <c r="O1" s="1" t="s">
        <v>7</v>
      </c>
      <c r="P1" s="1318" t="s">
        <v>26</v>
      </c>
      <c r="Q1" s="1" t="s">
        <v>6</v>
      </c>
      <c r="R1" s="1" t="s">
        <v>7</v>
      </c>
      <c r="S1" s="1318" t="s">
        <v>18</v>
      </c>
      <c r="T1" s="1" t="s">
        <v>6</v>
      </c>
      <c r="U1" s="1" t="s">
        <v>7</v>
      </c>
      <c r="V1" s="1318" t="s">
        <v>136</v>
      </c>
      <c r="W1" s="1" t="s">
        <v>6</v>
      </c>
      <c r="X1" s="1" t="s">
        <v>7</v>
      </c>
      <c r="Y1" s="1035" t="s">
        <v>1165</v>
      </c>
      <c r="Z1" s="1035" t="s">
        <v>1165</v>
      </c>
      <c r="AA1" s="1318" t="s">
        <v>5</v>
      </c>
      <c r="AB1" s="1" t="s">
        <v>6</v>
      </c>
      <c r="AC1" s="1" t="s">
        <v>7</v>
      </c>
      <c r="AD1" s="1318" t="s">
        <v>8</v>
      </c>
      <c r="AE1" s="1" t="s">
        <v>6</v>
      </c>
      <c r="AF1" s="1" t="s">
        <v>7</v>
      </c>
      <c r="AG1" s="1318" t="s">
        <v>23</v>
      </c>
      <c r="AH1" s="1" t="s">
        <v>6</v>
      </c>
      <c r="AI1" s="1" t="s">
        <v>7</v>
      </c>
      <c r="AJ1" s="1321" t="s">
        <v>1284</v>
      </c>
      <c r="AK1" s="1156" t="s">
        <v>6</v>
      </c>
      <c r="AL1" s="1156" t="s">
        <v>7</v>
      </c>
      <c r="AM1" s="1326" t="s">
        <v>1299</v>
      </c>
      <c r="AN1" s="1185" t="s">
        <v>6</v>
      </c>
      <c r="AO1" s="1185" t="s">
        <v>7</v>
      </c>
      <c r="AP1" s="1318" t="s">
        <v>1219</v>
      </c>
      <c r="AQ1" s="1" t="s">
        <v>6</v>
      </c>
      <c r="AR1" s="1" t="s">
        <v>7</v>
      </c>
      <c r="AS1" s="1321" t="s">
        <v>1302</v>
      </c>
      <c r="AT1" s="1156" t="s">
        <v>6</v>
      </c>
      <c r="AU1" s="1156" t="s">
        <v>7</v>
      </c>
      <c r="AV1" s="1318" t="s">
        <v>1305</v>
      </c>
      <c r="AW1" s="1" t="s">
        <v>6</v>
      </c>
      <c r="AX1" s="1" t="s">
        <v>7</v>
      </c>
    </row>
    <row r="2" spans="1:55" ht="14.25" customHeight="1">
      <c r="A2" s="1320"/>
      <c r="B2" s="1318"/>
      <c r="C2" s="4" t="s">
        <v>9</v>
      </c>
      <c r="D2" s="4" t="s">
        <v>10</v>
      </c>
      <c r="E2" s="4" t="s">
        <v>9</v>
      </c>
      <c r="F2" s="4" t="s">
        <v>11</v>
      </c>
      <c r="G2" s="1318"/>
      <c r="H2" s="1" t="s">
        <v>134</v>
      </c>
      <c r="I2" s="1" t="s">
        <v>135</v>
      </c>
      <c r="J2" s="1318"/>
      <c r="K2" s="1" t="s">
        <v>128</v>
      </c>
      <c r="L2" s="1" t="s">
        <v>129</v>
      </c>
      <c r="M2" s="1318"/>
      <c r="N2" s="1" t="s">
        <v>131</v>
      </c>
      <c r="O2" s="1" t="s">
        <v>132</v>
      </c>
      <c r="P2" s="1318"/>
      <c r="Q2" s="1" t="s">
        <v>27</v>
      </c>
      <c r="R2" s="1" t="s">
        <v>28</v>
      </c>
      <c r="S2" s="1318"/>
      <c r="T2" s="1" t="s">
        <v>19</v>
      </c>
      <c r="U2" s="1" t="s">
        <v>20</v>
      </c>
      <c r="V2" s="1318"/>
      <c r="W2" s="1" t="s">
        <v>21</v>
      </c>
      <c r="X2" s="1" t="s">
        <v>22</v>
      </c>
      <c r="Y2" s="1035" t="s">
        <v>1166</v>
      </c>
      <c r="Z2" s="1035" t="s">
        <v>1167</v>
      </c>
      <c r="AA2" s="1318"/>
      <c r="AB2" s="1" t="s">
        <v>12</v>
      </c>
      <c r="AC2" s="1" t="s">
        <v>13</v>
      </c>
      <c r="AD2" s="1318"/>
      <c r="AE2" s="1" t="s">
        <v>14</v>
      </c>
      <c r="AF2" s="1" t="s">
        <v>15</v>
      </c>
      <c r="AG2" s="1318"/>
      <c r="AH2" s="1" t="s">
        <v>24</v>
      </c>
      <c r="AI2" s="1" t="s">
        <v>25</v>
      </c>
      <c r="AJ2" s="1321"/>
      <c r="AK2" s="1156" t="s">
        <v>1285</v>
      </c>
      <c r="AL2" s="1156" t="s">
        <v>1286</v>
      </c>
      <c r="AM2" s="1326"/>
      <c r="AN2" s="1185" t="s">
        <v>1300</v>
      </c>
      <c r="AO2" s="1185" t="s">
        <v>1301</v>
      </c>
      <c r="AP2" s="1318"/>
      <c r="AQ2" s="1" t="s">
        <v>1220</v>
      </c>
      <c r="AR2" s="1" t="s">
        <v>1221</v>
      </c>
      <c r="AS2" s="1322"/>
      <c r="AT2" s="1159" t="s">
        <v>1303</v>
      </c>
      <c r="AU2" s="1159" t="s">
        <v>1304</v>
      </c>
      <c r="AV2" s="1319"/>
      <c r="AW2" s="1203" t="s">
        <v>1306</v>
      </c>
      <c r="AX2" s="1203" t="s">
        <v>1307</v>
      </c>
      <c r="AZ2" s="5" t="s">
        <v>16</v>
      </c>
    </row>
    <row r="3" spans="1:55" s="220" customFormat="1" ht="14.25" customHeight="1">
      <c r="A3" s="190">
        <v>1</v>
      </c>
      <c r="B3" s="214" t="s">
        <v>888</v>
      </c>
      <c r="C3" s="215"/>
      <c r="D3" s="216"/>
      <c r="E3" s="217"/>
      <c r="F3" s="218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Z3" s="61"/>
      <c r="BB3" s="221"/>
      <c r="BC3" s="179">
        <f t="shared" ref="BC3:BC8" si="0">AI3-BB3</f>
        <v>0</v>
      </c>
    </row>
    <row r="4" spans="1:55" s="220" customFormat="1" ht="14.25" customHeight="1">
      <c r="A4" s="190"/>
      <c r="B4" s="214" t="s">
        <v>405</v>
      </c>
      <c r="C4" s="215"/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Z4" s="61"/>
      <c r="BB4" s="221"/>
      <c r="BC4" s="179">
        <f t="shared" si="0"/>
        <v>0</v>
      </c>
    </row>
    <row r="5" spans="1:55" ht="14.25" hidden="1" customHeight="1">
      <c r="A5" s="17">
        <v>1</v>
      </c>
      <c r="B5" s="913" t="s">
        <v>883</v>
      </c>
      <c r="C5" s="876">
        <v>42005</v>
      </c>
      <c r="D5" s="877">
        <v>4</v>
      </c>
      <c r="E5" s="878">
        <f>1335000*0</f>
        <v>0</v>
      </c>
      <c r="F5" s="879">
        <f t="shared" ref="F5:F44" si="1">E5/D5</f>
        <v>0</v>
      </c>
      <c r="G5" s="880"/>
      <c r="H5" s="880"/>
      <c r="I5" s="880"/>
      <c r="J5" s="880">
        <f>(F5/12)*(13-IF(C5="","",MONTH(C5)))</f>
        <v>0</v>
      </c>
      <c r="K5" s="880">
        <f t="shared" ref="K5:K7" si="2">J5+H5</f>
        <v>0</v>
      </c>
      <c r="L5" s="880">
        <f t="shared" ref="L5:L7" si="3">E5-K5</f>
        <v>0</v>
      </c>
      <c r="M5" s="880">
        <f t="shared" ref="M5:M7" si="4">(F5/12)*12</f>
        <v>0</v>
      </c>
      <c r="N5" s="880">
        <f t="shared" ref="N5:N7" si="5">M5+K5</f>
        <v>0</v>
      </c>
      <c r="O5" s="880">
        <f t="shared" ref="O5:O7" si="6">E5-N5</f>
        <v>0</v>
      </c>
      <c r="P5" s="880">
        <f t="shared" ref="P5:P7" si="7">(F5/12)*12</f>
        <v>0</v>
      </c>
      <c r="Q5" s="880">
        <f t="shared" ref="Q5:Q7" si="8">N5+P5</f>
        <v>0</v>
      </c>
      <c r="R5" s="880">
        <f t="shared" ref="R5:R7" si="9">E5-Q5</f>
        <v>0</v>
      </c>
      <c r="S5" s="880">
        <f>(F5/12)*12</f>
        <v>0</v>
      </c>
      <c r="T5" s="880">
        <f t="shared" ref="T5:T8" si="10">Q5+S5</f>
        <v>0</v>
      </c>
      <c r="U5" s="880">
        <f t="shared" ref="U5:U8" si="11">E5-T5</f>
        <v>0</v>
      </c>
      <c r="V5" s="880">
        <f>(F5/12)*0</f>
        <v>0</v>
      </c>
      <c r="W5" s="880">
        <f t="shared" ref="W5:W8" si="12">T5+V5</f>
        <v>0</v>
      </c>
      <c r="X5" s="880">
        <f t="shared" ref="X5:X8" si="13">E5-W5</f>
        <v>0</v>
      </c>
      <c r="Y5" s="880">
        <f>1335000*0</f>
        <v>0</v>
      </c>
      <c r="Z5" s="880">
        <f>E5-Y5</f>
        <v>0</v>
      </c>
      <c r="AA5" s="880">
        <f t="shared" ref="AA5:AA6" si="14">(F5/12)*0</f>
        <v>0</v>
      </c>
      <c r="AB5" s="880">
        <f>Y5+AA5</f>
        <v>0</v>
      </c>
      <c r="AC5" s="880">
        <f>E5-AB5</f>
        <v>0</v>
      </c>
      <c r="AD5" s="880">
        <f t="shared" ref="AD5:AD7" si="15">(F5/12)*0</f>
        <v>0</v>
      </c>
      <c r="AE5" s="880">
        <f t="shared" ref="AE5:AE7" si="16">AB5+AD5</f>
        <v>0</v>
      </c>
      <c r="AF5" s="880">
        <f t="shared" ref="AF5:AF8" si="17">E5-AE5</f>
        <v>0</v>
      </c>
      <c r="AG5" s="880">
        <f t="shared" ref="AG5:AG7" si="18">(F5/12)*0</f>
        <v>0</v>
      </c>
      <c r="AH5" s="880">
        <f t="shared" ref="AH5:AH8" si="19">AE5+AG5</f>
        <v>0</v>
      </c>
      <c r="AI5" s="880">
        <f t="shared" ref="AI5:AI8" si="20">E5-AH5</f>
        <v>0</v>
      </c>
      <c r="AJ5" s="880"/>
      <c r="AK5" s="880"/>
      <c r="AL5" s="880"/>
      <c r="AM5" s="880"/>
      <c r="AN5" s="880"/>
      <c r="AO5" s="880"/>
      <c r="AP5" s="880">
        <f>(F5/12)*7</f>
        <v>0</v>
      </c>
      <c r="AQ5" s="880">
        <f>AH5+AP5</f>
        <v>0</v>
      </c>
      <c r="AR5" s="880">
        <f>E5-AQ5</f>
        <v>0</v>
      </c>
      <c r="AS5" s="896"/>
      <c r="AT5" s="896"/>
      <c r="AU5" s="896"/>
      <c r="AV5" s="896"/>
      <c r="AW5" s="896"/>
      <c r="AX5" s="896"/>
      <c r="AZ5" s="8">
        <f t="shared" ref="AZ5:AZ44" si="21">E5-AQ5-AR5</f>
        <v>0</v>
      </c>
      <c r="BB5" s="57"/>
      <c r="BC5" s="19">
        <f t="shared" si="0"/>
        <v>0</v>
      </c>
    </row>
    <row r="6" spans="1:55" ht="14.25" hidden="1" customHeight="1">
      <c r="A6" s="17">
        <f>A5+1</f>
        <v>2</v>
      </c>
      <c r="B6" s="913" t="s">
        <v>884</v>
      </c>
      <c r="C6" s="876">
        <v>42005</v>
      </c>
      <c r="D6" s="877">
        <v>4</v>
      </c>
      <c r="E6" s="878">
        <f>11770000*0</f>
        <v>0</v>
      </c>
      <c r="F6" s="879">
        <f t="shared" si="1"/>
        <v>0</v>
      </c>
      <c r="G6" s="880"/>
      <c r="H6" s="880"/>
      <c r="I6" s="880"/>
      <c r="J6" s="880">
        <f>(F6/12)*(13-IF(C6="","",MONTH(C6)))</f>
        <v>0</v>
      </c>
      <c r="K6" s="880">
        <f t="shared" si="2"/>
        <v>0</v>
      </c>
      <c r="L6" s="880">
        <f t="shared" si="3"/>
        <v>0</v>
      </c>
      <c r="M6" s="880">
        <f t="shared" si="4"/>
        <v>0</v>
      </c>
      <c r="N6" s="880">
        <f t="shared" si="5"/>
        <v>0</v>
      </c>
      <c r="O6" s="880">
        <f t="shared" si="6"/>
        <v>0</v>
      </c>
      <c r="P6" s="880">
        <f t="shared" si="7"/>
        <v>0</v>
      </c>
      <c r="Q6" s="880">
        <f t="shared" si="8"/>
        <v>0</v>
      </c>
      <c r="R6" s="880">
        <f t="shared" si="9"/>
        <v>0</v>
      </c>
      <c r="S6" s="880">
        <f>(F6/12)*12</f>
        <v>0</v>
      </c>
      <c r="T6" s="880">
        <f t="shared" si="10"/>
        <v>0</v>
      </c>
      <c r="U6" s="880">
        <f t="shared" si="11"/>
        <v>0</v>
      </c>
      <c r="V6" s="880">
        <f t="shared" ref="V6:V7" si="22">(F6/12)*0</f>
        <v>0</v>
      </c>
      <c r="W6" s="880">
        <f t="shared" si="12"/>
        <v>0</v>
      </c>
      <c r="X6" s="880">
        <f t="shared" si="13"/>
        <v>0</v>
      </c>
      <c r="Y6" s="880">
        <f>11770000*0</f>
        <v>0</v>
      </c>
      <c r="Z6" s="880">
        <f t="shared" ref="Z6:Z44" si="23">E6-Y6</f>
        <v>0</v>
      </c>
      <c r="AA6" s="880">
        <f t="shared" si="14"/>
        <v>0</v>
      </c>
      <c r="AB6" s="880">
        <f t="shared" ref="AB6" si="24">Y6+AA6</f>
        <v>0</v>
      </c>
      <c r="AC6" s="880">
        <f t="shared" ref="AC6:AC8" si="25">E6-AB6</f>
        <v>0</v>
      </c>
      <c r="AD6" s="880">
        <f t="shared" si="15"/>
        <v>0</v>
      </c>
      <c r="AE6" s="880">
        <f t="shared" si="16"/>
        <v>0</v>
      </c>
      <c r="AF6" s="880">
        <f t="shared" si="17"/>
        <v>0</v>
      </c>
      <c r="AG6" s="880">
        <f t="shared" si="18"/>
        <v>0</v>
      </c>
      <c r="AH6" s="880">
        <f t="shared" si="19"/>
        <v>0</v>
      </c>
      <c r="AI6" s="880">
        <f t="shared" si="20"/>
        <v>0</v>
      </c>
      <c r="AJ6" s="880"/>
      <c r="AK6" s="880"/>
      <c r="AL6" s="880"/>
      <c r="AM6" s="880"/>
      <c r="AN6" s="880"/>
      <c r="AO6" s="880"/>
      <c r="AP6" s="880">
        <f>(F6/12)*7</f>
        <v>0</v>
      </c>
      <c r="AQ6" s="880">
        <f>AH6+AP6</f>
        <v>0</v>
      </c>
      <c r="AR6" s="880">
        <f>E6-AQ6</f>
        <v>0</v>
      </c>
      <c r="AS6" s="896"/>
      <c r="AT6" s="896"/>
      <c r="AU6" s="896"/>
      <c r="AV6" s="896"/>
      <c r="AW6" s="896"/>
      <c r="AX6" s="896"/>
      <c r="AZ6" s="8">
        <f t="shared" si="21"/>
        <v>0</v>
      </c>
      <c r="BB6" s="57"/>
      <c r="BC6" s="19">
        <f t="shared" si="0"/>
        <v>0</v>
      </c>
    </row>
    <row r="7" spans="1:55" ht="14.25" customHeight="1">
      <c r="A7" s="17">
        <f>A6+1</f>
        <v>3</v>
      </c>
      <c r="B7" s="913" t="s">
        <v>1155</v>
      </c>
      <c r="C7" s="238">
        <v>42005</v>
      </c>
      <c r="D7" s="55">
        <v>4</v>
      </c>
      <c r="E7" s="6">
        <f>6798000+11770000+1335000</f>
        <v>19903000</v>
      </c>
      <c r="F7" s="1041">
        <f t="shared" si="1"/>
        <v>4975750</v>
      </c>
      <c r="G7" s="1042"/>
      <c r="H7" s="1042"/>
      <c r="I7" s="1042"/>
      <c r="J7" s="1053">
        <f>(F7/12)*(13-IF(C7="","",MONTH(C7)))</f>
        <v>4975750</v>
      </c>
      <c r="K7" s="1042">
        <f t="shared" si="2"/>
        <v>4975750</v>
      </c>
      <c r="L7" s="1042">
        <f t="shared" si="3"/>
        <v>14927250</v>
      </c>
      <c r="M7" s="1042">
        <f t="shared" si="4"/>
        <v>4975750</v>
      </c>
      <c r="N7" s="1042">
        <f t="shared" si="5"/>
        <v>9951500</v>
      </c>
      <c r="O7" s="1042">
        <f t="shared" si="6"/>
        <v>9951500</v>
      </c>
      <c r="P7" s="1042">
        <f t="shared" si="7"/>
        <v>4975750</v>
      </c>
      <c r="Q7" s="1042">
        <f t="shared" si="8"/>
        <v>14927250</v>
      </c>
      <c r="R7" s="1042">
        <f t="shared" si="9"/>
        <v>4975750</v>
      </c>
      <c r="S7" s="1042">
        <f>(F7/12)*12</f>
        <v>4975750</v>
      </c>
      <c r="T7" s="1042">
        <f t="shared" si="10"/>
        <v>19903000</v>
      </c>
      <c r="U7" s="1042">
        <f t="shared" si="11"/>
        <v>0</v>
      </c>
      <c r="V7" s="1042">
        <f t="shared" si="22"/>
        <v>0</v>
      </c>
      <c r="W7" s="1042">
        <f t="shared" si="12"/>
        <v>19903000</v>
      </c>
      <c r="X7" s="1042">
        <f t="shared" si="13"/>
        <v>0</v>
      </c>
      <c r="Y7" s="7">
        <f>6798000+1335000+11770000</f>
        <v>19903000</v>
      </c>
      <c r="Z7" s="7">
        <f t="shared" si="23"/>
        <v>0</v>
      </c>
      <c r="AA7" s="1042">
        <f>(F7/12)*0</f>
        <v>0</v>
      </c>
      <c r="AB7" s="1042">
        <f>W7+AA7</f>
        <v>19903000</v>
      </c>
      <c r="AC7" s="1042">
        <f>E7-AB7</f>
        <v>0</v>
      </c>
      <c r="AD7" s="1042">
        <f t="shared" si="15"/>
        <v>0</v>
      </c>
      <c r="AE7" s="1042">
        <f t="shared" si="16"/>
        <v>19903000</v>
      </c>
      <c r="AF7" s="1042">
        <f t="shared" si="17"/>
        <v>0</v>
      </c>
      <c r="AG7" s="1042">
        <f t="shared" si="18"/>
        <v>0</v>
      </c>
      <c r="AH7" s="1042">
        <f t="shared" si="19"/>
        <v>19903000</v>
      </c>
      <c r="AI7" s="1042">
        <f t="shared" si="20"/>
        <v>0</v>
      </c>
      <c r="AJ7" s="1042">
        <f>(F7/12)*0</f>
        <v>0</v>
      </c>
      <c r="AK7" s="1042">
        <f>AH7+AJ7</f>
        <v>19903000</v>
      </c>
      <c r="AL7" s="1042">
        <f>E7-AK7</f>
        <v>0</v>
      </c>
      <c r="AM7" s="1042">
        <f>0</f>
        <v>0</v>
      </c>
      <c r="AN7" s="1042">
        <f>AH7+AM7</f>
        <v>19903000</v>
      </c>
      <c r="AO7" s="1042">
        <f>E7-AN7</f>
        <v>0</v>
      </c>
      <c r="AP7" s="1042">
        <f>(F7/12)*0</f>
        <v>0</v>
      </c>
      <c r="AQ7" s="1042">
        <f>AH7+AP7</f>
        <v>19903000</v>
      </c>
      <c r="AR7" s="1042">
        <f>E7-AQ7</f>
        <v>0</v>
      </c>
      <c r="AS7" s="1042">
        <f>(F7/12)*0</f>
        <v>0</v>
      </c>
      <c r="AT7" s="1042">
        <f>AQ7+AS7</f>
        <v>19903000</v>
      </c>
      <c r="AU7" s="1042">
        <f>E7-AT7</f>
        <v>0</v>
      </c>
      <c r="AV7" s="1042">
        <f>(F7/12)*0</f>
        <v>0</v>
      </c>
      <c r="AW7" s="1042">
        <f>AQ7+AV7</f>
        <v>19903000</v>
      </c>
      <c r="AX7" s="1042">
        <f>E7-AW7</f>
        <v>0</v>
      </c>
      <c r="AZ7" s="8">
        <f>E7-AW7-AX7</f>
        <v>0</v>
      </c>
      <c r="BB7" s="57"/>
      <c r="BC7" s="19">
        <f t="shared" si="0"/>
        <v>0</v>
      </c>
    </row>
    <row r="8" spans="1:55" ht="14.25" customHeight="1">
      <c r="A8" s="17">
        <f>A7+1</f>
        <v>4</v>
      </c>
      <c r="B8" s="53" t="s">
        <v>886</v>
      </c>
      <c r="C8" s="238">
        <v>43101</v>
      </c>
      <c r="D8" s="55">
        <v>4</v>
      </c>
      <c r="E8" s="6">
        <v>101945945</v>
      </c>
      <c r="F8" s="1041">
        <f t="shared" si="1"/>
        <v>25486486.25</v>
      </c>
      <c r="G8" s="1042"/>
      <c r="H8" s="1042"/>
      <c r="I8" s="1042"/>
      <c r="J8" s="1042"/>
      <c r="K8" s="1042"/>
      <c r="L8" s="1042"/>
      <c r="M8" s="1042"/>
      <c r="N8" s="1042"/>
      <c r="O8" s="1042"/>
      <c r="P8" s="1042"/>
      <c r="Q8" s="1042"/>
      <c r="R8" s="1042"/>
      <c r="S8" s="1053">
        <f>(F8/12)*(13-IF(C8="","",MONTH(C8)))</f>
        <v>25486486.25</v>
      </c>
      <c r="T8" s="1042">
        <f t="shared" si="10"/>
        <v>25486486.25</v>
      </c>
      <c r="U8" s="1042">
        <f t="shared" si="11"/>
        <v>76459458.75</v>
      </c>
      <c r="V8" s="1042">
        <f>(F8/12)*12</f>
        <v>25486486.25</v>
      </c>
      <c r="W8" s="1042">
        <f t="shared" si="12"/>
        <v>50972972.5</v>
      </c>
      <c r="X8" s="1042">
        <f t="shared" si="13"/>
        <v>50972972.5</v>
      </c>
      <c r="Y8" s="7">
        <v>44601350.9375</v>
      </c>
      <c r="Z8" s="7">
        <f t="shared" si="23"/>
        <v>57344594.0625</v>
      </c>
      <c r="AA8" s="1042">
        <f>(F8/12)*12</f>
        <v>25486486.25</v>
      </c>
      <c r="AB8" s="1042">
        <f t="shared" ref="AB8:AB44" si="26">W8+AA8</f>
        <v>76459458.75</v>
      </c>
      <c r="AC8" s="1042">
        <f t="shared" si="25"/>
        <v>25486486.25</v>
      </c>
      <c r="AD8" s="1042">
        <f>(F8/12)*12</f>
        <v>25486486.25</v>
      </c>
      <c r="AE8" s="1042">
        <f>AB8+AD8</f>
        <v>101945945</v>
      </c>
      <c r="AF8" s="1042">
        <f t="shared" si="17"/>
        <v>0</v>
      </c>
      <c r="AG8" s="1042">
        <f>(F8/12)*0</f>
        <v>0</v>
      </c>
      <c r="AH8" s="1042">
        <f t="shared" si="19"/>
        <v>101945945</v>
      </c>
      <c r="AI8" s="1042">
        <f t="shared" si="20"/>
        <v>0</v>
      </c>
      <c r="AJ8" s="1042">
        <f>(F8/12)*0</f>
        <v>0</v>
      </c>
      <c r="AK8" s="1042">
        <f>AH8+AJ8</f>
        <v>101945945</v>
      </c>
      <c r="AL8" s="1042">
        <f>E8-AK8</f>
        <v>0</v>
      </c>
      <c r="AM8" s="1042">
        <f>0</f>
        <v>0</v>
      </c>
      <c r="AN8" s="1042">
        <f>AH8+AM8</f>
        <v>101945945</v>
      </c>
      <c r="AO8" s="1042">
        <f>E8-AN8</f>
        <v>0</v>
      </c>
      <c r="AP8" s="1042">
        <f>(F8/12)*0</f>
        <v>0</v>
      </c>
      <c r="AQ8" s="1042">
        <f>AH8+AP8</f>
        <v>101945945</v>
      </c>
      <c r="AR8" s="1042">
        <f>E8-AQ8</f>
        <v>0</v>
      </c>
      <c r="AS8" s="1042">
        <f>(F8/12)*0</f>
        <v>0</v>
      </c>
      <c r="AT8" s="1042">
        <f>AQ8+AS8</f>
        <v>101945945</v>
      </c>
      <c r="AU8" s="1042">
        <f>E8-AT8</f>
        <v>0</v>
      </c>
      <c r="AV8" s="1042">
        <f>(F8/12)*0</f>
        <v>0</v>
      </c>
      <c r="AW8" s="1042">
        <f>AQ8+AV8</f>
        <v>101945945</v>
      </c>
      <c r="AX8" s="1042">
        <f>E8-AW8</f>
        <v>0</v>
      </c>
      <c r="AZ8" s="8">
        <f t="shared" ref="AZ8:AZ10" si="27">E8-AW8-AX8</f>
        <v>0</v>
      </c>
      <c r="BB8" s="57"/>
      <c r="BC8" s="19">
        <f t="shared" si="0"/>
        <v>0</v>
      </c>
    </row>
    <row r="9" spans="1:55" s="220" customFormat="1" ht="14.25" customHeight="1">
      <c r="A9" s="190">
        <v>2</v>
      </c>
      <c r="B9" s="231" t="s">
        <v>887</v>
      </c>
      <c r="C9" s="215"/>
      <c r="D9" s="216"/>
      <c r="E9" s="217"/>
      <c r="F9" s="1045"/>
      <c r="G9" s="1046"/>
      <c r="H9" s="1046"/>
      <c r="I9" s="1046"/>
      <c r="J9" s="1046"/>
      <c r="K9" s="1046"/>
      <c r="L9" s="1046"/>
      <c r="M9" s="1046"/>
      <c r="N9" s="1046"/>
      <c r="O9" s="1046"/>
      <c r="P9" s="1046"/>
      <c r="Q9" s="1046"/>
      <c r="R9" s="1046"/>
      <c r="S9" s="1046"/>
      <c r="T9" s="1046"/>
      <c r="U9" s="1046"/>
      <c r="V9" s="1046"/>
      <c r="W9" s="1046"/>
      <c r="X9" s="1046"/>
      <c r="Y9" s="219"/>
      <c r="Z9" s="219"/>
      <c r="AA9" s="1046"/>
      <c r="AB9" s="1046">
        <f t="shared" si="26"/>
        <v>0</v>
      </c>
      <c r="AC9" s="1046"/>
      <c r="AD9" s="1046"/>
      <c r="AE9" s="1046"/>
      <c r="AF9" s="1046"/>
      <c r="AG9" s="1046"/>
      <c r="AH9" s="1046"/>
      <c r="AI9" s="1046"/>
      <c r="AJ9" s="1046"/>
      <c r="AK9" s="1046"/>
      <c r="AL9" s="1046"/>
      <c r="AM9" s="1046"/>
      <c r="AN9" s="1046"/>
      <c r="AO9" s="1046"/>
      <c r="AP9" s="1046"/>
      <c r="AQ9" s="1046"/>
      <c r="AR9" s="1046"/>
      <c r="AS9" s="1046"/>
      <c r="AT9" s="1046"/>
      <c r="AU9" s="1046"/>
      <c r="AV9" s="1046"/>
      <c r="AW9" s="1046"/>
      <c r="AX9" s="1046"/>
      <c r="AZ9" s="8">
        <f t="shared" si="27"/>
        <v>0</v>
      </c>
      <c r="BB9" s="221"/>
      <c r="BC9" s="179"/>
    </row>
    <row r="10" spans="1:55" ht="14.25" customHeight="1">
      <c r="A10" s="17">
        <v>1</v>
      </c>
      <c r="B10" s="60" t="s">
        <v>890</v>
      </c>
      <c r="C10" s="238">
        <v>40909</v>
      </c>
      <c r="D10" s="55">
        <v>4</v>
      </c>
      <c r="E10" s="6">
        <v>95400000</v>
      </c>
      <c r="F10" s="1041">
        <f t="shared" si="1"/>
        <v>23850000</v>
      </c>
      <c r="G10" s="1053"/>
      <c r="H10" s="1042">
        <f t="shared" ref="H10:H12" si="28">G10</f>
        <v>0</v>
      </c>
      <c r="I10" s="1042">
        <f t="shared" ref="I10:I12" si="29">E10-H10</f>
        <v>95400000</v>
      </c>
      <c r="J10" s="1042"/>
      <c r="K10" s="1042">
        <f t="shared" ref="K10:K12" si="30">J10+H10</f>
        <v>0</v>
      </c>
      <c r="L10" s="1042">
        <f t="shared" ref="L10:L12" si="31">E10-K10</f>
        <v>95400000</v>
      </c>
      <c r="M10" s="1042">
        <f t="shared" ref="M10:M12" si="32">(F10/12)*12</f>
        <v>23850000</v>
      </c>
      <c r="N10" s="1042">
        <f t="shared" ref="N10:N12" si="33">M10+K10</f>
        <v>23850000</v>
      </c>
      <c r="O10" s="1042">
        <f t="shared" ref="O10:O12" si="34">E10-N10</f>
        <v>71550000</v>
      </c>
      <c r="P10" s="1042">
        <f t="shared" ref="P10:P12" si="35">(F10/12)*12</f>
        <v>23850000</v>
      </c>
      <c r="Q10" s="1042">
        <f t="shared" ref="Q10:Q12" si="36">N10+P10</f>
        <v>47700000</v>
      </c>
      <c r="R10" s="1042">
        <f t="shared" ref="R10:R12" si="37">E10-Q10</f>
        <v>47700000</v>
      </c>
      <c r="S10" s="1042">
        <f>(F10/12)*12</f>
        <v>23850000</v>
      </c>
      <c r="T10" s="1042">
        <f t="shared" ref="T10:T12" si="38">Q10+S10</f>
        <v>71550000</v>
      </c>
      <c r="U10" s="1042">
        <f t="shared" ref="U10:U12" si="39">E10-T10</f>
        <v>23850000</v>
      </c>
      <c r="V10" s="1042">
        <f>(F10/12)*12</f>
        <v>23850000</v>
      </c>
      <c r="W10" s="1042">
        <f t="shared" ref="W10:W12" si="40">T10+V10</f>
        <v>95400000</v>
      </c>
      <c r="X10" s="1042">
        <f t="shared" ref="X10" si="41">E10-W10</f>
        <v>0</v>
      </c>
      <c r="Y10" s="7"/>
      <c r="Z10" s="7">
        <f t="shared" si="23"/>
        <v>95400000</v>
      </c>
      <c r="AA10" s="1042">
        <f>(F10/12)*0</f>
        <v>0</v>
      </c>
      <c r="AB10" s="1042">
        <f t="shared" si="26"/>
        <v>95400000</v>
      </c>
      <c r="AC10" s="1042">
        <f t="shared" ref="AC10:AC12" si="42">E10-AB10</f>
        <v>0</v>
      </c>
      <c r="AD10" s="1042">
        <f>(F10/12)*0</f>
        <v>0</v>
      </c>
      <c r="AE10" s="1042">
        <f t="shared" ref="AE10:AE12" si="43">AB10+AD10</f>
        <v>95400000</v>
      </c>
      <c r="AF10" s="1042">
        <f t="shared" ref="AF10:AF12" si="44">E10-AE10</f>
        <v>0</v>
      </c>
      <c r="AG10" s="1042">
        <f>(F10/12)*0</f>
        <v>0</v>
      </c>
      <c r="AH10" s="1042">
        <f t="shared" ref="AH10:AH12" si="45">AE10+AG10</f>
        <v>95400000</v>
      </c>
      <c r="AI10" s="1042">
        <f t="shared" ref="AI10:AI12" si="46">E10-AH10</f>
        <v>0</v>
      </c>
      <c r="AJ10" s="1042">
        <f>(F10/12)*0</f>
        <v>0</v>
      </c>
      <c r="AK10" s="1042">
        <f>AH10+AJ10</f>
        <v>95400000</v>
      </c>
      <c r="AL10" s="1042">
        <f>E10-AK10</f>
        <v>0</v>
      </c>
      <c r="AM10" s="1042">
        <f>0</f>
        <v>0</v>
      </c>
      <c r="AN10" s="1042">
        <f>AH10+AM10</f>
        <v>95400000</v>
      </c>
      <c r="AO10" s="1042">
        <f>E10-AN10</f>
        <v>0</v>
      </c>
      <c r="AP10" s="1042">
        <f>(F10/12)*0</f>
        <v>0</v>
      </c>
      <c r="AQ10" s="1042">
        <f t="shared" ref="AQ10:AQ30" si="47">AH10+AP10</f>
        <v>95400000</v>
      </c>
      <c r="AR10" s="1042">
        <f t="shared" ref="AR10:AR30" si="48">E10-AQ10</f>
        <v>0</v>
      </c>
      <c r="AS10" s="1042">
        <f>(F10/12)*0</f>
        <v>0</v>
      </c>
      <c r="AT10" s="1042">
        <f>AQ10+AS10</f>
        <v>95400000</v>
      </c>
      <c r="AU10" s="1042">
        <f>E10-AT10</f>
        <v>0</v>
      </c>
      <c r="AV10" s="1042">
        <f>(F10/12)*0</f>
        <v>0</v>
      </c>
      <c r="AW10" s="1042">
        <f>AQ10+AV10</f>
        <v>95400000</v>
      </c>
      <c r="AX10" s="1042">
        <f>E10-AW10</f>
        <v>0</v>
      </c>
      <c r="AZ10" s="8">
        <f t="shared" si="27"/>
        <v>0</v>
      </c>
      <c r="BB10" s="57"/>
      <c r="BC10" s="19"/>
    </row>
    <row r="11" spans="1:55" ht="14.25" hidden="1" customHeight="1">
      <c r="A11" s="874">
        <f>A10+1</f>
        <v>2</v>
      </c>
      <c r="B11" s="914" t="s">
        <v>889</v>
      </c>
      <c r="C11" s="876">
        <v>41640</v>
      </c>
      <c r="D11" s="877">
        <v>4</v>
      </c>
      <c r="E11" s="878">
        <f>617500000*0</f>
        <v>0</v>
      </c>
      <c r="F11" s="879">
        <f t="shared" si="1"/>
        <v>0</v>
      </c>
      <c r="G11" s="880">
        <f>(F11/12)*(13-IF(C11="","",MONTH(C11)))</f>
        <v>0</v>
      </c>
      <c r="H11" s="880">
        <f t="shared" si="28"/>
        <v>0</v>
      </c>
      <c r="I11" s="880">
        <f t="shared" si="29"/>
        <v>0</v>
      </c>
      <c r="J11" s="880">
        <f t="shared" ref="J11" si="49">(F11/12)*12</f>
        <v>0</v>
      </c>
      <c r="K11" s="880">
        <f t="shared" si="30"/>
        <v>0</v>
      </c>
      <c r="L11" s="880">
        <f t="shared" si="31"/>
        <v>0</v>
      </c>
      <c r="M11" s="880">
        <f t="shared" si="32"/>
        <v>0</v>
      </c>
      <c r="N11" s="880">
        <f t="shared" si="33"/>
        <v>0</v>
      </c>
      <c r="O11" s="880">
        <f t="shared" si="34"/>
        <v>0</v>
      </c>
      <c r="P11" s="880">
        <f t="shared" si="35"/>
        <v>0</v>
      </c>
      <c r="Q11" s="880">
        <f t="shared" si="36"/>
        <v>0</v>
      </c>
      <c r="R11" s="880">
        <f t="shared" si="37"/>
        <v>0</v>
      </c>
      <c r="S11" s="880">
        <f>(F11/12)*0</f>
        <v>0</v>
      </c>
      <c r="T11" s="880">
        <f t="shared" si="38"/>
        <v>0</v>
      </c>
      <c r="U11" s="880">
        <f t="shared" si="39"/>
        <v>0</v>
      </c>
      <c r="V11" s="880">
        <f t="shared" ref="V11" si="50">(F11/12)*0</f>
        <v>0</v>
      </c>
      <c r="W11" s="880">
        <f t="shared" si="40"/>
        <v>0</v>
      </c>
      <c r="X11" s="880">
        <f t="shared" ref="X11" si="51">E11-W11</f>
        <v>0</v>
      </c>
      <c r="Y11" s="880"/>
      <c r="Z11" s="880">
        <f t="shared" si="23"/>
        <v>0</v>
      </c>
      <c r="AA11" s="880">
        <f t="shared" ref="AA11:AA29" si="52">(F11/12)*1</f>
        <v>0</v>
      </c>
      <c r="AB11" s="880">
        <f t="shared" si="26"/>
        <v>0</v>
      </c>
      <c r="AC11" s="880">
        <f t="shared" si="42"/>
        <v>0</v>
      </c>
      <c r="AD11" s="880">
        <f t="shared" ref="AD11:AD30" si="53">(F11/12)*12</f>
        <v>0</v>
      </c>
      <c r="AE11" s="880">
        <f t="shared" si="43"/>
        <v>0</v>
      </c>
      <c r="AF11" s="880">
        <f t="shared" si="44"/>
        <v>0</v>
      </c>
      <c r="AG11" s="880">
        <f t="shared" ref="AG11:AG33" si="54">(F11/12)*12</f>
        <v>0</v>
      </c>
      <c r="AH11" s="880">
        <f t="shared" si="45"/>
        <v>0</v>
      </c>
      <c r="AI11" s="880">
        <f t="shared" si="46"/>
        <v>0</v>
      </c>
      <c r="AJ11" s="880"/>
      <c r="AK11" s="880"/>
      <c r="AL11" s="880"/>
      <c r="AM11" s="880"/>
      <c r="AN11" s="880"/>
      <c r="AO11" s="880"/>
      <c r="AP11" s="880">
        <f>(F11/12)*7</f>
        <v>0</v>
      </c>
      <c r="AQ11" s="880">
        <f t="shared" si="47"/>
        <v>0</v>
      </c>
      <c r="AR11" s="880">
        <f t="shared" si="48"/>
        <v>0</v>
      </c>
      <c r="AS11" s="896"/>
      <c r="AT11" s="896"/>
      <c r="AU11" s="896"/>
      <c r="AV11" s="896"/>
      <c r="AW11" s="896"/>
      <c r="AX11" s="896"/>
      <c r="AZ11" s="8">
        <f t="shared" si="21"/>
        <v>0</v>
      </c>
      <c r="BB11" s="57"/>
      <c r="BC11" s="19"/>
    </row>
    <row r="12" spans="1:55" ht="14.25" customHeight="1">
      <c r="A12" s="17">
        <f t="shared" ref="A12:A30" si="55">A11+1</f>
        <v>3</v>
      </c>
      <c r="B12" s="60" t="s">
        <v>891</v>
      </c>
      <c r="C12" s="238">
        <v>41640</v>
      </c>
      <c r="D12" s="55">
        <v>4</v>
      </c>
      <c r="E12" s="6">
        <v>48900000</v>
      </c>
      <c r="F12" s="1041">
        <f t="shared" si="1"/>
        <v>12225000</v>
      </c>
      <c r="G12" s="1053"/>
      <c r="H12" s="1042">
        <f t="shared" si="28"/>
        <v>0</v>
      </c>
      <c r="I12" s="1042">
        <f t="shared" si="29"/>
        <v>48900000</v>
      </c>
      <c r="J12" s="1042"/>
      <c r="K12" s="1042">
        <f t="shared" si="30"/>
        <v>0</v>
      </c>
      <c r="L12" s="1042">
        <f t="shared" si="31"/>
        <v>48900000</v>
      </c>
      <c r="M12" s="1042">
        <f t="shared" si="32"/>
        <v>12225000</v>
      </c>
      <c r="N12" s="1042">
        <f t="shared" si="33"/>
        <v>12225000</v>
      </c>
      <c r="O12" s="1042">
        <f t="shared" si="34"/>
        <v>36675000</v>
      </c>
      <c r="P12" s="1042">
        <f t="shared" si="35"/>
        <v>12225000</v>
      </c>
      <c r="Q12" s="1042">
        <f t="shared" si="36"/>
        <v>24450000</v>
      </c>
      <c r="R12" s="1042">
        <f t="shared" si="37"/>
        <v>24450000</v>
      </c>
      <c r="S12" s="1042">
        <f>(F12/12)*12</f>
        <v>12225000</v>
      </c>
      <c r="T12" s="1042">
        <f t="shared" si="38"/>
        <v>36675000</v>
      </c>
      <c r="U12" s="1042">
        <f t="shared" si="39"/>
        <v>12225000</v>
      </c>
      <c r="V12" s="1042">
        <f>(F12/12)*12</f>
        <v>12225000</v>
      </c>
      <c r="W12" s="1042">
        <f t="shared" si="40"/>
        <v>48900000</v>
      </c>
      <c r="X12" s="1042">
        <f t="shared" ref="X12:X19" si="56">E12-W12</f>
        <v>0</v>
      </c>
      <c r="Y12" s="7"/>
      <c r="Z12" s="7">
        <f t="shared" si="23"/>
        <v>48900000</v>
      </c>
      <c r="AA12" s="1042">
        <f>(F12/12)*0</f>
        <v>0</v>
      </c>
      <c r="AB12" s="1042">
        <f t="shared" si="26"/>
        <v>48900000</v>
      </c>
      <c r="AC12" s="1042">
        <f t="shared" si="42"/>
        <v>0</v>
      </c>
      <c r="AD12" s="1042">
        <f>(F12/12)*0</f>
        <v>0</v>
      </c>
      <c r="AE12" s="1042">
        <f t="shared" si="43"/>
        <v>48900000</v>
      </c>
      <c r="AF12" s="1042">
        <f t="shared" si="44"/>
        <v>0</v>
      </c>
      <c r="AG12" s="1042">
        <f>(F12/12)*0</f>
        <v>0</v>
      </c>
      <c r="AH12" s="1042">
        <f t="shared" si="45"/>
        <v>48900000</v>
      </c>
      <c r="AI12" s="1042">
        <f t="shared" si="46"/>
        <v>0</v>
      </c>
      <c r="AJ12" s="1042">
        <f>(F12/12)*0</f>
        <v>0</v>
      </c>
      <c r="AK12" s="1042">
        <f t="shared" ref="AK12:AK28" si="57">AH12+AJ12</f>
        <v>48900000</v>
      </c>
      <c r="AL12" s="1042">
        <f t="shared" ref="AL12:AL28" si="58">E12-AK12</f>
        <v>0</v>
      </c>
      <c r="AM12" s="1042">
        <f>0</f>
        <v>0</v>
      </c>
      <c r="AN12" s="1042">
        <f>AH12+AM12</f>
        <v>48900000</v>
      </c>
      <c r="AO12" s="1042">
        <f>E12-AN12</f>
        <v>0</v>
      </c>
      <c r="AP12" s="1042">
        <f>(F12/12)*0</f>
        <v>0</v>
      </c>
      <c r="AQ12" s="1042">
        <f t="shared" si="47"/>
        <v>48900000</v>
      </c>
      <c r="AR12" s="1042">
        <f t="shared" si="48"/>
        <v>0</v>
      </c>
      <c r="AS12" s="1042">
        <f>(F12/12)*0</f>
        <v>0</v>
      </c>
      <c r="AT12" s="1042">
        <f t="shared" ref="AT12:AT28" si="59">AQ12+AS12</f>
        <v>48900000</v>
      </c>
      <c r="AU12" s="1042">
        <f t="shared" ref="AU12:AU28" si="60">E12-AT12</f>
        <v>0</v>
      </c>
      <c r="AV12" s="1042">
        <f>(F12/12)*0</f>
        <v>0</v>
      </c>
      <c r="AW12" s="1042">
        <f t="shared" ref="AW12:AW28" si="61">AQ12+AV12</f>
        <v>48900000</v>
      </c>
      <c r="AX12" s="1042">
        <f t="shared" ref="AX12:AX28" si="62">E12-AW12</f>
        <v>0</v>
      </c>
      <c r="AZ12" s="8">
        <f t="shared" ref="AZ12:AZ28" si="63">E12-AW12-AX12</f>
        <v>0</v>
      </c>
      <c r="BB12" s="57"/>
      <c r="BC12" s="19"/>
    </row>
    <row r="13" spans="1:55" ht="14.25" customHeight="1">
      <c r="A13" s="1021">
        <f t="shared" si="55"/>
        <v>4</v>
      </c>
      <c r="B13" s="60" t="s">
        <v>892</v>
      </c>
      <c r="C13" s="238">
        <v>42370</v>
      </c>
      <c r="D13" s="55">
        <v>8</v>
      </c>
      <c r="E13" s="6">
        <v>959327031.60000002</v>
      </c>
      <c r="F13" s="1041">
        <f t="shared" si="1"/>
        <v>119915878.95</v>
      </c>
      <c r="G13" s="1042"/>
      <c r="H13" s="1042"/>
      <c r="I13" s="1042"/>
      <c r="J13" s="1042"/>
      <c r="K13" s="1042"/>
      <c r="L13" s="1042"/>
      <c r="M13" s="1053">
        <f>(F13/12)*(13-IF(C13="","",MONTH(C13)))</f>
        <v>119915878.94999999</v>
      </c>
      <c r="N13" s="1042">
        <f t="shared" ref="N13:N19" si="64">M13+K13</f>
        <v>119915878.94999999</v>
      </c>
      <c r="O13" s="1042">
        <f t="shared" ref="O13:O19" si="65">E13-N13</f>
        <v>839411152.6500001</v>
      </c>
      <c r="P13" s="1042">
        <f t="shared" ref="P13:P19" si="66">(F13/12)*12</f>
        <v>119915878.94999999</v>
      </c>
      <c r="Q13" s="1042">
        <f t="shared" ref="Q13:Q19" si="67">N13+P13</f>
        <v>239831757.89999998</v>
      </c>
      <c r="R13" s="1042">
        <f t="shared" ref="R13:R19" si="68">E13-Q13</f>
        <v>719495273.70000005</v>
      </c>
      <c r="S13" s="1042">
        <f>(F13/12)*12</f>
        <v>119915878.94999999</v>
      </c>
      <c r="T13" s="1042">
        <f t="shared" ref="T13:T19" si="69">Q13+S13</f>
        <v>359747636.84999996</v>
      </c>
      <c r="U13" s="1042">
        <f t="shared" ref="U13:U19" si="70">E13-T13</f>
        <v>599579394.75</v>
      </c>
      <c r="V13" s="1042">
        <f>(F13/12)*12</f>
        <v>119915878.94999999</v>
      </c>
      <c r="W13" s="1042">
        <f t="shared" ref="W13:W19" si="71">T13+V13</f>
        <v>479663515.79999995</v>
      </c>
      <c r="X13" s="1042">
        <f t="shared" si="56"/>
        <v>479663515.80000007</v>
      </c>
      <c r="Y13" s="7"/>
      <c r="Z13" s="7">
        <f t="shared" si="23"/>
        <v>959327031.60000002</v>
      </c>
      <c r="AA13" s="1042">
        <f>(F13/12)*12</f>
        <v>119915878.94999999</v>
      </c>
      <c r="AB13" s="1042">
        <f t="shared" si="26"/>
        <v>599579394.75</v>
      </c>
      <c r="AC13" s="1042">
        <f t="shared" ref="AC13:AC19" si="72">E13-AB13</f>
        <v>359747636.85000002</v>
      </c>
      <c r="AD13" s="1042">
        <f t="shared" si="53"/>
        <v>119915878.94999999</v>
      </c>
      <c r="AE13" s="1042">
        <f t="shared" ref="AE13:AE19" si="73">AB13+AD13</f>
        <v>719495273.70000005</v>
      </c>
      <c r="AF13" s="1042">
        <f t="shared" ref="AF13:AF19" si="74">E13-AE13</f>
        <v>239831757.89999998</v>
      </c>
      <c r="AG13" s="1042">
        <f t="shared" si="54"/>
        <v>119915878.94999999</v>
      </c>
      <c r="AH13" s="1042">
        <f t="shared" ref="AH13:AH19" si="75">AE13+AG13</f>
        <v>839411152.6500001</v>
      </c>
      <c r="AI13" s="1042">
        <f t="shared" ref="AI13:AI19" si="76">E13-AH13</f>
        <v>119915878.94999993</v>
      </c>
      <c r="AJ13" s="1042">
        <f t="shared" ref="AJ13:AJ28" si="77">(F13/12)*1</f>
        <v>9992989.9124999996</v>
      </c>
      <c r="AK13" s="1042">
        <f t="shared" si="57"/>
        <v>849404142.56250012</v>
      </c>
      <c r="AL13" s="1042">
        <f t="shared" si="58"/>
        <v>109922889.0374999</v>
      </c>
      <c r="AM13" s="1042">
        <f>(F13/12)*9</f>
        <v>89936909.212499991</v>
      </c>
      <c r="AN13" s="1042">
        <f>AH13+AM13</f>
        <v>929348061.86250007</v>
      </c>
      <c r="AO13" s="1042">
        <f>E13-AN13</f>
        <v>29978969.737499952</v>
      </c>
      <c r="AP13" s="1042">
        <f>(F13/12)*12</f>
        <v>119915878.94999999</v>
      </c>
      <c r="AQ13" s="1042">
        <f t="shared" si="47"/>
        <v>959327031.60000014</v>
      </c>
      <c r="AR13" s="1042">
        <f t="shared" si="48"/>
        <v>0</v>
      </c>
      <c r="AS13" s="1042">
        <f>(F13/12)*0</f>
        <v>0</v>
      </c>
      <c r="AT13" s="1042">
        <f t="shared" si="59"/>
        <v>959327031.60000014</v>
      </c>
      <c r="AU13" s="1042">
        <f t="shared" si="60"/>
        <v>0</v>
      </c>
      <c r="AV13" s="1042">
        <f>(F13/12)*0</f>
        <v>0</v>
      </c>
      <c r="AW13" s="1042">
        <f t="shared" si="61"/>
        <v>959327031.60000014</v>
      </c>
      <c r="AX13" s="1042">
        <f t="shared" si="62"/>
        <v>0</v>
      </c>
      <c r="AZ13" s="8">
        <f t="shared" si="63"/>
        <v>-1.1920928955078125E-7</v>
      </c>
      <c r="BB13" s="57"/>
      <c r="BC13" s="19"/>
    </row>
    <row r="14" spans="1:55" ht="14.25" customHeight="1">
      <c r="A14" s="1021">
        <f t="shared" si="55"/>
        <v>5</v>
      </c>
      <c r="B14" s="60" t="s">
        <v>893</v>
      </c>
      <c r="C14" s="238">
        <v>42370</v>
      </c>
      <c r="D14" s="55">
        <v>8</v>
      </c>
      <c r="E14" s="6">
        <v>1295126985</v>
      </c>
      <c r="F14" s="1041">
        <f t="shared" si="1"/>
        <v>161890873.125</v>
      </c>
      <c r="G14" s="1042"/>
      <c r="H14" s="1042"/>
      <c r="I14" s="1042"/>
      <c r="J14" s="1042"/>
      <c r="K14" s="1042"/>
      <c r="L14" s="1042"/>
      <c r="M14" s="1053">
        <f t="shared" ref="M14:M19" si="78">(F14/12)*(13-IF(C14="","",MONTH(C14)))</f>
        <v>161890873.125</v>
      </c>
      <c r="N14" s="1042">
        <f t="shared" si="64"/>
        <v>161890873.125</v>
      </c>
      <c r="O14" s="1042">
        <f t="shared" si="65"/>
        <v>1133236111.875</v>
      </c>
      <c r="P14" s="1042">
        <f t="shared" si="66"/>
        <v>161890873.125</v>
      </c>
      <c r="Q14" s="1042">
        <f t="shared" si="67"/>
        <v>323781746.25</v>
      </c>
      <c r="R14" s="1042">
        <f t="shared" si="68"/>
        <v>971345238.75</v>
      </c>
      <c r="S14" s="1042">
        <f t="shared" ref="S14:S19" si="79">(F14/12)*12</f>
        <v>161890873.125</v>
      </c>
      <c r="T14" s="1042">
        <f t="shared" si="69"/>
        <v>485672619.375</v>
      </c>
      <c r="U14" s="1042">
        <f t="shared" si="70"/>
        <v>809454365.625</v>
      </c>
      <c r="V14" s="1042">
        <f t="shared" ref="V14:V19" si="80">(F14/12)*12</f>
        <v>161890873.125</v>
      </c>
      <c r="W14" s="1042">
        <f t="shared" si="71"/>
        <v>647563492.5</v>
      </c>
      <c r="X14" s="1042">
        <f t="shared" si="56"/>
        <v>647563492.5</v>
      </c>
      <c r="Y14" s="7"/>
      <c r="Z14" s="7">
        <f t="shared" si="23"/>
        <v>1295126985</v>
      </c>
      <c r="AA14" s="1042">
        <f>(F14/12)*12</f>
        <v>161890873.125</v>
      </c>
      <c r="AB14" s="1042">
        <f t="shared" si="26"/>
        <v>809454365.625</v>
      </c>
      <c r="AC14" s="1042">
        <f t="shared" si="72"/>
        <v>485672619.375</v>
      </c>
      <c r="AD14" s="1042">
        <f t="shared" si="53"/>
        <v>161890873.125</v>
      </c>
      <c r="AE14" s="1042">
        <f t="shared" si="73"/>
        <v>971345238.75</v>
      </c>
      <c r="AF14" s="1042">
        <f t="shared" si="74"/>
        <v>323781746.25</v>
      </c>
      <c r="AG14" s="1042">
        <f t="shared" si="54"/>
        <v>161890873.125</v>
      </c>
      <c r="AH14" s="1042">
        <f t="shared" si="75"/>
        <v>1133236111.875</v>
      </c>
      <c r="AI14" s="1042">
        <f t="shared" si="76"/>
        <v>161890873.125</v>
      </c>
      <c r="AJ14" s="1042">
        <f t="shared" si="77"/>
        <v>13490906.09375</v>
      </c>
      <c r="AK14" s="1042">
        <f t="shared" si="57"/>
        <v>1146727017.96875</v>
      </c>
      <c r="AL14" s="1042">
        <f t="shared" si="58"/>
        <v>148399967.03125</v>
      </c>
      <c r="AM14" s="1042">
        <f t="shared" ref="AM14:AM16" si="81">(F14/12)*9</f>
        <v>121418154.84375</v>
      </c>
      <c r="AN14" s="1042">
        <f t="shared" ref="AN14:AN17" si="82">AH14+AM14</f>
        <v>1254654266.71875</v>
      </c>
      <c r="AO14" s="1042">
        <f t="shared" ref="AO14:AO16" si="83">E14-AN14</f>
        <v>40472718.28125</v>
      </c>
      <c r="AP14" s="1042">
        <f>(F14/12)*12</f>
        <v>161890873.125</v>
      </c>
      <c r="AQ14" s="1042">
        <f t="shared" si="47"/>
        <v>1295126985</v>
      </c>
      <c r="AR14" s="1042">
        <f t="shared" si="48"/>
        <v>0</v>
      </c>
      <c r="AS14" s="1042">
        <f>(F14/12)*0</f>
        <v>0</v>
      </c>
      <c r="AT14" s="1042">
        <f t="shared" si="59"/>
        <v>1295126985</v>
      </c>
      <c r="AU14" s="1042">
        <f t="shared" si="60"/>
        <v>0</v>
      </c>
      <c r="AV14" s="1042">
        <f>(F14/12)*0</f>
        <v>0</v>
      </c>
      <c r="AW14" s="1042">
        <f t="shared" si="61"/>
        <v>1295126985</v>
      </c>
      <c r="AX14" s="1042">
        <f t="shared" si="62"/>
        <v>0</v>
      </c>
      <c r="AZ14" s="8">
        <f t="shared" si="63"/>
        <v>0</v>
      </c>
      <c r="BB14" s="57"/>
      <c r="BC14" s="19"/>
    </row>
    <row r="15" spans="1:55" ht="14.25" customHeight="1">
      <c r="A15" s="1021">
        <f t="shared" si="55"/>
        <v>6</v>
      </c>
      <c r="B15" s="60" t="s">
        <v>894</v>
      </c>
      <c r="C15" s="238">
        <v>42370</v>
      </c>
      <c r="D15" s="55">
        <v>8</v>
      </c>
      <c r="E15" s="6">
        <v>1673691360</v>
      </c>
      <c r="F15" s="1041">
        <f t="shared" si="1"/>
        <v>209211420</v>
      </c>
      <c r="G15" s="1042"/>
      <c r="H15" s="1042"/>
      <c r="I15" s="1042"/>
      <c r="J15" s="1042"/>
      <c r="K15" s="1042"/>
      <c r="L15" s="1042"/>
      <c r="M15" s="1053">
        <f t="shared" si="78"/>
        <v>209211420</v>
      </c>
      <c r="N15" s="1042">
        <f t="shared" si="64"/>
        <v>209211420</v>
      </c>
      <c r="O15" s="1042">
        <f t="shared" si="65"/>
        <v>1464479940</v>
      </c>
      <c r="P15" s="1042">
        <f t="shared" si="66"/>
        <v>209211420</v>
      </c>
      <c r="Q15" s="1042">
        <f t="shared" si="67"/>
        <v>418422840</v>
      </c>
      <c r="R15" s="1042">
        <f t="shared" si="68"/>
        <v>1255268520</v>
      </c>
      <c r="S15" s="1042">
        <f t="shared" si="79"/>
        <v>209211420</v>
      </c>
      <c r="T15" s="1042">
        <f t="shared" si="69"/>
        <v>627634260</v>
      </c>
      <c r="U15" s="1042">
        <f t="shared" si="70"/>
        <v>1046057100</v>
      </c>
      <c r="V15" s="1042">
        <f t="shared" si="80"/>
        <v>209211420</v>
      </c>
      <c r="W15" s="1042">
        <f t="shared" si="71"/>
        <v>836845680</v>
      </c>
      <c r="X15" s="1042">
        <f t="shared" si="56"/>
        <v>836845680</v>
      </c>
      <c r="Y15" s="7"/>
      <c r="Z15" s="7">
        <f t="shared" si="23"/>
        <v>1673691360</v>
      </c>
      <c r="AA15" s="1042">
        <f>(F15/12)*12</f>
        <v>209211420</v>
      </c>
      <c r="AB15" s="1042">
        <f t="shared" si="26"/>
        <v>1046057100</v>
      </c>
      <c r="AC15" s="1042">
        <f t="shared" si="72"/>
        <v>627634260</v>
      </c>
      <c r="AD15" s="1042">
        <f t="shared" si="53"/>
        <v>209211420</v>
      </c>
      <c r="AE15" s="1042">
        <f t="shared" si="73"/>
        <v>1255268520</v>
      </c>
      <c r="AF15" s="1042">
        <f t="shared" si="74"/>
        <v>418422840</v>
      </c>
      <c r="AG15" s="1042">
        <f t="shared" si="54"/>
        <v>209211420</v>
      </c>
      <c r="AH15" s="1042">
        <f t="shared" si="75"/>
        <v>1464479940</v>
      </c>
      <c r="AI15" s="1042">
        <f t="shared" si="76"/>
        <v>209211420</v>
      </c>
      <c r="AJ15" s="1042">
        <f t="shared" si="77"/>
        <v>17434285</v>
      </c>
      <c r="AK15" s="1042">
        <f t="shared" si="57"/>
        <v>1481914225</v>
      </c>
      <c r="AL15" s="1042">
        <f t="shared" si="58"/>
        <v>191777135</v>
      </c>
      <c r="AM15" s="1042">
        <f t="shared" si="81"/>
        <v>156908565</v>
      </c>
      <c r="AN15" s="1042">
        <f t="shared" si="82"/>
        <v>1621388505</v>
      </c>
      <c r="AO15" s="1042">
        <f t="shared" si="83"/>
        <v>52302855</v>
      </c>
      <c r="AP15" s="1042">
        <f>(F15/12)*12</f>
        <v>209211420</v>
      </c>
      <c r="AQ15" s="1042">
        <f t="shared" si="47"/>
        <v>1673691360</v>
      </c>
      <c r="AR15" s="1042">
        <f t="shared" si="48"/>
        <v>0</v>
      </c>
      <c r="AS15" s="1042">
        <f>(F15/12)*0</f>
        <v>0</v>
      </c>
      <c r="AT15" s="1042">
        <f t="shared" si="59"/>
        <v>1673691360</v>
      </c>
      <c r="AU15" s="1042">
        <f t="shared" si="60"/>
        <v>0</v>
      </c>
      <c r="AV15" s="1042">
        <f>(F15/12)*0</f>
        <v>0</v>
      </c>
      <c r="AW15" s="1042">
        <f t="shared" si="61"/>
        <v>1673691360</v>
      </c>
      <c r="AX15" s="1042">
        <f t="shared" si="62"/>
        <v>0</v>
      </c>
      <c r="AZ15" s="8">
        <f t="shared" si="63"/>
        <v>0</v>
      </c>
      <c r="BB15" s="57"/>
      <c r="BC15" s="19"/>
    </row>
    <row r="16" spans="1:55" ht="14.25" customHeight="1">
      <c r="A16" s="17">
        <f t="shared" si="55"/>
        <v>7</v>
      </c>
      <c r="B16" s="60" t="s">
        <v>895</v>
      </c>
      <c r="C16" s="238">
        <v>42370</v>
      </c>
      <c r="D16" s="1072">
        <v>8</v>
      </c>
      <c r="E16" s="6">
        <v>138272764</v>
      </c>
      <c r="F16" s="1041">
        <f t="shared" si="1"/>
        <v>17284095.5</v>
      </c>
      <c r="G16" s="1042"/>
      <c r="H16" s="1042"/>
      <c r="I16" s="1042"/>
      <c r="J16" s="1042"/>
      <c r="K16" s="1042"/>
      <c r="L16" s="1042"/>
      <c r="M16" s="1053">
        <f t="shared" si="78"/>
        <v>17284095.5</v>
      </c>
      <c r="N16" s="1042">
        <f t="shared" si="64"/>
        <v>17284095.5</v>
      </c>
      <c r="O16" s="1042">
        <f t="shared" si="65"/>
        <v>120988668.5</v>
      </c>
      <c r="P16" s="1042">
        <f t="shared" si="66"/>
        <v>17284095.5</v>
      </c>
      <c r="Q16" s="1042">
        <f t="shared" si="67"/>
        <v>34568191</v>
      </c>
      <c r="R16" s="1042">
        <f t="shared" si="68"/>
        <v>103704573</v>
      </c>
      <c r="S16" s="1042">
        <f t="shared" si="79"/>
        <v>17284095.5</v>
      </c>
      <c r="T16" s="1042">
        <f t="shared" si="69"/>
        <v>51852286.5</v>
      </c>
      <c r="U16" s="1042">
        <f t="shared" si="70"/>
        <v>86420477.5</v>
      </c>
      <c r="V16" s="1042">
        <f t="shared" si="80"/>
        <v>17284095.5</v>
      </c>
      <c r="W16" s="1042">
        <f t="shared" si="71"/>
        <v>69136382</v>
      </c>
      <c r="X16" s="1042">
        <f t="shared" si="56"/>
        <v>69136382</v>
      </c>
      <c r="Y16" s="7"/>
      <c r="Z16" s="7">
        <f t="shared" si="23"/>
        <v>138272764</v>
      </c>
      <c r="AA16" s="1042">
        <f>(F16/12)*0</f>
        <v>0</v>
      </c>
      <c r="AB16" s="1042">
        <f t="shared" si="26"/>
        <v>69136382</v>
      </c>
      <c r="AC16" s="1042">
        <f t="shared" si="72"/>
        <v>69136382</v>
      </c>
      <c r="AD16" s="1042">
        <f t="shared" si="53"/>
        <v>17284095.5</v>
      </c>
      <c r="AE16" s="1042">
        <f t="shared" si="73"/>
        <v>86420477.5</v>
      </c>
      <c r="AF16" s="1042">
        <f t="shared" si="74"/>
        <v>51852286.5</v>
      </c>
      <c r="AG16" s="1042">
        <f>(F16/12)*12</f>
        <v>17284095.5</v>
      </c>
      <c r="AH16" s="1042">
        <f t="shared" si="75"/>
        <v>103704573</v>
      </c>
      <c r="AI16" s="1042">
        <f t="shared" si="76"/>
        <v>34568191</v>
      </c>
      <c r="AJ16" s="1042">
        <f t="shared" si="77"/>
        <v>1440341.2916666667</v>
      </c>
      <c r="AK16" s="1042">
        <f t="shared" si="57"/>
        <v>105144914.29166667</v>
      </c>
      <c r="AL16" s="1042">
        <f t="shared" si="58"/>
        <v>33127849.708333328</v>
      </c>
      <c r="AM16" s="1042">
        <f t="shared" si="81"/>
        <v>12963071.625</v>
      </c>
      <c r="AN16" s="1042">
        <f t="shared" si="82"/>
        <v>116667644.625</v>
      </c>
      <c r="AO16" s="1042">
        <f t="shared" si="83"/>
        <v>21605119.375</v>
      </c>
      <c r="AP16" s="1042">
        <f>(F16/12)*12</f>
        <v>17284095.5</v>
      </c>
      <c r="AQ16" s="1042">
        <f t="shared" si="47"/>
        <v>120988668.5</v>
      </c>
      <c r="AR16" s="1042">
        <f t="shared" si="48"/>
        <v>17284095.5</v>
      </c>
      <c r="AS16" s="1042">
        <f>(F16/12)*9</f>
        <v>12963071.625</v>
      </c>
      <c r="AT16" s="1042">
        <f t="shared" si="59"/>
        <v>133951740.125</v>
      </c>
      <c r="AU16" s="1042">
        <f t="shared" si="60"/>
        <v>4321023.875</v>
      </c>
      <c r="AV16" s="1042">
        <f t="shared" ref="AV16:AV28" si="84">(F16/12)*12</f>
        <v>17284095.5</v>
      </c>
      <c r="AW16" s="1042">
        <f t="shared" si="61"/>
        <v>138272764</v>
      </c>
      <c r="AX16" s="1042">
        <f t="shared" si="62"/>
        <v>0</v>
      </c>
      <c r="AZ16" s="8">
        <f t="shared" si="63"/>
        <v>0</v>
      </c>
      <c r="BB16" s="57"/>
      <c r="BC16" s="19"/>
    </row>
    <row r="17" spans="1:55" ht="14.25" customHeight="1">
      <c r="A17" s="17">
        <f t="shared" si="55"/>
        <v>8</v>
      </c>
      <c r="B17" s="60" t="s">
        <v>896</v>
      </c>
      <c r="C17" s="238">
        <v>42370</v>
      </c>
      <c r="D17" s="55">
        <v>4</v>
      </c>
      <c r="E17" s="6">
        <v>240394000</v>
      </c>
      <c r="F17" s="1041">
        <f t="shared" si="1"/>
        <v>60098500</v>
      </c>
      <c r="G17" s="1042"/>
      <c r="H17" s="1042"/>
      <c r="I17" s="1042"/>
      <c r="J17" s="1042"/>
      <c r="K17" s="1042"/>
      <c r="L17" s="1042"/>
      <c r="M17" s="1053">
        <f t="shared" si="78"/>
        <v>60098500</v>
      </c>
      <c r="N17" s="1042">
        <f t="shared" si="64"/>
        <v>60098500</v>
      </c>
      <c r="O17" s="1042">
        <f t="shared" si="65"/>
        <v>180295500</v>
      </c>
      <c r="P17" s="1042">
        <f t="shared" si="66"/>
        <v>60098500</v>
      </c>
      <c r="Q17" s="1042">
        <f t="shared" si="67"/>
        <v>120197000</v>
      </c>
      <c r="R17" s="1042">
        <f t="shared" si="68"/>
        <v>120197000</v>
      </c>
      <c r="S17" s="1042">
        <f t="shared" si="79"/>
        <v>60098500</v>
      </c>
      <c r="T17" s="1042">
        <f t="shared" si="69"/>
        <v>180295500</v>
      </c>
      <c r="U17" s="1042">
        <f t="shared" si="70"/>
        <v>60098500</v>
      </c>
      <c r="V17" s="1042">
        <f t="shared" si="80"/>
        <v>60098500</v>
      </c>
      <c r="W17" s="1042">
        <f t="shared" si="71"/>
        <v>240394000</v>
      </c>
      <c r="X17" s="1042">
        <f t="shared" si="56"/>
        <v>0</v>
      </c>
      <c r="Y17" s="7"/>
      <c r="Z17" s="7">
        <f t="shared" si="23"/>
        <v>240394000</v>
      </c>
      <c r="AA17" s="1042">
        <f>(F17/12)*0</f>
        <v>0</v>
      </c>
      <c r="AB17" s="1042">
        <f t="shared" si="26"/>
        <v>240394000</v>
      </c>
      <c r="AC17" s="1042">
        <f t="shared" si="72"/>
        <v>0</v>
      </c>
      <c r="AD17" s="1042">
        <f t="shared" ref="AD17" si="85">(F17/12)*0</f>
        <v>0</v>
      </c>
      <c r="AE17" s="1042">
        <f t="shared" si="73"/>
        <v>240394000</v>
      </c>
      <c r="AF17" s="1042">
        <f t="shared" si="74"/>
        <v>0</v>
      </c>
      <c r="AG17" s="1042">
        <f t="shared" ref="AG17" si="86">(F17/12)*0</f>
        <v>0</v>
      </c>
      <c r="AH17" s="1042">
        <f t="shared" si="75"/>
        <v>240394000</v>
      </c>
      <c r="AI17" s="1042">
        <f t="shared" si="76"/>
        <v>0</v>
      </c>
      <c r="AJ17" s="1042">
        <f>(F17/12)*0</f>
        <v>0</v>
      </c>
      <c r="AK17" s="1042">
        <f t="shared" si="57"/>
        <v>240394000</v>
      </c>
      <c r="AL17" s="1042">
        <f t="shared" si="58"/>
        <v>0</v>
      </c>
      <c r="AM17" s="1042">
        <f>0</f>
        <v>0</v>
      </c>
      <c r="AN17" s="1042">
        <f t="shared" si="82"/>
        <v>240394000</v>
      </c>
      <c r="AO17" s="1042">
        <f t="shared" ref="AO17:AO25" si="87">E17-AN17</f>
        <v>0</v>
      </c>
      <c r="AP17" s="1042">
        <f>(F17/12)*0</f>
        <v>0</v>
      </c>
      <c r="AQ17" s="1042">
        <f t="shared" si="47"/>
        <v>240394000</v>
      </c>
      <c r="AR17" s="1042">
        <f t="shared" si="48"/>
        <v>0</v>
      </c>
      <c r="AS17" s="1042">
        <f>(F17/12)*0</f>
        <v>0</v>
      </c>
      <c r="AT17" s="1042">
        <f t="shared" si="59"/>
        <v>240394000</v>
      </c>
      <c r="AU17" s="1042">
        <f t="shared" si="60"/>
        <v>0</v>
      </c>
      <c r="AV17" s="1042">
        <f>(F17/12)*0</f>
        <v>0</v>
      </c>
      <c r="AW17" s="1042">
        <f t="shared" si="61"/>
        <v>240394000</v>
      </c>
      <c r="AX17" s="1042">
        <f t="shared" si="62"/>
        <v>0</v>
      </c>
      <c r="AZ17" s="8">
        <f t="shared" si="63"/>
        <v>0</v>
      </c>
      <c r="BB17" s="57"/>
      <c r="BC17" s="19"/>
    </row>
    <row r="18" spans="1:55" ht="14.25" customHeight="1">
      <c r="A18" s="1021">
        <f t="shared" si="55"/>
        <v>9</v>
      </c>
      <c r="B18" s="60" t="s">
        <v>897</v>
      </c>
      <c r="C18" s="238">
        <v>42370</v>
      </c>
      <c r="D18" s="55">
        <v>8</v>
      </c>
      <c r="E18" s="6">
        <v>953018035</v>
      </c>
      <c r="F18" s="1041">
        <f t="shared" si="1"/>
        <v>119127254.375</v>
      </c>
      <c r="G18" s="1042"/>
      <c r="H18" s="1042"/>
      <c r="I18" s="1042"/>
      <c r="J18" s="1042"/>
      <c r="K18" s="1042"/>
      <c r="L18" s="1042"/>
      <c r="M18" s="1053">
        <f t="shared" si="78"/>
        <v>119127254.375</v>
      </c>
      <c r="N18" s="1042">
        <f t="shared" si="64"/>
        <v>119127254.375</v>
      </c>
      <c r="O18" s="1042">
        <f t="shared" si="65"/>
        <v>833890780.625</v>
      </c>
      <c r="P18" s="1042">
        <f t="shared" si="66"/>
        <v>119127254.375</v>
      </c>
      <c r="Q18" s="1042">
        <f t="shared" si="67"/>
        <v>238254508.75</v>
      </c>
      <c r="R18" s="1042">
        <f t="shared" si="68"/>
        <v>714763526.25</v>
      </c>
      <c r="S18" s="1042">
        <f t="shared" si="79"/>
        <v>119127254.375</v>
      </c>
      <c r="T18" s="1042">
        <f t="shared" si="69"/>
        <v>357381763.125</v>
      </c>
      <c r="U18" s="1042">
        <f t="shared" si="70"/>
        <v>595636271.875</v>
      </c>
      <c r="V18" s="1042">
        <f t="shared" si="80"/>
        <v>119127254.375</v>
      </c>
      <c r="W18" s="1042">
        <f t="shared" si="71"/>
        <v>476509017.5</v>
      </c>
      <c r="X18" s="1042">
        <f t="shared" si="56"/>
        <v>476509017.5</v>
      </c>
      <c r="Y18" s="7"/>
      <c r="Z18" s="7">
        <f t="shared" si="23"/>
        <v>953018035</v>
      </c>
      <c r="AA18" s="1042">
        <f t="shared" ref="AA18:AA28" si="88">(F18/12)*12</f>
        <v>119127254.375</v>
      </c>
      <c r="AB18" s="1042">
        <f t="shared" si="26"/>
        <v>595636271.875</v>
      </c>
      <c r="AC18" s="1042">
        <f t="shared" si="72"/>
        <v>357381763.125</v>
      </c>
      <c r="AD18" s="1042">
        <f t="shared" si="53"/>
        <v>119127254.375</v>
      </c>
      <c r="AE18" s="1042">
        <f t="shared" si="73"/>
        <v>714763526.25</v>
      </c>
      <c r="AF18" s="1042">
        <f t="shared" si="74"/>
        <v>238254508.75</v>
      </c>
      <c r="AG18" s="1042">
        <f t="shared" si="54"/>
        <v>119127254.375</v>
      </c>
      <c r="AH18" s="1042">
        <f t="shared" si="75"/>
        <v>833890780.625</v>
      </c>
      <c r="AI18" s="1042">
        <f t="shared" si="76"/>
        <v>119127254.375</v>
      </c>
      <c r="AJ18" s="1042">
        <f t="shared" si="77"/>
        <v>9927271.197916666</v>
      </c>
      <c r="AK18" s="1042">
        <f t="shared" si="57"/>
        <v>843818051.82291663</v>
      </c>
      <c r="AL18" s="1042">
        <f t="shared" si="58"/>
        <v>109199983.17708337</v>
      </c>
      <c r="AM18" s="1042">
        <f t="shared" ref="AM18:AM25" si="89">(F18/12)*9</f>
        <v>89345440.78125</v>
      </c>
      <c r="AN18" s="1042">
        <f t="shared" ref="AN18:AN26" si="90">AH18+AM18</f>
        <v>923236221.40625</v>
      </c>
      <c r="AO18" s="1042">
        <f t="shared" si="87"/>
        <v>29781813.59375</v>
      </c>
      <c r="AP18" s="1042">
        <f t="shared" ref="AP18:AP25" si="91">(F18/12)*12</f>
        <v>119127254.375</v>
      </c>
      <c r="AQ18" s="1042">
        <f t="shared" si="47"/>
        <v>953018035</v>
      </c>
      <c r="AR18" s="1042">
        <f t="shared" si="48"/>
        <v>0</v>
      </c>
      <c r="AS18" s="1042">
        <f>(F18/12)*0</f>
        <v>0</v>
      </c>
      <c r="AT18" s="1042">
        <f t="shared" si="59"/>
        <v>953018035</v>
      </c>
      <c r="AU18" s="1042">
        <f t="shared" si="60"/>
        <v>0</v>
      </c>
      <c r="AV18" s="1042">
        <f>(F18/12)*0</f>
        <v>0</v>
      </c>
      <c r="AW18" s="1042">
        <f t="shared" si="61"/>
        <v>953018035</v>
      </c>
      <c r="AX18" s="1042">
        <f t="shared" si="62"/>
        <v>0</v>
      </c>
      <c r="AZ18" s="8">
        <f t="shared" si="63"/>
        <v>0</v>
      </c>
      <c r="BB18" s="57"/>
      <c r="BC18" s="19"/>
    </row>
    <row r="19" spans="1:55" ht="14.25" customHeight="1">
      <c r="A19" s="1021">
        <f t="shared" si="55"/>
        <v>10</v>
      </c>
      <c r="B19" s="60" t="s">
        <v>898</v>
      </c>
      <c r="C19" s="238">
        <v>42370</v>
      </c>
      <c r="D19" s="55">
        <v>8</v>
      </c>
      <c r="E19" s="6">
        <v>953018035</v>
      </c>
      <c r="F19" s="1041">
        <f t="shared" si="1"/>
        <v>119127254.375</v>
      </c>
      <c r="G19" s="1042"/>
      <c r="H19" s="1042"/>
      <c r="I19" s="1042"/>
      <c r="J19" s="1042"/>
      <c r="K19" s="1042"/>
      <c r="L19" s="1042"/>
      <c r="M19" s="1053">
        <f t="shared" si="78"/>
        <v>119127254.375</v>
      </c>
      <c r="N19" s="1042">
        <f t="shared" si="64"/>
        <v>119127254.375</v>
      </c>
      <c r="O19" s="1042">
        <f t="shared" si="65"/>
        <v>833890780.625</v>
      </c>
      <c r="P19" s="1042">
        <f t="shared" si="66"/>
        <v>119127254.375</v>
      </c>
      <c r="Q19" s="1042">
        <f t="shared" si="67"/>
        <v>238254508.75</v>
      </c>
      <c r="R19" s="1042">
        <f t="shared" si="68"/>
        <v>714763526.25</v>
      </c>
      <c r="S19" s="1042">
        <f t="shared" si="79"/>
        <v>119127254.375</v>
      </c>
      <c r="T19" s="1042">
        <f t="shared" si="69"/>
        <v>357381763.125</v>
      </c>
      <c r="U19" s="1042">
        <f t="shared" si="70"/>
        <v>595636271.875</v>
      </c>
      <c r="V19" s="1042">
        <f t="shared" si="80"/>
        <v>119127254.375</v>
      </c>
      <c r="W19" s="1042">
        <f t="shared" si="71"/>
        <v>476509017.5</v>
      </c>
      <c r="X19" s="1042">
        <f t="shared" si="56"/>
        <v>476509017.5</v>
      </c>
      <c r="Y19" s="7"/>
      <c r="Z19" s="7">
        <f t="shared" si="23"/>
        <v>953018035</v>
      </c>
      <c r="AA19" s="1042">
        <f t="shared" si="88"/>
        <v>119127254.375</v>
      </c>
      <c r="AB19" s="1042">
        <f t="shared" si="26"/>
        <v>595636271.875</v>
      </c>
      <c r="AC19" s="1042">
        <f t="shared" si="72"/>
        <v>357381763.125</v>
      </c>
      <c r="AD19" s="1042">
        <f t="shared" si="53"/>
        <v>119127254.375</v>
      </c>
      <c r="AE19" s="1042">
        <f t="shared" si="73"/>
        <v>714763526.25</v>
      </c>
      <c r="AF19" s="1042">
        <f t="shared" si="74"/>
        <v>238254508.75</v>
      </c>
      <c r="AG19" s="1042">
        <f t="shared" si="54"/>
        <v>119127254.375</v>
      </c>
      <c r="AH19" s="1042">
        <f t="shared" si="75"/>
        <v>833890780.625</v>
      </c>
      <c r="AI19" s="1042">
        <f t="shared" si="76"/>
        <v>119127254.375</v>
      </c>
      <c r="AJ19" s="1042">
        <f t="shared" si="77"/>
        <v>9927271.197916666</v>
      </c>
      <c r="AK19" s="1042">
        <f t="shared" si="57"/>
        <v>843818051.82291663</v>
      </c>
      <c r="AL19" s="1042">
        <f t="shared" si="58"/>
        <v>109199983.17708337</v>
      </c>
      <c r="AM19" s="1042">
        <f t="shared" si="89"/>
        <v>89345440.78125</v>
      </c>
      <c r="AN19" s="1042">
        <f t="shared" si="90"/>
        <v>923236221.40625</v>
      </c>
      <c r="AO19" s="1042">
        <f t="shared" si="87"/>
        <v>29781813.59375</v>
      </c>
      <c r="AP19" s="1042">
        <f t="shared" si="91"/>
        <v>119127254.375</v>
      </c>
      <c r="AQ19" s="1042">
        <f t="shared" si="47"/>
        <v>953018035</v>
      </c>
      <c r="AR19" s="1042">
        <f t="shared" si="48"/>
        <v>0</v>
      </c>
      <c r="AS19" s="1042">
        <f>(F19/12)*0</f>
        <v>0</v>
      </c>
      <c r="AT19" s="1042">
        <f t="shared" si="59"/>
        <v>953018035</v>
      </c>
      <c r="AU19" s="1042">
        <f t="shared" si="60"/>
        <v>0</v>
      </c>
      <c r="AV19" s="1042">
        <f>(F19/12)*0</f>
        <v>0</v>
      </c>
      <c r="AW19" s="1042">
        <f t="shared" si="61"/>
        <v>953018035</v>
      </c>
      <c r="AX19" s="1042">
        <f t="shared" si="62"/>
        <v>0</v>
      </c>
      <c r="AZ19" s="8">
        <f t="shared" si="63"/>
        <v>0</v>
      </c>
      <c r="BB19" s="57"/>
      <c r="BC19" s="19"/>
    </row>
    <row r="20" spans="1:55" ht="14.25" customHeight="1">
      <c r="A20" s="17">
        <f t="shared" si="55"/>
        <v>11</v>
      </c>
      <c r="B20" s="60" t="s">
        <v>899</v>
      </c>
      <c r="C20" s="238">
        <v>42736</v>
      </c>
      <c r="D20" s="1072">
        <v>8</v>
      </c>
      <c r="E20" s="6">
        <v>476509018</v>
      </c>
      <c r="F20" s="1041">
        <f t="shared" si="1"/>
        <v>59563627.25</v>
      </c>
      <c r="G20" s="1042"/>
      <c r="H20" s="1042"/>
      <c r="I20" s="1042"/>
      <c r="J20" s="1042"/>
      <c r="K20" s="1042"/>
      <c r="L20" s="1042"/>
      <c r="M20" s="1042"/>
      <c r="N20" s="1042"/>
      <c r="O20" s="1042"/>
      <c r="P20" s="1053">
        <f>(F20/12)*(13-IF(C20="","",MONTH(C20)))</f>
        <v>59563627.25</v>
      </c>
      <c r="Q20" s="1042">
        <f t="shared" ref="Q20:Q25" si="92">N20+P20</f>
        <v>59563627.25</v>
      </c>
      <c r="R20" s="1042">
        <f t="shared" ref="R20:R25" si="93">E20-Q20</f>
        <v>416945390.75</v>
      </c>
      <c r="S20" s="1042">
        <f t="shared" ref="S20:S25" si="94">(F20/12)*12</f>
        <v>59563627.25</v>
      </c>
      <c r="T20" s="1042">
        <f t="shared" ref="T20:T25" si="95">Q20+S20</f>
        <v>119127254.5</v>
      </c>
      <c r="U20" s="1042">
        <f t="shared" ref="U20:U25" si="96">E20-T20</f>
        <v>357381763.5</v>
      </c>
      <c r="V20" s="1042">
        <f t="shared" ref="V20:V25" si="97">(F20/12)*12</f>
        <v>59563627.25</v>
      </c>
      <c r="W20" s="1042">
        <f t="shared" ref="W20:W25" si="98">T20+V20</f>
        <v>178690881.75</v>
      </c>
      <c r="X20" s="1042">
        <f t="shared" ref="X20:X25" si="99">E20-W20</f>
        <v>297818136.25</v>
      </c>
      <c r="Y20" s="7"/>
      <c r="Z20" s="7">
        <f t="shared" si="23"/>
        <v>476509018</v>
      </c>
      <c r="AA20" s="1042">
        <f t="shared" si="88"/>
        <v>59563627.25</v>
      </c>
      <c r="AB20" s="1042">
        <f t="shared" si="26"/>
        <v>238254509</v>
      </c>
      <c r="AC20" s="1042">
        <f t="shared" ref="AC20:AC25" si="100">E20-AB20</f>
        <v>238254509</v>
      </c>
      <c r="AD20" s="1042">
        <f t="shared" si="53"/>
        <v>59563627.25</v>
      </c>
      <c r="AE20" s="1042">
        <f t="shared" ref="AE20:AE25" si="101">AB20+AD20</f>
        <v>297818136.25</v>
      </c>
      <c r="AF20" s="1042">
        <f t="shared" ref="AF20:AF25" si="102">E20-AE20</f>
        <v>178690881.75</v>
      </c>
      <c r="AG20" s="1042">
        <f>(F20/12)*12</f>
        <v>59563627.25</v>
      </c>
      <c r="AH20" s="1042">
        <f t="shared" ref="AH20:AH25" si="103">AE20+AG20</f>
        <v>357381763.5</v>
      </c>
      <c r="AI20" s="1042">
        <f t="shared" ref="AI20:AI25" si="104">E20-AH20</f>
        <v>119127254.5</v>
      </c>
      <c r="AJ20" s="1042">
        <f t="shared" si="77"/>
        <v>4963635.604166667</v>
      </c>
      <c r="AK20" s="1042">
        <f t="shared" si="57"/>
        <v>362345399.10416669</v>
      </c>
      <c r="AL20" s="1042">
        <f t="shared" si="58"/>
        <v>114163618.89583331</v>
      </c>
      <c r="AM20" s="1042">
        <f t="shared" si="89"/>
        <v>44672720.4375</v>
      </c>
      <c r="AN20" s="1042">
        <f t="shared" si="90"/>
        <v>402054483.9375</v>
      </c>
      <c r="AO20" s="1042">
        <f t="shared" si="87"/>
        <v>74454534.0625</v>
      </c>
      <c r="AP20" s="1042">
        <f t="shared" si="91"/>
        <v>59563627.25</v>
      </c>
      <c r="AQ20" s="1042">
        <f t="shared" si="47"/>
        <v>416945390.75</v>
      </c>
      <c r="AR20" s="1042">
        <f t="shared" si="48"/>
        <v>59563627.25</v>
      </c>
      <c r="AS20" s="1042">
        <f>(F20/12)*9</f>
        <v>44672720.4375</v>
      </c>
      <c r="AT20" s="1042">
        <f t="shared" si="59"/>
        <v>461618111.1875</v>
      </c>
      <c r="AU20" s="1042">
        <f t="shared" si="60"/>
        <v>14890906.8125</v>
      </c>
      <c r="AV20" s="1042">
        <f t="shared" si="84"/>
        <v>59563627.25</v>
      </c>
      <c r="AW20" s="1042">
        <f t="shared" si="61"/>
        <v>476509018</v>
      </c>
      <c r="AX20" s="1042">
        <f t="shared" si="62"/>
        <v>0</v>
      </c>
      <c r="AZ20" s="8">
        <f t="shared" si="63"/>
        <v>0</v>
      </c>
      <c r="BB20" s="57"/>
      <c r="BC20" s="19"/>
    </row>
    <row r="21" spans="1:55" ht="14.25" customHeight="1">
      <c r="A21" s="17">
        <f t="shared" si="55"/>
        <v>12</v>
      </c>
      <c r="B21" s="60" t="s">
        <v>900</v>
      </c>
      <c r="C21" s="238">
        <v>42736</v>
      </c>
      <c r="D21" s="1072">
        <v>8</v>
      </c>
      <c r="E21" s="6">
        <v>467349120</v>
      </c>
      <c r="F21" s="1041">
        <f t="shared" si="1"/>
        <v>58418640</v>
      </c>
      <c r="G21" s="1042"/>
      <c r="H21" s="1042"/>
      <c r="I21" s="1042"/>
      <c r="J21" s="1042"/>
      <c r="K21" s="1042"/>
      <c r="L21" s="1042"/>
      <c r="M21" s="1042"/>
      <c r="N21" s="1042"/>
      <c r="O21" s="1042"/>
      <c r="P21" s="1053">
        <f t="shared" ref="P21:P25" si="105">(F21/12)*(13-IF(C21="","",MONTH(C21)))</f>
        <v>58418640</v>
      </c>
      <c r="Q21" s="1042">
        <f t="shared" si="92"/>
        <v>58418640</v>
      </c>
      <c r="R21" s="1042">
        <f t="shared" si="93"/>
        <v>408930480</v>
      </c>
      <c r="S21" s="1042">
        <f t="shared" si="94"/>
        <v>58418640</v>
      </c>
      <c r="T21" s="1042">
        <f t="shared" si="95"/>
        <v>116837280</v>
      </c>
      <c r="U21" s="1042">
        <f t="shared" si="96"/>
        <v>350511840</v>
      </c>
      <c r="V21" s="1042">
        <f t="shared" si="97"/>
        <v>58418640</v>
      </c>
      <c r="W21" s="1042">
        <f t="shared" si="98"/>
        <v>175255920</v>
      </c>
      <c r="X21" s="1042">
        <f t="shared" si="99"/>
        <v>292093200</v>
      </c>
      <c r="Y21" s="7"/>
      <c r="Z21" s="7">
        <f t="shared" si="23"/>
        <v>467349120</v>
      </c>
      <c r="AA21" s="1042">
        <f t="shared" si="88"/>
        <v>58418640</v>
      </c>
      <c r="AB21" s="1042">
        <f t="shared" si="26"/>
        <v>233674560</v>
      </c>
      <c r="AC21" s="1042">
        <f t="shared" si="100"/>
        <v>233674560</v>
      </c>
      <c r="AD21" s="1042">
        <f t="shared" si="53"/>
        <v>58418640</v>
      </c>
      <c r="AE21" s="1042">
        <f t="shared" si="101"/>
        <v>292093200</v>
      </c>
      <c r="AF21" s="1042">
        <f t="shared" si="102"/>
        <v>175255920</v>
      </c>
      <c r="AG21" s="1042">
        <f>(F21/12)*12</f>
        <v>58418640</v>
      </c>
      <c r="AH21" s="1042">
        <f t="shared" si="103"/>
        <v>350511840</v>
      </c>
      <c r="AI21" s="1042">
        <f t="shared" si="104"/>
        <v>116837280</v>
      </c>
      <c r="AJ21" s="1042">
        <f t="shared" si="77"/>
        <v>4868220</v>
      </c>
      <c r="AK21" s="1042">
        <f t="shared" si="57"/>
        <v>355380060</v>
      </c>
      <c r="AL21" s="1042">
        <f t="shared" si="58"/>
        <v>111969060</v>
      </c>
      <c r="AM21" s="1042">
        <f t="shared" si="89"/>
        <v>43813980</v>
      </c>
      <c r="AN21" s="1042">
        <f t="shared" si="90"/>
        <v>394325820</v>
      </c>
      <c r="AO21" s="1042">
        <f t="shared" si="87"/>
        <v>73023300</v>
      </c>
      <c r="AP21" s="1042">
        <f t="shared" si="91"/>
        <v>58418640</v>
      </c>
      <c r="AQ21" s="1042">
        <f t="shared" si="47"/>
        <v>408930480</v>
      </c>
      <c r="AR21" s="1042">
        <f t="shared" si="48"/>
        <v>58418640</v>
      </c>
      <c r="AS21" s="1042">
        <f t="shared" ref="AS21:AS30" si="106">(F21/12)*9</f>
        <v>43813980</v>
      </c>
      <c r="AT21" s="1042">
        <f t="shared" si="59"/>
        <v>452744460</v>
      </c>
      <c r="AU21" s="1042">
        <f t="shared" si="60"/>
        <v>14604660</v>
      </c>
      <c r="AV21" s="1042">
        <f t="shared" si="84"/>
        <v>58418640</v>
      </c>
      <c r="AW21" s="1042">
        <f t="shared" si="61"/>
        <v>467349120</v>
      </c>
      <c r="AX21" s="1042">
        <f t="shared" si="62"/>
        <v>0</v>
      </c>
      <c r="AZ21" s="8">
        <f t="shared" si="63"/>
        <v>0</v>
      </c>
      <c r="BB21" s="57"/>
      <c r="BC21" s="19"/>
    </row>
    <row r="22" spans="1:55" ht="14.25" customHeight="1">
      <c r="A22" s="1021">
        <f t="shared" si="55"/>
        <v>13</v>
      </c>
      <c r="B22" s="60" t="s">
        <v>900</v>
      </c>
      <c r="C22" s="238">
        <v>42736</v>
      </c>
      <c r="D22" s="55">
        <v>8</v>
      </c>
      <c r="E22" s="6">
        <v>934698240</v>
      </c>
      <c r="F22" s="1041">
        <f t="shared" si="1"/>
        <v>116837280</v>
      </c>
      <c r="G22" s="1042"/>
      <c r="H22" s="1042"/>
      <c r="I22" s="1042"/>
      <c r="J22" s="1042"/>
      <c r="K22" s="1042"/>
      <c r="L22" s="1042"/>
      <c r="M22" s="1042"/>
      <c r="N22" s="1042"/>
      <c r="O22" s="1042"/>
      <c r="P22" s="1053">
        <f t="shared" si="105"/>
        <v>116837280</v>
      </c>
      <c r="Q22" s="1042">
        <f t="shared" si="92"/>
        <v>116837280</v>
      </c>
      <c r="R22" s="1042">
        <f t="shared" si="93"/>
        <v>817860960</v>
      </c>
      <c r="S22" s="1042">
        <f t="shared" si="94"/>
        <v>116837280</v>
      </c>
      <c r="T22" s="1042">
        <f t="shared" si="95"/>
        <v>233674560</v>
      </c>
      <c r="U22" s="1042">
        <f t="shared" si="96"/>
        <v>701023680</v>
      </c>
      <c r="V22" s="1042">
        <f t="shared" si="97"/>
        <v>116837280</v>
      </c>
      <c r="W22" s="1042">
        <f t="shared" si="98"/>
        <v>350511840</v>
      </c>
      <c r="X22" s="1042">
        <f t="shared" si="99"/>
        <v>584186400</v>
      </c>
      <c r="Y22" s="7"/>
      <c r="Z22" s="7">
        <f t="shared" si="23"/>
        <v>934698240</v>
      </c>
      <c r="AA22" s="1042">
        <f t="shared" si="88"/>
        <v>116837280</v>
      </c>
      <c r="AB22" s="1042">
        <f t="shared" si="26"/>
        <v>467349120</v>
      </c>
      <c r="AC22" s="1042">
        <f t="shared" si="100"/>
        <v>467349120</v>
      </c>
      <c r="AD22" s="1042">
        <f t="shared" si="53"/>
        <v>116837280</v>
      </c>
      <c r="AE22" s="1042">
        <f t="shared" si="101"/>
        <v>584186400</v>
      </c>
      <c r="AF22" s="1042">
        <f t="shared" si="102"/>
        <v>350511840</v>
      </c>
      <c r="AG22" s="1042">
        <f t="shared" si="54"/>
        <v>116837280</v>
      </c>
      <c r="AH22" s="1042">
        <f t="shared" si="103"/>
        <v>701023680</v>
      </c>
      <c r="AI22" s="1042">
        <f t="shared" si="104"/>
        <v>233674560</v>
      </c>
      <c r="AJ22" s="1042">
        <f t="shared" si="77"/>
        <v>9736440</v>
      </c>
      <c r="AK22" s="1042">
        <f t="shared" si="57"/>
        <v>710760120</v>
      </c>
      <c r="AL22" s="1042">
        <f t="shared" si="58"/>
        <v>223938120</v>
      </c>
      <c r="AM22" s="1042">
        <f t="shared" si="89"/>
        <v>87627960</v>
      </c>
      <c r="AN22" s="1042">
        <f t="shared" si="90"/>
        <v>788651640</v>
      </c>
      <c r="AO22" s="1042">
        <f t="shared" si="87"/>
        <v>146046600</v>
      </c>
      <c r="AP22" s="1042">
        <f t="shared" si="91"/>
        <v>116837280</v>
      </c>
      <c r="AQ22" s="1042">
        <f t="shared" si="47"/>
        <v>817860960</v>
      </c>
      <c r="AR22" s="1042">
        <f t="shared" si="48"/>
        <v>116837280</v>
      </c>
      <c r="AS22" s="1042">
        <f t="shared" si="106"/>
        <v>87627960</v>
      </c>
      <c r="AT22" s="1042">
        <f t="shared" si="59"/>
        <v>905488920</v>
      </c>
      <c r="AU22" s="1042">
        <f t="shared" si="60"/>
        <v>29209320</v>
      </c>
      <c r="AV22" s="1042">
        <f t="shared" si="84"/>
        <v>116837280</v>
      </c>
      <c r="AW22" s="1042">
        <f t="shared" si="61"/>
        <v>934698240</v>
      </c>
      <c r="AX22" s="1042">
        <f t="shared" si="62"/>
        <v>0</v>
      </c>
      <c r="AZ22" s="8">
        <f t="shared" si="63"/>
        <v>0</v>
      </c>
      <c r="BB22" s="57"/>
      <c r="BC22" s="19"/>
    </row>
    <row r="23" spans="1:55" ht="14.25" customHeight="1">
      <c r="A23" s="17">
        <f t="shared" si="55"/>
        <v>14</v>
      </c>
      <c r="B23" s="60" t="s">
        <v>900</v>
      </c>
      <c r="C23" s="238">
        <v>42736</v>
      </c>
      <c r="D23" s="1072">
        <v>8</v>
      </c>
      <c r="E23" s="6">
        <v>467349120</v>
      </c>
      <c r="F23" s="1041">
        <f t="shared" si="1"/>
        <v>58418640</v>
      </c>
      <c r="G23" s="1042"/>
      <c r="H23" s="1042"/>
      <c r="I23" s="1042"/>
      <c r="J23" s="1042"/>
      <c r="K23" s="1042"/>
      <c r="L23" s="1042"/>
      <c r="M23" s="1042"/>
      <c r="N23" s="1042"/>
      <c r="O23" s="1042"/>
      <c r="P23" s="1053">
        <f t="shared" si="105"/>
        <v>58418640</v>
      </c>
      <c r="Q23" s="1042">
        <f t="shared" si="92"/>
        <v>58418640</v>
      </c>
      <c r="R23" s="1042">
        <f t="shared" si="93"/>
        <v>408930480</v>
      </c>
      <c r="S23" s="1042">
        <f t="shared" si="94"/>
        <v>58418640</v>
      </c>
      <c r="T23" s="1042">
        <f t="shared" si="95"/>
        <v>116837280</v>
      </c>
      <c r="U23" s="1042">
        <f t="shared" si="96"/>
        <v>350511840</v>
      </c>
      <c r="V23" s="1042">
        <f t="shared" si="97"/>
        <v>58418640</v>
      </c>
      <c r="W23" s="1042">
        <f t="shared" si="98"/>
        <v>175255920</v>
      </c>
      <c r="X23" s="1042">
        <f t="shared" si="99"/>
        <v>292093200</v>
      </c>
      <c r="Y23" s="7"/>
      <c r="Z23" s="7">
        <f t="shared" si="23"/>
        <v>467349120</v>
      </c>
      <c r="AA23" s="1042">
        <f t="shared" si="88"/>
        <v>58418640</v>
      </c>
      <c r="AB23" s="1042">
        <f t="shared" si="26"/>
        <v>233674560</v>
      </c>
      <c r="AC23" s="1042">
        <f t="shared" si="100"/>
        <v>233674560</v>
      </c>
      <c r="AD23" s="1042">
        <f t="shared" si="53"/>
        <v>58418640</v>
      </c>
      <c r="AE23" s="1042">
        <f t="shared" si="101"/>
        <v>292093200</v>
      </c>
      <c r="AF23" s="1042">
        <f t="shared" si="102"/>
        <v>175255920</v>
      </c>
      <c r="AG23" s="1042">
        <f>(F23/12)*12</f>
        <v>58418640</v>
      </c>
      <c r="AH23" s="1042">
        <f t="shared" si="103"/>
        <v>350511840</v>
      </c>
      <c r="AI23" s="1042">
        <f t="shared" si="104"/>
        <v>116837280</v>
      </c>
      <c r="AJ23" s="1042">
        <f t="shared" si="77"/>
        <v>4868220</v>
      </c>
      <c r="AK23" s="1042">
        <f t="shared" si="57"/>
        <v>355380060</v>
      </c>
      <c r="AL23" s="1042">
        <f t="shared" si="58"/>
        <v>111969060</v>
      </c>
      <c r="AM23" s="1042">
        <f t="shared" si="89"/>
        <v>43813980</v>
      </c>
      <c r="AN23" s="1042">
        <f t="shared" si="90"/>
        <v>394325820</v>
      </c>
      <c r="AO23" s="1042">
        <f t="shared" si="87"/>
        <v>73023300</v>
      </c>
      <c r="AP23" s="1042">
        <f t="shared" si="91"/>
        <v>58418640</v>
      </c>
      <c r="AQ23" s="1042">
        <f t="shared" si="47"/>
        <v>408930480</v>
      </c>
      <c r="AR23" s="1042">
        <f t="shared" si="48"/>
        <v>58418640</v>
      </c>
      <c r="AS23" s="1042">
        <f t="shared" si="106"/>
        <v>43813980</v>
      </c>
      <c r="AT23" s="1042">
        <f t="shared" si="59"/>
        <v>452744460</v>
      </c>
      <c r="AU23" s="1042">
        <f t="shared" si="60"/>
        <v>14604660</v>
      </c>
      <c r="AV23" s="1042">
        <f t="shared" si="84"/>
        <v>58418640</v>
      </c>
      <c r="AW23" s="1042">
        <f t="shared" si="61"/>
        <v>467349120</v>
      </c>
      <c r="AX23" s="1042">
        <f t="shared" si="62"/>
        <v>0</v>
      </c>
      <c r="AZ23" s="8">
        <f t="shared" si="63"/>
        <v>0</v>
      </c>
      <c r="BB23" s="57"/>
      <c r="BC23" s="19"/>
    </row>
    <row r="24" spans="1:55" ht="14.25" customHeight="1">
      <c r="A24" s="17">
        <f t="shared" si="55"/>
        <v>15</v>
      </c>
      <c r="B24" s="60" t="s">
        <v>901</v>
      </c>
      <c r="C24" s="238">
        <v>42736</v>
      </c>
      <c r="D24" s="1072">
        <v>8</v>
      </c>
      <c r="E24" s="6">
        <v>499520000</v>
      </c>
      <c r="F24" s="1041">
        <f t="shared" si="1"/>
        <v>62440000</v>
      </c>
      <c r="G24" s="1042"/>
      <c r="H24" s="1042"/>
      <c r="I24" s="1042"/>
      <c r="J24" s="1042"/>
      <c r="K24" s="1042"/>
      <c r="L24" s="1042"/>
      <c r="M24" s="1042"/>
      <c r="N24" s="1042"/>
      <c r="O24" s="1042"/>
      <c r="P24" s="1053">
        <f t="shared" si="105"/>
        <v>62440000</v>
      </c>
      <c r="Q24" s="1042">
        <f t="shared" si="92"/>
        <v>62440000</v>
      </c>
      <c r="R24" s="1042">
        <f t="shared" si="93"/>
        <v>437080000</v>
      </c>
      <c r="S24" s="1042">
        <f t="shared" si="94"/>
        <v>62440000</v>
      </c>
      <c r="T24" s="1042">
        <f t="shared" si="95"/>
        <v>124880000</v>
      </c>
      <c r="U24" s="1042">
        <f t="shared" si="96"/>
        <v>374640000</v>
      </c>
      <c r="V24" s="1042">
        <f t="shared" si="97"/>
        <v>62440000</v>
      </c>
      <c r="W24" s="1042">
        <f t="shared" si="98"/>
        <v>187320000</v>
      </c>
      <c r="X24" s="1042">
        <f t="shared" si="99"/>
        <v>312200000</v>
      </c>
      <c r="Y24" s="7"/>
      <c r="Z24" s="7">
        <f t="shared" si="23"/>
        <v>499520000</v>
      </c>
      <c r="AA24" s="1042">
        <f t="shared" si="88"/>
        <v>62440000</v>
      </c>
      <c r="AB24" s="1042">
        <f t="shared" si="26"/>
        <v>249760000</v>
      </c>
      <c r="AC24" s="1042">
        <f t="shared" si="100"/>
        <v>249760000</v>
      </c>
      <c r="AD24" s="1042">
        <f t="shared" si="53"/>
        <v>62440000</v>
      </c>
      <c r="AE24" s="1042">
        <f t="shared" si="101"/>
        <v>312200000</v>
      </c>
      <c r="AF24" s="1042">
        <f t="shared" si="102"/>
        <v>187320000</v>
      </c>
      <c r="AG24" s="1042">
        <f>(F24/12)*12</f>
        <v>62440000</v>
      </c>
      <c r="AH24" s="1042">
        <f t="shared" si="103"/>
        <v>374640000</v>
      </c>
      <c r="AI24" s="1042">
        <f t="shared" si="104"/>
        <v>124880000</v>
      </c>
      <c r="AJ24" s="1042">
        <f t="shared" si="77"/>
        <v>5203333.333333333</v>
      </c>
      <c r="AK24" s="1042">
        <f t="shared" si="57"/>
        <v>379843333.33333331</v>
      </c>
      <c r="AL24" s="1042">
        <f t="shared" si="58"/>
        <v>119676666.66666669</v>
      </c>
      <c r="AM24" s="1042">
        <f t="shared" si="89"/>
        <v>46830000</v>
      </c>
      <c r="AN24" s="1042">
        <f t="shared" si="90"/>
        <v>421470000</v>
      </c>
      <c r="AO24" s="1042">
        <f t="shared" si="87"/>
        <v>78050000</v>
      </c>
      <c r="AP24" s="1042">
        <f t="shared" si="91"/>
        <v>62440000</v>
      </c>
      <c r="AQ24" s="1042">
        <f t="shared" si="47"/>
        <v>437080000</v>
      </c>
      <c r="AR24" s="1042">
        <f t="shared" si="48"/>
        <v>62440000</v>
      </c>
      <c r="AS24" s="1042">
        <f t="shared" si="106"/>
        <v>46830000</v>
      </c>
      <c r="AT24" s="1042">
        <f t="shared" si="59"/>
        <v>483910000</v>
      </c>
      <c r="AU24" s="1042">
        <f t="shared" si="60"/>
        <v>15610000</v>
      </c>
      <c r="AV24" s="1042">
        <f t="shared" si="84"/>
        <v>62440000</v>
      </c>
      <c r="AW24" s="1042">
        <f t="shared" si="61"/>
        <v>499520000</v>
      </c>
      <c r="AX24" s="1042">
        <f t="shared" si="62"/>
        <v>0</v>
      </c>
      <c r="AZ24" s="8">
        <f t="shared" si="63"/>
        <v>0</v>
      </c>
      <c r="BB24" s="57"/>
      <c r="BC24" s="19"/>
    </row>
    <row r="25" spans="1:55" ht="14.25" customHeight="1">
      <c r="A25" s="17">
        <f t="shared" si="55"/>
        <v>16</v>
      </c>
      <c r="B25" s="60" t="s">
        <v>902</v>
      </c>
      <c r="C25" s="238">
        <v>42736</v>
      </c>
      <c r="D25" s="1072">
        <v>8</v>
      </c>
      <c r="E25" s="6">
        <v>447552000</v>
      </c>
      <c r="F25" s="1041">
        <f t="shared" si="1"/>
        <v>55944000</v>
      </c>
      <c r="G25" s="1042"/>
      <c r="H25" s="1042"/>
      <c r="I25" s="1042"/>
      <c r="J25" s="1042"/>
      <c r="K25" s="1042"/>
      <c r="L25" s="1042"/>
      <c r="M25" s="1042"/>
      <c r="N25" s="1042"/>
      <c r="O25" s="1042"/>
      <c r="P25" s="1053">
        <f t="shared" si="105"/>
        <v>55944000</v>
      </c>
      <c r="Q25" s="1042">
        <f t="shared" si="92"/>
        <v>55944000</v>
      </c>
      <c r="R25" s="1042">
        <f t="shared" si="93"/>
        <v>391608000</v>
      </c>
      <c r="S25" s="1042">
        <f t="shared" si="94"/>
        <v>55944000</v>
      </c>
      <c r="T25" s="1042">
        <f t="shared" si="95"/>
        <v>111888000</v>
      </c>
      <c r="U25" s="1042">
        <f t="shared" si="96"/>
        <v>335664000</v>
      </c>
      <c r="V25" s="1042">
        <f t="shared" si="97"/>
        <v>55944000</v>
      </c>
      <c r="W25" s="1042">
        <f t="shared" si="98"/>
        <v>167832000</v>
      </c>
      <c r="X25" s="1042">
        <f t="shared" si="99"/>
        <v>279720000</v>
      </c>
      <c r="Y25" s="7"/>
      <c r="Z25" s="7">
        <f t="shared" si="23"/>
        <v>447552000</v>
      </c>
      <c r="AA25" s="1042">
        <f t="shared" si="88"/>
        <v>55944000</v>
      </c>
      <c r="AB25" s="1042">
        <f t="shared" si="26"/>
        <v>223776000</v>
      </c>
      <c r="AC25" s="1042">
        <f t="shared" si="100"/>
        <v>223776000</v>
      </c>
      <c r="AD25" s="1042">
        <f t="shared" si="53"/>
        <v>55944000</v>
      </c>
      <c r="AE25" s="1042">
        <f t="shared" si="101"/>
        <v>279720000</v>
      </c>
      <c r="AF25" s="1042">
        <f t="shared" si="102"/>
        <v>167832000</v>
      </c>
      <c r="AG25" s="1042">
        <f>(F25/12)*12</f>
        <v>55944000</v>
      </c>
      <c r="AH25" s="1042">
        <f t="shared" si="103"/>
        <v>335664000</v>
      </c>
      <c r="AI25" s="1042">
        <f t="shared" si="104"/>
        <v>111888000</v>
      </c>
      <c r="AJ25" s="1042">
        <f t="shared" si="77"/>
        <v>4662000</v>
      </c>
      <c r="AK25" s="1042">
        <f t="shared" si="57"/>
        <v>340326000</v>
      </c>
      <c r="AL25" s="1042">
        <f t="shared" si="58"/>
        <v>107226000</v>
      </c>
      <c r="AM25" s="1042">
        <f t="shared" si="89"/>
        <v>41958000</v>
      </c>
      <c r="AN25" s="1042">
        <f t="shared" si="90"/>
        <v>377622000</v>
      </c>
      <c r="AO25" s="1042">
        <f t="shared" si="87"/>
        <v>69930000</v>
      </c>
      <c r="AP25" s="1042">
        <f t="shared" si="91"/>
        <v>55944000</v>
      </c>
      <c r="AQ25" s="1042">
        <f t="shared" si="47"/>
        <v>391608000</v>
      </c>
      <c r="AR25" s="1042">
        <f t="shared" si="48"/>
        <v>55944000</v>
      </c>
      <c r="AS25" s="1042">
        <f t="shared" si="106"/>
        <v>41958000</v>
      </c>
      <c r="AT25" s="1042">
        <f t="shared" si="59"/>
        <v>433566000</v>
      </c>
      <c r="AU25" s="1042">
        <f t="shared" si="60"/>
        <v>13986000</v>
      </c>
      <c r="AV25" s="1042">
        <f t="shared" si="84"/>
        <v>55944000</v>
      </c>
      <c r="AW25" s="1042">
        <f t="shared" si="61"/>
        <v>447552000</v>
      </c>
      <c r="AX25" s="1042">
        <f t="shared" si="62"/>
        <v>0</v>
      </c>
      <c r="AZ25" s="8">
        <f t="shared" si="63"/>
        <v>0</v>
      </c>
      <c r="BB25" s="57"/>
      <c r="BC25" s="19"/>
    </row>
    <row r="26" spans="1:55" ht="14.25" customHeight="1">
      <c r="A26" s="17">
        <f t="shared" si="55"/>
        <v>17</v>
      </c>
      <c r="B26" s="60" t="s">
        <v>905</v>
      </c>
      <c r="C26" s="238">
        <v>43313</v>
      </c>
      <c r="D26" s="55">
        <v>4</v>
      </c>
      <c r="E26" s="6">
        <v>65808556</v>
      </c>
      <c r="F26" s="1041">
        <f t="shared" si="1"/>
        <v>16452139</v>
      </c>
      <c r="G26" s="1042"/>
      <c r="H26" s="1042"/>
      <c r="I26" s="1042"/>
      <c r="J26" s="1042"/>
      <c r="K26" s="1042"/>
      <c r="L26" s="1042"/>
      <c r="M26" s="1042"/>
      <c r="N26" s="1042"/>
      <c r="O26" s="1042"/>
      <c r="P26" s="1042"/>
      <c r="Q26" s="1042"/>
      <c r="R26" s="1042"/>
      <c r="S26" s="1053">
        <f>(F26/12)*(13-IF(C26="","",MONTH(C26)))</f>
        <v>6855057.916666666</v>
      </c>
      <c r="T26" s="1042">
        <f t="shared" ref="T26:T30" si="107">Q26+S26</f>
        <v>6855057.916666666</v>
      </c>
      <c r="U26" s="1042">
        <f t="shared" ref="U26:U30" si="108">E26-T26</f>
        <v>58953498.083333336</v>
      </c>
      <c r="V26" s="1042">
        <f t="shared" ref="V26:V30" si="109">(F26/12)*12</f>
        <v>16452139</v>
      </c>
      <c r="W26" s="1042">
        <f t="shared" ref="W26:W30" si="110">T26+V26</f>
        <v>23307196.916666664</v>
      </c>
      <c r="X26" s="1042">
        <f t="shared" ref="X26:X30" si="111">E26-W26</f>
        <v>42501359.083333336</v>
      </c>
      <c r="Y26" s="7">
        <v>6855057.916666666</v>
      </c>
      <c r="Z26" s="7">
        <f t="shared" si="23"/>
        <v>58953498.083333336</v>
      </c>
      <c r="AA26" s="1042">
        <f t="shared" si="88"/>
        <v>16452139</v>
      </c>
      <c r="AB26" s="1042">
        <f t="shared" si="26"/>
        <v>39759335.916666664</v>
      </c>
      <c r="AC26" s="1042">
        <f t="shared" ref="AC26:AC30" si="112">E26-AB26</f>
        <v>26049220.083333336</v>
      </c>
      <c r="AD26" s="1042">
        <f t="shared" si="53"/>
        <v>16452139</v>
      </c>
      <c r="AE26" s="1042">
        <f t="shared" ref="AE26:AE29" si="113">AB26+AD26</f>
        <v>56211474.916666664</v>
      </c>
      <c r="AF26" s="1042">
        <f t="shared" ref="AF26:AF30" si="114">E26-AE26</f>
        <v>9597081.0833333358</v>
      </c>
      <c r="AG26" s="1042">
        <f>(F26/12)*7</f>
        <v>9597081.0833333321</v>
      </c>
      <c r="AH26" s="1042">
        <f t="shared" ref="AH26:AH30" si="115">AE26+AG26</f>
        <v>65808556</v>
      </c>
      <c r="AI26" s="1042">
        <f t="shared" ref="AI26:AI30" si="116">E26-AH26</f>
        <v>0</v>
      </c>
      <c r="AJ26" s="1042">
        <f>(F26/12)*0</f>
        <v>0</v>
      </c>
      <c r="AK26" s="1042">
        <f t="shared" si="57"/>
        <v>65808556</v>
      </c>
      <c r="AL26" s="1042">
        <f t="shared" si="58"/>
        <v>0</v>
      </c>
      <c r="AM26" s="1042">
        <f>0</f>
        <v>0</v>
      </c>
      <c r="AN26" s="1042">
        <f t="shared" si="90"/>
        <v>65808556</v>
      </c>
      <c r="AO26" s="1042">
        <f t="shared" ref="AO26:AO28" si="117">E26-AN26</f>
        <v>0</v>
      </c>
      <c r="AP26" s="1042">
        <f>(F26/12)*0</f>
        <v>0</v>
      </c>
      <c r="AQ26" s="1042">
        <f t="shared" si="47"/>
        <v>65808556</v>
      </c>
      <c r="AR26" s="1042">
        <f t="shared" si="48"/>
        <v>0</v>
      </c>
      <c r="AS26" s="1042">
        <f>(F26/12)*0</f>
        <v>0</v>
      </c>
      <c r="AT26" s="1042">
        <f t="shared" si="59"/>
        <v>65808556</v>
      </c>
      <c r="AU26" s="1042">
        <f t="shared" si="60"/>
        <v>0</v>
      </c>
      <c r="AV26" s="1042">
        <f>(F26/12)*0</f>
        <v>0</v>
      </c>
      <c r="AW26" s="1042">
        <f t="shared" si="61"/>
        <v>65808556</v>
      </c>
      <c r="AX26" s="1042">
        <f t="shared" si="62"/>
        <v>0</v>
      </c>
      <c r="AZ26" s="8">
        <f t="shared" si="63"/>
        <v>0</v>
      </c>
      <c r="BB26" s="57"/>
      <c r="BC26" s="19"/>
    </row>
    <row r="27" spans="1:55" ht="14.25" customHeight="1">
      <c r="A27" s="1021">
        <f t="shared" si="55"/>
        <v>18</v>
      </c>
      <c r="B27" s="60" t="s">
        <v>902</v>
      </c>
      <c r="C27" s="238">
        <v>43132</v>
      </c>
      <c r="D27" s="55">
        <v>8</v>
      </c>
      <c r="E27" s="6">
        <v>1019607120</v>
      </c>
      <c r="F27" s="1041">
        <f t="shared" si="1"/>
        <v>127450890</v>
      </c>
      <c r="G27" s="1042"/>
      <c r="H27" s="1042"/>
      <c r="I27" s="1042"/>
      <c r="J27" s="1042"/>
      <c r="K27" s="1042"/>
      <c r="L27" s="1042"/>
      <c r="M27" s="1042"/>
      <c r="N27" s="1042"/>
      <c r="O27" s="1042"/>
      <c r="P27" s="1042"/>
      <c r="Q27" s="1042"/>
      <c r="R27" s="1042"/>
      <c r="S27" s="1053">
        <f t="shared" ref="S27:S30" si="118">(F27/12)*(13-IF(C27="","",MONTH(C27)))</f>
        <v>116829982.5</v>
      </c>
      <c r="T27" s="1042">
        <f t="shared" si="107"/>
        <v>116829982.5</v>
      </c>
      <c r="U27" s="1042">
        <f t="shared" si="108"/>
        <v>902777137.5</v>
      </c>
      <c r="V27" s="1042">
        <f t="shared" si="109"/>
        <v>127450890</v>
      </c>
      <c r="W27" s="1042">
        <f t="shared" si="110"/>
        <v>244280872.5</v>
      </c>
      <c r="X27" s="1042">
        <f t="shared" si="111"/>
        <v>775326247.5</v>
      </c>
      <c r="Y27" s="7">
        <v>17224242.4375</v>
      </c>
      <c r="Z27" s="7">
        <f t="shared" si="23"/>
        <v>1002382877.5625</v>
      </c>
      <c r="AA27" s="1042">
        <f t="shared" si="88"/>
        <v>127450890</v>
      </c>
      <c r="AB27" s="1042">
        <f t="shared" si="26"/>
        <v>371731762.5</v>
      </c>
      <c r="AC27" s="1042">
        <f t="shared" si="112"/>
        <v>647875357.5</v>
      </c>
      <c r="AD27" s="1042">
        <f t="shared" si="53"/>
        <v>127450890</v>
      </c>
      <c r="AE27" s="1042">
        <f t="shared" si="113"/>
        <v>499182652.5</v>
      </c>
      <c r="AF27" s="1042">
        <f t="shared" si="114"/>
        <v>520424467.5</v>
      </c>
      <c r="AG27" s="1042">
        <f>(F27/12)*12</f>
        <v>127450890</v>
      </c>
      <c r="AH27" s="1042">
        <f>AE27+AG27</f>
        <v>626633542.5</v>
      </c>
      <c r="AI27" s="1042">
        <f t="shared" si="116"/>
        <v>392973577.5</v>
      </c>
      <c r="AJ27" s="1042">
        <f t="shared" si="77"/>
        <v>10620907.5</v>
      </c>
      <c r="AK27" s="1042">
        <f t="shared" si="57"/>
        <v>637254450</v>
      </c>
      <c r="AL27" s="1042">
        <f t="shared" si="58"/>
        <v>382352670</v>
      </c>
      <c r="AM27" s="1042">
        <f>(F27/12)*9</f>
        <v>95588167.5</v>
      </c>
      <c r="AN27" s="1042">
        <f t="shared" ref="AN27:AN28" si="119">AH27+AM27</f>
        <v>722221710</v>
      </c>
      <c r="AO27" s="1042">
        <f t="shared" si="117"/>
        <v>297385410</v>
      </c>
      <c r="AP27" s="1042">
        <f>(F27/12)*12</f>
        <v>127450890</v>
      </c>
      <c r="AQ27" s="1042">
        <f t="shared" si="47"/>
        <v>754084432.5</v>
      </c>
      <c r="AR27" s="1042">
        <f t="shared" si="48"/>
        <v>265522687.5</v>
      </c>
      <c r="AS27" s="1042">
        <f t="shared" si="106"/>
        <v>95588167.5</v>
      </c>
      <c r="AT27" s="1042">
        <f t="shared" si="59"/>
        <v>849672600</v>
      </c>
      <c r="AU27" s="1042">
        <f t="shared" si="60"/>
        <v>169934520</v>
      </c>
      <c r="AV27" s="1042">
        <f t="shared" si="84"/>
        <v>127450890</v>
      </c>
      <c r="AW27" s="1042">
        <f t="shared" si="61"/>
        <v>881535322.5</v>
      </c>
      <c r="AX27" s="1042">
        <f t="shared" si="62"/>
        <v>138071797.5</v>
      </c>
      <c r="AZ27" s="8">
        <f t="shared" si="63"/>
        <v>0</v>
      </c>
      <c r="BB27" s="57"/>
      <c r="BC27" s="19"/>
    </row>
    <row r="28" spans="1:55" ht="14.25" customHeight="1">
      <c r="A28" s="17">
        <f t="shared" si="55"/>
        <v>19</v>
      </c>
      <c r="B28" s="60" t="s">
        <v>904</v>
      </c>
      <c r="C28" s="238">
        <v>43282</v>
      </c>
      <c r="D28" s="1072">
        <v>8</v>
      </c>
      <c r="E28" s="6">
        <v>194880026</v>
      </c>
      <c r="F28" s="1041">
        <f t="shared" si="1"/>
        <v>24360003.25</v>
      </c>
      <c r="G28" s="1042"/>
      <c r="H28" s="1042"/>
      <c r="I28" s="1042"/>
      <c r="J28" s="1042"/>
      <c r="K28" s="1042"/>
      <c r="L28" s="1042"/>
      <c r="M28" s="1042"/>
      <c r="N28" s="1042"/>
      <c r="O28" s="1042"/>
      <c r="P28" s="1042"/>
      <c r="Q28" s="1042"/>
      <c r="R28" s="1042"/>
      <c r="S28" s="1053">
        <f t="shared" si="118"/>
        <v>12180001.625</v>
      </c>
      <c r="T28" s="1042">
        <f t="shared" si="107"/>
        <v>12180001.625</v>
      </c>
      <c r="U28" s="1042">
        <f t="shared" si="108"/>
        <v>182700024.375</v>
      </c>
      <c r="V28" s="1042">
        <f t="shared" si="109"/>
        <v>24360003.25</v>
      </c>
      <c r="W28" s="1042">
        <f t="shared" si="110"/>
        <v>36540004.875</v>
      </c>
      <c r="X28" s="1042">
        <f t="shared" si="111"/>
        <v>158340021.125</v>
      </c>
      <c r="Y28" s="7">
        <v>20300002.708333332</v>
      </c>
      <c r="Z28" s="7">
        <f t="shared" si="23"/>
        <v>174580023.29166666</v>
      </c>
      <c r="AA28" s="1042">
        <f t="shared" si="88"/>
        <v>24360003.25</v>
      </c>
      <c r="AB28" s="1042">
        <f t="shared" si="26"/>
        <v>60900008.125</v>
      </c>
      <c r="AC28" s="1042">
        <f t="shared" si="112"/>
        <v>133980017.875</v>
      </c>
      <c r="AD28" s="1042">
        <f t="shared" si="53"/>
        <v>24360003.25</v>
      </c>
      <c r="AE28" s="1042">
        <f t="shared" si="113"/>
        <v>85260011.375</v>
      </c>
      <c r="AF28" s="1042">
        <f t="shared" si="114"/>
        <v>109620014.625</v>
      </c>
      <c r="AG28" s="1042">
        <f>(F28/12)*12</f>
        <v>24360003.25</v>
      </c>
      <c r="AH28" s="1042">
        <f t="shared" si="115"/>
        <v>109620014.625</v>
      </c>
      <c r="AI28" s="1042">
        <f t="shared" si="116"/>
        <v>85260011.375</v>
      </c>
      <c r="AJ28" s="1042">
        <f t="shared" si="77"/>
        <v>2030000.2708333333</v>
      </c>
      <c r="AK28" s="1042">
        <f t="shared" si="57"/>
        <v>111650014.89583333</v>
      </c>
      <c r="AL28" s="1042">
        <f t="shared" si="58"/>
        <v>83230011.104166672</v>
      </c>
      <c r="AM28" s="1042">
        <f>(F28/12)*9</f>
        <v>18270002.4375</v>
      </c>
      <c r="AN28" s="1042">
        <f t="shared" si="119"/>
        <v>127890017.0625</v>
      </c>
      <c r="AO28" s="1042">
        <f t="shared" si="117"/>
        <v>66990008.9375</v>
      </c>
      <c r="AP28" s="1042">
        <f>(F28/12)*12</f>
        <v>24360003.25</v>
      </c>
      <c r="AQ28" s="1042">
        <f t="shared" si="47"/>
        <v>133980017.875</v>
      </c>
      <c r="AR28" s="1042">
        <f t="shared" si="48"/>
        <v>60900008.125</v>
      </c>
      <c r="AS28" s="1042">
        <f t="shared" si="106"/>
        <v>18270002.4375</v>
      </c>
      <c r="AT28" s="1042">
        <f t="shared" si="59"/>
        <v>152250020.3125</v>
      </c>
      <c r="AU28" s="1042">
        <f t="shared" si="60"/>
        <v>42630005.6875</v>
      </c>
      <c r="AV28" s="1042">
        <f t="shared" si="84"/>
        <v>24360003.25</v>
      </c>
      <c r="AW28" s="1042">
        <f t="shared" si="61"/>
        <v>158340021.125</v>
      </c>
      <c r="AX28" s="1042">
        <f t="shared" si="62"/>
        <v>36540004.875</v>
      </c>
      <c r="AZ28" s="8">
        <f t="shared" si="63"/>
        <v>0</v>
      </c>
      <c r="BB28" s="57"/>
      <c r="BC28" s="19"/>
    </row>
    <row r="29" spans="1:55" s="1032" customFormat="1" ht="9" hidden="1" customHeight="1">
      <c r="A29" s="1021">
        <f t="shared" si="55"/>
        <v>20</v>
      </c>
      <c r="B29" s="1025" t="s">
        <v>903</v>
      </c>
      <c r="C29" s="1026">
        <v>43160</v>
      </c>
      <c r="D29" s="1027">
        <v>8</v>
      </c>
      <c r="E29" s="1028">
        <f>3111405223*0</f>
        <v>0</v>
      </c>
      <c r="F29" s="1029">
        <f t="shared" si="1"/>
        <v>0</v>
      </c>
      <c r="G29" s="1030"/>
      <c r="H29" s="1030"/>
      <c r="I29" s="1030"/>
      <c r="J29" s="1030"/>
      <c r="K29" s="1030"/>
      <c r="L29" s="1030"/>
      <c r="M29" s="1030"/>
      <c r="N29" s="1030"/>
      <c r="O29" s="1030"/>
      <c r="P29" s="1031"/>
      <c r="Q29" s="1030"/>
      <c r="R29" s="1030"/>
      <c r="S29" s="1030">
        <f t="shared" si="118"/>
        <v>0</v>
      </c>
      <c r="T29" s="1030">
        <f t="shared" si="107"/>
        <v>0</v>
      </c>
      <c r="U29" s="1030">
        <f t="shared" si="108"/>
        <v>0</v>
      </c>
      <c r="V29" s="1030">
        <f t="shared" si="109"/>
        <v>0</v>
      </c>
      <c r="W29" s="1030">
        <f t="shared" si="110"/>
        <v>0</v>
      </c>
      <c r="X29" s="1030">
        <f t="shared" si="111"/>
        <v>0</v>
      </c>
      <c r="Y29" s="1030">
        <f>648209421.458333</f>
        <v>648209421.45833302</v>
      </c>
      <c r="Z29" s="1030">
        <f t="shared" si="23"/>
        <v>-648209421.45833302</v>
      </c>
      <c r="AA29" s="1030">
        <f t="shared" si="52"/>
        <v>0</v>
      </c>
      <c r="AB29" s="1030">
        <f t="shared" si="26"/>
        <v>0</v>
      </c>
      <c r="AC29" s="1030">
        <f t="shared" si="112"/>
        <v>0</v>
      </c>
      <c r="AD29" s="1030">
        <f t="shared" si="53"/>
        <v>0</v>
      </c>
      <c r="AE29" s="1030">
        <f t="shared" si="113"/>
        <v>0</v>
      </c>
      <c r="AF29" s="1030">
        <f t="shared" si="114"/>
        <v>0</v>
      </c>
      <c r="AG29" s="1030">
        <f t="shared" si="54"/>
        <v>0</v>
      </c>
      <c r="AH29" s="1030">
        <f t="shared" si="115"/>
        <v>0</v>
      </c>
      <c r="AI29" s="1030">
        <f t="shared" si="116"/>
        <v>0</v>
      </c>
      <c r="AJ29" s="1030"/>
      <c r="AK29" s="1030"/>
      <c r="AL29" s="1030"/>
      <c r="AM29" s="1030"/>
      <c r="AN29" s="1030"/>
      <c r="AO29" s="1030"/>
      <c r="AP29" s="1030">
        <f>(F29/12)*7</f>
        <v>0</v>
      </c>
      <c r="AQ29" s="1030">
        <f t="shared" si="47"/>
        <v>0</v>
      </c>
      <c r="AR29" s="1030">
        <f t="shared" si="48"/>
        <v>0</v>
      </c>
      <c r="AS29" s="1167"/>
      <c r="AT29" s="1167"/>
      <c r="AU29" s="1167"/>
      <c r="AV29" s="1167"/>
      <c r="AW29" s="1167"/>
      <c r="AX29" s="1167"/>
      <c r="AZ29" s="1033">
        <f t="shared" si="21"/>
        <v>0</v>
      </c>
      <c r="BB29" s="1034"/>
      <c r="BC29" s="1033"/>
    </row>
    <row r="30" spans="1:55" ht="14.25" customHeight="1">
      <c r="A30" s="17">
        <f t="shared" si="55"/>
        <v>21</v>
      </c>
      <c r="B30" s="60" t="s">
        <v>902</v>
      </c>
      <c r="C30" s="238">
        <v>43221</v>
      </c>
      <c r="D30" s="1072">
        <v>8</v>
      </c>
      <c r="E30" s="6">
        <v>118109091</v>
      </c>
      <c r="F30" s="1041">
        <f t="shared" si="1"/>
        <v>14763636.375</v>
      </c>
      <c r="G30" s="1042"/>
      <c r="H30" s="1042"/>
      <c r="I30" s="1042"/>
      <c r="J30" s="1042"/>
      <c r="K30" s="1042"/>
      <c r="L30" s="1042"/>
      <c r="M30" s="1042"/>
      <c r="N30" s="1042"/>
      <c r="O30" s="1042"/>
      <c r="P30" s="1042"/>
      <c r="Q30" s="1042"/>
      <c r="R30" s="1042"/>
      <c r="S30" s="1053">
        <f t="shared" si="118"/>
        <v>9842424.25</v>
      </c>
      <c r="T30" s="1042">
        <f t="shared" si="107"/>
        <v>9842424.25</v>
      </c>
      <c r="U30" s="1042">
        <f t="shared" si="108"/>
        <v>108266666.75</v>
      </c>
      <c r="V30" s="1042">
        <f t="shared" si="109"/>
        <v>14763636.375</v>
      </c>
      <c r="W30" s="1042">
        <f t="shared" si="110"/>
        <v>24606060.625</v>
      </c>
      <c r="X30" s="1042">
        <f t="shared" si="111"/>
        <v>93503030.375</v>
      </c>
      <c r="Y30" s="7"/>
      <c r="Z30" s="7">
        <f t="shared" si="23"/>
        <v>118109091</v>
      </c>
      <c r="AA30" s="1042">
        <f>(F30/12)*12</f>
        <v>14763636.375</v>
      </c>
      <c r="AB30" s="1042">
        <f t="shared" si="26"/>
        <v>39369697</v>
      </c>
      <c r="AC30" s="1042">
        <f t="shared" si="112"/>
        <v>78739394</v>
      </c>
      <c r="AD30" s="1042">
        <f t="shared" si="53"/>
        <v>14763636.375</v>
      </c>
      <c r="AE30" s="1042">
        <f>AB30+AD30</f>
        <v>54133333.375</v>
      </c>
      <c r="AF30" s="1042">
        <f t="shared" si="114"/>
        <v>63975757.625</v>
      </c>
      <c r="AG30" s="1042">
        <f>(F30/12)*12</f>
        <v>14763636.375</v>
      </c>
      <c r="AH30" s="1042">
        <f t="shared" si="115"/>
        <v>68896969.75</v>
      </c>
      <c r="AI30" s="1042">
        <f t="shared" si="116"/>
        <v>49212121.25</v>
      </c>
      <c r="AJ30" s="1042">
        <f>(F30/12)*1</f>
        <v>1230303.03125</v>
      </c>
      <c r="AK30" s="1042">
        <f>AH30+AJ30</f>
        <v>70127272.78125</v>
      </c>
      <c r="AL30" s="1042">
        <f>E30-AK30</f>
        <v>47981818.21875</v>
      </c>
      <c r="AM30" s="1042">
        <f>(F30/12)*9</f>
        <v>11072727.28125</v>
      </c>
      <c r="AN30" s="1042">
        <f>AH30+AM30</f>
        <v>79969697.03125</v>
      </c>
      <c r="AO30" s="1042">
        <f t="shared" ref="AO30" si="120">E30-AN30</f>
        <v>38139393.96875</v>
      </c>
      <c r="AP30" s="1042">
        <f>(F30/12)*12</f>
        <v>14763636.375</v>
      </c>
      <c r="AQ30" s="1042">
        <f t="shared" si="47"/>
        <v>83660606.125</v>
      </c>
      <c r="AR30" s="1042">
        <f t="shared" si="48"/>
        <v>34448484.875</v>
      </c>
      <c r="AS30" s="1042">
        <f t="shared" si="106"/>
        <v>11072727.28125</v>
      </c>
      <c r="AT30" s="1042">
        <f>AQ30+AS30</f>
        <v>94733333.40625</v>
      </c>
      <c r="AU30" s="1042">
        <f>E30-AT30</f>
        <v>23375757.59375</v>
      </c>
      <c r="AV30" s="1042">
        <f>(F30/12)*12</f>
        <v>14763636.375</v>
      </c>
      <c r="AW30" s="1042">
        <f>AQ30+AV30</f>
        <v>98424242.5</v>
      </c>
      <c r="AX30" s="1042">
        <f>E30-AW30</f>
        <v>19684848.5</v>
      </c>
      <c r="AZ30" s="8">
        <f t="shared" ref="AZ30:AZ31" si="121">E30-AW30-AX30</f>
        <v>0</v>
      </c>
      <c r="BB30" s="57"/>
      <c r="BC30" s="19"/>
    </row>
    <row r="31" spans="1:55" s="220" customFormat="1" ht="14.25" customHeight="1">
      <c r="A31" s="190">
        <v>3</v>
      </c>
      <c r="B31" s="231" t="s">
        <v>906</v>
      </c>
      <c r="C31" s="215"/>
      <c r="D31" s="216"/>
      <c r="E31" s="217"/>
      <c r="F31" s="1045"/>
      <c r="G31" s="1046"/>
      <c r="H31" s="1046"/>
      <c r="I31" s="1046"/>
      <c r="J31" s="1046"/>
      <c r="K31" s="1046"/>
      <c r="L31" s="1046"/>
      <c r="M31" s="1046"/>
      <c r="N31" s="1046"/>
      <c r="O31" s="1046"/>
      <c r="P31" s="1046"/>
      <c r="Q31" s="1046"/>
      <c r="R31" s="1046"/>
      <c r="S31" s="1046"/>
      <c r="T31" s="1046"/>
      <c r="U31" s="1046"/>
      <c r="V31" s="1046"/>
      <c r="W31" s="1046"/>
      <c r="X31" s="1046"/>
      <c r="Y31" s="219"/>
      <c r="Z31" s="219"/>
      <c r="AA31" s="1046"/>
      <c r="AB31" s="1046"/>
      <c r="AC31" s="1046"/>
      <c r="AD31" s="1046"/>
      <c r="AE31" s="1046"/>
      <c r="AF31" s="1046"/>
      <c r="AG31" s="1042"/>
      <c r="AH31" s="1046"/>
      <c r="AI31" s="1046"/>
      <c r="AJ31" s="1046"/>
      <c r="AK31" s="1046"/>
      <c r="AL31" s="1046"/>
      <c r="AM31" s="1046"/>
      <c r="AN31" s="1046"/>
      <c r="AO31" s="1046"/>
      <c r="AP31" s="1046"/>
      <c r="AQ31" s="1046"/>
      <c r="AR31" s="1046"/>
      <c r="AS31" s="1046"/>
      <c r="AT31" s="1046"/>
      <c r="AU31" s="1046"/>
      <c r="AV31" s="1046"/>
      <c r="AW31" s="1046"/>
      <c r="AX31" s="1046"/>
      <c r="AZ31" s="8">
        <f t="shared" si="121"/>
        <v>0</v>
      </c>
      <c r="BB31" s="221"/>
      <c r="BC31" s="179"/>
    </row>
    <row r="32" spans="1:55" ht="14.25" hidden="1" customHeight="1">
      <c r="A32" s="874">
        <v>1</v>
      </c>
      <c r="B32" s="914" t="s">
        <v>907</v>
      </c>
      <c r="C32" s="876">
        <v>39814</v>
      </c>
      <c r="D32" s="877">
        <v>4</v>
      </c>
      <c r="E32" s="878">
        <f>267700000*0</f>
        <v>0</v>
      </c>
      <c r="F32" s="879">
        <f t="shared" si="1"/>
        <v>0</v>
      </c>
      <c r="G32" s="880">
        <f>(F32/12)*(13-IF(C32="","",MONTH(C32)))*4</f>
        <v>0</v>
      </c>
      <c r="H32" s="880">
        <f t="shared" ref="H32:H38" si="122">G32</f>
        <v>0</v>
      </c>
      <c r="I32" s="880">
        <f t="shared" ref="I32:I35" si="123">E32-H32</f>
        <v>0</v>
      </c>
      <c r="J32" s="880">
        <f>(F32/12)*0</f>
        <v>0</v>
      </c>
      <c r="K32" s="880">
        <f t="shared" ref="K32:K35" si="124">J32+H32</f>
        <v>0</v>
      </c>
      <c r="L32" s="880">
        <f t="shared" ref="L32:L35" si="125">E32-K32</f>
        <v>0</v>
      </c>
      <c r="M32" s="880">
        <f t="shared" ref="M32:M37" si="126">(F32/12)*0</f>
        <v>0</v>
      </c>
      <c r="N32" s="880">
        <f t="shared" ref="N32:N35" si="127">M32+K32</f>
        <v>0</v>
      </c>
      <c r="O32" s="880">
        <f t="shared" ref="O32:O35" si="128">E32-N32</f>
        <v>0</v>
      </c>
      <c r="P32" s="880">
        <f t="shared" ref="P32:P37" si="129">(F32/12)*0</f>
        <v>0</v>
      </c>
      <c r="Q32" s="880">
        <f t="shared" ref="Q32:Q35" si="130">N32+P32</f>
        <v>0</v>
      </c>
      <c r="R32" s="880">
        <f t="shared" ref="R32:R35" si="131">E32-Q32</f>
        <v>0</v>
      </c>
      <c r="S32" s="880">
        <f t="shared" ref="S32:S35" si="132">(F32/12)*0</f>
        <v>0</v>
      </c>
      <c r="T32" s="880">
        <f t="shared" ref="T32:T35" si="133">Q32+S32</f>
        <v>0</v>
      </c>
      <c r="U32" s="880">
        <f t="shared" ref="U32:U35" si="134">E32-T32</f>
        <v>0</v>
      </c>
      <c r="V32" s="880">
        <f t="shared" ref="V32:V35" si="135">(F32/12)*0</f>
        <v>0</v>
      </c>
      <c r="W32" s="880">
        <f t="shared" ref="W32:W35" si="136">T32+V32</f>
        <v>0</v>
      </c>
      <c r="X32" s="880">
        <f t="shared" ref="X32:X35" si="137">E32-W32</f>
        <v>0</v>
      </c>
      <c r="Y32" s="880">
        <f>267700000*0</f>
        <v>0</v>
      </c>
      <c r="Z32" s="880">
        <f>(E32-Y32)*0</f>
        <v>0</v>
      </c>
      <c r="AA32" s="880">
        <f t="shared" ref="AA32:AA35" si="138">(F32/12)*0</f>
        <v>0</v>
      </c>
      <c r="AB32" s="880">
        <f t="shared" si="26"/>
        <v>0</v>
      </c>
      <c r="AC32" s="880">
        <f>(E32-AB32)*0</f>
        <v>0</v>
      </c>
      <c r="AD32" s="880">
        <f t="shared" ref="AD32:AD35" si="139">(F32/12)*0</f>
        <v>0</v>
      </c>
      <c r="AE32" s="880">
        <f t="shared" ref="AE32:AE35" si="140">AB32+AD32</f>
        <v>0</v>
      </c>
      <c r="AF32" s="880">
        <f t="shared" ref="AF32:AF35" si="141">E32-AE32</f>
        <v>0</v>
      </c>
      <c r="AG32" s="880">
        <f t="shared" ref="AG32:AG35" si="142">(F32/12)*0</f>
        <v>0</v>
      </c>
      <c r="AH32" s="880">
        <f t="shared" ref="AH32:AH35" si="143">AE32+AG32</f>
        <v>0</v>
      </c>
      <c r="AI32" s="880">
        <f>(E32-AH32)*0</f>
        <v>0</v>
      </c>
      <c r="AJ32" s="880"/>
      <c r="AK32" s="880"/>
      <c r="AL32" s="880"/>
      <c r="AM32" s="880"/>
      <c r="AN32" s="880"/>
      <c r="AO32" s="880"/>
      <c r="AP32" s="880">
        <f>(F32/12)*0</f>
        <v>0</v>
      </c>
      <c r="AQ32" s="880">
        <f>AH32+AP32</f>
        <v>0</v>
      </c>
      <c r="AR32" s="880">
        <f>(E32-AQ32)*0</f>
        <v>0</v>
      </c>
      <c r="AS32" s="896"/>
      <c r="AT32" s="896"/>
      <c r="AU32" s="896"/>
      <c r="AV32" s="896"/>
      <c r="AW32" s="896"/>
      <c r="AX32" s="896"/>
      <c r="AZ32" s="8">
        <f t="shared" si="21"/>
        <v>0</v>
      </c>
      <c r="BB32" s="57"/>
      <c r="BC32" s="19"/>
    </row>
    <row r="33" spans="1:55" ht="20" hidden="1" customHeight="1">
      <c r="A33" s="1021">
        <f>A32+1</f>
        <v>2</v>
      </c>
      <c r="B33" s="954" t="s">
        <v>1157</v>
      </c>
      <c r="C33" s="238">
        <v>40179</v>
      </c>
      <c r="D33" s="55">
        <v>8</v>
      </c>
      <c r="E33" s="6">
        <f>(627500000+995300000)*0</f>
        <v>0</v>
      </c>
      <c r="F33" s="1041">
        <f t="shared" si="1"/>
        <v>0</v>
      </c>
      <c r="G33" s="1053"/>
      <c r="H33" s="1042">
        <f t="shared" si="122"/>
        <v>0</v>
      </c>
      <c r="I33" s="1042">
        <f t="shared" si="123"/>
        <v>0</v>
      </c>
      <c r="J33" s="1042"/>
      <c r="K33" s="1042">
        <f t="shared" si="124"/>
        <v>0</v>
      </c>
      <c r="L33" s="1042">
        <f t="shared" si="125"/>
        <v>0</v>
      </c>
      <c r="M33" s="1042">
        <f>(F33/12)*12</f>
        <v>0</v>
      </c>
      <c r="N33" s="1042">
        <f t="shared" si="127"/>
        <v>0</v>
      </c>
      <c r="O33" s="1042">
        <f t="shared" si="128"/>
        <v>0</v>
      </c>
      <c r="P33" s="1042">
        <f>(F33/12)*12</f>
        <v>0</v>
      </c>
      <c r="Q33" s="1042">
        <f t="shared" si="130"/>
        <v>0</v>
      </c>
      <c r="R33" s="1042">
        <f>E33-Q33</f>
        <v>0</v>
      </c>
      <c r="S33" s="1042">
        <f t="shared" ref="S33" si="144">(F33/12)*12</f>
        <v>0</v>
      </c>
      <c r="T33" s="1042">
        <f t="shared" si="133"/>
        <v>0</v>
      </c>
      <c r="U33" s="1042">
        <f t="shared" si="134"/>
        <v>0</v>
      </c>
      <c r="V33" s="1042">
        <f t="shared" ref="V33" si="145">(F33/12)*12</f>
        <v>0</v>
      </c>
      <c r="W33" s="1042">
        <f t="shared" si="136"/>
        <v>0</v>
      </c>
      <c r="X33" s="1042">
        <f t="shared" si="137"/>
        <v>0</v>
      </c>
      <c r="Y33" s="7">
        <f>627500000+995300000</f>
        <v>1622800000</v>
      </c>
      <c r="Z33" s="7">
        <f>E33-Y33</f>
        <v>-1622800000</v>
      </c>
      <c r="AA33" s="1042">
        <f>(F33/12)*12</f>
        <v>0</v>
      </c>
      <c r="AB33" s="1042">
        <f t="shared" si="26"/>
        <v>0</v>
      </c>
      <c r="AC33" s="1042">
        <f t="shared" ref="AC33" si="146">E33-AB33</f>
        <v>0</v>
      </c>
      <c r="AD33" s="1042">
        <f>(F33/12)*12</f>
        <v>0</v>
      </c>
      <c r="AE33" s="1042">
        <f>AB33+AD33</f>
        <v>0</v>
      </c>
      <c r="AF33" s="1042">
        <f t="shared" si="141"/>
        <v>0</v>
      </c>
      <c r="AG33" s="1042">
        <f t="shared" si="54"/>
        <v>0</v>
      </c>
      <c r="AH33" s="1042">
        <f t="shared" si="143"/>
        <v>0</v>
      </c>
      <c r="AI33" s="1042">
        <f t="shared" ref="AI33" si="147">E33-AH33</f>
        <v>0</v>
      </c>
      <c r="AJ33" s="1042"/>
      <c r="AK33" s="1042"/>
      <c r="AL33" s="1042"/>
      <c r="AM33" s="1042"/>
      <c r="AN33" s="1042"/>
      <c r="AO33" s="1042"/>
      <c r="AP33" s="1042">
        <f>(F33/12)*7</f>
        <v>0</v>
      </c>
      <c r="AQ33" s="1042">
        <f>AH33+AP33</f>
        <v>0</v>
      </c>
      <c r="AR33" s="1042">
        <f>E33-AQ33</f>
        <v>0</v>
      </c>
      <c r="AS33" s="1051"/>
      <c r="AT33" s="1051"/>
      <c r="AU33" s="1051"/>
      <c r="AV33" s="1051"/>
      <c r="AW33" s="1051"/>
      <c r="AX33" s="1051"/>
      <c r="AZ33" s="8">
        <f t="shared" si="21"/>
        <v>0</v>
      </c>
      <c r="BB33" s="57"/>
      <c r="BC33" s="19"/>
    </row>
    <row r="34" spans="1:55" ht="14.25" hidden="1" customHeight="1">
      <c r="A34" s="874">
        <f>A33+1</f>
        <v>3</v>
      </c>
      <c r="B34" s="914" t="s">
        <v>909</v>
      </c>
      <c r="C34" s="876">
        <v>41640</v>
      </c>
      <c r="D34" s="877">
        <v>4</v>
      </c>
      <c r="E34" s="878">
        <f>38300000*0</f>
        <v>0</v>
      </c>
      <c r="F34" s="879">
        <f t="shared" si="1"/>
        <v>0</v>
      </c>
      <c r="G34" s="880">
        <f>(F34/12)*(13-IF(C34="","",MONTH(C34)))</f>
        <v>0</v>
      </c>
      <c r="H34" s="880">
        <f t="shared" si="122"/>
        <v>0</v>
      </c>
      <c r="I34" s="880">
        <f t="shared" si="123"/>
        <v>0</v>
      </c>
      <c r="J34" s="880">
        <f t="shared" ref="J34:J35" si="148">(F34/12)*12</f>
        <v>0</v>
      </c>
      <c r="K34" s="880">
        <f t="shared" si="124"/>
        <v>0</v>
      </c>
      <c r="L34" s="880">
        <f t="shared" si="125"/>
        <v>0</v>
      </c>
      <c r="M34" s="880">
        <f>(F34/12)*12</f>
        <v>0</v>
      </c>
      <c r="N34" s="880">
        <f t="shared" si="127"/>
        <v>0</v>
      </c>
      <c r="O34" s="880">
        <f t="shared" si="128"/>
        <v>0</v>
      </c>
      <c r="P34" s="880">
        <f>(F34/12)*12</f>
        <v>0</v>
      </c>
      <c r="Q34" s="880">
        <f t="shared" si="130"/>
        <v>0</v>
      </c>
      <c r="R34" s="880">
        <f t="shared" si="131"/>
        <v>0</v>
      </c>
      <c r="S34" s="880">
        <f t="shared" si="132"/>
        <v>0</v>
      </c>
      <c r="T34" s="880">
        <f t="shared" si="133"/>
        <v>0</v>
      </c>
      <c r="U34" s="880">
        <f t="shared" si="134"/>
        <v>0</v>
      </c>
      <c r="V34" s="880">
        <f t="shared" si="135"/>
        <v>0</v>
      </c>
      <c r="W34" s="880">
        <f t="shared" si="136"/>
        <v>0</v>
      </c>
      <c r="X34" s="880">
        <f t="shared" si="137"/>
        <v>0</v>
      </c>
      <c r="Y34" s="880">
        <f>38300000*0</f>
        <v>0</v>
      </c>
      <c r="Z34" s="880">
        <f>(E34-Y34)*0</f>
        <v>0</v>
      </c>
      <c r="AA34" s="880">
        <f t="shared" si="138"/>
        <v>0</v>
      </c>
      <c r="AB34" s="880">
        <f t="shared" si="26"/>
        <v>0</v>
      </c>
      <c r="AC34" s="880">
        <f>(E34-AB34)*0</f>
        <v>0</v>
      </c>
      <c r="AD34" s="880">
        <f t="shared" si="139"/>
        <v>0</v>
      </c>
      <c r="AE34" s="880">
        <f t="shared" si="140"/>
        <v>0</v>
      </c>
      <c r="AF34" s="880">
        <f t="shared" si="141"/>
        <v>0</v>
      </c>
      <c r="AG34" s="880">
        <f t="shared" si="142"/>
        <v>0</v>
      </c>
      <c r="AH34" s="880">
        <f t="shared" si="143"/>
        <v>0</v>
      </c>
      <c r="AI34" s="880">
        <f>(E34-AH34)*0</f>
        <v>0</v>
      </c>
      <c r="AJ34" s="880"/>
      <c r="AK34" s="880"/>
      <c r="AL34" s="880"/>
      <c r="AM34" s="880"/>
      <c r="AN34" s="880"/>
      <c r="AO34" s="880"/>
      <c r="AP34" s="880">
        <f>(F34/12)*0</f>
        <v>0</v>
      </c>
      <c r="AQ34" s="880">
        <f>AH34+AP34</f>
        <v>0</v>
      </c>
      <c r="AR34" s="880">
        <f>(E34-AQ34)*0</f>
        <v>0</v>
      </c>
      <c r="AS34" s="896"/>
      <c r="AT34" s="896"/>
      <c r="AU34" s="896"/>
      <c r="AV34" s="896"/>
      <c r="AW34" s="896"/>
      <c r="AX34" s="896"/>
      <c r="AZ34" s="8">
        <f t="shared" si="21"/>
        <v>0</v>
      </c>
      <c r="BB34" s="57"/>
      <c r="BC34" s="19"/>
    </row>
    <row r="35" spans="1:55" ht="14.25" hidden="1" customHeight="1">
      <c r="A35" s="874">
        <f>A34+1</f>
        <v>4</v>
      </c>
      <c r="B35" s="914" t="s">
        <v>910</v>
      </c>
      <c r="C35" s="876">
        <v>41640</v>
      </c>
      <c r="D35" s="877">
        <v>4</v>
      </c>
      <c r="E35" s="878">
        <f>285200000*0</f>
        <v>0</v>
      </c>
      <c r="F35" s="879">
        <f t="shared" si="1"/>
        <v>0</v>
      </c>
      <c r="G35" s="880">
        <f>(F35/12)*(13-IF(C35="","",MONTH(C35)))</f>
        <v>0</v>
      </c>
      <c r="H35" s="880">
        <f t="shared" si="122"/>
        <v>0</v>
      </c>
      <c r="I35" s="880">
        <f t="shared" si="123"/>
        <v>0</v>
      </c>
      <c r="J35" s="880">
        <f t="shared" si="148"/>
        <v>0</v>
      </c>
      <c r="K35" s="880">
        <f t="shared" si="124"/>
        <v>0</v>
      </c>
      <c r="L35" s="880">
        <f t="shared" si="125"/>
        <v>0</v>
      </c>
      <c r="M35" s="880">
        <f>(F35/12)*12</f>
        <v>0</v>
      </c>
      <c r="N35" s="880">
        <f t="shared" si="127"/>
        <v>0</v>
      </c>
      <c r="O35" s="880">
        <f t="shared" si="128"/>
        <v>0</v>
      </c>
      <c r="P35" s="880">
        <f>(F35/12)*12</f>
        <v>0</v>
      </c>
      <c r="Q35" s="880">
        <f t="shared" si="130"/>
        <v>0</v>
      </c>
      <c r="R35" s="880">
        <f t="shared" si="131"/>
        <v>0</v>
      </c>
      <c r="S35" s="880">
        <f t="shared" si="132"/>
        <v>0</v>
      </c>
      <c r="T35" s="880">
        <f t="shared" si="133"/>
        <v>0</v>
      </c>
      <c r="U35" s="880">
        <f t="shared" si="134"/>
        <v>0</v>
      </c>
      <c r="V35" s="880">
        <f t="shared" si="135"/>
        <v>0</v>
      </c>
      <c r="W35" s="880">
        <f t="shared" si="136"/>
        <v>0</v>
      </c>
      <c r="X35" s="880">
        <f t="shared" si="137"/>
        <v>0</v>
      </c>
      <c r="Y35" s="880">
        <f>285200000*0</f>
        <v>0</v>
      </c>
      <c r="Z35" s="880">
        <f>(E35-Y35)*0</f>
        <v>0</v>
      </c>
      <c r="AA35" s="880">
        <f t="shared" si="138"/>
        <v>0</v>
      </c>
      <c r="AB35" s="880">
        <f t="shared" si="26"/>
        <v>0</v>
      </c>
      <c r="AC35" s="880">
        <f>(E35-AB35)*0</f>
        <v>0</v>
      </c>
      <c r="AD35" s="880">
        <f t="shared" si="139"/>
        <v>0</v>
      </c>
      <c r="AE35" s="880">
        <f t="shared" si="140"/>
        <v>0</v>
      </c>
      <c r="AF35" s="880">
        <f t="shared" si="141"/>
        <v>0</v>
      </c>
      <c r="AG35" s="880">
        <f t="shared" si="142"/>
        <v>0</v>
      </c>
      <c r="AH35" s="880">
        <f t="shared" si="143"/>
        <v>0</v>
      </c>
      <c r="AI35" s="880">
        <f>(E35-AH35)*0</f>
        <v>0</v>
      </c>
      <c r="AJ35" s="880"/>
      <c r="AK35" s="880"/>
      <c r="AL35" s="880"/>
      <c r="AM35" s="880"/>
      <c r="AN35" s="880"/>
      <c r="AO35" s="880"/>
      <c r="AP35" s="880">
        <f>(F35/12)*0</f>
        <v>0</v>
      </c>
      <c r="AQ35" s="880">
        <f>AH35+AP35</f>
        <v>0</v>
      </c>
      <c r="AR35" s="880">
        <f>(E35-AQ35)*0</f>
        <v>0</v>
      </c>
      <c r="AS35" s="896"/>
      <c r="AT35" s="896"/>
      <c r="AU35" s="896"/>
      <c r="AV35" s="896"/>
      <c r="AW35" s="896"/>
      <c r="AX35" s="896"/>
      <c r="AZ35" s="8">
        <f t="shared" si="21"/>
        <v>0</v>
      </c>
      <c r="BB35" s="57"/>
      <c r="BC35" s="19"/>
    </row>
    <row r="36" spans="1:55" s="220" customFormat="1" ht="14.25" customHeight="1">
      <c r="A36" s="190">
        <v>4</v>
      </c>
      <c r="B36" s="231" t="s">
        <v>911</v>
      </c>
      <c r="C36" s="215"/>
      <c r="D36" s="216"/>
      <c r="E36" s="217"/>
      <c r="F36" s="1045"/>
      <c r="G36" s="1046"/>
      <c r="H36" s="1046"/>
      <c r="I36" s="1046"/>
      <c r="J36" s="1046"/>
      <c r="K36" s="1046"/>
      <c r="L36" s="1046"/>
      <c r="M36" s="1046"/>
      <c r="N36" s="1046"/>
      <c r="O36" s="1046"/>
      <c r="P36" s="1046"/>
      <c r="Q36" s="1046"/>
      <c r="R36" s="1046"/>
      <c r="S36" s="1046"/>
      <c r="T36" s="1046"/>
      <c r="U36" s="1046"/>
      <c r="V36" s="1046"/>
      <c r="W36" s="1046"/>
      <c r="X36" s="1046"/>
      <c r="Y36" s="219"/>
      <c r="Z36" s="219"/>
      <c r="AA36" s="1046"/>
      <c r="AB36" s="1046"/>
      <c r="AC36" s="1046"/>
      <c r="AD36" s="1046"/>
      <c r="AE36" s="1046"/>
      <c r="AF36" s="1046"/>
      <c r="AG36" s="1046"/>
      <c r="AH36" s="1046"/>
      <c r="AI36" s="1046"/>
      <c r="AJ36" s="1046"/>
      <c r="AK36" s="1046"/>
      <c r="AL36" s="1046"/>
      <c r="AM36" s="1046"/>
      <c r="AN36" s="1046"/>
      <c r="AO36" s="1046"/>
      <c r="AP36" s="1046"/>
      <c r="AQ36" s="1046"/>
      <c r="AR36" s="1046"/>
      <c r="AS36" s="1046"/>
      <c r="AT36" s="1046"/>
      <c r="AU36" s="1046"/>
      <c r="AV36" s="1046"/>
      <c r="AW36" s="1046"/>
      <c r="AX36" s="1046"/>
      <c r="AZ36" s="8">
        <f>E36-AW36-AX36</f>
        <v>0</v>
      </c>
      <c r="BB36" s="221"/>
      <c r="BC36" s="179"/>
    </row>
    <row r="37" spans="1:55" s="979" customFormat="1" ht="14.25" hidden="1" customHeight="1">
      <c r="A37" s="972">
        <v>1</v>
      </c>
      <c r="B37" s="973" t="s">
        <v>889</v>
      </c>
      <c r="C37" s="974">
        <v>40179</v>
      </c>
      <c r="D37" s="975">
        <v>4</v>
      </c>
      <c r="E37" s="976">
        <f>221200000*0</f>
        <v>0</v>
      </c>
      <c r="F37" s="977">
        <f t="shared" si="1"/>
        <v>0</v>
      </c>
      <c r="G37" s="978">
        <f>(F37/12)*(13-IF(C37="","",MONTH(C37)))*4</f>
        <v>0</v>
      </c>
      <c r="H37" s="978">
        <f t="shared" si="122"/>
        <v>0</v>
      </c>
      <c r="I37" s="978">
        <f t="shared" ref="I37:I38" si="149">E37-H37</f>
        <v>0</v>
      </c>
      <c r="J37" s="978">
        <f>(F37/12)*0</f>
        <v>0</v>
      </c>
      <c r="K37" s="978">
        <f t="shared" ref="K37:K38" si="150">J37+H37</f>
        <v>0</v>
      </c>
      <c r="L37" s="978">
        <f t="shared" ref="L37:L38" si="151">E37-K37</f>
        <v>0</v>
      </c>
      <c r="M37" s="978">
        <f t="shared" si="126"/>
        <v>0</v>
      </c>
      <c r="N37" s="978">
        <f t="shared" ref="N37:N38" si="152">M37+K37</f>
        <v>0</v>
      </c>
      <c r="O37" s="978">
        <f t="shared" ref="O37:O38" si="153">E37-N37</f>
        <v>0</v>
      </c>
      <c r="P37" s="978">
        <f t="shared" si="129"/>
        <v>0</v>
      </c>
      <c r="Q37" s="978">
        <f t="shared" ref="Q37:Q39" si="154">N37+P37</f>
        <v>0</v>
      </c>
      <c r="R37" s="978">
        <f t="shared" ref="R37:R39" si="155">E37-Q37</f>
        <v>0</v>
      </c>
      <c r="S37" s="978">
        <f t="shared" ref="S37:S38" si="156">(F37/12)*0</f>
        <v>0</v>
      </c>
      <c r="T37" s="978">
        <f t="shared" ref="T37:T43" si="157">Q37+S37</f>
        <v>0</v>
      </c>
      <c r="U37" s="978">
        <f t="shared" ref="U37:U43" si="158">E37-T37</f>
        <v>0</v>
      </c>
      <c r="V37" s="978">
        <f t="shared" ref="V37:V38" si="159">(F37/12)*0</f>
        <v>0</v>
      </c>
      <c r="W37" s="978">
        <f t="shared" ref="W37:W43" si="160">T37+V37</f>
        <v>0</v>
      </c>
      <c r="X37" s="978">
        <f t="shared" ref="X37:X43" si="161">E37-W37</f>
        <v>0</v>
      </c>
      <c r="Y37" s="978">
        <f>221200000*0</f>
        <v>0</v>
      </c>
      <c r="Z37" s="978">
        <f t="shared" si="23"/>
        <v>0</v>
      </c>
      <c r="AA37" s="978">
        <f t="shared" ref="AA37:AA38" si="162">(F37/12)*0</f>
        <v>0</v>
      </c>
      <c r="AB37" s="978">
        <f t="shared" si="26"/>
        <v>0</v>
      </c>
      <c r="AC37" s="978">
        <f t="shared" ref="AC37" si="163">E37-AB37</f>
        <v>0</v>
      </c>
      <c r="AD37" s="978">
        <f>(F37/12)*0</f>
        <v>0</v>
      </c>
      <c r="AE37" s="978">
        <f>AB37+AD37</f>
        <v>0</v>
      </c>
      <c r="AF37" s="978">
        <f>E37-AE37</f>
        <v>0</v>
      </c>
      <c r="AG37" s="978">
        <f t="shared" ref="AG37:AG39" si="164">(F37/12)*0</f>
        <v>0</v>
      </c>
      <c r="AH37" s="978">
        <f t="shared" ref="AH37:AH43" si="165">AE37+AG37</f>
        <v>0</v>
      </c>
      <c r="AI37" s="978">
        <f t="shared" ref="AI37:AI43" si="166">E37-AH37</f>
        <v>0</v>
      </c>
      <c r="AJ37" s="978"/>
      <c r="AK37" s="978"/>
      <c r="AL37" s="978"/>
      <c r="AM37" s="978"/>
      <c r="AN37" s="978"/>
      <c r="AO37" s="978"/>
      <c r="AP37" s="978">
        <f t="shared" ref="AP37:AP43" si="167">(F37/12)*0</f>
        <v>0</v>
      </c>
      <c r="AQ37" s="978">
        <f t="shared" ref="AQ37:AQ44" si="168">AH37+AP37</f>
        <v>0</v>
      </c>
      <c r="AR37" s="978">
        <f t="shared" ref="AR37:AR44" si="169">E37-AQ37</f>
        <v>0</v>
      </c>
      <c r="AS37" s="1166"/>
      <c r="AT37" s="1166"/>
      <c r="AU37" s="1166"/>
      <c r="AV37" s="1166"/>
      <c r="AW37" s="1166"/>
      <c r="AX37" s="1166"/>
      <c r="AZ37" s="980">
        <f t="shared" si="21"/>
        <v>0</v>
      </c>
      <c r="BB37" s="981"/>
      <c r="BC37" s="980"/>
    </row>
    <row r="38" spans="1:55" ht="14.25" hidden="1" customHeight="1">
      <c r="A38" s="17">
        <f>A37+1</f>
        <v>2</v>
      </c>
      <c r="B38" s="915" t="s">
        <v>912</v>
      </c>
      <c r="C38" s="876">
        <v>41640</v>
      </c>
      <c r="D38" s="877">
        <v>4</v>
      </c>
      <c r="E38" s="878">
        <f>995300000*0</f>
        <v>0</v>
      </c>
      <c r="F38" s="879">
        <f t="shared" si="1"/>
        <v>0</v>
      </c>
      <c r="G38" s="880">
        <f>(F38/12)*(13-IF(C38="","",MONTH(C38)))</f>
        <v>0</v>
      </c>
      <c r="H38" s="880">
        <f t="shared" si="122"/>
        <v>0</v>
      </c>
      <c r="I38" s="880">
        <f t="shared" si="149"/>
        <v>0</v>
      </c>
      <c r="J38" s="880">
        <f t="shared" ref="J38" si="170">(F38/12)*12</f>
        <v>0</v>
      </c>
      <c r="K38" s="880">
        <f t="shared" si="150"/>
        <v>0</v>
      </c>
      <c r="L38" s="880">
        <f t="shared" si="151"/>
        <v>0</v>
      </c>
      <c r="M38" s="880">
        <f t="shared" ref="M38" si="171">(F38/12)*12</f>
        <v>0</v>
      </c>
      <c r="N38" s="880">
        <f t="shared" si="152"/>
        <v>0</v>
      </c>
      <c r="O38" s="880">
        <f t="shared" si="153"/>
        <v>0</v>
      </c>
      <c r="P38" s="880">
        <f t="shared" ref="P38" si="172">(F38/12)*12</f>
        <v>0</v>
      </c>
      <c r="Q38" s="880">
        <f t="shared" si="154"/>
        <v>0</v>
      </c>
      <c r="R38" s="880">
        <f t="shared" si="155"/>
        <v>0</v>
      </c>
      <c r="S38" s="880">
        <f t="shared" si="156"/>
        <v>0</v>
      </c>
      <c r="T38" s="880">
        <f t="shared" si="157"/>
        <v>0</v>
      </c>
      <c r="U38" s="880">
        <f t="shared" si="158"/>
        <v>0</v>
      </c>
      <c r="V38" s="880">
        <f t="shared" si="159"/>
        <v>0</v>
      </c>
      <c r="W38" s="880">
        <f t="shared" si="160"/>
        <v>0</v>
      </c>
      <c r="X38" s="880">
        <f t="shared" si="161"/>
        <v>0</v>
      </c>
      <c r="Y38" s="880">
        <f>995300000*0</f>
        <v>0</v>
      </c>
      <c r="Z38" s="880">
        <f t="shared" si="23"/>
        <v>0</v>
      </c>
      <c r="AA38" s="880">
        <f t="shared" si="162"/>
        <v>0</v>
      </c>
      <c r="AB38" s="880">
        <f t="shared" si="26"/>
        <v>0</v>
      </c>
      <c r="AC38" s="880">
        <f t="shared" ref="AC38:AC43" si="173">E38-AB38</f>
        <v>0</v>
      </c>
      <c r="AD38" s="880">
        <f t="shared" ref="AD38" si="174">(F38/12)*0</f>
        <v>0</v>
      </c>
      <c r="AE38" s="880">
        <f t="shared" ref="AE38:AE43" si="175">AB38+AD38</f>
        <v>0</v>
      </c>
      <c r="AF38" s="880">
        <f t="shared" ref="AF38:AF43" si="176">E38-AE38</f>
        <v>0</v>
      </c>
      <c r="AG38" s="880">
        <f t="shared" si="164"/>
        <v>0</v>
      </c>
      <c r="AH38" s="880">
        <f t="shared" si="165"/>
        <v>0</v>
      </c>
      <c r="AI38" s="880">
        <f t="shared" si="166"/>
        <v>0</v>
      </c>
      <c r="AJ38" s="880"/>
      <c r="AK38" s="880"/>
      <c r="AL38" s="880"/>
      <c r="AM38" s="880"/>
      <c r="AN38" s="880"/>
      <c r="AO38" s="880"/>
      <c r="AP38" s="880">
        <f t="shared" si="167"/>
        <v>0</v>
      </c>
      <c r="AQ38" s="880">
        <f t="shared" si="168"/>
        <v>0</v>
      </c>
      <c r="AR38" s="880">
        <f t="shared" si="169"/>
        <v>0</v>
      </c>
      <c r="AS38" s="896"/>
      <c r="AT38" s="896"/>
      <c r="AU38" s="896"/>
      <c r="AV38" s="896"/>
      <c r="AW38" s="896"/>
      <c r="AX38" s="896"/>
      <c r="AZ38" s="8">
        <f t="shared" si="21"/>
        <v>0</v>
      </c>
      <c r="BB38" s="57"/>
      <c r="BC38" s="19"/>
    </row>
    <row r="39" spans="1:55" s="979" customFormat="1" ht="14.25" hidden="1" customHeight="1">
      <c r="A39" s="972">
        <f t="shared" ref="A39:A44" si="177">A38+1</f>
        <v>3</v>
      </c>
      <c r="B39" s="973" t="s">
        <v>913</v>
      </c>
      <c r="C39" s="974">
        <v>42736</v>
      </c>
      <c r="D39" s="975">
        <v>4</v>
      </c>
      <c r="E39" s="976">
        <f>309176000*0</f>
        <v>0</v>
      </c>
      <c r="F39" s="977">
        <f t="shared" si="1"/>
        <v>0</v>
      </c>
      <c r="G39" s="978"/>
      <c r="H39" s="978"/>
      <c r="I39" s="978"/>
      <c r="J39" s="978"/>
      <c r="K39" s="978"/>
      <c r="L39" s="978"/>
      <c r="M39" s="978"/>
      <c r="N39" s="978"/>
      <c r="O39" s="978"/>
      <c r="P39" s="978">
        <f>(F39/12)*(13-IF(C39="","",MONTH(C39)))</f>
        <v>0</v>
      </c>
      <c r="Q39" s="978">
        <f t="shared" si="154"/>
        <v>0</v>
      </c>
      <c r="R39" s="978">
        <f t="shared" si="155"/>
        <v>0</v>
      </c>
      <c r="S39" s="978">
        <f t="shared" ref="S39" si="178">(F39/12)*12</f>
        <v>0</v>
      </c>
      <c r="T39" s="978">
        <f t="shared" si="157"/>
        <v>0</v>
      </c>
      <c r="U39" s="978">
        <f t="shared" si="158"/>
        <v>0</v>
      </c>
      <c r="V39" s="978">
        <f t="shared" ref="V39:V43" si="179">(F39/12)*12</f>
        <v>0</v>
      </c>
      <c r="W39" s="978">
        <f t="shared" si="160"/>
        <v>0</v>
      </c>
      <c r="X39" s="978">
        <f t="shared" si="161"/>
        <v>0</v>
      </c>
      <c r="Y39" s="978">
        <f>206117333.333333*0</f>
        <v>0</v>
      </c>
      <c r="Z39" s="978">
        <f t="shared" si="23"/>
        <v>0</v>
      </c>
      <c r="AA39" s="978">
        <f t="shared" ref="AA39:AA43" si="180">(F39/12)*12</f>
        <v>0</v>
      </c>
      <c r="AB39" s="978">
        <f t="shared" si="26"/>
        <v>0</v>
      </c>
      <c r="AC39" s="978">
        <f t="shared" ref="AC39" si="181">E39-AB39</f>
        <v>0</v>
      </c>
      <c r="AD39" s="978">
        <f>(F39/12)*4</f>
        <v>0</v>
      </c>
      <c r="AE39" s="978">
        <f t="shared" si="175"/>
        <v>0</v>
      </c>
      <c r="AF39" s="978">
        <f t="shared" si="176"/>
        <v>0</v>
      </c>
      <c r="AG39" s="978">
        <f t="shared" si="164"/>
        <v>0</v>
      </c>
      <c r="AH39" s="978">
        <f t="shared" si="165"/>
        <v>0</v>
      </c>
      <c r="AI39" s="978">
        <f t="shared" si="166"/>
        <v>0</v>
      </c>
      <c r="AJ39" s="978"/>
      <c r="AK39" s="978"/>
      <c r="AL39" s="978"/>
      <c r="AM39" s="978"/>
      <c r="AN39" s="978"/>
      <c r="AO39" s="978"/>
      <c r="AP39" s="978">
        <f t="shared" si="167"/>
        <v>0</v>
      </c>
      <c r="AQ39" s="978">
        <f t="shared" si="168"/>
        <v>0</v>
      </c>
      <c r="AR39" s="978">
        <f t="shared" si="169"/>
        <v>0</v>
      </c>
      <c r="AS39" s="1166"/>
      <c r="AT39" s="1166"/>
      <c r="AU39" s="1166"/>
      <c r="AV39" s="1166"/>
      <c r="AW39" s="1166"/>
      <c r="AX39" s="1166"/>
      <c r="AZ39" s="980">
        <f t="shared" si="21"/>
        <v>0</v>
      </c>
      <c r="BB39" s="981"/>
      <c r="BC39" s="980"/>
    </row>
    <row r="40" spans="1:55" s="979" customFormat="1" ht="14.25" hidden="1" customHeight="1">
      <c r="A40" s="972">
        <f t="shared" si="177"/>
        <v>4</v>
      </c>
      <c r="B40" s="973" t="s">
        <v>903</v>
      </c>
      <c r="C40" s="974">
        <v>43101</v>
      </c>
      <c r="D40" s="975">
        <v>4</v>
      </c>
      <c r="E40" s="976">
        <f>1144009868*0</f>
        <v>0</v>
      </c>
      <c r="F40" s="977">
        <f t="shared" si="1"/>
        <v>0</v>
      </c>
      <c r="G40" s="978"/>
      <c r="H40" s="978"/>
      <c r="I40" s="978"/>
      <c r="J40" s="978"/>
      <c r="K40" s="978"/>
      <c r="L40" s="978"/>
      <c r="M40" s="978"/>
      <c r="N40" s="978"/>
      <c r="O40" s="978"/>
      <c r="P40" s="982"/>
      <c r="Q40" s="978"/>
      <c r="R40" s="978"/>
      <c r="S40" s="978">
        <f t="shared" ref="S40:S43" si="182">(F40/12)*(13-IF(C40="","",MONTH(C40)))</f>
        <v>0</v>
      </c>
      <c r="T40" s="978">
        <f t="shared" si="157"/>
        <v>0</v>
      </c>
      <c r="U40" s="978">
        <f t="shared" si="158"/>
        <v>0</v>
      </c>
      <c r="V40" s="978">
        <f t="shared" si="179"/>
        <v>0</v>
      </c>
      <c r="W40" s="978">
        <f t="shared" si="160"/>
        <v>0</v>
      </c>
      <c r="X40" s="978">
        <f t="shared" si="161"/>
        <v>0</v>
      </c>
      <c r="Y40" s="978">
        <f>524337856.166667*0</f>
        <v>0</v>
      </c>
      <c r="Z40" s="978">
        <f t="shared" si="23"/>
        <v>0</v>
      </c>
      <c r="AA40" s="978">
        <f t="shared" si="180"/>
        <v>0</v>
      </c>
      <c r="AB40" s="978">
        <f t="shared" si="26"/>
        <v>0</v>
      </c>
      <c r="AC40" s="978">
        <f t="shared" si="173"/>
        <v>0</v>
      </c>
      <c r="AD40" s="978">
        <f t="shared" ref="AD40:AD43" si="183">(F40/12)*12</f>
        <v>0</v>
      </c>
      <c r="AE40" s="978">
        <f t="shared" si="175"/>
        <v>0</v>
      </c>
      <c r="AF40" s="978">
        <f t="shared" si="176"/>
        <v>0</v>
      </c>
      <c r="AG40" s="978">
        <f>(F40/12)*2</f>
        <v>0</v>
      </c>
      <c r="AH40" s="978">
        <f t="shared" si="165"/>
        <v>0</v>
      </c>
      <c r="AI40" s="978">
        <f t="shared" si="166"/>
        <v>0</v>
      </c>
      <c r="AJ40" s="978"/>
      <c r="AK40" s="978"/>
      <c r="AL40" s="978"/>
      <c r="AM40" s="978"/>
      <c r="AN40" s="978"/>
      <c r="AO40" s="978"/>
      <c r="AP40" s="978">
        <f t="shared" si="167"/>
        <v>0</v>
      </c>
      <c r="AQ40" s="978">
        <f t="shared" si="168"/>
        <v>0</v>
      </c>
      <c r="AR40" s="978">
        <f t="shared" si="169"/>
        <v>0</v>
      </c>
      <c r="AS40" s="1166"/>
      <c r="AT40" s="1166"/>
      <c r="AU40" s="1166"/>
      <c r="AV40" s="1166"/>
      <c r="AW40" s="1166"/>
      <c r="AX40" s="1166"/>
      <c r="AZ40" s="980">
        <f t="shared" si="21"/>
        <v>0</v>
      </c>
      <c r="BB40" s="981"/>
      <c r="BC40" s="980"/>
    </row>
    <row r="41" spans="1:55" s="979" customFormat="1" ht="14.25" hidden="1" customHeight="1">
      <c r="A41" s="972">
        <f t="shared" si="177"/>
        <v>5</v>
      </c>
      <c r="B41" s="973" t="s">
        <v>914</v>
      </c>
      <c r="C41" s="974">
        <v>43101</v>
      </c>
      <c r="D41" s="975">
        <v>4</v>
      </c>
      <c r="E41" s="976">
        <f>8166600*0</f>
        <v>0</v>
      </c>
      <c r="F41" s="977">
        <f t="shared" si="1"/>
        <v>0</v>
      </c>
      <c r="G41" s="978"/>
      <c r="H41" s="978"/>
      <c r="I41" s="978"/>
      <c r="J41" s="978"/>
      <c r="K41" s="978"/>
      <c r="L41" s="978"/>
      <c r="M41" s="978"/>
      <c r="N41" s="978"/>
      <c r="O41" s="978"/>
      <c r="P41" s="982"/>
      <c r="Q41" s="978"/>
      <c r="R41" s="978"/>
      <c r="S41" s="978">
        <f t="shared" si="182"/>
        <v>0</v>
      </c>
      <c r="T41" s="978">
        <f t="shared" si="157"/>
        <v>0</v>
      </c>
      <c r="U41" s="978">
        <f t="shared" si="158"/>
        <v>0</v>
      </c>
      <c r="V41" s="978">
        <f t="shared" si="179"/>
        <v>0</v>
      </c>
      <c r="W41" s="978">
        <f t="shared" si="160"/>
        <v>0</v>
      </c>
      <c r="X41" s="978">
        <f t="shared" si="161"/>
        <v>0</v>
      </c>
      <c r="Y41" s="978">
        <f>2211787.5*0</f>
        <v>0</v>
      </c>
      <c r="Z41" s="978">
        <f t="shared" si="23"/>
        <v>0</v>
      </c>
      <c r="AA41" s="978">
        <f t="shared" si="180"/>
        <v>0</v>
      </c>
      <c r="AB41" s="978">
        <f t="shared" si="26"/>
        <v>0</v>
      </c>
      <c r="AC41" s="978">
        <f t="shared" si="173"/>
        <v>0</v>
      </c>
      <c r="AD41" s="978">
        <f t="shared" si="183"/>
        <v>0</v>
      </c>
      <c r="AE41" s="978">
        <f t="shared" si="175"/>
        <v>0</v>
      </c>
      <c r="AF41" s="978">
        <f t="shared" si="176"/>
        <v>0</v>
      </c>
      <c r="AG41" s="978">
        <f>(F41/12)*11</f>
        <v>0</v>
      </c>
      <c r="AH41" s="978">
        <f t="shared" si="165"/>
        <v>0</v>
      </c>
      <c r="AI41" s="978">
        <f t="shared" si="166"/>
        <v>0</v>
      </c>
      <c r="AJ41" s="978"/>
      <c r="AK41" s="978"/>
      <c r="AL41" s="978"/>
      <c r="AM41" s="978"/>
      <c r="AN41" s="978"/>
      <c r="AO41" s="978"/>
      <c r="AP41" s="978">
        <f t="shared" si="167"/>
        <v>0</v>
      </c>
      <c r="AQ41" s="978">
        <f t="shared" si="168"/>
        <v>0</v>
      </c>
      <c r="AR41" s="978">
        <f t="shared" si="169"/>
        <v>0</v>
      </c>
      <c r="AS41" s="1166"/>
      <c r="AT41" s="1166"/>
      <c r="AU41" s="1166"/>
      <c r="AV41" s="1166"/>
      <c r="AW41" s="1166"/>
      <c r="AX41" s="1166"/>
      <c r="AZ41" s="980">
        <f t="shared" si="21"/>
        <v>0</v>
      </c>
      <c r="BB41" s="981"/>
      <c r="BC41" s="980"/>
    </row>
    <row r="42" spans="1:55" s="979" customFormat="1" ht="14.25" hidden="1" customHeight="1">
      <c r="A42" s="972">
        <f t="shared" si="177"/>
        <v>6</v>
      </c>
      <c r="B42" s="973" t="s">
        <v>915</v>
      </c>
      <c r="C42" s="974">
        <v>43101</v>
      </c>
      <c r="D42" s="975">
        <v>4</v>
      </c>
      <c r="E42" s="976">
        <f>315897213*0</f>
        <v>0</v>
      </c>
      <c r="F42" s="977">
        <f t="shared" si="1"/>
        <v>0</v>
      </c>
      <c r="G42" s="978"/>
      <c r="H42" s="978"/>
      <c r="I42" s="978"/>
      <c r="J42" s="978"/>
      <c r="K42" s="978"/>
      <c r="L42" s="978"/>
      <c r="M42" s="978"/>
      <c r="N42" s="978"/>
      <c r="O42" s="978"/>
      <c r="P42" s="982"/>
      <c r="Q42" s="978"/>
      <c r="R42" s="978"/>
      <c r="S42" s="978">
        <f t="shared" si="182"/>
        <v>0</v>
      </c>
      <c r="T42" s="978">
        <f t="shared" si="157"/>
        <v>0</v>
      </c>
      <c r="U42" s="978">
        <f t="shared" si="158"/>
        <v>0</v>
      </c>
      <c r="V42" s="978">
        <f t="shared" si="179"/>
        <v>0</v>
      </c>
      <c r="W42" s="978">
        <f t="shared" si="160"/>
        <v>0</v>
      </c>
      <c r="X42" s="978">
        <f t="shared" si="161"/>
        <v>0</v>
      </c>
      <c r="Y42" s="978">
        <f>85555495.1875*0</f>
        <v>0</v>
      </c>
      <c r="Z42" s="978">
        <f t="shared" si="23"/>
        <v>0</v>
      </c>
      <c r="AA42" s="978">
        <f t="shared" si="180"/>
        <v>0</v>
      </c>
      <c r="AB42" s="978">
        <f t="shared" si="26"/>
        <v>0</v>
      </c>
      <c r="AC42" s="978">
        <f t="shared" si="173"/>
        <v>0</v>
      </c>
      <c r="AD42" s="978">
        <f t="shared" si="183"/>
        <v>0</v>
      </c>
      <c r="AE42" s="978">
        <f t="shared" si="175"/>
        <v>0</v>
      </c>
      <c r="AF42" s="978">
        <f t="shared" si="176"/>
        <v>0</v>
      </c>
      <c r="AG42" s="978">
        <f>(F42/12)*11</f>
        <v>0</v>
      </c>
      <c r="AH42" s="978">
        <f t="shared" si="165"/>
        <v>0</v>
      </c>
      <c r="AI42" s="978">
        <f t="shared" si="166"/>
        <v>0</v>
      </c>
      <c r="AJ42" s="978"/>
      <c r="AK42" s="978"/>
      <c r="AL42" s="978"/>
      <c r="AM42" s="978"/>
      <c r="AN42" s="978"/>
      <c r="AO42" s="978"/>
      <c r="AP42" s="978">
        <f t="shared" si="167"/>
        <v>0</v>
      </c>
      <c r="AQ42" s="978">
        <f t="shared" si="168"/>
        <v>0</v>
      </c>
      <c r="AR42" s="978">
        <f t="shared" si="169"/>
        <v>0</v>
      </c>
      <c r="AS42" s="1166"/>
      <c r="AT42" s="1166"/>
      <c r="AU42" s="1166"/>
      <c r="AV42" s="1166"/>
      <c r="AW42" s="1166"/>
      <c r="AX42" s="1166"/>
      <c r="AZ42" s="980">
        <f t="shared" si="21"/>
        <v>0</v>
      </c>
      <c r="BB42" s="981"/>
      <c r="BC42" s="980"/>
    </row>
    <row r="43" spans="1:55" s="979" customFormat="1" ht="14.25" hidden="1" customHeight="1">
      <c r="A43" s="972">
        <f t="shared" si="177"/>
        <v>7</v>
      </c>
      <c r="B43" s="973" t="s">
        <v>916</v>
      </c>
      <c r="C43" s="974">
        <v>43101</v>
      </c>
      <c r="D43" s="975">
        <v>4</v>
      </c>
      <c r="E43" s="976">
        <f>269252000*0</f>
        <v>0</v>
      </c>
      <c r="F43" s="977">
        <f t="shared" si="1"/>
        <v>0</v>
      </c>
      <c r="G43" s="978"/>
      <c r="H43" s="978"/>
      <c r="I43" s="978"/>
      <c r="J43" s="978"/>
      <c r="K43" s="978"/>
      <c r="L43" s="978"/>
      <c r="M43" s="978"/>
      <c r="N43" s="978"/>
      <c r="O43" s="978"/>
      <c r="P43" s="982"/>
      <c r="Q43" s="978"/>
      <c r="R43" s="978"/>
      <c r="S43" s="978">
        <f t="shared" si="182"/>
        <v>0</v>
      </c>
      <c r="T43" s="978">
        <f t="shared" si="157"/>
        <v>0</v>
      </c>
      <c r="U43" s="978">
        <f t="shared" si="158"/>
        <v>0</v>
      </c>
      <c r="V43" s="978">
        <f t="shared" si="179"/>
        <v>0</v>
      </c>
      <c r="W43" s="978">
        <f t="shared" si="160"/>
        <v>0</v>
      </c>
      <c r="X43" s="978">
        <f t="shared" si="161"/>
        <v>0</v>
      </c>
      <c r="Y43" s="978">
        <f>67313000*0</f>
        <v>0</v>
      </c>
      <c r="Z43" s="978">
        <f t="shared" si="23"/>
        <v>0</v>
      </c>
      <c r="AA43" s="978">
        <f t="shared" si="180"/>
        <v>0</v>
      </c>
      <c r="AB43" s="978">
        <f t="shared" si="26"/>
        <v>0</v>
      </c>
      <c r="AC43" s="978">
        <f t="shared" si="173"/>
        <v>0</v>
      </c>
      <c r="AD43" s="978">
        <f t="shared" si="183"/>
        <v>0</v>
      </c>
      <c r="AE43" s="978">
        <f t="shared" si="175"/>
        <v>0</v>
      </c>
      <c r="AF43" s="978">
        <f t="shared" si="176"/>
        <v>0</v>
      </c>
      <c r="AG43" s="978">
        <f t="shared" ref="AG43" si="184">(F43/12)*12</f>
        <v>0</v>
      </c>
      <c r="AH43" s="978">
        <f t="shared" si="165"/>
        <v>0</v>
      </c>
      <c r="AI43" s="978">
        <f t="shared" si="166"/>
        <v>0</v>
      </c>
      <c r="AJ43" s="978"/>
      <c r="AK43" s="978"/>
      <c r="AL43" s="978"/>
      <c r="AM43" s="978"/>
      <c r="AN43" s="978"/>
      <c r="AO43" s="978"/>
      <c r="AP43" s="978">
        <f t="shared" si="167"/>
        <v>0</v>
      </c>
      <c r="AQ43" s="978">
        <f t="shared" si="168"/>
        <v>0</v>
      </c>
      <c r="AR43" s="978">
        <f t="shared" si="169"/>
        <v>0</v>
      </c>
      <c r="AS43" s="1166"/>
      <c r="AT43" s="1166"/>
      <c r="AU43" s="1166"/>
      <c r="AV43" s="1166"/>
      <c r="AW43" s="1166"/>
      <c r="AX43" s="1166"/>
      <c r="AZ43" s="980">
        <f t="shared" si="21"/>
        <v>0</v>
      </c>
      <c r="BB43" s="981"/>
      <c r="BC43" s="980"/>
    </row>
    <row r="44" spans="1:55" s="979" customFormat="1" ht="14.25" hidden="1" customHeight="1">
      <c r="A44" s="972">
        <f t="shared" si="177"/>
        <v>8</v>
      </c>
      <c r="B44" s="973" t="s">
        <v>917</v>
      </c>
      <c r="C44" s="974">
        <v>43524</v>
      </c>
      <c r="D44" s="975">
        <v>4</v>
      </c>
      <c r="E44" s="976">
        <f>246294901*0</f>
        <v>0</v>
      </c>
      <c r="F44" s="977">
        <f t="shared" si="1"/>
        <v>0</v>
      </c>
      <c r="G44" s="978"/>
      <c r="H44" s="978"/>
      <c r="I44" s="978"/>
      <c r="J44" s="978"/>
      <c r="K44" s="978"/>
      <c r="L44" s="978"/>
      <c r="M44" s="978"/>
      <c r="N44" s="978"/>
      <c r="O44" s="978"/>
      <c r="P44" s="982"/>
      <c r="Q44" s="978"/>
      <c r="R44" s="978"/>
      <c r="S44" s="978"/>
      <c r="T44" s="978"/>
      <c r="U44" s="978"/>
      <c r="V44" s="978">
        <f>(F44/12)*(13-IF(C44="","",MONTH(C44)))</f>
        <v>0</v>
      </c>
      <c r="W44" s="978">
        <f t="shared" ref="W44" si="185">T44+V44</f>
        <v>0</v>
      </c>
      <c r="X44" s="978">
        <f t="shared" ref="X44" si="186">E44-W44</f>
        <v>0</v>
      </c>
      <c r="Y44" s="978">
        <f>51311437.7083333*0</f>
        <v>0</v>
      </c>
      <c r="Z44" s="978">
        <f t="shared" si="23"/>
        <v>0</v>
      </c>
      <c r="AA44" s="978">
        <f t="shared" ref="AA44" si="187">(F44/12)*12</f>
        <v>0</v>
      </c>
      <c r="AB44" s="978">
        <f t="shared" si="26"/>
        <v>0</v>
      </c>
      <c r="AC44" s="978">
        <f t="shared" ref="AC44" si="188">E44-AB44</f>
        <v>0</v>
      </c>
      <c r="AD44" s="978">
        <f t="shared" ref="AD44" si="189">(F44/12)*12</f>
        <v>0</v>
      </c>
      <c r="AE44" s="978">
        <f t="shared" ref="AE44" si="190">AB44+AD44</f>
        <v>0</v>
      </c>
      <c r="AF44" s="978">
        <f t="shared" ref="AF44" si="191">E44-AE44</f>
        <v>0</v>
      </c>
      <c r="AG44" s="978">
        <f>(F44/12)*12</f>
        <v>0</v>
      </c>
      <c r="AH44" s="978">
        <f t="shared" ref="AH44" si="192">AE44+AG44</f>
        <v>0</v>
      </c>
      <c r="AI44" s="978">
        <f t="shared" ref="AI44" si="193">E44-AH44</f>
        <v>0</v>
      </c>
      <c r="AJ44" s="978"/>
      <c r="AK44" s="978"/>
      <c r="AL44" s="978"/>
      <c r="AM44" s="978"/>
      <c r="AN44" s="978"/>
      <c r="AO44" s="978"/>
      <c r="AP44" s="978">
        <f>(F44/12)*1</f>
        <v>0</v>
      </c>
      <c r="AQ44" s="978">
        <f t="shared" si="168"/>
        <v>0</v>
      </c>
      <c r="AR44" s="978">
        <f t="shared" si="169"/>
        <v>0</v>
      </c>
      <c r="AS44" s="1166"/>
      <c r="AT44" s="1166"/>
      <c r="AU44" s="1166"/>
      <c r="AV44" s="1166"/>
      <c r="AW44" s="1166"/>
      <c r="AX44" s="1166"/>
      <c r="AZ44" s="980">
        <f t="shared" si="21"/>
        <v>0</v>
      </c>
      <c r="BB44" s="981"/>
      <c r="BC44" s="980"/>
    </row>
    <row r="45" spans="1:55" ht="14.25" customHeight="1">
      <c r="A45" s="185"/>
      <c r="B45" s="186"/>
      <c r="C45" s="1004"/>
      <c r="D45" s="183"/>
      <c r="E45" s="184"/>
      <c r="F45" s="1050"/>
      <c r="G45" s="1051"/>
      <c r="H45" s="1051"/>
      <c r="I45" s="1051"/>
      <c r="J45" s="1051"/>
      <c r="K45" s="1051"/>
      <c r="L45" s="1051"/>
      <c r="M45" s="1051"/>
      <c r="N45" s="1051"/>
      <c r="O45" s="1051"/>
      <c r="P45" s="1051"/>
      <c r="Q45" s="1051"/>
      <c r="R45" s="1051"/>
      <c r="S45" s="1051"/>
      <c r="T45" s="1051"/>
      <c r="U45" s="1051"/>
      <c r="V45" s="1051"/>
      <c r="W45" s="1051"/>
      <c r="X45" s="1051"/>
      <c r="Y45" s="182"/>
      <c r="Z45" s="182"/>
      <c r="AA45" s="1051"/>
      <c r="AB45" s="1051"/>
      <c r="AC45" s="1051"/>
      <c r="AD45" s="1051"/>
      <c r="AE45" s="1051"/>
      <c r="AF45" s="1051"/>
      <c r="AG45" s="1051"/>
      <c r="AH45" s="1051"/>
      <c r="AI45" s="1051"/>
      <c r="AJ45" s="1051"/>
      <c r="AK45" s="1051"/>
      <c r="AL45" s="1051"/>
      <c r="AM45" s="1051"/>
      <c r="AN45" s="1051"/>
      <c r="AO45" s="1051"/>
      <c r="AP45" s="1051"/>
      <c r="AQ45" s="1051"/>
      <c r="AR45" s="1051"/>
      <c r="AS45" s="1051"/>
      <c r="AT45" s="1051"/>
      <c r="AU45" s="1051"/>
      <c r="AV45" s="1051"/>
      <c r="AW45" s="1051"/>
      <c r="AX45" s="1051"/>
      <c r="AZ45" s="19"/>
      <c r="BB45" s="187"/>
      <c r="BC45" s="19"/>
    </row>
    <row r="46" spans="1:55" ht="14.25" customHeight="1">
      <c r="A46" s="185"/>
      <c r="B46" s="186"/>
      <c r="C46" s="1004"/>
      <c r="D46" s="183"/>
      <c r="E46" s="184"/>
      <c r="F46" s="1050"/>
      <c r="G46" s="1051"/>
      <c r="H46" s="1051"/>
      <c r="I46" s="1051"/>
      <c r="J46" s="1051"/>
      <c r="K46" s="1051"/>
      <c r="L46" s="1051"/>
      <c r="M46" s="1051"/>
      <c r="N46" s="1051"/>
      <c r="O46" s="1051"/>
      <c r="P46" s="1051"/>
      <c r="Q46" s="1051"/>
      <c r="R46" s="1051"/>
      <c r="S46" s="1051"/>
      <c r="T46" s="1051"/>
      <c r="U46" s="1051"/>
      <c r="V46" s="1051"/>
      <c r="W46" s="1051"/>
      <c r="X46" s="1051"/>
      <c r="Y46" s="182"/>
      <c r="Z46" s="182"/>
      <c r="AA46" s="1051"/>
      <c r="AB46" s="1051"/>
      <c r="AC46" s="1051"/>
      <c r="AD46" s="1051"/>
      <c r="AE46" s="1051"/>
      <c r="AF46" s="1051"/>
      <c r="AG46" s="1051"/>
      <c r="AH46" s="1051"/>
      <c r="AI46" s="1051"/>
      <c r="AJ46" s="1051"/>
      <c r="AK46" s="1051"/>
      <c r="AL46" s="1051"/>
      <c r="AM46" s="1051"/>
      <c r="AN46" s="1051"/>
      <c r="AO46" s="1051"/>
      <c r="AP46" s="1051"/>
      <c r="AQ46" s="1051"/>
      <c r="AR46" s="1051"/>
      <c r="AS46" s="1051"/>
      <c r="AT46" s="1051"/>
      <c r="AU46" s="1051"/>
      <c r="AV46" s="1051"/>
      <c r="AW46" s="1051"/>
      <c r="AX46" s="1051"/>
      <c r="AZ46" s="19"/>
      <c r="BB46" s="187"/>
      <c r="BC46" s="19"/>
    </row>
    <row r="47" spans="1:55" ht="14.25" customHeight="1">
      <c r="A47" s="185"/>
      <c r="B47" s="186"/>
      <c r="C47" s="1004"/>
      <c r="D47" s="183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Z47" s="19"/>
      <c r="BB47" s="187"/>
      <c r="BC47" s="19"/>
    </row>
    <row r="48" spans="1:55" ht="14.25" customHeight="1">
      <c r="A48" s="185"/>
      <c r="B48" s="186"/>
      <c r="C48" s="1004"/>
      <c r="D48" s="183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Z48" s="19"/>
      <c r="BB48" s="187"/>
      <c r="BC48" s="19"/>
    </row>
    <row r="49" spans="1:52" ht="14.25" customHeight="1"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</row>
    <row r="50" spans="1:52" s="220" customFormat="1" ht="14.25" customHeight="1">
      <c r="A50" s="1003"/>
      <c r="B50" s="970" t="s">
        <v>1161</v>
      </c>
      <c r="C50" s="970"/>
      <c r="D50" s="1003"/>
      <c r="E50" s="11">
        <f t="shared" ref="E50:AX50" si="194">SUM(E3:E44)</f>
        <v>11170379446.6</v>
      </c>
      <c r="F50" s="11">
        <f t="shared" si="194"/>
        <v>1467841368.45</v>
      </c>
      <c r="G50" s="11">
        <f t="shared" si="194"/>
        <v>0</v>
      </c>
      <c r="H50" s="11">
        <f t="shared" si="194"/>
        <v>0</v>
      </c>
      <c r="I50" s="11">
        <f t="shared" si="194"/>
        <v>144300000</v>
      </c>
      <c r="J50" s="11">
        <f t="shared" si="194"/>
        <v>4975750</v>
      </c>
      <c r="K50" s="11">
        <f t="shared" si="194"/>
        <v>4975750</v>
      </c>
      <c r="L50" s="11">
        <f t="shared" si="194"/>
        <v>159227250</v>
      </c>
      <c r="M50" s="11">
        <f t="shared" si="194"/>
        <v>847706026.32500005</v>
      </c>
      <c r="N50" s="11">
        <f t="shared" si="194"/>
        <v>852681776.32500005</v>
      </c>
      <c r="O50" s="11">
        <f t="shared" si="194"/>
        <v>5524369434.2749996</v>
      </c>
      <c r="P50" s="11">
        <f t="shared" si="194"/>
        <v>1259328213.575</v>
      </c>
      <c r="Q50" s="11">
        <f t="shared" si="194"/>
        <v>2112009989.9000001</v>
      </c>
      <c r="R50" s="11">
        <f t="shared" si="194"/>
        <v>7558018718.6999998</v>
      </c>
      <c r="S50" s="11">
        <f t="shared" si="194"/>
        <v>1430522166.1166668</v>
      </c>
      <c r="T50" s="11">
        <f t="shared" si="194"/>
        <v>3542532156.0166664</v>
      </c>
      <c r="U50" s="11">
        <f t="shared" si="194"/>
        <v>7627847290.583333</v>
      </c>
      <c r="V50" s="11">
        <f t="shared" si="194"/>
        <v>1462865618.45</v>
      </c>
      <c r="W50" s="11">
        <f t="shared" si="194"/>
        <v>5005397774.4666672</v>
      </c>
      <c r="X50" s="11">
        <f t="shared" si="194"/>
        <v>6164981672.1333332</v>
      </c>
      <c r="Y50" s="11">
        <f t="shared" si="194"/>
        <v>2379893075.458333</v>
      </c>
      <c r="Z50" s="11">
        <f t="shared" si="194"/>
        <v>8790486371.1416664</v>
      </c>
      <c r="AA50" s="11">
        <f t="shared" si="194"/>
        <v>1349408022.95</v>
      </c>
      <c r="AB50" s="11">
        <f t="shared" si="194"/>
        <v>6354805797.416667</v>
      </c>
      <c r="AC50" s="11">
        <f t="shared" si="194"/>
        <v>4815573649.1833334</v>
      </c>
      <c r="AD50" s="11">
        <f t="shared" si="194"/>
        <v>1366692118.45</v>
      </c>
      <c r="AE50" s="11">
        <f t="shared" si="194"/>
        <v>7721497915.8666668</v>
      </c>
      <c r="AF50" s="11">
        <f t="shared" si="194"/>
        <v>3448881530.7333336</v>
      </c>
      <c r="AG50" s="11">
        <f t="shared" si="194"/>
        <v>1334350574.2833333</v>
      </c>
      <c r="AH50" s="11">
        <f t="shared" si="194"/>
        <v>9055848490.1499996</v>
      </c>
      <c r="AI50" s="11">
        <f t="shared" si="194"/>
        <v>2114530956.4499998</v>
      </c>
      <c r="AJ50" s="1161">
        <f t="shared" si="194"/>
        <v>110396124.43333332</v>
      </c>
      <c r="AK50" s="1161">
        <f t="shared" si="194"/>
        <v>9166244614.583334</v>
      </c>
      <c r="AL50" s="1161">
        <f t="shared" si="194"/>
        <v>2004134832.0166669</v>
      </c>
      <c r="AM50" s="1188">
        <f t="shared" si="194"/>
        <v>993565119.89999998</v>
      </c>
      <c r="AN50" s="1188">
        <f t="shared" si="194"/>
        <v>10049413610.049999</v>
      </c>
      <c r="AO50" s="1188">
        <f t="shared" si="194"/>
        <v>1120965836.55</v>
      </c>
      <c r="AP50" s="11">
        <f t="shared" si="194"/>
        <v>1324753493.2</v>
      </c>
      <c r="AQ50" s="11">
        <f t="shared" si="194"/>
        <v>10380601983.35</v>
      </c>
      <c r="AR50" s="11">
        <f t="shared" si="194"/>
        <v>789777463.25</v>
      </c>
      <c r="AS50" s="1161">
        <f t="shared" si="194"/>
        <v>446610609.28125</v>
      </c>
      <c r="AT50" s="1161">
        <f t="shared" si="194"/>
        <v>10827212592.63125</v>
      </c>
      <c r="AU50" s="1161">
        <f t="shared" si="194"/>
        <v>343166853.96875</v>
      </c>
      <c r="AV50" s="1204">
        <f>SUM(AV3:AV44)</f>
        <v>595480812.375</v>
      </c>
      <c r="AW50" s="1204">
        <f t="shared" si="194"/>
        <v>10976082795.725</v>
      </c>
      <c r="AX50" s="1204">
        <f t="shared" si="194"/>
        <v>194296650.875</v>
      </c>
      <c r="AZ50" s="8">
        <f>E50-AW50-AX50</f>
        <v>0</v>
      </c>
    </row>
    <row r="51" spans="1:52" ht="14.25" customHeight="1">
      <c r="E51" s="13">
        <f>E50-AT!N912</f>
        <v>-8456901804.9999981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2" ht="14.25" customHeight="1">
      <c r="B52" s="47"/>
      <c r="C52" s="47"/>
      <c r="D52" s="48"/>
      <c r="E52" s="49"/>
      <c r="F52" s="50" t="s">
        <v>29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2" ht="14.25" customHeight="1">
      <c r="B53" s="51" t="s">
        <v>30</v>
      </c>
      <c r="C53" s="47"/>
      <c r="D53" s="48"/>
      <c r="E53" s="49">
        <v>0</v>
      </c>
      <c r="F53" s="50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2" ht="14.25" customHeight="1">
      <c r="B54" s="51" t="s">
        <v>156</v>
      </c>
      <c r="C54" s="47"/>
      <c r="D54" s="48"/>
      <c r="E54" s="49">
        <f>SUM(E10:E12)+SUM(E32:E35)+SUM(E37:E38)</f>
        <v>144300000</v>
      </c>
      <c r="F54" s="52">
        <f t="shared" ref="F54:F62" si="195">E54-E53</f>
        <v>144300000</v>
      </c>
      <c r="H54" s="58"/>
      <c r="W54" s="15"/>
      <c r="AB54" s="15"/>
      <c r="AD54" s="18"/>
      <c r="AE54" s="15"/>
    </row>
    <row r="55" spans="1:52" ht="14.25" customHeight="1">
      <c r="B55" s="51" t="s">
        <v>157</v>
      </c>
      <c r="C55" s="47"/>
      <c r="D55" s="48"/>
      <c r="E55" s="49">
        <f>E54+SUM(E5:E7)</f>
        <v>164203000</v>
      </c>
      <c r="F55" s="52">
        <f t="shared" si="195"/>
        <v>19903000</v>
      </c>
      <c r="W55" s="15"/>
      <c r="AB55" s="15"/>
      <c r="AD55" s="18"/>
      <c r="AE55" s="15"/>
    </row>
    <row r="56" spans="1:52" ht="14.25" customHeight="1">
      <c r="B56" s="51" t="s">
        <v>158</v>
      </c>
      <c r="C56" s="47"/>
      <c r="D56" s="48"/>
      <c r="E56" s="49">
        <f>E55+SUM(E13:E19)</f>
        <v>6377051210.6000004</v>
      </c>
      <c r="F56" s="52">
        <f t="shared" si="195"/>
        <v>6212848210.6000004</v>
      </c>
      <c r="W56" s="15"/>
      <c r="AB56" s="15"/>
      <c r="AD56" s="18"/>
      <c r="AE56" s="15"/>
    </row>
    <row r="57" spans="1:52" ht="14.25" customHeight="1">
      <c r="B57" s="51" t="s">
        <v>159</v>
      </c>
      <c r="C57" s="47"/>
      <c r="D57" s="48"/>
      <c r="E57" s="49">
        <f>E56+SUM(E20:E25)+E39</f>
        <v>9670028708.6000004</v>
      </c>
      <c r="F57" s="52">
        <f t="shared" si="195"/>
        <v>3292977498</v>
      </c>
      <c r="W57" s="15"/>
      <c r="AB57" s="15"/>
      <c r="AD57" s="18"/>
      <c r="AE57" s="15"/>
    </row>
    <row r="58" spans="1:52" ht="14.25" customHeight="1">
      <c r="B58" s="51" t="s">
        <v>160</v>
      </c>
      <c r="C58" s="47"/>
      <c r="D58" s="48"/>
      <c r="E58" s="49">
        <f>E57+E8+SUM(E26:E30)+SUM(E40:E43)</f>
        <v>11170379446.6</v>
      </c>
      <c r="F58" s="52">
        <f t="shared" si="195"/>
        <v>1500350738</v>
      </c>
      <c r="W58" s="15"/>
      <c r="AB58" s="15"/>
      <c r="AE58" s="15"/>
    </row>
    <row r="59" spans="1:52" ht="14.25" customHeight="1">
      <c r="B59" s="51" t="s">
        <v>161</v>
      </c>
      <c r="C59" s="47"/>
      <c r="D59" s="48"/>
      <c r="E59" s="49">
        <f>SUM(E3:E44)</f>
        <v>11170379446.6</v>
      </c>
      <c r="F59" s="52">
        <f t="shared" si="195"/>
        <v>0</v>
      </c>
      <c r="W59" s="16"/>
      <c r="AB59" s="16"/>
      <c r="AE59" s="16"/>
    </row>
    <row r="60" spans="1:52" ht="14.25" customHeight="1">
      <c r="B60" s="51" t="s">
        <v>162</v>
      </c>
      <c r="C60" s="47"/>
      <c r="D60" s="48"/>
      <c r="E60" s="49">
        <f>SUM(E3:E44)</f>
        <v>11170379446.6</v>
      </c>
      <c r="F60" s="52">
        <f t="shared" si="195"/>
        <v>0</v>
      </c>
    </row>
    <row r="61" spans="1:52" ht="14.25" customHeight="1">
      <c r="B61" s="51" t="s">
        <v>163</v>
      </c>
      <c r="C61" s="47"/>
      <c r="D61" s="48"/>
      <c r="E61" s="49">
        <f>SUM(E3:E44)</f>
        <v>11170379446.6</v>
      </c>
      <c r="F61" s="52">
        <f t="shared" si="195"/>
        <v>0</v>
      </c>
    </row>
    <row r="62" spans="1:52" ht="14.25" customHeight="1">
      <c r="B62" s="51" t="s">
        <v>164</v>
      </c>
      <c r="C62" s="47"/>
      <c r="D62" s="48"/>
      <c r="E62" s="49">
        <f>SUM(E3:E44)</f>
        <v>11170379446.6</v>
      </c>
      <c r="F62" s="52">
        <f t="shared" si="195"/>
        <v>0</v>
      </c>
    </row>
    <row r="63" spans="1:52" ht="14.25" customHeight="1">
      <c r="B63" s="51" t="s">
        <v>1229</v>
      </c>
      <c r="C63" s="47"/>
      <c r="D63" s="48"/>
      <c r="E63" s="49">
        <f>SUM(E3:E49)</f>
        <v>11170379446.6</v>
      </c>
      <c r="F63" s="52">
        <f>E63-E62</f>
        <v>0</v>
      </c>
    </row>
    <row r="64" spans="1:52" ht="14.25" customHeight="1">
      <c r="B64" s="51" t="s">
        <v>1315</v>
      </c>
      <c r="C64" s="47"/>
      <c r="D64" s="48"/>
      <c r="E64" s="49">
        <f>SUM(E3:E49)</f>
        <v>11170379446.6</v>
      </c>
      <c r="F64" s="52">
        <f>E64-E63</f>
        <v>0</v>
      </c>
    </row>
  </sheetData>
  <autoFilter ref="A1:AX50" xr:uid="{D69AAB71-8AE9-454B-89E9-80E9FCE12F9F}">
    <filterColumn colId="4">
      <filters blank="1">
        <filter val="1.019.607.120"/>
        <filter val="1.295.126.985"/>
        <filter val="1.673.691.360"/>
        <filter val="101.945.945"/>
        <filter val="11.170.379.447"/>
        <filter val="118.109.091"/>
        <filter val="138.272.764"/>
        <filter val="19.903.000"/>
        <filter val="194.880.026"/>
        <filter val="240.394.000"/>
        <filter val="447.552.000"/>
        <filter val="467.349.120"/>
        <filter val="476.509.018"/>
        <filter val="48.900.000"/>
        <filter val="499.520.000"/>
        <filter val="65.808.556"/>
        <filter val="934.698.240"/>
        <filter val="95.400.000"/>
        <filter val="953.018.035"/>
        <filter val="959.327.032"/>
        <filter val="Perolehan"/>
      </filters>
    </filterColumn>
  </autoFilter>
  <sortState xmlns:xlrd2="http://schemas.microsoft.com/office/spreadsheetml/2017/richdata2" ref="B3:E66">
    <sortCondition ref="C3:C66"/>
  </sortState>
  <mergeCells count="16">
    <mergeCell ref="AV1:AV2"/>
    <mergeCell ref="AS1:AS2"/>
    <mergeCell ref="AP1:AP2"/>
    <mergeCell ref="P1:P2"/>
    <mergeCell ref="A1:A2"/>
    <mergeCell ref="B1:B2"/>
    <mergeCell ref="G1:G2"/>
    <mergeCell ref="J1:J2"/>
    <mergeCell ref="M1:M2"/>
    <mergeCell ref="AG1:AG2"/>
    <mergeCell ref="S1:S2"/>
    <mergeCell ref="V1:V2"/>
    <mergeCell ref="AA1:AA2"/>
    <mergeCell ref="AD1:AD2"/>
    <mergeCell ref="AJ1:AJ2"/>
    <mergeCell ref="AM1:AM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8067-3A04-4012-89B9-1815231EC412}">
  <sheetPr>
    <tabColor rgb="FF6CE695"/>
  </sheetPr>
  <dimension ref="A2:E91"/>
  <sheetViews>
    <sheetView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defaultRowHeight="14.5"/>
  <cols>
    <col min="1" max="1" width="23.453125" style="1097" customWidth="1"/>
    <col min="2" max="2" width="33.453125" style="1097" customWidth="1"/>
    <col min="3" max="4" width="13.81640625" style="1097" bestFit="1" customWidth="1"/>
    <col min="5" max="5" width="13.90625" style="1097" bestFit="1" customWidth="1"/>
    <col min="6" max="16384" width="8.7265625" style="1097"/>
  </cols>
  <sheetData>
    <row r="2" spans="1:5">
      <c r="C2" s="1098">
        <v>2020</v>
      </c>
      <c r="D2" s="1098">
        <v>2021</v>
      </c>
      <c r="E2" s="1098">
        <v>2022</v>
      </c>
    </row>
    <row r="3" spans="1:5">
      <c r="A3" s="1099" t="s">
        <v>211</v>
      </c>
      <c r="B3" s="1100" t="s">
        <v>404</v>
      </c>
      <c r="C3" s="1101">
        <v>0</v>
      </c>
      <c r="D3" s="1101">
        <v>0</v>
      </c>
      <c r="E3" s="1102">
        <v>17000000</v>
      </c>
    </row>
    <row r="4" spans="1:5">
      <c r="A4" s="1103"/>
      <c r="B4" s="1103"/>
      <c r="C4" s="1103"/>
      <c r="D4" s="1103"/>
      <c r="E4" s="1103"/>
    </row>
    <row r="5" spans="1:5">
      <c r="A5" s="1099" t="s">
        <v>1109</v>
      </c>
      <c r="B5" s="1104" t="s">
        <v>424</v>
      </c>
      <c r="C5" s="1102">
        <v>117276000</v>
      </c>
      <c r="D5" s="1102">
        <v>117276000</v>
      </c>
      <c r="E5" s="1105">
        <f>C5</f>
        <v>117276000</v>
      </c>
    </row>
    <row r="6" spans="1:5">
      <c r="A6" s="1099" t="s">
        <v>1109</v>
      </c>
      <c r="B6" s="1104" t="s">
        <v>418</v>
      </c>
      <c r="C6" s="1102">
        <v>125361500</v>
      </c>
      <c r="D6" s="1102">
        <v>125361500</v>
      </c>
      <c r="E6" s="1105">
        <f>C6</f>
        <v>125361500</v>
      </c>
    </row>
    <row r="7" spans="1:5">
      <c r="A7" s="1099" t="s">
        <v>1109</v>
      </c>
      <c r="B7" s="1106" t="s">
        <v>421</v>
      </c>
      <c r="C7" s="1103"/>
      <c r="D7" s="1102">
        <v>397432750</v>
      </c>
      <c r="E7" s="1105">
        <f>D7</f>
        <v>397432750</v>
      </c>
    </row>
    <row r="8" spans="1:5">
      <c r="A8" s="1099" t="s">
        <v>1109</v>
      </c>
      <c r="B8" s="1104" t="s">
        <v>428</v>
      </c>
      <c r="C8" s="1103"/>
      <c r="D8" s="1102">
        <v>77464120</v>
      </c>
      <c r="E8" s="1105">
        <f>D8</f>
        <v>77464120</v>
      </c>
    </row>
    <row r="9" spans="1:5">
      <c r="A9" s="1103"/>
      <c r="B9" s="1103"/>
      <c r="C9" s="1103"/>
      <c r="D9" s="1103"/>
      <c r="E9" s="1103"/>
    </row>
    <row r="10" spans="1:5">
      <c r="A10" s="1099" t="s">
        <v>208</v>
      </c>
      <c r="B10" s="1107" t="s">
        <v>1152</v>
      </c>
      <c r="C10" s="1101">
        <v>0</v>
      </c>
      <c r="D10" s="1102">
        <v>0</v>
      </c>
      <c r="E10" s="1101">
        <v>1057336363.3</v>
      </c>
    </row>
    <row r="11" spans="1:5">
      <c r="A11" s="1099" t="s">
        <v>208</v>
      </c>
      <c r="B11" s="1104" t="s">
        <v>593</v>
      </c>
      <c r="C11" s="1101">
        <v>0</v>
      </c>
      <c r="D11" s="1102">
        <v>0</v>
      </c>
      <c r="E11" s="1101">
        <v>26708707</v>
      </c>
    </row>
    <row r="12" spans="1:5">
      <c r="A12" s="1099" t="s">
        <v>208</v>
      </c>
      <c r="B12" s="1104" t="s">
        <v>594</v>
      </c>
      <c r="C12" s="1101">
        <v>0</v>
      </c>
      <c r="D12" s="1102">
        <v>0</v>
      </c>
      <c r="E12" s="1101">
        <v>750000</v>
      </c>
    </row>
    <row r="13" spans="1:5">
      <c r="A13" s="1099" t="s">
        <v>208</v>
      </c>
      <c r="B13" s="1104" t="s">
        <v>588</v>
      </c>
      <c r="C13" s="1101">
        <v>0</v>
      </c>
      <c r="D13" s="1102">
        <v>0</v>
      </c>
      <c r="E13" s="1101">
        <v>46400000</v>
      </c>
    </row>
    <row r="14" spans="1:5">
      <c r="A14" s="1099" t="s">
        <v>208</v>
      </c>
      <c r="B14" s="1104" t="s">
        <v>595</v>
      </c>
      <c r="C14" s="1101">
        <v>0</v>
      </c>
      <c r="D14" s="1102">
        <v>0</v>
      </c>
      <c r="E14" s="1101">
        <v>3600000</v>
      </c>
    </row>
    <row r="15" spans="1:5">
      <c r="A15" s="1099" t="s">
        <v>208</v>
      </c>
      <c r="B15" s="1104" t="s">
        <v>596</v>
      </c>
      <c r="C15" s="1101">
        <v>0</v>
      </c>
      <c r="D15" s="1102">
        <v>0</v>
      </c>
      <c r="E15" s="1101">
        <v>4300000</v>
      </c>
    </row>
    <row r="16" spans="1:5">
      <c r="A16" s="1099" t="s">
        <v>208</v>
      </c>
      <c r="B16" s="1104" t="s">
        <v>597</v>
      </c>
      <c r="C16" s="1101">
        <v>0</v>
      </c>
      <c r="D16" s="1102">
        <v>0</v>
      </c>
      <c r="E16" s="1101">
        <v>44400000</v>
      </c>
    </row>
    <row r="17" spans="1:5">
      <c r="A17" s="1099" t="s">
        <v>208</v>
      </c>
      <c r="B17" s="1104" t="s">
        <v>597</v>
      </c>
      <c r="C17" s="1101">
        <v>0</v>
      </c>
      <c r="D17" s="1102">
        <v>0</v>
      </c>
      <c r="E17" s="1101">
        <v>85100000</v>
      </c>
    </row>
    <row r="18" spans="1:5">
      <c r="A18" s="1099" t="s">
        <v>208</v>
      </c>
      <c r="B18" s="1104" t="s">
        <v>598</v>
      </c>
      <c r="C18" s="1101">
        <v>0</v>
      </c>
      <c r="D18" s="1102">
        <v>0</v>
      </c>
      <c r="E18" s="1101">
        <v>5500000</v>
      </c>
    </row>
    <row r="19" spans="1:5">
      <c r="A19" s="1099" t="s">
        <v>208</v>
      </c>
      <c r="B19" s="1104" t="s">
        <v>599</v>
      </c>
      <c r="C19" s="1101">
        <v>0</v>
      </c>
      <c r="D19" s="1102">
        <v>0</v>
      </c>
      <c r="E19" s="1101">
        <v>5500000</v>
      </c>
    </row>
    <row r="20" spans="1:5">
      <c r="A20" s="1099" t="s">
        <v>208</v>
      </c>
      <c r="B20" s="1104" t="s">
        <v>600</v>
      </c>
      <c r="C20" s="1101">
        <v>0</v>
      </c>
      <c r="D20" s="1102">
        <v>0</v>
      </c>
      <c r="E20" s="1101">
        <v>22200000</v>
      </c>
    </row>
    <row r="21" spans="1:5">
      <c r="A21" s="1103"/>
      <c r="B21" s="1103"/>
      <c r="C21" s="1103"/>
      <c r="D21" s="1103"/>
      <c r="E21" s="1103"/>
    </row>
    <row r="22" spans="1:5">
      <c r="A22" s="1099" t="s">
        <v>1216</v>
      </c>
      <c r="B22" s="1100" t="s">
        <v>760</v>
      </c>
      <c r="C22" s="1102">
        <v>5700000</v>
      </c>
      <c r="D22" s="1105">
        <f>C22</f>
        <v>5700000</v>
      </c>
      <c r="E22" s="1105">
        <f t="shared" ref="E22:E39" si="0">C22</f>
        <v>5700000</v>
      </c>
    </row>
    <row r="23" spans="1:5">
      <c r="A23" s="1099" t="s">
        <v>1216</v>
      </c>
      <c r="B23" s="1100" t="s">
        <v>761</v>
      </c>
      <c r="C23" s="1102">
        <v>2260000</v>
      </c>
      <c r="D23" s="1105">
        <f t="shared" ref="D23:D40" si="1">C23</f>
        <v>2260000</v>
      </c>
      <c r="E23" s="1105">
        <f t="shared" si="0"/>
        <v>2260000</v>
      </c>
    </row>
    <row r="24" spans="1:5">
      <c r="A24" s="1099" t="s">
        <v>1216</v>
      </c>
      <c r="B24" s="1100" t="s">
        <v>762</v>
      </c>
      <c r="C24" s="1102">
        <v>560000</v>
      </c>
      <c r="D24" s="1105">
        <f t="shared" si="1"/>
        <v>560000</v>
      </c>
      <c r="E24" s="1105">
        <f t="shared" si="0"/>
        <v>560000</v>
      </c>
    </row>
    <row r="25" spans="1:5">
      <c r="A25" s="1099" t="s">
        <v>1216</v>
      </c>
      <c r="B25" s="1100" t="s">
        <v>763</v>
      </c>
      <c r="C25" s="1102">
        <v>5750000</v>
      </c>
      <c r="D25" s="1105">
        <f t="shared" si="1"/>
        <v>5750000</v>
      </c>
      <c r="E25" s="1105">
        <f t="shared" si="0"/>
        <v>5750000</v>
      </c>
    </row>
    <row r="26" spans="1:5">
      <c r="A26" s="1099" t="s">
        <v>1216</v>
      </c>
      <c r="B26" s="1100" t="s">
        <v>764</v>
      </c>
      <c r="C26" s="1102">
        <v>945000</v>
      </c>
      <c r="D26" s="1105">
        <f t="shared" si="1"/>
        <v>945000</v>
      </c>
      <c r="E26" s="1105">
        <f t="shared" si="0"/>
        <v>945000</v>
      </c>
    </row>
    <row r="27" spans="1:5">
      <c r="A27" s="1099" t="s">
        <v>1216</v>
      </c>
      <c r="B27" s="1100" t="s">
        <v>765</v>
      </c>
      <c r="C27" s="1102">
        <v>2200000</v>
      </c>
      <c r="D27" s="1105">
        <f t="shared" si="1"/>
        <v>2200000</v>
      </c>
      <c r="E27" s="1105">
        <f t="shared" si="0"/>
        <v>2200000</v>
      </c>
    </row>
    <row r="28" spans="1:5">
      <c r="A28" s="1099" t="s">
        <v>1216</v>
      </c>
      <c r="B28" s="1100" t="s">
        <v>766</v>
      </c>
      <c r="C28" s="1102">
        <v>2395000</v>
      </c>
      <c r="D28" s="1105">
        <f t="shared" si="1"/>
        <v>2395000</v>
      </c>
      <c r="E28" s="1105">
        <f t="shared" si="0"/>
        <v>2395000</v>
      </c>
    </row>
    <row r="29" spans="1:5">
      <c r="A29" s="1099" t="s">
        <v>1216</v>
      </c>
      <c r="B29" s="1100" t="s">
        <v>767</v>
      </c>
      <c r="C29" s="1102">
        <v>820000</v>
      </c>
      <c r="D29" s="1105">
        <f t="shared" si="1"/>
        <v>820000</v>
      </c>
      <c r="E29" s="1105">
        <f t="shared" si="0"/>
        <v>820000</v>
      </c>
    </row>
    <row r="30" spans="1:5">
      <c r="A30" s="1099" t="s">
        <v>1216</v>
      </c>
      <c r="B30" s="1100" t="s">
        <v>768</v>
      </c>
      <c r="C30" s="1102">
        <v>3990000</v>
      </c>
      <c r="D30" s="1105">
        <f t="shared" si="1"/>
        <v>3990000</v>
      </c>
      <c r="E30" s="1105">
        <f t="shared" si="0"/>
        <v>3990000</v>
      </c>
    </row>
    <row r="31" spans="1:5">
      <c r="A31" s="1099" t="s">
        <v>1216</v>
      </c>
      <c r="B31" s="1100" t="s">
        <v>769</v>
      </c>
      <c r="C31" s="1102">
        <v>900000</v>
      </c>
      <c r="D31" s="1105">
        <f t="shared" si="1"/>
        <v>900000</v>
      </c>
      <c r="E31" s="1105">
        <f t="shared" si="0"/>
        <v>900000</v>
      </c>
    </row>
    <row r="32" spans="1:5">
      <c r="A32" s="1099" t="s">
        <v>1216</v>
      </c>
      <c r="B32" s="1100" t="s">
        <v>770</v>
      </c>
      <c r="C32" s="1102">
        <v>1250000</v>
      </c>
      <c r="D32" s="1105">
        <f t="shared" si="1"/>
        <v>1250000</v>
      </c>
      <c r="E32" s="1105">
        <f t="shared" si="0"/>
        <v>1250000</v>
      </c>
    </row>
    <row r="33" spans="1:5">
      <c r="A33" s="1099" t="s">
        <v>1216</v>
      </c>
      <c r="B33" s="1100" t="s">
        <v>771</v>
      </c>
      <c r="C33" s="1102">
        <v>175000</v>
      </c>
      <c r="D33" s="1105">
        <f t="shared" si="1"/>
        <v>175000</v>
      </c>
      <c r="E33" s="1105">
        <f t="shared" si="0"/>
        <v>175000</v>
      </c>
    </row>
    <row r="34" spans="1:5">
      <c r="A34" s="1099" t="s">
        <v>1216</v>
      </c>
      <c r="B34" s="1100" t="s">
        <v>772</v>
      </c>
      <c r="C34" s="1102">
        <v>2350000</v>
      </c>
      <c r="D34" s="1105">
        <f t="shared" si="1"/>
        <v>2350000</v>
      </c>
      <c r="E34" s="1105">
        <f t="shared" si="0"/>
        <v>2350000</v>
      </c>
    </row>
    <row r="35" spans="1:5">
      <c r="A35" s="1099" t="s">
        <v>1216</v>
      </c>
      <c r="B35" s="1100" t="s">
        <v>773</v>
      </c>
      <c r="C35" s="1102">
        <v>980000</v>
      </c>
      <c r="D35" s="1105">
        <f t="shared" si="1"/>
        <v>980000</v>
      </c>
      <c r="E35" s="1105">
        <f t="shared" si="0"/>
        <v>980000</v>
      </c>
    </row>
    <row r="36" spans="1:5">
      <c r="A36" s="1099" t="s">
        <v>1216</v>
      </c>
      <c r="B36" s="1100" t="s">
        <v>774</v>
      </c>
      <c r="C36" s="1102">
        <v>595000</v>
      </c>
      <c r="D36" s="1105">
        <f t="shared" si="1"/>
        <v>595000</v>
      </c>
      <c r="E36" s="1105">
        <f t="shared" si="0"/>
        <v>595000</v>
      </c>
    </row>
    <row r="37" spans="1:5">
      <c r="A37" s="1099" t="s">
        <v>1216</v>
      </c>
      <c r="B37" s="1100" t="s">
        <v>775</v>
      </c>
      <c r="C37" s="1102">
        <v>5733000</v>
      </c>
      <c r="D37" s="1105">
        <f t="shared" si="1"/>
        <v>5733000</v>
      </c>
      <c r="E37" s="1105">
        <f t="shared" si="0"/>
        <v>5733000</v>
      </c>
    </row>
    <row r="38" spans="1:5">
      <c r="A38" s="1099" t="s">
        <v>1216</v>
      </c>
      <c r="B38" s="1100" t="s">
        <v>776</v>
      </c>
      <c r="C38" s="1102">
        <v>2760000</v>
      </c>
      <c r="D38" s="1105">
        <f t="shared" si="1"/>
        <v>2760000</v>
      </c>
      <c r="E38" s="1105">
        <f t="shared" si="0"/>
        <v>2760000</v>
      </c>
    </row>
    <row r="39" spans="1:5">
      <c r="A39" s="1099" t="s">
        <v>1216</v>
      </c>
      <c r="B39" s="1100" t="s">
        <v>777</v>
      </c>
      <c r="C39" s="1102">
        <v>650000</v>
      </c>
      <c r="D39" s="1105">
        <f t="shared" si="1"/>
        <v>650000</v>
      </c>
      <c r="E39" s="1105">
        <f t="shared" si="0"/>
        <v>650000</v>
      </c>
    </row>
    <row r="40" spans="1:5">
      <c r="A40" s="1099" t="s">
        <v>1216</v>
      </c>
      <c r="B40" s="1100" t="s">
        <v>778</v>
      </c>
      <c r="C40" s="1102">
        <v>2600000</v>
      </c>
      <c r="D40" s="1105">
        <f t="shared" si="1"/>
        <v>2600000</v>
      </c>
      <c r="E40" s="1105">
        <f>C40</f>
        <v>2600000</v>
      </c>
    </row>
    <row r="41" spans="1:5">
      <c r="A41" s="1103"/>
      <c r="B41" s="1103"/>
      <c r="C41" s="1103"/>
      <c r="D41" s="1103"/>
      <c r="E41" s="1103"/>
    </row>
    <row r="42" spans="1:5">
      <c r="A42" s="1099" t="s">
        <v>1216</v>
      </c>
      <c r="B42" s="1104" t="s">
        <v>802</v>
      </c>
      <c r="C42" s="1102">
        <v>9450000</v>
      </c>
      <c r="D42" s="1105">
        <f t="shared" ref="D42:D54" si="2">C42</f>
        <v>9450000</v>
      </c>
      <c r="E42" s="1105">
        <f>C42</f>
        <v>9450000</v>
      </c>
    </row>
    <row r="43" spans="1:5">
      <c r="A43" s="1099" t="s">
        <v>1216</v>
      </c>
      <c r="B43" s="1104" t="s">
        <v>803</v>
      </c>
      <c r="C43" s="1102">
        <v>1300000</v>
      </c>
      <c r="D43" s="1105">
        <f t="shared" si="2"/>
        <v>1300000</v>
      </c>
      <c r="E43" s="1105">
        <f t="shared" ref="E43:E55" si="3">C43</f>
        <v>1300000</v>
      </c>
    </row>
    <row r="44" spans="1:5">
      <c r="A44" s="1099" t="s">
        <v>1216</v>
      </c>
      <c r="B44" s="1104" t="s">
        <v>804</v>
      </c>
      <c r="C44" s="1102">
        <v>2517500</v>
      </c>
      <c r="D44" s="1105">
        <f t="shared" si="2"/>
        <v>2517500</v>
      </c>
      <c r="E44" s="1105">
        <f t="shared" si="3"/>
        <v>2517500</v>
      </c>
    </row>
    <row r="45" spans="1:5">
      <c r="A45" s="1099" t="s">
        <v>1216</v>
      </c>
      <c r="B45" s="1104" t="s">
        <v>805</v>
      </c>
      <c r="C45" s="1102">
        <v>250000</v>
      </c>
      <c r="D45" s="1105">
        <f t="shared" si="2"/>
        <v>250000</v>
      </c>
      <c r="E45" s="1105">
        <f t="shared" si="3"/>
        <v>250000</v>
      </c>
    </row>
    <row r="46" spans="1:5">
      <c r="A46" s="1099" t="s">
        <v>1216</v>
      </c>
      <c r="B46" s="1104" t="s">
        <v>806</v>
      </c>
      <c r="C46" s="1102">
        <v>1650000</v>
      </c>
      <c r="D46" s="1105">
        <f t="shared" si="2"/>
        <v>1650000</v>
      </c>
      <c r="E46" s="1105">
        <f t="shared" si="3"/>
        <v>1650000</v>
      </c>
    </row>
    <row r="47" spans="1:5">
      <c r="A47" s="1099" t="s">
        <v>1216</v>
      </c>
      <c r="B47" s="1104" t="s">
        <v>807</v>
      </c>
      <c r="C47" s="1102">
        <v>2625000</v>
      </c>
      <c r="D47" s="1105">
        <f t="shared" si="2"/>
        <v>2625000</v>
      </c>
      <c r="E47" s="1105">
        <f t="shared" si="3"/>
        <v>2625000</v>
      </c>
    </row>
    <row r="48" spans="1:5">
      <c r="A48" s="1099" t="s">
        <v>1216</v>
      </c>
      <c r="B48" s="1108" t="s">
        <v>808</v>
      </c>
      <c r="C48" s="1109">
        <v>24049545</v>
      </c>
      <c r="D48" s="1105">
        <f t="shared" si="2"/>
        <v>24049545</v>
      </c>
      <c r="E48" s="1105">
        <f t="shared" si="3"/>
        <v>24049545</v>
      </c>
    </row>
    <row r="49" spans="1:5">
      <c r="A49" s="1099" t="s">
        <v>1216</v>
      </c>
      <c r="B49" s="1104" t="s">
        <v>809</v>
      </c>
      <c r="C49" s="1102">
        <v>210000000</v>
      </c>
      <c r="D49" s="1105">
        <f t="shared" si="2"/>
        <v>210000000</v>
      </c>
      <c r="E49" s="1105">
        <f t="shared" si="3"/>
        <v>210000000</v>
      </c>
    </row>
    <row r="50" spans="1:5">
      <c r="A50" s="1099" t="s">
        <v>1216</v>
      </c>
      <c r="B50" s="1104" t="s">
        <v>810</v>
      </c>
      <c r="C50" s="1102">
        <v>112000000</v>
      </c>
      <c r="D50" s="1105">
        <f t="shared" si="2"/>
        <v>112000000</v>
      </c>
      <c r="E50" s="1105">
        <f t="shared" si="3"/>
        <v>112000000</v>
      </c>
    </row>
    <row r="51" spans="1:5">
      <c r="A51" s="1099" t="s">
        <v>1216</v>
      </c>
      <c r="B51" s="1104" t="s">
        <v>811</v>
      </c>
      <c r="C51" s="1102">
        <v>301700000</v>
      </c>
      <c r="D51" s="1105">
        <f t="shared" si="2"/>
        <v>301700000</v>
      </c>
      <c r="E51" s="1105">
        <f t="shared" si="3"/>
        <v>301700000</v>
      </c>
    </row>
    <row r="52" spans="1:5">
      <c r="A52" s="1099" t="s">
        <v>1216</v>
      </c>
      <c r="B52" s="1104" t="s">
        <v>812</v>
      </c>
      <c r="C52" s="1102">
        <v>30000000</v>
      </c>
      <c r="D52" s="1105">
        <f t="shared" si="2"/>
        <v>30000000</v>
      </c>
      <c r="E52" s="1105">
        <f t="shared" si="3"/>
        <v>30000000</v>
      </c>
    </row>
    <row r="53" spans="1:5" ht="29">
      <c r="A53" s="1099" t="s">
        <v>1216</v>
      </c>
      <c r="B53" s="1100" t="s">
        <v>813</v>
      </c>
      <c r="C53" s="1102">
        <v>17750000</v>
      </c>
      <c r="D53" s="1105">
        <f t="shared" si="2"/>
        <v>17750000</v>
      </c>
      <c r="E53" s="1105">
        <f t="shared" si="3"/>
        <v>17750000</v>
      </c>
    </row>
    <row r="54" spans="1:5">
      <c r="A54" s="1099" t="s">
        <v>1216</v>
      </c>
      <c r="B54" s="1100" t="s">
        <v>814</v>
      </c>
      <c r="C54" s="1102">
        <v>15105000</v>
      </c>
      <c r="D54" s="1105">
        <f t="shared" si="2"/>
        <v>15105000</v>
      </c>
      <c r="E54" s="1105">
        <f t="shared" si="3"/>
        <v>15105000</v>
      </c>
    </row>
    <row r="55" spans="1:5" ht="29">
      <c r="A55" s="1099" t="s">
        <v>1216</v>
      </c>
      <c r="B55" s="1100" t="s">
        <v>815</v>
      </c>
      <c r="C55" s="1102">
        <v>11700000</v>
      </c>
      <c r="D55" s="1105">
        <f>C55</f>
        <v>11700000</v>
      </c>
      <c r="E55" s="1105">
        <f t="shared" si="3"/>
        <v>11700000</v>
      </c>
    </row>
    <row r="56" spans="1:5" ht="29">
      <c r="A56" s="1099" t="s">
        <v>1216</v>
      </c>
      <c r="B56" s="1100" t="s">
        <v>816</v>
      </c>
      <c r="C56" s="1103"/>
      <c r="D56" s="1103"/>
      <c r="E56" s="1102">
        <v>32470000</v>
      </c>
    </row>
    <row r="57" spans="1:5">
      <c r="A57" s="1103"/>
      <c r="B57" s="1100"/>
      <c r="C57" s="1103"/>
      <c r="D57" s="1103"/>
      <c r="E57" s="1103"/>
    </row>
    <row r="58" spans="1:5">
      <c r="A58" s="1099" t="s">
        <v>1216</v>
      </c>
      <c r="B58" s="1100" t="s">
        <v>821</v>
      </c>
      <c r="C58" s="1110">
        <v>11300000</v>
      </c>
      <c r="D58" s="1111">
        <f>C58</f>
        <v>11300000</v>
      </c>
      <c r="E58" s="1111">
        <f>C58</f>
        <v>11300000</v>
      </c>
    </row>
    <row r="59" spans="1:5">
      <c r="A59" s="1099" t="s">
        <v>1216</v>
      </c>
      <c r="B59" s="1112" t="s">
        <v>822</v>
      </c>
      <c r="C59" s="1110">
        <v>2000000</v>
      </c>
      <c r="D59" s="1111">
        <f t="shared" ref="D59:D74" si="4">C59</f>
        <v>2000000</v>
      </c>
      <c r="E59" s="1111">
        <f t="shared" ref="E59:E70" si="5">C59</f>
        <v>2000000</v>
      </c>
    </row>
    <row r="60" spans="1:5">
      <c r="A60" s="1099" t="s">
        <v>1216</v>
      </c>
      <c r="B60" s="1100" t="s">
        <v>823</v>
      </c>
      <c r="C60" s="1110">
        <v>4700000</v>
      </c>
      <c r="D60" s="1111">
        <f t="shared" si="4"/>
        <v>4700000</v>
      </c>
      <c r="E60" s="1111">
        <f t="shared" si="5"/>
        <v>4700000</v>
      </c>
    </row>
    <row r="61" spans="1:5">
      <c r="A61" s="1099" t="s">
        <v>1216</v>
      </c>
      <c r="B61" s="1100" t="s">
        <v>824</v>
      </c>
      <c r="C61" s="1110">
        <v>4700000</v>
      </c>
      <c r="D61" s="1111">
        <f t="shared" si="4"/>
        <v>4700000</v>
      </c>
      <c r="E61" s="1111">
        <f t="shared" si="5"/>
        <v>4700000</v>
      </c>
    </row>
    <row r="62" spans="1:5">
      <c r="A62" s="1099" t="s">
        <v>1216</v>
      </c>
      <c r="B62" s="1100" t="s">
        <v>826</v>
      </c>
      <c r="C62" s="1110">
        <v>5100000</v>
      </c>
      <c r="D62" s="1111">
        <f t="shared" si="4"/>
        <v>5100000</v>
      </c>
      <c r="E62" s="1111">
        <f t="shared" si="5"/>
        <v>5100000</v>
      </c>
    </row>
    <row r="63" spans="1:5">
      <c r="A63" s="1099" t="s">
        <v>1216</v>
      </c>
      <c r="B63" s="1100" t="s">
        <v>828</v>
      </c>
      <c r="C63" s="1110">
        <v>530000</v>
      </c>
      <c r="D63" s="1111">
        <f t="shared" si="4"/>
        <v>530000</v>
      </c>
      <c r="E63" s="1111">
        <f t="shared" si="5"/>
        <v>530000</v>
      </c>
    </row>
    <row r="64" spans="1:5">
      <c r="A64" s="1099" t="s">
        <v>1216</v>
      </c>
      <c r="B64" s="1100" t="s">
        <v>829</v>
      </c>
      <c r="C64" s="1110">
        <v>525000</v>
      </c>
      <c r="D64" s="1111">
        <f t="shared" si="4"/>
        <v>525000</v>
      </c>
      <c r="E64" s="1111">
        <f t="shared" si="5"/>
        <v>525000</v>
      </c>
    </row>
    <row r="65" spans="1:5">
      <c r="A65" s="1099" t="s">
        <v>1216</v>
      </c>
      <c r="B65" s="1100" t="s">
        <v>830</v>
      </c>
      <c r="C65" s="1110">
        <v>2970000</v>
      </c>
      <c r="D65" s="1111">
        <f t="shared" si="4"/>
        <v>2970000</v>
      </c>
      <c r="E65" s="1111">
        <f t="shared" si="5"/>
        <v>2970000</v>
      </c>
    </row>
    <row r="66" spans="1:5">
      <c r="A66" s="1099" t="s">
        <v>1216</v>
      </c>
      <c r="B66" s="1100" t="s">
        <v>831</v>
      </c>
      <c r="C66" s="1110">
        <v>565000</v>
      </c>
      <c r="D66" s="1111">
        <f t="shared" si="4"/>
        <v>565000</v>
      </c>
      <c r="E66" s="1111">
        <f t="shared" si="5"/>
        <v>565000</v>
      </c>
    </row>
    <row r="67" spans="1:5">
      <c r="A67" s="1099" t="s">
        <v>1216</v>
      </c>
      <c r="B67" s="1100" t="s">
        <v>826</v>
      </c>
      <c r="C67" s="1110">
        <v>3350000</v>
      </c>
      <c r="D67" s="1111">
        <f t="shared" si="4"/>
        <v>3350000</v>
      </c>
      <c r="E67" s="1111">
        <f t="shared" si="5"/>
        <v>3350000</v>
      </c>
    </row>
    <row r="68" spans="1:5">
      <c r="A68" s="1099" t="s">
        <v>1216</v>
      </c>
      <c r="B68" s="1100" t="s">
        <v>833</v>
      </c>
      <c r="C68" s="1110">
        <v>5400000</v>
      </c>
      <c r="D68" s="1111">
        <f t="shared" si="4"/>
        <v>5400000</v>
      </c>
      <c r="E68" s="1111">
        <f t="shared" si="5"/>
        <v>5400000</v>
      </c>
    </row>
    <row r="69" spans="1:5">
      <c r="A69" s="1099" t="s">
        <v>1216</v>
      </c>
      <c r="B69" s="1100" t="s">
        <v>834</v>
      </c>
      <c r="C69" s="1110">
        <v>5510000</v>
      </c>
      <c r="D69" s="1111">
        <f t="shared" si="4"/>
        <v>5510000</v>
      </c>
      <c r="E69" s="1111">
        <f t="shared" si="5"/>
        <v>5510000</v>
      </c>
    </row>
    <row r="70" spans="1:5">
      <c r="A70" s="1099" t="s">
        <v>1216</v>
      </c>
      <c r="B70" s="1100" t="s">
        <v>835</v>
      </c>
      <c r="C70" s="1110">
        <v>34963500</v>
      </c>
      <c r="D70" s="1111">
        <f t="shared" si="4"/>
        <v>34963500</v>
      </c>
      <c r="E70" s="1111">
        <f t="shared" si="5"/>
        <v>34963500</v>
      </c>
    </row>
    <row r="71" spans="1:5">
      <c r="A71" s="1099" t="s">
        <v>1216</v>
      </c>
      <c r="B71" s="1112" t="s">
        <v>836</v>
      </c>
      <c r="C71" s="1110">
        <v>0</v>
      </c>
      <c r="D71" s="1111">
        <f t="shared" si="4"/>
        <v>0</v>
      </c>
      <c r="E71" s="1109">
        <v>5900000</v>
      </c>
    </row>
    <row r="72" spans="1:5">
      <c r="A72" s="1099" t="s">
        <v>1216</v>
      </c>
      <c r="B72" s="1112" t="s">
        <v>837</v>
      </c>
      <c r="C72" s="1110">
        <v>0</v>
      </c>
      <c r="D72" s="1111">
        <f t="shared" si="4"/>
        <v>0</v>
      </c>
      <c r="E72" s="1109">
        <v>5900000</v>
      </c>
    </row>
    <row r="73" spans="1:5">
      <c r="A73" s="1099" t="s">
        <v>1216</v>
      </c>
      <c r="B73" s="1100" t="s">
        <v>838</v>
      </c>
      <c r="C73" s="1110">
        <v>0</v>
      </c>
      <c r="D73" s="1111">
        <f t="shared" si="4"/>
        <v>0</v>
      </c>
      <c r="E73" s="1102">
        <v>2930000</v>
      </c>
    </row>
    <row r="74" spans="1:5">
      <c r="A74" s="1099" t="s">
        <v>1216</v>
      </c>
      <c r="B74" s="1100" t="s">
        <v>826</v>
      </c>
      <c r="C74" s="1110">
        <v>0</v>
      </c>
      <c r="D74" s="1111">
        <f t="shared" si="4"/>
        <v>0</v>
      </c>
      <c r="E74" s="1102">
        <v>3200000</v>
      </c>
    </row>
    <row r="75" spans="1:5">
      <c r="A75" s="1103"/>
      <c r="B75" s="1103"/>
      <c r="C75" s="1103"/>
      <c r="D75" s="1103"/>
      <c r="E75" s="1103"/>
    </row>
    <row r="76" spans="1:5">
      <c r="A76" s="1099" t="s">
        <v>1216</v>
      </c>
      <c r="B76" s="1100" t="s">
        <v>849</v>
      </c>
      <c r="C76" s="1102">
        <v>15700000</v>
      </c>
      <c r="D76" s="1105">
        <f>C76</f>
        <v>15700000</v>
      </c>
      <c r="E76" s="1105">
        <f>C76</f>
        <v>15700000</v>
      </c>
    </row>
    <row r="77" spans="1:5">
      <c r="A77" s="1099" t="s">
        <v>1216</v>
      </c>
      <c r="B77" s="1100" t="s">
        <v>850</v>
      </c>
      <c r="C77" s="1102">
        <v>6600000</v>
      </c>
      <c r="D77" s="1105">
        <f>C77</f>
        <v>6600000</v>
      </c>
      <c r="E77" s="1105">
        <f>C77</f>
        <v>6600000</v>
      </c>
    </row>
    <row r="78" spans="1:5">
      <c r="A78" s="1103"/>
      <c r="B78" s="1103"/>
      <c r="C78" s="1103"/>
      <c r="D78" s="1103"/>
      <c r="E78" s="1103"/>
    </row>
    <row r="79" spans="1:5">
      <c r="A79" s="1103" t="s">
        <v>246</v>
      </c>
      <c r="B79" s="1104" t="s">
        <v>744</v>
      </c>
      <c r="C79" s="1101">
        <v>0</v>
      </c>
      <c r="D79" s="1101">
        <v>0</v>
      </c>
      <c r="E79" s="1102">
        <v>562000000</v>
      </c>
    </row>
    <row r="80" spans="1:5">
      <c r="A80" s="1103" t="s">
        <v>246</v>
      </c>
      <c r="B80" s="1103" t="s">
        <v>1154</v>
      </c>
      <c r="C80" s="1101">
        <v>0</v>
      </c>
      <c r="D80" s="1101">
        <v>0</v>
      </c>
      <c r="E80" s="1101">
        <v>33060000</v>
      </c>
    </row>
    <row r="81" spans="1:5">
      <c r="A81" s="1103" t="s">
        <v>246</v>
      </c>
      <c r="B81" s="1108" t="s">
        <v>757</v>
      </c>
      <c r="C81" s="1101">
        <v>0</v>
      </c>
      <c r="D81" s="1101">
        <v>7800000</v>
      </c>
      <c r="E81" s="1101">
        <f>D81</f>
        <v>7800000</v>
      </c>
    </row>
    <row r="82" spans="1:5">
      <c r="A82" s="1103"/>
      <c r="B82" s="1103"/>
      <c r="C82" s="1103"/>
      <c r="D82" s="1103"/>
      <c r="E82" s="1103"/>
    </row>
    <row r="83" spans="1:5" ht="29">
      <c r="A83" s="1103" t="s">
        <v>903</v>
      </c>
      <c r="B83" s="1113" t="s">
        <v>1155</v>
      </c>
      <c r="C83" s="1102">
        <f>6798000+11770000+1335000</f>
        <v>19903000</v>
      </c>
      <c r="D83" s="1114">
        <f>C83</f>
        <v>19903000</v>
      </c>
      <c r="E83" s="1114">
        <f>C83</f>
        <v>19903000</v>
      </c>
    </row>
    <row r="84" spans="1:5">
      <c r="A84" s="1103" t="s">
        <v>903</v>
      </c>
      <c r="B84" s="1100" t="s">
        <v>886</v>
      </c>
      <c r="C84" s="1101">
        <v>0</v>
      </c>
      <c r="D84" s="1102">
        <v>101945945</v>
      </c>
      <c r="E84" s="1105">
        <f>D84</f>
        <v>101945945</v>
      </c>
    </row>
    <row r="85" spans="1:5">
      <c r="A85" s="1103"/>
      <c r="B85" s="1100"/>
      <c r="C85" s="1103"/>
      <c r="D85" s="1103"/>
      <c r="E85" s="1105"/>
    </row>
    <row r="86" spans="1:5">
      <c r="A86" s="1103" t="s">
        <v>903</v>
      </c>
      <c r="B86" s="1115" t="s">
        <v>890</v>
      </c>
      <c r="C86" s="1102">
        <v>95400000</v>
      </c>
      <c r="D86" s="1105">
        <f t="shared" ref="D86:D87" si="6">C86</f>
        <v>95400000</v>
      </c>
      <c r="E86" s="1105">
        <f>C86</f>
        <v>95400000</v>
      </c>
    </row>
    <row r="87" spans="1:5">
      <c r="A87" s="1103" t="s">
        <v>903</v>
      </c>
      <c r="B87" s="1115" t="s">
        <v>891</v>
      </c>
      <c r="C87" s="1102">
        <v>48900000</v>
      </c>
      <c r="D87" s="1105">
        <f t="shared" si="6"/>
        <v>48900000</v>
      </c>
      <c r="E87" s="1105">
        <f t="shared" ref="E87:E88" si="7">C87</f>
        <v>48900000</v>
      </c>
    </row>
    <row r="88" spans="1:5">
      <c r="A88" s="1103" t="s">
        <v>903</v>
      </c>
      <c r="B88" s="1115" t="s">
        <v>896</v>
      </c>
      <c r="C88" s="1102">
        <v>240394000</v>
      </c>
      <c r="D88" s="1105">
        <f>C88</f>
        <v>240394000</v>
      </c>
      <c r="E88" s="1105">
        <f t="shared" si="7"/>
        <v>240394000</v>
      </c>
    </row>
    <row r="89" spans="1:5">
      <c r="A89" s="1103" t="s">
        <v>903</v>
      </c>
      <c r="B89" s="1115" t="s">
        <v>905</v>
      </c>
      <c r="C89" s="1102">
        <v>0</v>
      </c>
      <c r="D89" s="1101">
        <v>0</v>
      </c>
      <c r="E89" s="1102">
        <v>65808556</v>
      </c>
    </row>
    <row r="91" spans="1:5">
      <c r="C91" s="1116">
        <f>SUM(C3:C89)</f>
        <v>1533858045</v>
      </c>
      <c r="D91" s="1117">
        <f>SUM(D3:D89)</f>
        <v>2118500860</v>
      </c>
      <c r="E91" s="1116">
        <f>SUM(E3:E89)</f>
        <v>4148564486.3000002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0DA7-05E0-4190-89F2-462A71D9BB37}">
  <sheetPr>
    <tabColor rgb="FFFFFF00"/>
  </sheetPr>
  <dimension ref="A1"/>
  <sheetViews>
    <sheetView workbookViewId="0">
      <selection activeCell="D2" sqref="D2"/>
    </sheetView>
  </sheetViews>
  <sheetFormatPr defaultRowHeight="14.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1E1F-CDA7-4CB9-9220-6A94F955B501}">
  <sheetPr>
    <tabColor rgb="FF92D050"/>
  </sheetPr>
  <dimension ref="A1:N67"/>
  <sheetViews>
    <sheetView topLeftCell="E1" workbookViewId="0">
      <selection activeCell="M1" sqref="M1"/>
    </sheetView>
  </sheetViews>
  <sheetFormatPr defaultRowHeight="14.5"/>
  <cols>
    <col min="1" max="1" width="8.26953125" bestFit="1" customWidth="1"/>
    <col min="2" max="2" width="4.26953125" bestFit="1" customWidth="1"/>
    <col min="3" max="3" width="11.453125" bestFit="1" customWidth="1"/>
    <col min="4" max="4" width="50.453125" customWidth="1"/>
    <col min="5" max="5" width="12.453125" bestFit="1" customWidth="1"/>
    <col min="6" max="6" width="9" bestFit="1" customWidth="1"/>
    <col min="7" max="7" width="9.81640625" bestFit="1" customWidth="1"/>
    <col min="8" max="8" width="9.54296875" bestFit="1" customWidth="1"/>
    <col min="9" max="9" width="18.7265625" bestFit="1" customWidth="1"/>
    <col min="10" max="10" width="17.7265625" bestFit="1" customWidth="1"/>
    <col min="11" max="11" width="7.54296875" bestFit="1" customWidth="1"/>
    <col min="13" max="13" width="23.453125" style="31" bestFit="1" customWidth="1"/>
    <col min="14" max="14" width="16" bestFit="1" customWidth="1"/>
  </cols>
  <sheetData>
    <row r="1" spans="1:14">
      <c r="A1" s="21" t="s">
        <v>31</v>
      </c>
      <c r="B1" s="22" t="s">
        <v>32</v>
      </c>
      <c r="C1" s="22" t="s">
        <v>33</v>
      </c>
      <c r="D1" s="22" t="s">
        <v>34</v>
      </c>
      <c r="E1" s="22" t="s">
        <v>35</v>
      </c>
      <c r="F1" s="22" t="s">
        <v>36</v>
      </c>
      <c r="G1" s="22" t="s">
        <v>37</v>
      </c>
      <c r="H1" s="22" t="s">
        <v>38</v>
      </c>
      <c r="I1" s="23" t="s">
        <v>39</v>
      </c>
      <c r="J1" s="23" t="s">
        <v>40</v>
      </c>
      <c r="K1" s="24" t="s">
        <v>41</v>
      </c>
    </row>
    <row r="2" spans="1:14">
      <c r="A2" s="25">
        <v>44792</v>
      </c>
      <c r="B2" s="26">
        <v>8</v>
      </c>
      <c r="C2" s="27" t="s">
        <v>42</v>
      </c>
      <c r="D2" s="28" t="s">
        <v>43</v>
      </c>
      <c r="E2" s="27" t="s">
        <v>44</v>
      </c>
      <c r="F2" s="26" t="s">
        <v>45</v>
      </c>
      <c r="G2" s="27" t="s">
        <v>46</v>
      </c>
      <c r="H2" s="28" t="s">
        <v>47</v>
      </c>
      <c r="I2" s="29">
        <v>394294864</v>
      </c>
      <c r="J2" s="29"/>
      <c r="K2" s="30"/>
    </row>
    <row r="3" spans="1:14">
      <c r="A3" s="25">
        <v>44865</v>
      </c>
      <c r="B3" s="26">
        <v>10</v>
      </c>
      <c r="C3" s="27"/>
      <c r="D3" s="28" t="s">
        <v>48</v>
      </c>
      <c r="E3" s="27"/>
      <c r="F3" s="26" t="s">
        <v>49</v>
      </c>
      <c r="G3" s="27" t="s">
        <v>46</v>
      </c>
      <c r="H3" s="28" t="s">
        <v>47</v>
      </c>
      <c r="I3" s="29">
        <v>1992518136</v>
      </c>
      <c r="J3" s="29"/>
      <c r="K3" s="30"/>
    </row>
    <row r="4" spans="1:14">
      <c r="A4" s="25">
        <v>44926</v>
      </c>
      <c r="B4" s="26">
        <v>12</v>
      </c>
      <c r="C4" s="27"/>
      <c r="D4" s="28" t="s">
        <v>50</v>
      </c>
      <c r="E4" s="27"/>
      <c r="F4" s="26" t="s">
        <v>49</v>
      </c>
      <c r="G4" s="27" t="s">
        <v>46</v>
      </c>
      <c r="H4" s="28" t="s">
        <v>47</v>
      </c>
      <c r="I4" s="29"/>
      <c r="J4" s="29">
        <v>1801172051</v>
      </c>
      <c r="K4" s="30"/>
    </row>
    <row r="5" spans="1:14">
      <c r="A5" s="25">
        <v>44926</v>
      </c>
      <c r="B5" s="26">
        <v>12</v>
      </c>
      <c r="C5" s="27" t="s">
        <v>51</v>
      </c>
      <c r="D5" s="28" t="s">
        <v>52</v>
      </c>
      <c r="E5" s="27"/>
      <c r="F5" s="26" t="s">
        <v>49</v>
      </c>
      <c r="G5" s="27" t="s">
        <v>46</v>
      </c>
      <c r="H5" s="28" t="s">
        <v>47</v>
      </c>
      <c r="I5" s="29">
        <v>58561150</v>
      </c>
      <c r="J5" s="29"/>
      <c r="K5" s="30"/>
    </row>
    <row r="6" spans="1:14">
      <c r="A6" s="25">
        <v>44926</v>
      </c>
      <c r="B6" s="26">
        <v>12</v>
      </c>
      <c r="C6" s="27" t="s">
        <v>51</v>
      </c>
      <c r="D6" s="28" t="s">
        <v>53</v>
      </c>
      <c r="E6" s="27"/>
      <c r="F6" s="26" t="s">
        <v>49</v>
      </c>
      <c r="G6" s="27" t="s">
        <v>46</v>
      </c>
      <c r="H6" s="28" t="s">
        <v>47</v>
      </c>
      <c r="I6" s="29">
        <v>148985640</v>
      </c>
      <c r="J6" s="29"/>
      <c r="K6" s="30"/>
    </row>
    <row r="7" spans="1:14">
      <c r="A7" s="25">
        <v>44926</v>
      </c>
      <c r="B7" s="26">
        <v>12</v>
      </c>
      <c r="C7" s="27" t="s">
        <v>51</v>
      </c>
      <c r="D7" s="28" t="s">
        <v>54</v>
      </c>
      <c r="E7" s="27"/>
      <c r="F7" s="26" t="s">
        <v>49</v>
      </c>
      <c r="G7" s="27" t="s">
        <v>46</v>
      </c>
      <c r="H7" s="28" t="s">
        <v>47</v>
      </c>
      <c r="I7" s="29">
        <v>113088500</v>
      </c>
      <c r="J7" s="29"/>
      <c r="K7" s="30"/>
    </row>
    <row r="8" spans="1:14">
      <c r="A8" s="25">
        <v>44926</v>
      </c>
      <c r="B8" s="26">
        <v>12</v>
      </c>
      <c r="C8" s="27" t="s">
        <v>51</v>
      </c>
      <c r="D8" s="28" t="s">
        <v>55</v>
      </c>
      <c r="E8" s="27"/>
      <c r="F8" s="26" t="s">
        <v>49</v>
      </c>
      <c r="G8" s="27" t="s">
        <v>46</v>
      </c>
      <c r="H8" s="28" t="s">
        <v>47</v>
      </c>
      <c r="I8" s="29">
        <v>30424110</v>
      </c>
      <c r="J8" s="29"/>
      <c r="K8" s="30"/>
    </row>
    <row r="9" spans="1:14">
      <c r="A9" s="25">
        <v>44926</v>
      </c>
      <c r="B9" s="26">
        <v>12</v>
      </c>
      <c r="C9" s="27" t="s">
        <v>51</v>
      </c>
      <c r="D9" s="28" t="s">
        <v>56</v>
      </c>
      <c r="E9" s="27"/>
      <c r="F9" s="26" t="s">
        <v>49</v>
      </c>
      <c r="G9" s="27" t="s">
        <v>46</v>
      </c>
      <c r="H9" s="28" t="s">
        <v>47</v>
      </c>
      <c r="I9" s="29">
        <v>39131900</v>
      </c>
      <c r="J9" s="29"/>
      <c r="K9" s="30"/>
    </row>
    <row r="10" spans="1:14">
      <c r="A10" s="25">
        <v>44904</v>
      </c>
      <c r="B10" s="26">
        <v>12</v>
      </c>
      <c r="C10" s="27" t="s">
        <v>57</v>
      </c>
      <c r="D10" s="28" t="s">
        <v>58</v>
      </c>
      <c r="E10" s="27" t="s">
        <v>44</v>
      </c>
      <c r="F10" s="26" t="s">
        <v>45</v>
      </c>
      <c r="G10" s="27" t="s">
        <v>46</v>
      </c>
      <c r="H10" s="28" t="s">
        <v>47</v>
      </c>
      <c r="I10" s="29">
        <v>535050000</v>
      </c>
      <c r="J10" s="29"/>
      <c r="K10" s="30"/>
    </row>
    <row r="12" spans="1:14">
      <c r="A12" s="21" t="s">
        <v>31</v>
      </c>
      <c r="B12" s="22" t="s">
        <v>32</v>
      </c>
      <c r="C12" s="22" t="s">
        <v>33</v>
      </c>
      <c r="D12" s="22" t="s">
        <v>34</v>
      </c>
      <c r="E12" s="22" t="s">
        <v>35</v>
      </c>
      <c r="F12" s="22" t="s">
        <v>36</v>
      </c>
      <c r="G12" s="22" t="s">
        <v>37</v>
      </c>
      <c r="H12" s="22" t="s">
        <v>38</v>
      </c>
      <c r="I12" s="23" t="s">
        <v>39</v>
      </c>
      <c r="J12" s="23" t="s">
        <v>40</v>
      </c>
      <c r="K12" s="24" t="s">
        <v>41</v>
      </c>
      <c r="M12" s="34" t="s">
        <v>107</v>
      </c>
    </row>
    <row r="13" spans="1:14">
      <c r="A13" s="25">
        <v>44592</v>
      </c>
      <c r="B13" s="26">
        <v>1</v>
      </c>
      <c r="C13" s="27" t="s">
        <v>59</v>
      </c>
      <c r="D13" s="28" t="s">
        <v>60</v>
      </c>
      <c r="E13" s="27"/>
      <c r="F13" s="26" t="s">
        <v>49</v>
      </c>
      <c r="G13" s="27" t="s">
        <v>61</v>
      </c>
      <c r="H13" s="28" t="s">
        <v>62</v>
      </c>
      <c r="I13" s="35">
        <v>142660897</v>
      </c>
      <c r="J13" s="29"/>
      <c r="K13" s="30"/>
      <c r="M13" s="31">
        <v>142660897</v>
      </c>
      <c r="N13" s="32">
        <f>I13-M13</f>
        <v>0</v>
      </c>
    </row>
    <row r="14" spans="1:14">
      <c r="A14" s="25">
        <v>44592</v>
      </c>
      <c r="B14" s="26">
        <v>1</v>
      </c>
      <c r="C14" s="27" t="s">
        <v>63</v>
      </c>
      <c r="D14" s="28" t="s">
        <v>64</v>
      </c>
      <c r="E14" s="27"/>
      <c r="F14" s="26" t="s">
        <v>49</v>
      </c>
      <c r="G14" s="27" t="s">
        <v>61</v>
      </c>
      <c r="H14" s="28" t="s">
        <v>62</v>
      </c>
      <c r="I14" s="35">
        <v>760000000</v>
      </c>
      <c r="J14" s="29"/>
      <c r="K14" s="30"/>
      <c r="M14" s="31">
        <v>760000000</v>
      </c>
      <c r="N14" s="32">
        <f t="shared" ref="N14:N24" si="0">I14-M14</f>
        <v>0</v>
      </c>
    </row>
    <row r="15" spans="1:14">
      <c r="A15" s="25">
        <v>44620</v>
      </c>
      <c r="B15" s="26">
        <v>2</v>
      </c>
      <c r="C15" s="27" t="s">
        <v>65</v>
      </c>
      <c r="D15" s="28" t="s">
        <v>66</v>
      </c>
      <c r="E15" s="27"/>
      <c r="F15" s="26" t="s">
        <v>49</v>
      </c>
      <c r="G15" s="27" t="s">
        <v>61</v>
      </c>
      <c r="H15" s="28" t="s">
        <v>62</v>
      </c>
      <c r="I15" s="35">
        <v>50801519</v>
      </c>
      <c r="J15" s="29"/>
      <c r="K15" s="30"/>
      <c r="M15" s="31">
        <v>50801519</v>
      </c>
      <c r="N15" s="32">
        <f t="shared" si="0"/>
        <v>0</v>
      </c>
    </row>
    <row r="16" spans="1:14">
      <c r="A16" s="25">
        <v>44651</v>
      </c>
      <c r="B16" s="26">
        <v>3</v>
      </c>
      <c r="C16" s="27" t="s">
        <v>67</v>
      </c>
      <c r="D16" s="28" t="s">
        <v>68</v>
      </c>
      <c r="E16" s="27"/>
      <c r="F16" s="26" t="s">
        <v>49</v>
      </c>
      <c r="G16" s="27" t="s">
        <v>61</v>
      </c>
      <c r="H16" s="28" t="s">
        <v>62</v>
      </c>
      <c r="I16" s="36">
        <v>237360799</v>
      </c>
      <c r="J16" s="29"/>
      <c r="K16" s="30"/>
      <c r="M16" s="31">
        <v>237360799</v>
      </c>
      <c r="N16" s="32">
        <f t="shared" si="0"/>
        <v>0</v>
      </c>
    </row>
    <row r="17" spans="1:14">
      <c r="A17" s="25">
        <v>44681</v>
      </c>
      <c r="B17" s="26">
        <v>4</v>
      </c>
      <c r="C17" s="27" t="s">
        <v>69</v>
      </c>
      <c r="D17" s="28" t="s">
        <v>70</v>
      </c>
      <c r="E17" s="27"/>
      <c r="F17" s="26" t="s">
        <v>49</v>
      </c>
      <c r="G17" s="27" t="s">
        <v>61</v>
      </c>
      <c r="H17" s="28" t="s">
        <v>62</v>
      </c>
      <c r="I17" s="36">
        <v>349916465</v>
      </c>
      <c r="J17" s="29"/>
      <c r="K17" s="30"/>
      <c r="M17" s="31">
        <v>349916465</v>
      </c>
      <c r="N17" s="32">
        <f t="shared" si="0"/>
        <v>0</v>
      </c>
    </row>
    <row r="18" spans="1:14">
      <c r="A18" s="25">
        <v>44677</v>
      </c>
      <c r="B18" s="26">
        <v>4</v>
      </c>
      <c r="C18" s="27"/>
      <c r="D18" s="28" t="s">
        <v>71</v>
      </c>
      <c r="E18" s="27" t="s">
        <v>72</v>
      </c>
      <c r="F18" s="26" t="s">
        <v>45</v>
      </c>
      <c r="G18" s="27" t="s">
        <v>61</v>
      </c>
      <c r="H18" s="28" t="s">
        <v>62</v>
      </c>
      <c r="I18" s="36">
        <v>110000000</v>
      </c>
      <c r="J18" s="29"/>
      <c r="K18" s="30"/>
      <c r="M18" s="31">
        <v>110000000</v>
      </c>
      <c r="N18" s="32">
        <f t="shared" si="0"/>
        <v>0</v>
      </c>
    </row>
    <row r="19" spans="1:14">
      <c r="A19" s="25">
        <v>44712</v>
      </c>
      <c r="B19" s="26">
        <v>5</v>
      </c>
      <c r="C19" s="27" t="s">
        <v>73</v>
      </c>
      <c r="D19" s="28" t="s">
        <v>74</v>
      </c>
      <c r="E19" s="27"/>
      <c r="F19" s="26" t="s">
        <v>49</v>
      </c>
      <c r="G19" s="27" t="s">
        <v>61</v>
      </c>
      <c r="H19" s="28" t="s">
        <v>62</v>
      </c>
      <c r="I19" s="36">
        <v>355515073.27635002</v>
      </c>
      <c r="J19" s="29"/>
      <c r="K19" s="30"/>
      <c r="M19" s="31">
        <v>355515073.27635002</v>
      </c>
      <c r="N19" s="32">
        <f t="shared" si="0"/>
        <v>0</v>
      </c>
    </row>
    <row r="20" spans="1:14">
      <c r="A20" s="25">
        <v>44742</v>
      </c>
      <c r="B20" s="26">
        <v>6</v>
      </c>
      <c r="C20" s="27" t="s">
        <v>75</v>
      </c>
      <c r="D20" s="28" t="s">
        <v>76</v>
      </c>
      <c r="E20" s="27"/>
      <c r="F20" s="26" t="s">
        <v>49</v>
      </c>
      <c r="G20" s="27" t="s">
        <v>61</v>
      </c>
      <c r="H20" s="28" t="s">
        <v>62</v>
      </c>
      <c r="I20" s="36">
        <v>179043188</v>
      </c>
      <c r="J20" s="29"/>
      <c r="K20" s="30"/>
      <c r="M20" s="31">
        <v>179043188</v>
      </c>
      <c r="N20" s="32">
        <f t="shared" si="0"/>
        <v>0</v>
      </c>
    </row>
    <row r="21" spans="1:14">
      <c r="A21" s="25">
        <v>44773</v>
      </c>
      <c r="B21" s="26">
        <v>7</v>
      </c>
      <c r="C21" s="27" t="s">
        <v>77</v>
      </c>
      <c r="D21" s="28" t="s">
        <v>78</v>
      </c>
      <c r="E21" s="27" t="s">
        <v>49</v>
      </c>
      <c r="F21" s="26" t="s">
        <v>49</v>
      </c>
      <c r="G21" s="27" t="s">
        <v>61</v>
      </c>
      <c r="H21" s="28" t="s">
        <v>62</v>
      </c>
      <c r="I21" s="36">
        <v>415962792</v>
      </c>
      <c r="J21" s="29"/>
      <c r="K21" s="30"/>
      <c r="M21" s="31">
        <v>415962792</v>
      </c>
      <c r="N21" s="32">
        <f t="shared" si="0"/>
        <v>0</v>
      </c>
    </row>
    <row r="22" spans="1:14">
      <c r="A22" s="25">
        <v>44804</v>
      </c>
      <c r="B22" s="26">
        <v>8</v>
      </c>
      <c r="C22" s="27" t="s">
        <v>75</v>
      </c>
      <c r="D22" s="28" t="s">
        <v>79</v>
      </c>
      <c r="E22" s="27"/>
      <c r="F22" s="26" t="s">
        <v>49</v>
      </c>
      <c r="G22" s="27" t="s">
        <v>61</v>
      </c>
      <c r="H22" s="28" t="s">
        <v>62</v>
      </c>
      <c r="I22" s="36">
        <v>415547793</v>
      </c>
      <c r="J22" s="29"/>
      <c r="K22" s="30"/>
      <c r="M22" s="31">
        <v>415547793</v>
      </c>
      <c r="N22" s="32">
        <f t="shared" si="0"/>
        <v>0</v>
      </c>
    </row>
    <row r="23" spans="1:14">
      <c r="A23" s="25">
        <v>44788</v>
      </c>
      <c r="B23" s="26">
        <v>8</v>
      </c>
      <c r="C23" s="27"/>
      <c r="D23" s="28" t="s">
        <v>80</v>
      </c>
      <c r="E23" s="27" t="s">
        <v>72</v>
      </c>
      <c r="F23" s="26" t="s">
        <v>45</v>
      </c>
      <c r="G23" s="27" t="s">
        <v>61</v>
      </c>
      <c r="H23" s="28" t="s">
        <v>62</v>
      </c>
      <c r="I23" s="37">
        <v>44913375</v>
      </c>
      <c r="J23" s="29"/>
      <c r="K23" s="30"/>
      <c r="M23" s="31">
        <v>44913375</v>
      </c>
      <c r="N23" s="32">
        <f t="shared" si="0"/>
        <v>0</v>
      </c>
    </row>
    <row r="24" spans="1:14" s="44" customFormat="1">
      <c r="A24" s="38">
        <v>44834</v>
      </c>
      <c r="B24" s="39">
        <v>9</v>
      </c>
      <c r="C24" s="39" t="s">
        <v>81</v>
      </c>
      <c r="D24" s="40" t="s">
        <v>82</v>
      </c>
      <c r="E24" s="39"/>
      <c r="F24" s="39" t="s">
        <v>49</v>
      </c>
      <c r="G24" s="39" t="s">
        <v>61</v>
      </c>
      <c r="H24" s="40" t="s">
        <v>62</v>
      </c>
      <c r="I24" s="41">
        <v>645557629</v>
      </c>
      <c r="J24" s="42"/>
      <c r="K24" s="43"/>
      <c r="M24" s="34"/>
      <c r="N24" s="45">
        <f t="shared" si="0"/>
        <v>645557629</v>
      </c>
    </row>
    <row r="25" spans="1:14">
      <c r="A25" s="25">
        <v>44832</v>
      </c>
      <c r="B25" s="26">
        <v>9</v>
      </c>
      <c r="C25" s="27"/>
      <c r="D25" s="28" t="s">
        <v>83</v>
      </c>
      <c r="E25" s="27" t="s">
        <v>44</v>
      </c>
      <c r="F25" s="26" t="s">
        <v>45</v>
      </c>
      <c r="G25" s="27" t="s">
        <v>61</v>
      </c>
      <c r="H25" s="28" t="s">
        <v>62</v>
      </c>
      <c r="I25" s="37">
        <v>400000000</v>
      </c>
      <c r="J25" s="29"/>
      <c r="K25" s="30"/>
      <c r="M25" s="31">
        <v>800003000</v>
      </c>
      <c r="N25" s="32">
        <f>I25+I26-M25</f>
        <v>0</v>
      </c>
    </row>
    <row r="26" spans="1:14">
      <c r="A26" s="25">
        <v>44833</v>
      </c>
      <c r="B26" s="26">
        <v>9</v>
      </c>
      <c r="C26" s="27"/>
      <c r="D26" s="28" t="s">
        <v>84</v>
      </c>
      <c r="E26" s="27" t="s">
        <v>44</v>
      </c>
      <c r="F26" s="26" t="s">
        <v>45</v>
      </c>
      <c r="G26" s="27" t="s">
        <v>61</v>
      </c>
      <c r="H26" s="28" t="s">
        <v>62</v>
      </c>
      <c r="I26" s="37">
        <v>400003000</v>
      </c>
      <c r="J26" s="29"/>
      <c r="K26" s="30"/>
      <c r="N26" s="32"/>
    </row>
    <row r="27" spans="1:14">
      <c r="A27" s="25">
        <v>44865</v>
      </c>
      <c r="B27" s="26">
        <v>10</v>
      </c>
      <c r="C27" s="27" t="s">
        <v>75</v>
      </c>
      <c r="D27" s="28" t="s">
        <v>85</v>
      </c>
      <c r="E27" s="27"/>
      <c r="F27" s="26" t="s">
        <v>49</v>
      </c>
      <c r="G27" s="27" t="s">
        <v>61</v>
      </c>
      <c r="H27" s="28" t="s">
        <v>62</v>
      </c>
      <c r="I27" s="37">
        <v>106680000</v>
      </c>
      <c r="J27" s="29"/>
      <c r="K27" s="30"/>
      <c r="M27" s="31">
        <v>106680000</v>
      </c>
      <c r="N27" s="32">
        <f t="shared" ref="N27:N43" si="1">I27-M27</f>
        <v>0</v>
      </c>
    </row>
    <row r="28" spans="1:14">
      <c r="A28" s="25">
        <v>44845</v>
      </c>
      <c r="B28" s="26">
        <v>10</v>
      </c>
      <c r="C28" s="27" t="s">
        <v>86</v>
      </c>
      <c r="D28" s="28" t="s">
        <v>87</v>
      </c>
      <c r="E28" s="27" t="s">
        <v>72</v>
      </c>
      <c r="F28" s="26" t="s">
        <v>45</v>
      </c>
      <c r="G28" s="27" t="s">
        <v>61</v>
      </c>
      <c r="H28" s="28" t="s">
        <v>62</v>
      </c>
      <c r="I28" s="37">
        <v>7300000</v>
      </c>
      <c r="J28" s="29"/>
      <c r="K28" s="30"/>
      <c r="M28" s="31">
        <v>7300000</v>
      </c>
      <c r="N28" s="32">
        <f t="shared" si="1"/>
        <v>0</v>
      </c>
    </row>
    <row r="29" spans="1:14">
      <c r="A29" s="25">
        <v>44845</v>
      </c>
      <c r="B29" s="26">
        <v>10</v>
      </c>
      <c r="C29" s="27"/>
      <c r="D29" s="28" t="s">
        <v>88</v>
      </c>
      <c r="E29" s="27" t="s">
        <v>44</v>
      </c>
      <c r="F29" s="26" t="s">
        <v>45</v>
      </c>
      <c r="G29" s="27" t="s">
        <v>61</v>
      </c>
      <c r="H29" s="28" t="s">
        <v>62</v>
      </c>
      <c r="I29" s="37">
        <v>55500000</v>
      </c>
      <c r="J29" s="29"/>
      <c r="K29" s="30"/>
      <c r="M29" s="31">
        <v>55500000</v>
      </c>
      <c r="N29" s="32">
        <f t="shared" si="1"/>
        <v>0</v>
      </c>
    </row>
    <row r="30" spans="1:14">
      <c r="A30" s="25">
        <v>44854</v>
      </c>
      <c r="B30" s="26">
        <v>10</v>
      </c>
      <c r="C30" s="27"/>
      <c r="D30" s="28" t="s">
        <v>89</v>
      </c>
      <c r="E30" s="27" t="s">
        <v>44</v>
      </c>
      <c r="F30" s="26" t="s">
        <v>45</v>
      </c>
      <c r="G30" s="27" t="s">
        <v>61</v>
      </c>
      <c r="H30" s="28" t="s">
        <v>62</v>
      </c>
      <c r="I30" s="37">
        <v>3465000</v>
      </c>
      <c r="J30" s="29"/>
      <c r="K30" s="30"/>
      <c r="M30" s="31">
        <v>3465000</v>
      </c>
      <c r="N30" s="32">
        <f t="shared" si="1"/>
        <v>0</v>
      </c>
    </row>
    <row r="31" spans="1:14">
      <c r="A31" s="25">
        <v>44854</v>
      </c>
      <c r="B31" s="26">
        <v>10</v>
      </c>
      <c r="C31" s="27"/>
      <c r="D31" s="28" t="s">
        <v>90</v>
      </c>
      <c r="E31" s="27" t="s">
        <v>44</v>
      </c>
      <c r="F31" s="26" t="s">
        <v>45</v>
      </c>
      <c r="G31" s="27" t="s">
        <v>61</v>
      </c>
      <c r="H31" s="28" t="s">
        <v>62</v>
      </c>
      <c r="I31" s="37">
        <v>7431450</v>
      </c>
      <c r="J31" s="29"/>
      <c r="K31" s="30"/>
      <c r="M31" s="31">
        <v>7431450</v>
      </c>
      <c r="N31" s="32">
        <f t="shared" si="1"/>
        <v>0</v>
      </c>
    </row>
    <row r="32" spans="1:14" s="44" customFormat="1">
      <c r="A32" s="38">
        <v>44854</v>
      </c>
      <c r="B32" s="39">
        <v>10</v>
      </c>
      <c r="C32" s="39"/>
      <c r="D32" s="40" t="s">
        <v>91</v>
      </c>
      <c r="E32" s="39" t="s">
        <v>44</v>
      </c>
      <c r="F32" s="39" t="s">
        <v>45</v>
      </c>
      <c r="G32" s="39" t="s">
        <v>61</v>
      </c>
      <c r="H32" s="40" t="s">
        <v>62</v>
      </c>
      <c r="I32" s="41">
        <v>7400000</v>
      </c>
      <c r="J32" s="42"/>
      <c r="K32" s="43"/>
      <c r="M32" s="34"/>
      <c r="N32" s="45">
        <f t="shared" si="1"/>
        <v>7400000</v>
      </c>
    </row>
    <row r="33" spans="1:14">
      <c r="A33" s="25">
        <v>44860</v>
      </c>
      <c r="B33" s="26">
        <v>10</v>
      </c>
      <c r="C33" s="27"/>
      <c r="D33" s="28" t="s">
        <v>92</v>
      </c>
      <c r="E33" s="27" t="s">
        <v>44</v>
      </c>
      <c r="F33" s="26" t="s">
        <v>45</v>
      </c>
      <c r="G33" s="27" t="s">
        <v>61</v>
      </c>
      <c r="H33" s="28" t="s">
        <v>62</v>
      </c>
      <c r="I33" s="37">
        <v>3150000</v>
      </c>
      <c r="J33" s="29"/>
      <c r="K33" s="30"/>
      <c r="M33" s="31">
        <v>6300000</v>
      </c>
      <c r="N33" s="32">
        <f>I33+I34-M33</f>
        <v>0</v>
      </c>
    </row>
    <row r="34" spans="1:14">
      <c r="A34" s="25">
        <v>44862</v>
      </c>
      <c r="B34" s="26">
        <v>10</v>
      </c>
      <c r="C34" s="27"/>
      <c r="D34" s="28" t="s">
        <v>93</v>
      </c>
      <c r="E34" s="27" t="s">
        <v>44</v>
      </c>
      <c r="F34" s="26" t="s">
        <v>45</v>
      </c>
      <c r="G34" s="27" t="s">
        <v>61</v>
      </c>
      <c r="H34" s="28" t="s">
        <v>62</v>
      </c>
      <c r="I34" s="37">
        <v>3150000</v>
      </c>
      <c r="J34" s="29"/>
      <c r="K34" s="30"/>
      <c r="N34" s="32"/>
    </row>
    <row r="35" spans="1:14">
      <c r="A35" s="25">
        <v>44895</v>
      </c>
      <c r="B35" s="26">
        <v>11</v>
      </c>
      <c r="C35" s="27" t="s">
        <v>75</v>
      </c>
      <c r="D35" s="28" t="s">
        <v>94</v>
      </c>
      <c r="E35" s="27"/>
      <c r="F35" s="26" t="s">
        <v>49</v>
      </c>
      <c r="G35" s="27" t="s">
        <v>61</v>
      </c>
      <c r="H35" s="28" t="s">
        <v>62</v>
      </c>
      <c r="I35" s="37">
        <v>23552927</v>
      </c>
      <c r="J35" s="29"/>
      <c r="K35" s="30"/>
      <c r="M35" s="31">
        <v>23552927</v>
      </c>
      <c r="N35" s="32">
        <f t="shared" si="1"/>
        <v>0</v>
      </c>
    </row>
    <row r="36" spans="1:14">
      <c r="A36" s="25">
        <v>44888</v>
      </c>
      <c r="B36" s="26">
        <v>11</v>
      </c>
      <c r="C36" s="27"/>
      <c r="D36" s="28" t="s">
        <v>95</v>
      </c>
      <c r="E36" s="27" t="s">
        <v>72</v>
      </c>
      <c r="F36" s="26" t="s">
        <v>45</v>
      </c>
      <c r="G36" s="27" t="s">
        <v>61</v>
      </c>
      <c r="H36" s="28" t="s">
        <v>62</v>
      </c>
      <c r="I36" s="37">
        <v>1070000</v>
      </c>
      <c r="J36" s="29"/>
      <c r="K36" s="30"/>
      <c r="M36" s="31">
        <v>1070000</v>
      </c>
      <c r="N36" s="32">
        <f t="shared" si="1"/>
        <v>0</v>
      </c>
    </row>
    <row r="37" spans="1:14">
      <c r="A37" s="25">
        <v>44874</v>
      </c>
      <c r="B37" s="26">
        <v>11</v>
      </c>
      <c r="C37" s="27"/>
      <c r="D37" s="28" t="s">
        <v>96</v>
      </c>
      <c r="E37" s="27" t="s">
        <v>44</v>
      </c>
      <c r="F37" s="26" t="s">
        <v>45</v>
      </c>
      <c r="G37" s="27" t="s">
        <v>61</v>
      </c>
      <c r="H37" s="28" t="s">
        <v>62</v>
      </c>
      <c r="I37" s="37">
        <v>9324000</v>
      </c>
      <c r="J37" s="29"/>
      <c r="K37" s="30"/>
      <c r="M37" s="31">
        <v>9324000</v>
      </c>
      <c r="N37" s="32">
        <f t="shared" si="1"/>
        <v>0</v>
      </c>
    </row>
    <row r="38" spans="1:14">
      <c r="A38" s="25">
        <v>44874</v>
      </c>
      <c r="B38" s="26">
        <v>11</v>
      </c>
      <c r="C38" s="27"/>
      <c r="D38" s="28" t="s">
        <v>97</v>
      </c>
      <c r="E38" s="27" t="s">
        <v>44</v>
      </c>
      <c r="F38" s="26" t="s">
        <v>45</v>
      </c>
      <c r="G38" s="27" t="s">
        <v>61</v>
      </c>
      <c r="H38" s="28" t="s">
        <v>62</v>
      </c>
      <c r="I38" s="37">
        <v>17826600</v>
      </c>
      <c r="J38" s="29"/>
      <c r="K38" s="30"/>
      <c r="M38" s="31">
        <v>17826600</v>
      </c>
      <c r="N38" s="32">
        <f t="shared" si="1"/>
        <v>0</v>
      </c>
    </row>
    <row r="39" spans="1:14">
      <c r="A39" s="25">
        <v>44876</v>
      </c>
      <c r="B39" s="26">
        <v>11</v>
      </c>
      <c r="C39" s="27"/>
      <c r="D39" s="28" t="s">
        <v>98</v>
      </c>
      <c r="E39" s="27" t="s">
        <v>44</v>
      </c>
      <c r="F39" s="26" t="s">
        <v>45</v>
      </c>
      <c r="G39" s="27" t="s">
        <v>61</v>
      </c>
      <c r="H39" s="28" t="s">
        <v>62</v>
      </c>
      <c r="I39" s="37">
        <v>10084000</v>
      </c>
      <c r="J39" s="29"/>
      <c r="K39" s="30"/>
      <c r="M39" s="31">
        <v>10084000</v>
      </c>
      <c r="N39" s="32">
        <f t="shared" si="1"/>
        <v>0</v>
      </c>
    </row>
    <row r="40" spans="1:14">
      <c r="A40" s="25">
        <v>44881</v>
      </c>
      <c r="B40" s="26">
        <v>11</v>
      </c>
      <c r="C40" s="27"/>
      <c r="D40" s="28" t="s">
        <v>99</v>
      </c>
      <c r="E40" s="27" t="s">
        <v>44</v>
      </c>
      <c r="F40" s="26" t="s">
        <v>45</v>
      </c>
      <c r="G40" s="27" t="s">
        <v>61</v>
      </c>
      <c r="H40" s="28" t="s">
        <v>62</v>
      </c>
      <c r="I40" s="37">
        <v>30688125</v>
      </c>
      <c r="J40" s="29"/>
      <c r="K40" s="30"/>
      <c r="M40" s="31">
        <v>30688125</v>
      </c>
      <c r="N40" s="32">
        <f t="shared" si="1"/>
        <v>0</v>
      </c>
    </row>
    <row r="41" spans="1:14">
      <c r="A41" s="25">
        <v>44886</v>
      </c>
      <c r="B41" s="26">
        <v>11</v>
      </c>
      <c r="C41" s="27"/>
      <c r="D41" s="28" t="s">
        <v>100</v>
      </c>
      <c r="E41" s="27" t="s">
        <v>44</v>
      </c>
      <c r="F41" s="26" t="s">
        <v>45</v>
      </c>
      <c r="G41" s="27" t="s">
        <v>61</v>
      </c>
      <c r="H41" s="28" t="s">
        <v>62</v>
      </c>
      <c r="I41" s="37">
        <v>13230000</v>
      </c>
      <c r="J41" s="29"/>
      <c r="K41" s="30"/>
      <c r="M41" s="31">
        <v>13230000</v>
      </c>
      <c r="N41" s="32">
        <f t="shared" si="1"/>
        <v>0</v>
      </c>
    </row>
    <row r="42" spans="1:14">
      <c r="A42" s="25">
        <v>44890</v>
      </c>
      <c r="B42" s="26">
        <v>11</v>
      </c>
      <c r="C42" s="27"/>
      <c r="D42" s="28" t="s">
        <v>101</v>
      </c>
      <c r="E42" s="27" t="s">
        <v>44</v>
      </c>
      <c r="F42" s="26" t="s">
        <v>45</v>
      </c>
      <c r="G42" s="27" t="s">
        <v>61</v>
      </c>
      <c r="H42" s="28" t="s">
        <v>62</v>
      </c>
      <c r="I42" s="37">
        <v>39926700</v>
      </c>
      <c r="J42" s="29"/>
      <c r="K42" s="30"/>
      <c r="M42" s="31">
        <v>39926700</v>
      </c>
      <c r="N42" s="32">
        <f t="shared" si="1"/>
        <v>0</v>
      </c>
    </row>
    <row r="43" spans="1:14">
      <c r="A43" s="25">
        <v>44926</v>
      </c>
      <c r="B43" s="26">
        <v>12</v>
      </c>
      <c r="C43" s="27"/>
      <c r="D43" s="28" t="s">
        <v>50</v>
      </c>
      <c r="E43" s="27"/>
      <c r="F43" s="26" t="s">
        <v>49</v>
      </c>
      <c r="G43" s="27" t="s">
        <v>61</v>
      </c>
      <c r="H43" s="28" t="s">
        <v>62</v>
      </c>
      <c r="I43" s="29"/>
      <c r="J43" s="29">
        <v>10181720237</v>
      </c>
      <c r="K43" s="30"/>
      <c r="N43" s="32">
        <f t="shared" si="1"/>
        <v>0</v>
      </c>
    </row>
    <row r="44" spans="1:14">
      <c r="A44" s="25">
        <v>44926</v>
      </c>
      <c r="B44" s="26">
        <v>12</v>
      </c>
      <c r="C44" s="27" t="s">
        <v>51</v>
      </c>
      <c r="D44" s="28" t="s">
        <v>102</v>
      </c>
      <c r="E44" s="27"/>
      <c r="F44" s="26" t="s">
        <v>49</v>
      </c>
      <c r="G44" s="27" t="s">
        <v>61</v>
      </c>
      <c r="H44" s="28" t="s">
        <v>62</v>
      </c>
      <c r="I44" s="29">
        <v>304876698</v>
      </c>
      <c r="J44" s="29"/>
      <c r="K44" s="30"/>
      <c r="M44" s="31">
        <v>304876698</v>
      </c>
      <c r="N44" s="32">
        <f>I44-M44</f>
        <v>0</v>
      </c>
    </row>
    <row r="45" spans="1:14">
      <c r="A45" s="25">
        <v>44926</v>
      </c>
      <c r="B45" s="26">
        <v>12</v>
      </c>
      <c r="C45" s="27" t="s">
        <v>51</v>
      </c>
      <c r="D45" s="28" t="s">
        <v>103</v>
      </c>
      <c r="E45" s="27"/>
      <c r="F45" s="26" t="s">
        <v>49</v>
      </c>
      <c r="G45" s="27" t="s">
        <v>61</v>
      </c>
      <c r="H45" s="28" t="s">
        <v>62</v>
      </c>
      <c r="I45" s="29">
        <v>15777000</v>
      </c>
      <c r="J45" s="29"/>
      <c r="K45" s="30"/>
      <c r="M45" s="31">
        <v>15777000</v>
      </c>
      <c r="N45" s="32">
        <f>I45-M45</f>
        <v>0</v>
      </c>
    </row>
    <row r="46" spans="1:14">
      <c r="A46" s="25">
        <v>44910</v>
      </c>
      <c r="B46" s="26">
        <v>12</v>
      </c>
      <c r="C46" s="27" t="s">
        <v>104</v>
      </c>
      <c r="D46" s="28" t="s">
        <v>105</v>
      </c>
      <c r="E46" s="27" t="s">
        <v>44</v>
      </c>
      <c r="F46" s="26" t="s">
        <v>45</v>
      </c>
      <c r="G46" s="27" t="s">
        <v>61</v>
      </c>
      <c r="H46" s="28" t="s">
        <v>62</v>
      </c>
      <c r="I46" s="29">
        <v>10395000</v>
      </c>
      <c r="J46" s="29"/>
      <c r="K46" s="30"/>
      <c r="M46" s="31">
        <v>10395000</v>
      </c>
      <c r="N46" s="32">
        <f>I46-M46</f>
        <v>0</v>
      </c>
    </row>
    <row r="47" spans="1:14">
      <c r="A47" s="25">
        <v>44914</v>
      </c>
      <c r="B47" s="26">
        <v>12</v>
      </c>
      <c r="C47" s="27" t="s">
        <v>104</v>
      </c>
      <c r="D47" s="28" t="s">
        <v>106</v>
      </c>
      <c r="E47" s="27" t="s">
        <v>44</v>
      </c>
      <c r="F47" s="26" t="s">
        <v>45</v>
      </c>
      <c r="G47" s="27" t="s">
        <v>61</v>
      </c>
      <c r="H47" s="28" t="s">
        <v>62</v>
      </c>
      <c r="I47" s="29">
        <v>10395000</v>
      </c>
      <c r="J47" s="29"/>
      <c r="K47" s="30"/>
      <c r="M47" s="31">
        <v>10395000</v>
      </c>
      <c r="N47" s="32">
        <f>I47-M47</f>
        <v>0</v>
      </c>
    </row>
    <row r="48" spans="1:14">
      <c r="I48" s="33">
        <f>SUM(I13:I47)</f>
        <v>5188505030.27635</v>
      </c>
      <c r="J48" s="32">
        <f>I48-J43</f>
        <v>-4993215206.72365</v>
      </c>
      <c r="N48" s="32"/>
    </row>
    <row r="49" spans="1:14">
      <c r="I49" s="33" t="e">
        <f>#REF!</f>
        <v>#REF!</v>
      </c>
      <c r="J49" s="46" t="e">
        <f>SUM(#REF!)</f>
        <v>#REF!</v>
      </c>
      <c r="N49" s="32"/>
    </row>
    <row r="50" spans="1:14">
      <c r="I50" s="45" t="e">
        <f>I48-I49</f>
        <v>#REF!</v>
      </c>
      <c r="J50" s="32" t="e">
        <f>J43-J49</f>
        <v>#REF!</v>
      </c>
      <c r="M50" s="34">
        <v>80925000</v>
      </c>
      <c r="N50" s="32"/>
    </row>
    <row r="51" spans="1:14">
      <c r="I51" s="33">
        <f>SUM(I55:I67)</f>
        <v>1276694744</v>
      </c>
      <c r="M51" s="34">
        <v>50000000</v>
      </c>
      <c r="N51" s="32"/>
    </row>
    <row r="52" spans="1:14">
      <c r="I52" s="32" t="e">
        <f>SUM(#REF!)</f>
        <v>#REF!</v>
      </c>
      <c r="M52" s="34">
        <v>505099229</v>
      </c>
      <c r="N52" s="32"/>
    </row>
    <row r="53" spans="1:14">
      <c r="I53" s="32" t="e">
        <f>I52-I51</f>
        <v>#REF!</v>
      </c>
      <c r="M53" s="34">
        <v>24816270</v>
      </c>
      <c r="N53" s="32"/>
    </row>
    <row r="54" spans="1:14">
      <c r="A54" s="21" t="s">
        <v>31</v>
      </c>
      <c r="B54" s="22" t="s">
        <v>32</v>
      </c>
      <c r="C54" s="22" t="s">
        <v>33</v>
      </c>
      <c r="D54" s="22" t="s">
        <v>34</v>
      </c>
      <c r="E54" s="22" t="s">
        <v>35</v>
      </c>
      <c r="F54" s="22" t="s">
        <v>36</v>
      </c>
      <c r="G54" s="22" t="s">
        <v>37</v>
      </c>
      <c r="H54" s="22" t="s">
        <v>38</v>
      </c>
      <c r="I54" s="23" t="s">
        <v>39</v>
      </c>
      <c r="J54" s="23" t="s">
        <v>40</v>
      </c>
      <c r="K54" s="24" t="s">
        <v>41</v>
      </c>
      <c r="M54" s="34">
        <v>6617130</v>
      </c>
      <c r="N54" s="32"/>
    </row>
    <row r="55" spans="1:14">
      <c r="A55" s="25">
        <v>44655</v>
      </c>
      <c r="B55" s="26">
        <v>4</v>
      </c>
      <c r="C55" s="27" t="s">
        <v>108</v>
      </c>
      <c r="D55" s="28" t="s">
        <v>109</v>
      </c>
      <c r="E55" s="27" t="s">
        <v>72</v>
      </c>
      <c r="F55" s="26" t="s">
        <v>45</v>
      </c>
      <c r="G55" s="27" t="s">
        <v>110</v>
      </c>
      <c r="H55" s="28" t="s">
        <v>111</v>
      </c>
      <c r="I55" s="29">
        <v>2625000</v>
      </c>
      <c r="J55" s="29"/>
      <c r="K55" s="30"/>
      <c r="M55" s="31">
        <f>SUM(M50:M54)</f>
        <v>667457629</v>
      </c>
      <c r="N55" s="32"/>
    </row>
    <row r="56" spans="1:14">
      <c r="A56" s="25">
        <v>44662</v>
      </c>
      <c r="B56" s="26">
        <v>4</v>
      </c>
      <c r="C56" s="27" t="s">
        <v>112</v>
      </c>
      <c r="D56" s="28" t="s">
        <v>113</v>
      </c>
      <c r="E56" s="27" t="s">
        <v>72</v>
      </c>
      <c r="F56" s="26" t="s">
        <v>45</v>
      </c>
      <c r="G56" s="27" t="s">
        <v>110</v>
      </c>
      <c r="H56" s="28" t="s">
        <v>111</v>
      </c>
      <c r="I56" s="29">
        <v>6125000</v>
      </c>
      <c r="J56" s="29"/>
      <c r="K56" s="30"/>
      <c r="M56" s="31">
        <f>N24</f>
        <v>645557629</v>
      </c>
      <c r="N56" s="32"/>
    </row>
    <row r="57" spans="1:14">
      <c r="A57" s="25">
        <v>44795</v>
      </c>
      <c r="B57" s="26">
        <v>8</v>
      </c>
      <c r="C57" s="27" t="s">
        <v>114</v>
      </c>
      <c r="D57" s="28" t="s">
        <v>115</v>
      </c>
      <c r="E57" s="27" t="s">
        <v>72</v>
      </c>
      <c r="F57" s="26" t="s">
        <v>45</v>
      </c>
      <c r="G57" s="27" t="s">
        <v>110</v>
      </c>
      <c r="H57" s="28" t="s">
        <v>111</v>
      </c>
      <c r="I57" s="29">
        <v>4107000</v>
      </c>
      <c r="J57" s="29"/>
      <c r="K57" s="30"/>
      <c r="M57" s="34">
        <f>M55-M56</f>
        <v>21900000</v>
      </c>
      <c r="N57" s="32"/>
    </row>
    <row r="58" spans="1:14">
      <c r="A58" s="25">
        <v>44841</v>
      </c>
      <c r="B58" s="26">
        <v>10</v>
      </c>
      <c r="C58" s="27" t="s">
        <v>116</v>
      </c>
      <c r="D58" s="28" t="s">
        <v>117</v>
      </c>
      <c r="E58" s="27" t="s">
        <v>72</v>
      </c>
      <c r="F58" s="26" t="s">
        <v>45</v>
      </c>
      <c r="G58" s="27" t="s">
        <v>110</v>
      </c>
      <c r="H58" s="28" t="s">
        <v>111</v>
      </c>
      <c r="I58" s="29">
        <v>540600</v>
      </c>
      <c r="J58" s="29"/>
      <c r="K58" s="30"/>
      <c r="N58" s="32"/>
    </row>
    <row r="59" spans="1:14">
      <c r="A59" s="25">
        <v>44867</v>
      </c>
      <c r="B59" s="26">
        <v>11</v>
      </c>
      <c r="C59" s="27"/>
      <c r="D59" s="28" t="s">
        <v>118</v>
      </c>
      <c r="E59" s="27" t="s">
        <v>44</v>
      </c>
      <c r="F59" s="26" t="s">
        <v>45</v>
      </c>
      <c r="G59" s="27" t="s">
        <v>110</v>
      </c>
      <c r="H59" s="28" t="s">
        <v>111</v>
      </c>
      <c r="I59" s="29">
        <v>200003000</v>
      </c>
      <c r="J59" s="29"/>
      <c r="K59" s="30"/>
      <c r="N59" s="32"/>
    </row>
    <row r="60" spans="1:14">
      <c r="A60" s="25">
        <v>44873</v>
      </c>
      <c r="B60" s="26">
        <v>11</v>
      </c>
      <c r="C60" s="27"/>
      <c r="D60" s="28" t="s">
        <v>119</v>
      </c>
      <c r="E60" s="27" t="s">
        <v>44</v>
      </c>
      <c r="F60" s="26" t="s">
        <v>45</v>
      </c>
      <c r="G60" s="27" t="s">
        <v>110</v>
      </c>
      <c r="H60" s="28" t="s">
        <v>111</v>
      </c>
      <c r="I60" s="29">
        <v>150003000</v>
      </c>
      <c r="J60" s="29"/>
      <c r="K60" s="30"/>
      <c r="N60" s="32"/>
    </row>
    <row r="61" spans="1:14">
      <c r="A61" s="25">
        <v>44874</v>
      </c>
      <c r="B61" s="26">
        <v>11</v>
      </c>
      <c r="C61" s="27"/>
      <c r="D61" s="28" t="s">
        <v>120</v>
      </c>
      <c r="E61" s="27" t="s">
        <v>44</v>
      </c>
      <c r="F61" s="26" t="s">
        <v>45</v>
      </c>
      <c r="G61" s="27" t="s">
        <v>110</v>
      </c>
      <c r="H61" s="28" t="s">
        <v>111</v>
      </c>
      <c r="I61" s="29">
        <v>691810</v>
      </c>
      <c r="J61" s="29"/>
      <c r="K61" s="30"/>
      <c r="N61" s="32"/>
    </row>
    <row r="62" spans="1:14">
      <c r="A62" s="25">
        <v>44879</v>
      </c>
      <c r="B62" s="26">
        <v>11</v>
      </c>
      <c r="C62" s="27"/>
      <c r="D62" s="28" t="s">
        <v>121</v>
      </c>
      <c r="E62" s="27" t="s">
        <v>44</v>
      </c>
      <c r="F62" s="26" t="s">
        <v>45</v>
      </c>
      <c r="G62" s="27" t="s">
        <v>110</v>
      </c>
      <c r="H62" s="28" t="s">
        <v>111</v>
      </c>
      <c r="I62" s="29">
        <v>100003000</v>
      </c>
      <c r="J62" s="29"/>
      <c r="K62" s="30"/>
      <c r="N62" s="32"/>
    </row>
    <row r="63" spans="1:14">
      <c r="A63" s="25">
        <v>44880</v>
      </c>
      <c r="B63" s="26">
        <v>11</v>
      </c>
      <c r="C63" s="27"/>
      <c r="D63" s="28" t="s">
        <v>122</v>
      </c>
      <c r="E63" s="27" t="s">
        <v>44</v>
      </c>
      <c r="F63" s="26" t="s">
        <v>45</v>
      </c>
      <c r="G63" s="27" t="s">
        <v>110</v>
      </c>
      <c r="H63" s="28" t="s">
        <v>111</v>
      </c>
      <c r="I63" s="29">
        <v>162831000</v>
      </c>
      <c r="J63" s="29"/>
      <c r="K63" s="30"/>
      <c r="N63" s="32"/>
    </row>
    <row r="64" spans="1:14">
      <c r="A64" s="25">
        <v>44881</v>
      </c>
      <c r="B64" s="26">
        <v>11</v>
      </c>
      <c r="C64" s="27"/>
      <c r="D64" s="28" t="s">
        <v>123</v>
      </c>
      <c r="E64" s="27" t="s">
        <v>44</v>
      </c>
      <c r="F64" s="26" t="s">
        <v>45</v>
      </c>
      <c r="G64" s="27" t="s">
        <v>110</v>
      </c>
      <c r="H64" s="28" t="s">
        <v>111</v>
      </c>
      <c r="I64" s="29">
        <v>73484269</v>
      </c>
      <c r="J64" s="29"/>
      <c r="K64" s="30"/>
      <c r="N64" s="32"/>
    </row>
    <row r="65" spans="1:14">
      <c r="A65" s="25">
        <v>44893</v>
      </c>
      <c r="B65" s="26">
        <v>11</v>
      </c>
      <c r="C65" s="27"/>
      <c r="D65" s="28" t="s">
        <v>124</v>
      </c>
      <c r="E65" s="27" t="s">
        <v>44</v>
      </c>
      <c r="F65" s="26" t="s">
        <v>45</v>
      </c>
      <c r="G65" s="27" t="s">
        <v>110</v>
      </c>
      <c r="H65" s="28" t="s">
        <v>111</v>
      </c>
      <c r="I65" s="29">
        <v>250003000</v>
      </c>
      <c r="J65" s="29"/>
      <c r="K65" s="30"/>
      <c r="N65" s="32"/>
    </row>
    <row r="66" spans="1:14">
      <c r="A66" s="25">
        <v>44893</v>
      </c>
      <c r="B66" s="26">
        <v>11</v>
      </c>
      <c r="C66" s="27"/>
      <c r="D66" s="28" t="s">
        <v>125</v>
      </c>
      <c r="E66" s="27" t="s">
        <v>44</v>
      </c>
      <c r="F66" s="26" t="s">
        <v>45</v>
      </c>
      <c r="G66" s="27" t="s">
        <v>110</v>
      </c>
      <c r="H66" s="28" t="s">
        <v>111</v>
      </c>
      <c r="I66" s="29">
        <v>3150000</v>
      </c>
      <c r="J66" s="29"/>
      <c r="K66" s="30"/>
      <c r="N66" s="32"/>
    </row>
    <row r="67" spans="1:14">
      <c r="A67" s="25">
        <v>44894</v>
      </c>
      <c r="B67" s="26">
        <v>11</v>
      </c>
      <c r="C67" s="27"/>
      <c r="D67" s="28" t="s">
        <v>126</v>
      </c>
      <c r="E67" s="27" t="s">
        <v>44</v>
      </c>
      <c r="F67" s="26" t="s">
        <v>45</v>
      </c>
      <c r="G67" s="27" t="s">
        <v>110</v>
      </c>
      <c r="H67" s="28" t="s">
        <v>111</v>
      </c>
      <c r="I67" s="29">
        <v>323128065</v>
      </c>
      <c r="J67" s="29"/>
      <c r="K67" s="30"/>
      <c r="N67" s="3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TB</vt:lpstr>
      <vt:lpstr>ADJ 2022</vt:lpstr>
      <vt:lpstr>ADJ 2021</vt:lpstr>
      <vt:lpstr>ADJ 2020</vt:lpstr>
      <vt:lpstr>Aset Tetap</vt:lpstr>
      <vt:lpstr>Summary</vt:lpstr>
      <vt:lpstr>AT</vt:lpstr>
      <vt:lpstr>COA AT</vt:lpstr>
      <vt:lpstr>Adjustment 2023</vt:lpstr>
      <vt:lpstr>Disclosure Aset</vt:lpstr>
      <vt:lpstr>NBV sdh habis</vt:lpstr>
      <vt:lpstr>Disclosure Aset DES 24</vt:lpstr>
      <vt:lpstr>1. Tanah</vt:lpstr>
      <vt:lpstr>2. Bangunan</vt:lpstr>
      <vt:lpstr>3. Sumur Bor</vt:lpstr>
      <vt:lpstr>4. Sarana &amp; Prasarana</vt:lpstr>
      <vt:lpstr>5. Mesin</vt:lpstr>
      <vt:lpstr>6. Instalasi Elektrik</vt:lpstr>
      <vt:lpstr>7. Kendaraan</vt:lpstr>
      <vt:lpstr>8 Peralatan &amp; Perlengkapan</vt:lpstr>
      <vt:lpstr>9. Infrastruktur</vt:lpstr>
      <vt:lpstr>NBV sdh 0</vt:lpstr>
      <vt:lpstr>Aset dlm pembangunan</vt:lpstr>
      <vt:lpstr>Jurnal 2022</vt:lpstr>
      <vt:lpstr>'Aset Tetap'!Print_Area</vt:lpstr>
      <vt:lpstr>AT!Print_Area</vt:lpstr>
      <vt:lpstr>'Aset Tetap'!Print_Titles</vt:lpstr>
      <vt:lpstr>AT!Print_Titles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MGN</dc:creator>
  <cp:lastModifiedBy>SQS Consulting</cp:lastModifiedBy>
  <dcterms:created xsi:type="dcterms:W3CDTF">2023-03-14T02:04:46Z</dcterms:created>
  <dcterms:modified xsi:type="dcterms:W3CDTF">2025-01-20T06:56:23Z</dcterms:modified>
</cp:coreProperties>
</file>